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5.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6.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14"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esktop/RP-Ver1.1/"/>
    </mc:Choice>
  </mc:AlternateContent>
  <xr:revisionPtr revIDLastSave="0" documentId="13_ncr:1_{77FBDAC2-8CEB-DC42-8C5B-0B10241ACF84}" xr6:coauthVersionLast="47" xr6:coauthVersionMax="47" xr10:uidLastSave="{00000000-0000-0000-0000-000000000000}"/>
  <bookViews>
    <workbookView xWindow="1060" yWindow="-27780" windowWidth="50980" windowHeight="25580" tabRatio="819" activeTab="4" xr2:uid="{00000000-000D-0000-FFFF-FFFF00000000}"/>
  </bookViews>
  <sheets>
    <sheet name="Config" sheetId="68" state="veryHidden" r:id="rId1"/>
    <sheet name="Welcome" sheetId="91" r:id="rId2"/>
    <sheet name="Overview" sheetId="75" r:id="rId3"/>
    <sheet name="Settings" sheetId="92" r:id="rId4"/>
    <sheet name="Home" sheetId="57" r:id="rId5"/>
    <sheet name="Individuals" sheetId="73" r:id="rId6"/>
    <sheet name="Assets" sheetId="1" r:id="rId7"/>
    <sheet name="Income" sheetId="48" r:id="rId8"/>
    <sheet name="Budget" sheetId="55" r:id="rId9"/>
    <sheet name="Retire" sheetId="63" r:id="rId10"/>
    <sheet name="Useful Info" sheetId="20" r:id="rId11"/>
    <sheet name="ImportMsg" sheetId="88" state="veryHidden" r:id="rId12"/>
    <sheet name="HomeChart" sheetId="74" state="veryHidden" r:id="rId13"/>
    <sheet name="Rental" sheetId="47" state="veryHidden" r:id="rId14"/>
    <sheet name="Investments" sheetId="35" state="veryHidden" r:id="rId15"/>
    <sheet name="Housing" sheetId="52" state="veryHidden" r:id="rId16"/>
    <sheet name="Vehicle" sheetId="53" state="veryHidden" r:id="rId17"/>
    <sheet name="Med-Insur" sheetId="56" state="veryHidden" r:id="rId18"/>
    <sheet name="Export" sheetId="76" state="veryHidden" r:id="rId19"/>
    <sheet name="EData" sheetId="77" state="veryHidden" r:id="rId20"/>
    <sheet name="TaxRates" sheetId="65" state="hidden" r:id="rId21"/>
    <sheet name="RMD" sheetId="46" state="veryHidden" r:id="rId22"/>
    <sheet name="Calculators" sheetId="86" state="veryHidden" r:id="rId23"/>
    <sheet name="Notes" sheetId="87" state="veryHidden" r:id="rId24"/>
    <sheet name="Scenarios" sheetId="85" state="veryHidden" r:id="rId25"/>
    <sheet name="IRMAA" sheetId="84" state="veryHidden" r:id="rId26"/>
    <sheet name="RMDTable" sheetId="83" state="veryHidden" r:id="rId27"/>
    <sheet name="COLACPI" sheetId="82" state="veryHidden" r:id="rId28"/>
    <sheet name="LifeTables" sheetId="81" state="veryHidden" r:id="rId29"/>
    <sheet name="TaxTables" sheetId="49" state="hidden" r:id="rId30"/>
    <sheet name="SS Estimator" sheetId="26" state="veryHidden" r:id="rId31"/>
  </sheets>
  <functionGroups builtInGroupCount="19"/>
  <definedNames>
    <definedName name="AllAssets">Assets!$E$4</definedName>
    <definedName name="_xlnm.Print_Titles" localSheetId="8">Budget!$C:$C,Budget!$1:$7</definedName>
    <definedName name="solver_eng" localSheetId="6" hidden="1">1</definedName>
    <definedName name="solver_lin" localSheetId="6" hidden="1">2</definedName>
    <definedName name="solver_neg" localSheetId="6" hidden="1">1</definedName>
    <definedName name="solver_num" localSheetId="6" hidden="1">0</definedName>
    <definedName name="solver_opt" localSheetId="6" hidden="1">Assets!$A$1</definedName>
    <definedName name="solver_typ" localSheetId="6" hidden="1">1</definedName>
    <definedName name="solver_val" localSheetId="6" hidden="1">0</definedName>
    <definedName name="solver_ver" localSheetId="6"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6" i="74" l="1" a="1"/>
  <c r="F206" i="74" s="1"/>
  <c r="L87" i="74" a="1"/>
  <c r="L87" i="74" s="1"/>
  <c r="K87" i="74" a="1"/>
  <c r="K87" i="74" s="1"/>
  <c r="E86" i="65"/>
  <c r="E85" i="65"/>
  <c r="E84" i="65"/>
  <c r="E83" i="65"/>
  <c r="E82" i="65"/>
  <c r="E81" i="65"/>
  <c r="E80" i="65"/>
  <c r="E79" i="65"/>
  <c r="E78" i="65"/>
  <c r="E77" i="65"/>
  <c r="E76" i="65"/>
  <c r="E75" i="65"/>
  <c r="E74" i="65"/>
  <c r="E73" i="65"/>
  <c r="E72" i="65"/>
  <c r="J16" i="65"/>
  <c r="J15" i="65"/>
  <c r="J14" i="65"/>
  <c r="J13" i="65"/>
  <c r="J11" i="65"/>
  <c r="E20" i="65"/>
  <c r="E19" i="65"/>
  <c r="E18" i="65"/>
  <c r="E17" i="65"/>
  <c r="E16" i="65"/>
  <c r="E15" i="65"/>
  <c r="E14" i="65"/>
  <c r="E13" i="65"/>
  <c r="E11" i="65"/>
  <c r="D18" i="47"/>
  <c r="K18" i="47"/>
  <c r="C4" i="57" l="1"/>
  <c r="C4" i="75"/>
  <c r="C4" i="91"/>
  <c r="Q3" i="57"/>
  <c r="AD46" i="46"/>
  <c r="AD45" i="46"/>
  <c r="AD44" i="46"/>
  <c r="AD43" i="46"/>
  <c r="AD42" i="46"/>
  <c r="AD41" i="46"/>
  <c r="AD40" i="46"/>
  <c r="AD39" i="46"/>
  <c r="AD38" i="46"/>
  <c r="AD37" i="46"/>
  <c r="AD36" i="46"/>
  <c r="AD35" i="46"/>
  <c r="AD34" i="46"/>
  <c r="AD33" i="46"/>
  <c r="AD32" i="46"/>
  <c r="AD31" i="46"/>
  <c r="AD30" i="46"/>
  <c r="AD29" i="46"/>
  <c r="AD28" i="46"/>
  <c r="AD27" i="46"/>
  <c r="AD26" i="46"/>
  <c r="AD25" i="46"/>
  <c r="AD24" i="46"/>
  <c r="AD23" i="46"/>
  <c r="AD22" i="46"/>
  <c r="AD21" i="46"/>
  <c r="AD20" i="46"/>
  <c r="AD19" i="46"/>
  <c r="AD18" i="46"/>
  <c r="AD17" i="46"/>
  <c r="AD16" i="46"/>
  <c r="AD15" i="46"/>
  <c r="AD14" i="46"/>
  <c r="AD13" i="46"/>
  <c r="AD12" i="46"/>
  <c r="AD11" i="46"/>
  <c r="AD10" i="46"/>
  <c r="AD9" i="46"/>
  <c r="AD8" i="46"/>
  <c r="AD7" i="46"/>
  <c r="AC46" i="46"/>
  <c r="AC45" i="46"/>
  <c r="AC44" i="46"/>
  <c r="AC43" i="46"/>
  <c r="AC42" i="46"/>
  <c r="AC41" i="46"/>
  <c r="AC40" i="46"/>
  <c r="AC39" i="46"/>
  <c r="AC38" i="46"/>
  <c r="AC37" i="46"/>
  <c r="AC36" i="46"/>
  <c r="AC35" i="46"/>
  <c r="AC34" i="46"/>
  <c r="AC33" i="46"/>
  <c r="AC32" i="46"/>
  <c r="AC31" i="46"/>
  <c r="AC30" i="46"/>
  <c r="AC29" i="46"/>
  <c r="AC28" i="46"/>
  <c r="AC27" i="46"/>
  <c r="AC26" i="46"/>
  <c r="AC25" i="46"/>
  <c r="AC24" i="46"/>
  <c r="AC23" i="46"/>
  <c r="AC22" i="46"/>
  <c r="AC21" i="46"/>
  <c r="AC20" i="46"/>
  <c r="AC19" i="46"/>
  <c r="AC18" i="46"/>
  <c r="AC17" i="46"/>
  <c r="AC16" i="46"/>
  <c r="AC15" i="46"/>
  <c r="AC14" i="46"/>
  <c r="AC13" i="46"/>
  <c r="AC12" i="46"/>
  <c r="AC11" i="46"/>
  <c r="AC10" i="46"/>
  <c r="AC9" i="46"/>
  <c r="AC8" i="46"/>
  <c r="AC7" i="46"/>
  <c r="X46" i="46" l="1"/>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O73" i="74" l="1"/>
  <c r="N73" i="74"/>
  <c r="I214" i="52"/>
  <c r="AP6" i="74" l="1"/>
  <c r="AO6" i="74"/>
  <c r="AN6" i="74"/>
  <c r="AM6" i="74"/>
  <c r="AL6" i="74"/>
  <c r="AK6" i="74"/>
  <c r="AJ6" i="74"/>
  <c r="AI6" i="74"/>
  <c r="AH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AG6" i="74"/>
  <c r="P41" i="57"/>
  <c r="L41" i="57"/>
  <c r="F15" i="73"/>
  <c r="F10" i="73"/>
  <c r="R41" i="57" l="1"/>
  <c r="N41" i="57"/>
  <c r="N19" i="52"/>
  <c r="N18" i="52"/>
  <c r="N17" i="52"/>
  <c r="N16" i="52"/>
  <c r="N15" i="52"/>
  <c r="N13" i="52"/>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AB6" i="63"/>
  <c r="AA6" i="63"/>
  <c r="AQ14" i="48"/>
  <c r="AQ13" i="48"/>
  <c r="AQ12" i="48"/>
  <c r="AQ11" i="48"/>
  <c r="AQ10" i="48"/>
  <c r="AP13" i="48"/>
  <c r="J5" i="55"/>
  <c r="J4" i="55"/>
  <c r="AP10" i="48"/>
  <c r="K10" i="47"/>
  <c r="D10" i="47"/>
  <c r="J9" i="47"/>
  <c r="C9" i="47"/>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I33" i="52"/>
  <c r="I35" i="52"/>
  <c r="F228" i="76"/>
  <c r="F227" i="76"/>
  <c r="F218" i="76"/>
  <c r="F217" i="76"/>
  <c r="F214" i="76"/>
  <c r="F213" i="76"/>
  <c r="F204" i="76"/>
  <c r="F203" i="76"/>
  <c r="F191" i="76"/>
  <c r="F190" i="76"/>
  <c r="F188" i="76"/>
  <c r="F187" i="76"/>
  <c r="F116"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D16" i="48" l="1"/>
  <c r="AM17" i="48"/>
  <c r="AO17" i="48"/>
  <c r="AI17" i="48"/>
  <c r="AK17" i="48"/>
  <c r="Y17" i="48"/>
  <c r="AA17" i="48"/>
  <c r="AG17" i="48"/>
  <c r="AN17" i="48"/>
  <c r="W17" i="48"/>
  <c r="G321" i="86"/>
  <c r="AL17" i="48"/>
  <c r="AB17" i="48"/>
  <c r="AJ17" i="48"/>
  <c r="AF17" i="48"/>
  <c r="X17" i="48"/>
  <c r="Z17" i="48"/>
  <c r="AH17" i="48"/>
  <c r="V17" i="48"/>
  <c r="C18" i="48"/>
  <c r="AE17" i="48"/>
  <c r="AC17" i="48"/>
  <c r="AD17" i="48"/>
  <c r="H16" i="48"/>
  <c r="M16" i="48"/>
  <c r="L16" i="48"/>
  <c r="K16" i="48"/>
  <c r="J16" i="48"/>
  <c r="I16" i="48"/>
  <c r="G16" i="48"/>
  <c r="F16" i="48"/>
  <c r="E16" i="48"/>
  <c r="N36" i="1"/>
  <c r="O36" i="1"/>
  <c r="S36" i="1"/>
  <c r="R36" i="1"/>
  <c r="Q36" i="1"/>
  <c r="P36" i="1"/>
  <c r="F29" i="82"/>
  <c r="F19" i="82"/>
  <c r="F39" i="82"/>
  <c r="K39" i="82"/>
  <c r="K49" i="82"/>
  <c r="F49" i="82"/>
  <c r="K19" i="82"/>
  <c r="K29" i="82"/>
  <c r="G20" i="73"/>
  <c r="D30" i="47"/>
  <c r="K30"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4" i="46"/>
  <c r="F52" i="46"/>
  <c r="M17" i="48" l="1"/>
  <c r="F17" i="48"/>
  <c r="H17" i="48"/>
  <c r="L17" i="48"/>
  <c r="K17" i="48"/>
  <c r="J17" i="48"/>
  <c r="I17" i="48"/>
  <c r="G17" i="48"/>
  <c r="D17" i="48"/>
  <c r="E17" i="48"/>
  <c r="AO18" i="48"/>
  <c r="AK18" i="48"/>
  <c r="AM18" i="48"/>
  <c r="AG18" i="48"/>
  <c r="AI18" i="48"/>
  <c r="Y18" i="48"/>
  <c r="AA18" i="48"/>
  <c r="C19" i="48"/>
  <c r="W18" i="48"/>
  <c r="H321" i="86"/>
  <c r="K321" i="86"/>
  <c r="AC18" i="48"/>
  <c r="V18" i="48"/>
  <c r="AH18" i="48"/>
  <c r="X18" i="48"/>
  <c r="AL18" i="48"/>
  <c r="AB18" i="48"/>
  <c r="AD18" i="48"/>
  <c r="AN18" i="48"/>
  <c r="Z18" i="48"/>
  <c r="AJ18" i="48"/>
  <c r="AE18" i="48"/>
  <c r="AF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F18" i="48" l="1"/>
  <c r="G18" i="48"/>
  <c r="H18" i="48"/>
  <c r="M18" i="48"/>
  <c r="I18" i="48"/>
  <c r="K18" i="48"/>
  <c r="L18" i="48"/>
  <c r="E18" i="48"/>
  <c r="J18" i="48"/>
  <c r="D18" i="48"/>
  <c r="AO19" i="48"/>
  <c r="AK19" i="48"/>
  <c r="AM19" i="48"/>
  <c r="AG19" i="48"/>
  <c r="AI19" i="48"/>
  <c r="W19" i="48"/>
  <c r="AA19" i="48"/>
  <c r="Y19" i="48"/>
  <c r="AF19" i="48"/>
  <c r="V19" i="48"/>
  <c r="Z19" i="48"/>
  <c r="AJ19" i="48"/>
  <c r="C20" i="48"/>
  <c r="AH19" i="48"/>
  <c r="AL19" i="48"/>
  <c r="AB19" i="48"/>
  <c r="AC19" i="48"/>
  <c r="X19" i="48"/>
  <c r="AN19" i="48"/>
  <c r="AE19" i="48"/>
  <c r="AD19" i="48"/>
  <c r="I321" i="86"/>
  <c r="E322" i="86" s="1"/>
  <c r="L321" i="86"/>
  <c r="O321" i="86" s="1"/>
  <c r="A16" i="48"/>
  <c r="A17" i="48"/>
  <c r="A18" i="48"/>
  <c r="A19" i="48"/>
  <c r="S5" i="57"/>
  <c r="O5" i="55"/>
  <c r="G9" i="63"/>
  <c r="AK9" i="63" s="1"/>
  <c r="Q4" i="57"/>
  <c r="H11" i="53"/>
  <c r="H14" i="53"/>
  <c r="F14" i="53"/>
  <c r="J13" i="53"/>
  <c r="H13" i="53"/>
  <c r="F13" i="53"/>
  <c r="D13" i="53"/>
  <c r="D14" i="53"/>
  <c r="J12" i="53"/>
  <c r="H12" i="53"/>
  <c r="F12" i="53"/>
  <c r="D12" i="53"/>
  <c r="J11" i="53"/>
  <c r="F11" i="53"/>
  <c r="D11" i="53"/>
  <c r="I55" i="55"/>
  <c r="I54" i="55"/>
  <c r="H54" i="55" s="1"/>
  <c r="I92" i="55"/>
  <c r="I91" i="55"/>
  <c r="I166" i="55"/>
  <c r="H166" i="55" s="1"/>
  <c r="I165" i="55"/>
  <c r="H165" i="55" s="1"/>
  <c r="I151" i="55"/>
  <c r="I138" i="55"/>
  <c r="H138" i="55" s="1"/>
  <c r="I109" i="55"/>
  <c r="H109" i="55" s="1"/>
  <c r="I149" i="55"/>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I53" i="55"/>
  <c r="H53" i="55" s="1"/>
  <c r="I52" i="55"/>
  <c r="D10" i="65"/>
  <c r="C10" i="65"/>
  <c r="D30" i="73"/>
  <c r="F19" i="48" l="1"/>
  <c r="H19" i="48"/>
  <c r="M19" i="48"/>
  <c r="G19" i="48"/>
  <c r="D19" i="48"/>
  <c r="I19" i="48"/>
  <c r="E19" i="48"/>
  <c r="L19" i="48"/>
  <c r="J19" i="48"/>
  <c r="K19" i="48"/>
  <c r="AM20" i="48"/>
  <c r="AO20" i="48"/>
  <c r="AI20" i="48"/>
  <c r="AK20" i="48"/>
  <c r="Y20" i="48"/>
  <c r="AG20" i="48"/>
  <c r="W20" i="48"/>
  <c r="AA20" i="48"/>
  <c r="AD20" i="48"/>
  <c r="AL20" i="48"/>
  <c r="AB20" i="48"/>
  <c r="AN20" i="48"/>
  <c r="AJ20" i="48"/>
  <c r="C21" i="48"/>
  <c r="AO21" i="48" s="1"/>
  <c r="AF20" i="48"/>
  <c r="V20" i="48"/>
  <c r="AE20" i="48"/>
  <c r="AH20" i="48"/>
  <c r="X20" i="48"/>
  <c r="A20" i="48"/>
  <c r="Z20" i="48"/>
  <c r="AC20" i="48"/>
  <c r="G322" i="86"/>
  <c r="H55" i="55"/>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H20" i="48" l="1"/>
  <c r="F20" i="48"/>
  <c r="M20" i="48"/>
  <c r="G20" i="48"/>
  <c r="D20" i="48"/>
  <c r="L20" i="48"/>
  <c r="K20" i="48"/>
  <c r="E20" i="48"/>
  <c r="I20" i="48"/>
  <c r="J20" i="48"/>
  <c r="E4" i="1"/>
  <c r="CP7" i="35"/>
  <c r="CC7" i="35"/>
  <c r="H12" i="56"/>
  <c r="I12" i="56" s="1"/>
  <c r="F4" i="1"/>
  <c r="BZ7" i="35"/>
  <c r="CM7" i="35"/>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W21" i="48"/>
  <c r="AA21" i="48"/>
  <c r="AC21" i="48"/>
  <c r="AF21" i="48"/>
  <c r="V21" i="48"/>
  <c r="AH21" i="48"/>
  <c r="Y21" i="48"/>
  <c r="X21" i="48"/>
  <c r="AL21" i="48"/>
  <c r="C22" i="48"/>
  <c r="AB21" i="48"/>
  <c r="AN21" i="48"/>
  <c r="AD21" i="48"/>
  <c r="AE21" i="48"/>
  <c r="Z21" i="48"/>
  <c r="AJ21" i="48"/>
  <c r="A21" i="48"/>
  <c r="CB7" i="35"/>
  <c r="CO7" i="35"/>
  <c r="H322" i="86"/>
  <c r="K322" i="86"/>
  <c r="Q37" i="56"/>
  <c r="I37" i="56"/>
  <c r="I11" i="56"/>
  <c r="CX7" i="35"/>
  <c r="CK7" i="35"/>
  <c r="H156" i="55"/>
  <c r="I170" i="55"/>
  <c r="H142" i="55"/>
  <c r="I154" i="55"/>
  <c r="I140" i="55"/>
  <c r="H100" i="55"/>
  <c r="I112" i="55"/>
  <c r="H128" i="55"/>
  <c r="H57" i="55"/>
  <c r="H58" i="55"/>
  <c r="D31" i="53"/>
  <c r="I31" i="53" s="1"/>
  <c r="H31" i="53" s="1"/>
  <c r="I21" i="53"/>
  <c r="Q34" i="56"/>
  <c r="Q35" i="56"/>
  <c r="I63" i="52"/>
  <c r="M21" i="48" l="1"/>
  <c r="F21" i="48"/>
  <c r="I21" i="48"/>
  <c r="D21" i="48"/>
  <c r="L21" i="48"/>
  <c r="H21" i="48"/>
  <c r="G21" i="48"/>
  <c r="E21" i="48"/>
  <c r="K21" i="48"/>
  <c r="J21" i="48"/>
  <c r="BX7" i="35"/>
  <c r="AM22" i="48"/>
  <c r="AO22" i="48"/>
  <c r="AI22" i="48"/>
  <c r="AK22" i="48"/>
  <c r="Z22" i="48"/>
  <c r="AG22" i="48"/>
  <c r="W22" i="48"/>
  <c r="AA22" i="48"/>
  <c r="AB22" i="48"/>
  <c r="AN22" i="48"/>
  <c r="AJ22" i="48"/>
  <c r="AE22" i="48"/>
  <c r="C23" i="48"/>
  <c r="AO23" i="48" s="1"/>
  <c r="Y22" i="48"/>
  <c r="AD22" i="48"/>
  <c r="V22" i="48"/>
  <c r="AH22" i="48"/>
  <c r="X22" i="48"/>
  <c r="A22" i="48"/>
  <c r="AL22" i="48"/>
  <c r="AC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AG2" i="74" s="1"/>
  <c r="AH2" i="74" s="1"/>
  <c r="AI2" i="74" s="1"/>
  <c r="AJ2" i="74" s="1"/>
  <c r="AK2" i="74" s="1"/>
  <c r="AL2" i="74" s="1"/>
  <c r="AM2" i="74" s="1"/>
  <c r="AN2" i="74" s="1"/>
  <c r="AO2" i="74" s="1"/>
  <c r="AP2" i="74" s="1"/>
  <c r="J27" i="65"/>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1" i="73"/>
  <c r="D34" i="73"/>
  <c r="D33" i="73"/>
  <c r="D32" i="73"/>
  <c r="R27" i="65"/>
  <c r="M27" i="65"/>
  <c r="O5" i="57"/>
  <c r="K5" i="57"/>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T16" i="48"/>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I22" i="48" l="1"/>
  <c r="D22" i="48"/>
  <c r="K22" i="48"/>
  <c r="L22" i="48"/>
  <c r="M22" i="48"/>
  <c r="G22" i="48"/>
  <c r="E22" i="48"/>
  <c r="J22" i="48"/>
  <c r="H22" i="48"/>
  <c r="F22" i="48"/>
  <c r="K50" i="1"/>
  <c r="P6" i="46" s="1"/>
  <c r="J51" i="1"/>
  <c r="K51" i="1"/>
  <c r="Q6" i="46" s="1"/>
  <c r="AK23" i="48"/>
  <c r="AM23" i="48"/>
  <c r="AG23" i="48"/>
  <c r="AI23" i="48"/>
  <c r="W23" i="48"/>
  <c r="AA23" i="48"/>
  <c r="V23" i="48"/>
  <c r="C24" i="48"/>
  <c r="AC23" i="48"/>
  <c r="AF23" i="48"/>
  <c r="AN23" i="48"/>
  <c r="AD23" i="48"/>
  <c r="A23" i="48"/>
  <c r="X23" i="48"/>
  <c r="AL23" i="48"/>
  <c r="AB23" i="48"/>
  <c r="AE23" i="48"/>
  <c r="AH23" i="48"/>
  <c r="Y23" i="48"/>
  <c r="Z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55" i="55"/>
  <c r="AB154" i="55"/>
  <c r="AB141" i="55"/>
  <c r="AB140" i="55"/>
  <c r="AB127" i="55"/>
  <c r="AB126" i="55"/>
  <c r="AB113" i="55"/>
  <c r="AB112"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A155" i="55"/>
  <c r="AA154" i="55"/>
  <c r="AA141" i="55"/>
  <c r="AA140" i="55"/>
  <c r="AA127" i="55"/>
  <c r="AA126" i="55"/>
  <c r="AA113" i="55"/>
  <c r="AA112" i="55"/>
  <c r="AA99" i="55"/>
  <c r="AA98" i="55"/>
  <c r="AA86" i="55"/>
  <c r="AA85" i="55"/>
  <c r="AA73" i="55"/>
  <c r="AA72" i="55"/>
  <c r="AA61" i="55"/>
  <c r="AA60" i="55"/>
  <c r="AA48" i="55"/>
  <c r="AA47" i="55"/>
  <c r="AA42" i="55"/>
  <c r="AA41" i="55"/>
  <c r="AA40" i="55"/>
  <c r="AA39" i="55"/>
  <c r="AA37" i="55"/>
  <c r="AA36" i="55"/>
  <c r="AA35" i="55"/>
  <c r="AA34" i="55"/>
  <c r="AA30" i="55"/>
  <c r="AA29" i="55"/>
  <c r="AA28" i="55"/>
  <c r="AA27" i="55"/>
  <c r="AA26" i="55"/>
  <c r="AA25" i="55"/>
  <c r="AA24" i="55"/>
  <c r="AA23" i="55"/>
  <c r="AA22" i="55"/>
  <c r="AA21" i="55"/>
  <c r="AA14" i="55"/>
  <c r="AA12" i="55"/>
  <c r="E9" i="26"/>
  <c r="E8" i="26"/>
  <c r="D9" i="26"/>
  <c r="D8" i="26"/>
  <c r="E81" i="52"/>
  <c r="C26" i="63"/>
  <c r="I4" i="73"/>
  <c r="J14" i="73" s="1"/>
  <c r="N5" i="55"/>
  <c r="L55" i="55" l="1"/>
  <c r="K55" i="55" s="1"/>
  <c r="L52" i="55"/>
  <c r="K52" i="55" s="1"/>
  <c r="L54" i="55"/>
  <c r="K54" i="55" s="1"/>
  <c r="L53" i="55"/>
  <c r="K53" i="55" s="1"/>
  <c r="L57" i="55"/>
  <c r="K57" i="55" s="1"/>
  <c r="L58" i="55"/>
  <c r="K58" i="55" s="1"/>
  <c r="L50" i="55"/>
  <c r="K50" i="55" s="1"/>
  <c r="L51" i="55"/>
  <c r="K51" i="55" s="1"/>
  <c r="L151" i="55"/>
  <c r="K151" i="55" s="1"/>
  <c r="L149" i="55"/>
  <c r="K149" i="55" s="1"/>
  <c r="K23" i="48"/>
  <c r="D23" i="48"/>
  <c r="J23" i="48"/>
  <c r="M23" i="48"/>
  <c r="I23" i="48"/>
  <c r="G23" i="48"/>
  <c r="L23" i="48"/>
  <c r="E23" i="48"/>
  <c r="H23" i="48"/>
  <c r="F23" i="48"/>
  <c r="E76" i="74"/>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AM24" i="48"/>
  <c r="AO24" i="48"/>
  <c r="AI24" i="48"/>
  <c r="AK24" i="48"/>
  <c r="A24" i="48"/>
  <c r="AG24" i="48"/>
  <c r="AB24" i="48"/>
  <c r="AN24" i="48"/>
  <c r="AE24" i="48"/>
  <c r="Y24" i="48"/>
  <c r="AH24" i="48"/>
  <c r="X24" i="48"/>
  <c r="AL24" i="48"/>
  <c r="C25" i="48"/>
  <c r="AD24" i="48"/>
  <c r="W24" i="48"/>
  <c r="AA24" i="48"/>
  <c r="AF24" i="48"/>
  <c r="Z24" i="48"/>
  <c r="AJ24" i="48"/>
  <c r="V24" i="48"/>
  <c r="AC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D219" i="52" l="1" a="1"/>
  <c r="E72" i="74"/>
  <c r="F24" i="48"/>
  <c r="D24" i="48"/>
  <c r="E24" i="48"/>
  <c r="J24" i="48"/>
  <c r="K24" i="48"/>
  <c r="I24" i="48"/>
  <c r="L24" i="48"/>
  <c r="M24" i="48"/>
  <c r="G24" i="48"/>
  <c r="H24" i="48"/>
  <c r="AM25" i="48"/>
  <c r="AO25" i="48"/>
  <c r="AI25" i="48"/>
  <c r="AK25" i="48"/>
  <c r="Y25" i="48"/>
  <c r="AG25" i="48"/>
  <c r="Z25" i="48"/>
  <c r="AJ25" i="48"/>
  <c r="X25" i="48"/>
  <c r="V25" i="48"/>
  <c r="A25" i="48"/>
  <c r="AH25" i="48"/>
  <c r="AC25" i="48"/>
  <c r="AB25" i="48"/>
  <c r="AL25" i="48"/>
  <c r="C26"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AG3" i="74" s="1"/>
  <c r="AH3" i="74" s="1"/>
  <c r="AI3" i="74" s="1"/>
  <c r="AJ3" i="74" s="1"/>
  <c r="AK3" i="74" s="1"/>
  <c r="AL3" i="74" s="1"/>
  <c r="AM3" i="74" s="1"/>
  <c r="AN3" i="74" s="1"/>
  <c r="AO3" i="74" s="1"/>
  <c r="AP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AG14" i="74" s="1"/>
  <c r="AH14" i="74" s="1"/>
  <c r="AI14" i="74" s="1"/>
  <c r="AJ14" i="74" s="1"/>
  <c r="AK14" i="74" s="1"/>
  <c r="AL14" i="74" s="1"/>
  <c r="AM14" i="74" s="1"/>
  <c r="AN14" i="74" s="1"/>
  <c r="AO14" i="74" s="1"/>
  <c r="AP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H219" i="52" l="1"/>
  <c r="U75" i="74" s="1"/>
  <c r="C219" i="52"/>
  <c r="D219" i="52"/>
  <c r="G25" i="48"/>
  <c r="L25" i="48"/>
  <c r="J25" i="48"/>
  <c r="I25" i="48"/>
  <c r="D25" i="48"/>
  <c r="E25" i="48"/>
  <c r="H25" i="48"/>
  <c r="K25" i="48"/>
  <c r="M25" i="48"/>
  <c r="F25" i="48"/>
  <c r="AM26" i="48"/>
  <c r="AO26" i="48"/>
  <c r="AI26" i="48"/>
  <c r="AK26" i="48"/>
  <c r="AA26" i="48"/>
  <c r="AG26" i="48"/>
  <c r="X26" i="48"/>
  <c r="C27" i="48"/>
  <c r="AE26" i="48"/>
  <c r="AB26" i="48"/>
  <c r="Y26" i="48"/>
  <c r="AJ26" i="48"/>
  <c r="W26" i="48"/>
  <c r="A26" i="48"/>
  <c r="AL26" i="48"/>
  <c r="Z26" i="48"/>
  <c r="AD26" i="48"/>
  <c r="V26" i="48"/>
  <c r="AC26" i="48"/>
  <c r="AH26" i="48"/>
  <c r="AN26" i="48"/>
  <c r="AF26" i="48"/>
  <c r="G324" i="86"/>
  <c r="L83" i="52"/>
  <c r="I83" i="52" s="1"/>
  <c r="C83" i="52"/>
  <c r="F83" i="52"/>
  <c r="E84" i="52"/>
  <c r="G83" i="52"/>
  <c r="G26" i="48" l="1"/>
  <c r="F26" i="48"/>
  <c r="L26" i="48"/>
  <c r="I26" i="48"/>
  <c r="K26" i="48"/>
  <c r="M26" i="48"/>
  <c r="J26" i="48"/>
  <c r="D26" i="48"/>
  <c r="H26" i="48"/>
  <c r="E26" i="48"/>
  <c r="AM27" i="48"/>
  <c r="AO27" i="48"/>
  <c r="AI27" i="48"/>
  <c r="AK27" i="48"/>
  <c r="V27" i="48"/>
  <c r="AG27" i="48"/>
  <c r="AL27" i="48"/>
  <c r="AB27" i="48"/>
  <c r="AE27" i="48"/>
  <c r="AF27" i="48"/>
  <c r="Y27" i="48"/>
  <c r="AH27" i="48"/>
  <c r="X27" i="48"/>
  <c r="W27" i="48"/>
  <c r="AN27" i="48"/>
  <c r="A27" i="48"/>
  <c r="Z27" i="48"/>
  <c r="AJ27" i="48"/>
  <c r="AA27" i="48"/>
  <c r="AD27" i="48"/>
  <c r="C28" i="48"/>
  <c r="AC27" i="48"/>
  <c r="H324" i="86"/>
  <c r="K324" i="86"/>
  <c r="L84" i="52"/>
  <c r="I84" i="52" s="1"/>
  <c r="C84" i="52"/>
  <c r="G84" i="52"/>
  <c r="F84" i="52"/>
  <c r="E85" i="52"/>
  <c r="H27" i="48" l="1"/>
  <c r="E27" i="48"/>
  <c r="F27" i="48"/>
  <c r="L27" i="48"/>
  <c r="D27" i="48"/>
  <c r="M27" i="48"/>
  <c r="J27" i="48"/>
  <c r="I27" i="48"/>
  <c r="K27" i="48"/>
  <c r="G27" i="48"/>
  <c r="AM28" i="48"/>
  <c r="AO28" i="48"/>
  <c r="AI28" i="48"/>
  <c r="AK28" i="48"/>
  <c r="Y28" i="48"/>
  <c r="AG28" i="48"/>
  <c r="AJ28" i="48"/>
  <c r="C29"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C16" i="55"/>
  <c r="D15" i="55"/>
  <c r="F15" i="55"/>
  <c r="E15" i="55"/>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I15" i="55" l="1"/>
  <c r="H15" i="55" s="1"/>
  <c r="I16" i="55"/>
  <c r="H16" i="55" s="1"/>
  <c r="D83" i="52"/>
  <c r="D220" i="52" a="1"/>
  <c r="L28" i="48"/>
  <c r="D28" i="48"/>
  <c r="F28" i="48"/>
  <c r="G28" i="48"/>
  <c r="J28" i="48"/>
  <c r="E28" i="48"/>
  <c r="I28" i="48"/>
  <c r="M28" i="48"/>
  <c r="H28" i="48"/>
  <c r="K28" i="48"/>
  <c r="I44" i="55"/>
  <c r="H44" i="55" s="1"/>
  <c r="I28" i="55"/>
  <c r="H28" i="55" s="1"/>
  <c r="I11" i="55"/>
  <c r="H11" i="55" s="1"/>
  <c r="I25" i="55"/>
  <c r="H25" i="55" s="1"/>
  <c r="AM29" i="48"/>
  <c r="AO29" i="48"/>
  <c r="AB29" i="48"/>
  <c r="AK29" i="48"/>
  <c r="W29" i="48"/>
  <c r="AI29" i="48"/>
  <c r="AN29" i="48"/>
  <c r="AC29" i="48"/>
  <c r="Y29" i="48"/>
  <c r="AG29" i="48"/>
  <c r="AD29" i="48"/>
  <c r="V29" i="48"/>
  <c r="C30" i="48"/>
  <c r="AO30" i="48" s="1"/>
  <c r="AH29" i="48"/>
  <c r="X29" i="48"/>
  <c r="AE29" i="48"/>
  <c r="AL29" i="48"/>
  <c r="A29" i="48"/>
  <c r="Z29" i="48"/>
  <c r="AJ29" i="48"/>
  <c r="AA29" i="48"/>
  <c r="AF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L139" i="55"/>
  <c r="L129" i="55"/>
  <c r="L31" i="55"/>
  <c r="AA31" i="55" s="1"/>
  <c r="L160" i="55"/>
  <c r="L49" i="55"/>
  <c r="L74" i="55"/>
  <c r="AA74" i="55" s="1"/>
  <c r="L128" i="55"/>
  <c r="L145" i="55"/>
  <c r="L67" i="55"/>
  <c r="L163" i="55"/>
  <c r="L32" i="55"/>
  <c r="K32" i="55" s="1"/>
  <c r="L157" i="55"/>
  <c r="L147" i="55"/>
  <c r="L56" i="55"/>
  <c r="L81" i="55"/>
  <c r="L68" i="55"/>
  <c r="L69" i="55"/>
  <c r="L108" i="55"/>
  <c r="L95" i="55"/>
  <c r="K95" i="55" s="1"/>
  <c r="L164" i="55"/>
  <c r="L48" i="55"/>
  <c r="K48" i="55" s="1"/>
  <c r="L70" i="55"/>
  <c r="L111" i="55"/>
  <c r="L152" i="55"/>
  <c r="G86" i="52"/>
  <c r="E87" i="52"/>
  <c r="F86" i="52"/>
  <c r="A7" i="35"/>
  <c r="I24" i="52"/>
  <c r="D38" i="55"/>
  <c r="I38" i="55" s="1"/>
  <c r="H38" i="55" s="1"/>
  <c r="E40" i="55"/>
  <c r="I40" i="55" s="1"/>
  <c r="E39" i="55"/>
  <c r="I39" i="55" s="1"/>
  <c r="H39" i="55" s="1"/>
  <c r="D37" i="55"/>
  <c r="I37" i="55" s="1"/>
  <c r="H37" i="55" s="1"/>
  <c r="L100" i="55"/>
  <c r="AB100" i="55" s="1"/>
  <c r="L88" i="55"/>
  <c r="H48" i="55"/>
  <c r="L19" i="55"/>
  <c r="AB19" i="55" s="1"/>
  <c r="L119" i="55"/>
  <c r="AA119" i="55" s="1"/>
  <c r="L101" i="55"/>
  <c r="AB101" i="55" s="1"/>
  <c r="L124" i="55"/>
  <c r="AB124" i="55" s="1"/>
  <c r="L142" i="55"/>
  <c r="AB142" i="55" s="1"/>
  <c r="L62" i="55"/>
  <c r="AA62" i="55" s="1"/>
  <c r="L16" i="55"/>
  <c r="AA16" i="55" s="1"/>
  <c r="L63" i="55"/>
  <c r="AA63" i="55" s="1"/>
  <c r="L87" i="55"/>
  <c r="AA87" i="55" s="1"/>
  <c r="L64" i="55"/>
  <c r="AA64" i="55" s="1"/>
  <c r="L71" i="55"/>
  <c r="AA71" i="55" s="1"/>
  <c r="L161" i="55"/>
  <c r="AB161" i="55" s="1"/>
  <c r="L114" i="55"/>
  <c r="AB114" i="55" s="1"/>
  <c r="L120" i="55"/>
  <c r="AA120" i="55" s="1"/>
  <c r="L125" i="55"/>
  <c r="AA125" i="55" s="1"/>
  <c r="L65" i="55"/>
  <c r="AA65" i="55" s="1"/>
  <c r="L144" i="55"/>
  <c r="AB144" i="55" s="1"/>
  <c r="L150" i="55"/>
  <c r="AA150" i="55" s="1"/>
  <c r="L66" i="55"/>
  <c r="AA66" i="55" s="1"/>
  <c r="L115" i="55"/>
  <c r="AA115" i="55" s="1"/>
  <c r="L121" i="55"/>
  <c r="AA121" i="55" s="1"/>
  <c r="L153" i="55"/>
  <c r="AB153" i="55" s="1"/>
  <c r="L97" i="55"/>
  <c r="L116" i="55"/>
  <c r="AA116" i="55" s="1"/>
  <c r="L143" i="55"/>
  <c r="AB143" i="55" s="1"/>
  <c r="L122" i="55"/>
  <c r="AA122" i="55" s="1"/>
  <c r="L117" i="55"/>
  <c r="AB117" i="55" s="1"/>
  <c r="L146" i="55"/>
  <c r="AB146" i="55" s="1"/>
  <c r="L17" i="55"/>
  <c r="AA17" i="55" s="1"/>
  <c r="L123" i="55"/>
  <c r="AA123" i="55" s="1"/>
  <c r="L158" i="55"/>
  <c r="AB158" i="55" s="1"/>
  <c r="L118" i="55"/>
  <c r="AB118" i="55" s="1"/>
  <c r="L136" i="55"/>
  <c r="AA136" i="55" s="1"/>
  <c r="L169" i="55"/>
  <c r="AB169" i="55" s="1"/>
  <c r="L159" i="55"/>
  <c r="AB159" i="55" s="1"/>
  <c r="L162" i="55"/>
  <c r="AB162" i="55" s="1"/>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AA38" i="47" s="1"/>
  <c r="M37" i="47"/>
  <c r="F37" i="47"/>
  <c r="K37" i="47"/>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AB84" i="55" l="1"/>
  <c r="AA84" i="55"/>
  <c r="K81" i="55"/>
  <c r="AA81" i="55"/>
  <c r="K67" i="55"/>
  <c r="AA67" i="55"/>
  <c r="K68" i="55"/>
  <c r="AA68" i="55"/>
  <c r="AB69" i="55"/>
  <c r="AA69" i="55"/>
  <c r="K70" i="55"/>
  <c r="AA70" i="55"/>
  <c r="K139" i="55"/>
  <c r="AA139" i="55"/>
  <c r="K128" i="55"/>
  <c r="AA128" i="55"/>
  <c r="AB129" i="55"/>
  <c r="AA129" i="55"/>
  <c r="AA164" i="55"/>
  <c r="AB164" i="55"/>
  <c r="AA163" i="55"/>
  <c r="AB163" i="55"/>
  <c r="K160" i="55"/>
  <c r="AB160" i="55"/>
  <c r="K157" i="55"/>
  <c r="AB157" i="55"/>
  <c r="K145" i="55"/>
  <c r="AB145" i="55"/>
  <c r="K147" i="55"/>
  <c r="AB147" i="55"/>
  <c r="AA111" i="55"/>
  <c r="AB111" i="55"/>
  <c r="K108" i="55"/>
  <c r="AB108" i="55"/>
  <c r="V38" i="47"/>
  <c r="V37" i="47"/>
  <c r="AA37" i="47"/>
  <c r="AD37" i="47" s="1"/>
  <c r="DB7" i="35" s="1"/>
  <c r="H220" i="52"/>
  <c r="U76" i="74" s="1"/>
  <c r="C220" i="52"/>
  <c r="D220" i="52"/>
  <c r="D84" i="52"/>
  <c r="D221" i="52" a="1"/>
  <c r="M29" i="48"/>
  <c r="H29" i="48"/>
  <c r="K29" i="48"/>
  <c r="E29" i="48"/>
  <c r="F29" i="48"/>
  <c r="L29" i="48"/>
  <c r="J29" i="48"/>
  <c r="G29" i="48"/>
  <c r="I29" i="48"/>
  <c r="D29" i="48"/>
  <c r="L44" i="55"/>
  <c r="AA44" i="55" s="1"/>
  <c r="M33" i="47"/>
  <c r="K49" i="55"/>
  <c r="AA49" i="55"/>
  <c r="AK30" i="48"/>
  <c r="AM30" i="48"/>
  <c r="AA30" i="48"/>
  <c r="AI30" i="48"/>
  <c r="C31" i="48"/>
  <c r="AO31" i="48" s="1"/>
  <c r="Y30" i="48"/>
  <c r="AG30" i="48"/>
  <c r="AL30" i="48"/>
  <c r="AN30" i="48"/>
  <c r="AD30" i="48"/>
  <c r="A30" i="48"/>
  <c r="AH30" i="48"/>
  <c r="AC30" i="48"/>
  <c r="AJ30" i="48"/>
  <c r="AB30" i="48"/>
  <c r="W30" i="48"/>
  <c r="AF30" i="48"/>
  <c r="V30" i="48"/>
  <c r="X30" i="48"/>
  <c r="AE30" i="48"/>
  <c r="Z30" i="48"/>
  <c r="H325" i="86"/>
  <c r="K325" i="86"/>
  <c r="L45" i="55"/>
  <c r="K45" i="55" s="1"/>
  <c r="K56" i="55"/>
  <c r="AA56" i="55"/>
  <c r="H37" i="47"/>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AA13" i="55" s="1"/>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AA11" i="55" s="1"/>
  <c r="L12" i="55"/>
  <c r="L15" i="55"/>
  <c r="AA15" i="55" s="1"/>
  <c r="L18" i="55"/>
  <c r="AB18" i="55" s="1"/>
  <c r="K38" i="47"/>
  <c r="D38" i="47"/>
  <c r="C38" i="47"/>
  <c r="L37" i="47"/>
  <c r="E37" i="47"/>
  <c r="V39" i="47" l="1"/>
  <c r="AA39" i="47"/>
  <c r="X37" i="47"/>
  <c r="Y37" i="47"/>
  <c r="DA7" i="35" s="1"/>
  <c r="BY7" i="35" s="1"/>
  <c r="F7" i="35" s="1"/>
  <c r="AB37" i="47"/>
  <c r="AC37" i="47"/>
  <c r="W37" i="47"/>
  <c r="H221" i="52"/>
  <c r="U77" i="74" s="1"/>
  <c r="C221" i="52"/>
  <c r="D221" i="52"/>
  <c r="D85" i="52"/>
  <c r="D222" i="52" a="1"/>
  <c r="K44" i="55"/>
  <c r="M30" i="48"/>
  <c r="I30" i="48"/>
  <c r="K30" i="48"/>
  <c r="G30" i="48"/>
  <c r="E30" i="48"/>
  <c r="D30" i="48"/>
  <c r="L30" i="48"/>
  <c r="J30" i="48"/>
  <c r="F30" i="48"/>
  <c r="H30" i="48"/>
  <c r="AC31" i="48"/>
  <c r="AM31" i="48"/>
  <c r="AH31" i="48"/>
  <c r="A31" i="48"/>
  <c r="C32" i="48"/>
  <c r="AO32" i="48" s="1"/>
  <c r="AK31" i="48"/>
  <c r="AD31" i="48"/>
  <c r="X31" i="48"/>
  <c r="AL31" i="48"/>
  <c r="AJ31" i="48"/>
  <c r="AG31" i="48"/>
  <c r="AI31" i="48"/>
  <c r="AF31" i="48"/>
  <c r="Y31" i="48"/>
  <c r="AA31" i="48"/>
  <c r="AN31" i="48"/>
  <c r="AB31" i="48"/>
  <c r="V31" i="48"/>
  <c r="Z31" i="48"/>
  <c r="AE31" i="48"/>
  <c r="W31" i="48"/>
  <c r="K60" i="55"/>
  <c r="AE27" i="55" s="1"/>
  <c r="I325" i="86"/>
  <c r="E326" i="86" s="1"/>
  <c r="L325" i="86"/>
  <c r="O325" i="86" s="1"/>
  <c r="AA45" i="55"/>
  <c r="L88" i="52"/>
  <c r="I88" i="52" s="1"/>
  <c r="H38" i="47"/>
  <c r="R38" i="47"/>
  <c r="W10" i="55"/>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V40" i="47" l="1"/>
  <c r="AA40" i="47"/>
  <c r="AB38" i="47"/>
  <c r="AD38" i="47"/>
  <c r="DB8" i="35" s="1"/>
  <c r="AC38" i="47"/>
  <c r="W38" i="47"/>
  <c r="Y38" i="47"/>
  <c r="DA8" i="35" s="1"/>
  <c r="X38" i="47"/>
  <c r="D86" i="52"/>
  <c r="D223" i="52" a="1"/>
  <c r="H222" i="52"/>
  <c r="U78" i="74" s="1"/>
  <c r="C222" i="52"/>
  <c r="D222" i="52"/>
  <c r="M31" i="48"/>
  <c r="F31" i="48"/>
  <c r="K31" i="48"/>
  <c r="L31" i="48"/>
  <c r="E31" i="48"/>
  <c r="D31" i="48"/>
  <c r="G31" i="48"/>
  <c r="H31" i="48"/>
  <c r="I31" i="48"/>
  <c r="J31" i="48"/>
  <c r="W11" i="55"/>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W32" i="48"/>
  <c r="AL32" i="48"/>
  <c r="AB32" i="48"/>
  <c r="AA32" i="48"/>
  <c r="C33" i="48"/>
  <c r="AO33" i="48" s="1"/>
  <c r="X32" i="48"/>
  <c r="AK32" i="48"/>
  <c r="AM32" i="48"/>
  <c r="AG32" i="48"/>
  <c r="AF32" i="48"/>
  <c r="AH32" i="48"/>
  <c r="AD32" i="48"/>
  <c r="V32" i="48"/>
  <c r="Y32" i="48"/>
  <c r="AE32" i="48"/>
  <c r="A32" i="48"/>
  <c r="AN32" i="48"/>
  <c r="Z32" i="48"/>
  <c r="AI32" i="48"/>
  <c r="AJ32" i="48"/>
  <c r="AC32" i="48"/>
  <c r="G326" i="86"/>
  <c r="L89" i="52"/>
  <c r="I89" i="52"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V41" i="47" l="1"/>
  <c r="AA41" i="47"/>
  <c r="W39" i="47"/>
  <c r="X39" i="47"/>
  <c r="Y39" i="47"/>
  <c r="DA9" i="35" s="1"/>
  <c r="AB39" i="47"/>
  <c r="AD39" i="47"/>
  <c r="DB9" i="35" s="1"/>
  <c r="AC39" i="47"/>
  <c r="H223" i="52"/>
  <c r="U79" i="74" s="1"/>
  <c r="C223" i="52"/>
  <c r="D223" i="52"/>
  <c r="D87" i="52"/>
  <c r="D224" i="52" a="1"/>
  <c r="M32" i="48"/>
  <c r="K32" i="48"/>
  <c r="I32" i="48"/>
  <c r="H32" i="48"/>
  <c r="L32" i="48"/>
  <c r="J32" i="48"/>
  <c r="D32" i="48"/>
  <c r="G32" i="48"/>
  <c r="F32" i="48"/>
  <c r="E32" i="48"/>
  <c r="AK33" i="48"/>
  <c r="AG33" i="48"/>
  <c r="AM33" i="48"/>
  <c r="AE33" i="48"/>
  <c r="Y33" i="48"/>
  <c r="A33" i="48"/>
  <c r="AC33" i="48"/>
  <c r="X33" i="48"/>
  <c r="AH33" i="48"/>
  <c r="AL33" i="48"/>
  <c r="AB33" i="48"/>
  <c r="AN33" i="48"/>
  <c r="AI33" i="48"/>
  <c r="AD33" i="48"/>
  <c r="Z33" i="48"/>
  <c r="AA33" i="48"/>
  <c r="AJ33" i="48"/>
  <c r="AF33" i="48"/>
  <c r="C34" i="48"/>
  <c r="AO34" i="48" s="1"/>
  <c r="W33" i="48"/>
  <c r="V33" i="48"/>
  <c r="H326" i="86"/>
  <c r="K326" i="86"/>
  <c r="L90" i="52"/>
  <c r="I90" i="52"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V42" i="47" l="1"/>
  <c r="AA42" i="47"/>
  <c r="AB40" i="47"/>
  <c r="AC40" i="47"/>
  <c r="W40" i="47"/>
  <c r="Y40" i="47"/>
  <c r="DA10" i="35" s="1"/>
  <c r="X40" i="47"/>
  <c r="H224" i="52"/>
  <c r="U80" i="74" s="1"/>
  <c r="C224" i="52"/>
  <c r="D224" i="52"/>
  <c r="D88" i="52"/>
  <c r="D225" i="52" a="1"/>
  <c r="M33" i="48"/>
  <c r="H33" i="48"/>
  <c r="D33" i="48"/>
  <c r="G33" i="48"/>
  <c r="L33" i="48"/>
  <c r="J33" i="48"/>
  <c r="I33" i="48"/>
  <c r="E33" i="48"/>
  <c r="K33" i="48"/>
  <c r="F33" i="48"/>
  <c r="CR8" i="35"/>
  <c r="CE8" i="35"/>
  <c r="CQ8" i="35"/>
  <c r="CD8" i="35"/>
  <c r="BJ9" i="35"/>
  <c r="CC9" i="35"/>
  <c r="BM9" i="35"/>
  <c r="CF9" i="35"/>
  <c r="I9" i="26"/>
  <c r="J9" i="26" s="1"/>
  <c r="K9" i="26"/>
  <c r="I8" i="26"/>
  <c r="J8" i="26" s="1"/>
  <c r="K8" i="26"/>
  <c r="AJ34" i="48"/>
  <c r="C35" i="48"/>
  <c r="AO35" i="48" s="1"/>
  <c r="Y34" i="48"/>
  <c r="X34" i="48"/>
  <c r="AC34" i="48"/>
  <c r="AH34" i="48"/>
  <c r="A34" i="48"/>
  <c r="AL34" i="48"/>
  <c r="W34" i="48"/>
  <c r="AB34" i="48"/>
  <c r="AI34" i="48"/>
  <c r="AN34" i="48"/>
  <c r="AM34" i="48"/>
  <c r="AF34" i="48"/>
  <c r="AK34" i="48"/>
  <c r="V34" i="48"/>
  <c r="AE34" i="48"/>
  <c r="AD34" i="48"/>
  <c r="AA34" i="48"/>
  <c r="Z34" i="48"/>
  <c r="AG34" i="48"/>
  <c r="L326" i="86"/>
  <c r="O326" i="86" s="1"/>
  <c r="I326" i="86"/>
  <c r="E327" i="86" s="1"/>
  <c r="A35" i="65"/>
  <c r="BR9" i="35"/>
  <c r="CK9" i="35"/>
  <c r="L91" i="52"/>
  <c r="I91" i="52"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V43" i="47" l="1"/>
  <c r="AA43" i="47"/>
  <c r="AD40" i="47"/>
  <c r="DB10" i="35" s="1"/>
  <c r="W41" i="47"/>
  <c r="Y41" i="47"/>
  <c r="DA11" i="35" s="1"/>
  <c r="X41" i="47"/>
  <c r="AB41" i="47"/>
  <c r="AD41" i="47"/>
  <c r="DB11" i="35" s="1"/>
  <c r="AC41" i="47"/>
  <c r="H225" i="52"/>
  <c r="U81" i="74" s="1"/>
  <c r="C225" i="52"/>
  <c r="D225" i="52"/>
  <c r="D89" i="52"/>
  <c r="D226" i="52" a="1"/>
  <c r="M34" i="48"/>
  <c r="F34" i="48"/>
  <c r="H34" i="48"/>
  <c r="I34" i="48"/>
  <c r="E34" i="48"/>
  <c r="K34" i="48"/>
  <c r="G34" i="48"/>
  <c r="L34" i="48"/>
  <c r="D34" i="48"/>
  <c r="J34" i="48"/>
  <c r="CR9" i="35"/>
  <c r="CE9" i="35"/>
  <c r="CQ9" i="35"/>
  <c r="CD9" i="35"/>
  <c r="AH35" i="48"/>
  <c r="AK35" i="48"/>
  <c r="AM35" i="48"/>
  <c r="AE35" i="48"/>
  <c r="X35" i="48"/>
  <c r="Y35" i="48"/>
  <c r="Z35" i="48"/>
  <c r="A35" i="48"/>
  <c r="AJ35" i="48"/>
  <c r="AC35" i="48"/>
  <c r="C36" i="48"/>
  <c r="AO36" i="48" s="1"/>
  <c r="AG35" i="48"/>
  <c r="AB35" i="48"/>
  <c r="AN35" i="48"/>
  <c r="AA35" i="48"/>
  <c r="AF35" i="48"/>
  <c r="W35" i="48"/>
  <c r="V35" i="48"/>
  <c r="AI35" i="48"/>
  <c r="AL35" i="48"/>
  <c r="AD35" i="48"/>
  <c r="G327" i="86"/>
  <c r="A352" i="74" a="1"/>
  <c r="A352" i="74" s="1"/>
  <c r="L92" i="52"/>
  <c r="I92" i="52"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V44" i="47" l="1"/>
  <c r="AA44" i="47"/>
  <c r="W42" i="47"/>
  <c r="X42" i="47"/>
  <c r="Y42" i="47"/>
  <c r="DA12" i="35" s="1"/>
  <c r="AB42" i="47"/>
  <c r="AC42" i="47"/>
  <c r="AD42" i="47"/>
  <c r="DB12" i="35" s="1"/>
  <c r="H226" i="52"/>
  <c r="U82" i="74" s="1"/>
  <c r="C226" i="52"/>
  <c r="D226" i="52"/>
  <c r="D90" i="52"/>
  <c r="D227" i="52" a="1"/>
  <c r="M35" i="48"/>
  <c r="G35" i="48"/>
  <c r="D35" i="48"/>
  <c r="F35" i="48"/>
  <c r="J35" i="48"/>
  <c r="H35" i="48"/>
  <c r="L35" i="48"/>
  <c r="K35" i="48"/>
  <c r="I35" i="48"/>
  <c r="E35" i="48"/>
  <c r="CR10" i="35"/>
  <c r="CE10" i="35"/>
  <c r="CQ10" i="35"/>
  <c r="CD10" i="35"/>
  <c r="AJ36" i="48"/>
  <c r="AL36" i="48"/>
  <c r="AA36" i="48"/>
  <c r="Z36" i="48"/>
  <c r="W36" i="48"/>
  <c r="C37" i="48"/>
  <c r="AO37" i="48" s="1"/>
  <c r="AI36" i="48"/>
  <c r="AG36" i="48"/>
  <c r="AB36" i="48"/>
  <c r="AF36" i="48"/>
  <c r="AE36" i="48"/>
  <c r="Y36" i="48"/>
  <c r="AN36" i="48"/>
  <c r="AK36" i="48"/>
  <c r="AM36" i="48"/>
  <c r="V36" i="48"/>
  <c r="AD36" i="48"/>
  <c r="A36" i="48"/>
  <c r="AH36" i="48"/>
  <c r="AC36" i="48"/>
  <c r="X36" i="48"/>
  <c r="H327" i="86"/>
  <c r="K327" i="86"/>
  <c r="L93" i="52"/>
  <c r="I93" i="52"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V45" i="47" l="1"/>
  <c r="AA45" i="47"/>
  <c r="W43" i="47"/>
  <c r="Y43" i="47"/>
  <c r="DA13" i="35" s="1"/>
  <c r="X43" i="47"/>
  <c r="AB43" i="47"/>
  <c r="AD43" i="47"/>
  <c r="DB13" i="35" s="1"/>
  <c r="AC43" i="47"/>
  <c r="H227" i="52"/>
  <c r="U83" i="74" s="1"/>
  <c r="C227" i="52"/>
  <c r="D227" i="52"/>
  <c r="D91" i="52"/>
  <c r="D228" i="52" a="1"/>
  <c r="M36" i="48"/>
  <c r="D36" i="48"/>
  <c r="I36" i="48"/>
  <c r="E36" i="48"/>
  <c r="K36" i="48"/>
  <c r="J36" i="48"/>
  <c r="F36" i="48"/>
  <c r="H36" i="48"/>
  <c r="G36" i="48"/>
  <c r="L36" i="48"/>
  <c r="CR11" i="35"/>
  <c r="CE11" i="35"/>
  <c r="CQ11" i="35"/>
  <c r="CD11" i="35"/>
  <c r="AN37" i="48"/>
  <c r="V37" i="48"/>
  <c r="AB37" i="48"/>
  <c r="AA37" i="48"/>
  <c r="W37" i="48"/>
  <c r="AI37" i="48"/>
  <c r="Z37" i="48"/>
  <c r="AJ37" i="48"/>
  <c r="AG37" i="48"/>
  <c r="AD37" i="48"/>
  <c r="C38" i="48"/>
  <c r="AO38" i="48" s="1"/>
  <c r="AE37" i="48"/>
  <c r="AM37" i="48"/>
  <c r="AF37" i="48"/>
  <c r="Y37" i="48"/>
  <c r="AK37" i="48"/>
  <c r="A37" i="48"/>
  <c r="AH37" i="48"/>
  <c r="AC37" i="48"/>
  <c r="X37" i="48"/>
  <c r="AL37" i="48"/>
  <c r="I327" i="86"/>
  <c r="E328" i="86" s="1"/>
  <c r="L327" i="86"/>
  <c r="O327" i="86" s="1"/>
  <c r="L94" i="52"/>
  <c r="I94" i="52"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V46" i="47" l="1"/>
  <c r="AA46" i="47"/>
  <c r="AB44" i="47"/>
  <c r="AD44" i="47"/>
  <c r="DB14" i="35" s="1"/>
  <c r="AC44" i="47"/>
  <c r="W44" i="47"/>
  <c r="Y44" i="47"/>
  <c r="DA14" i="35" s="1"/>
  <c r="X44" i="47"/>
  <c r="H228" i="52"/>
  <c r="U84" i="74" s="1"/>
  <c r="C228" i="52"/>
  <c r="D228" i="52"/>
  <c r="D92" i="52"/>
  <c r="D229" i="52" a="1"/>
  <c r="M37" i="48"/>
  <c r="D37" i="48"/>
  <c r="E37" i="48"/>
  <c r="K37" i="48"/>
  <c r="F37" i="48"/>
  <c r="G37" i="48"/>
  <c r="H37" i="48"/>
  <c r="J37" i="48"/>
  <c r="L37" i="48"/>
  <c r="I37" i="48"/>
  <c r="CR12" i="35"/>
  <c r="CE12" i="35"/>
  <c r="CQ12" i="35"/>
  <c r="CD12" i="35"/>
  <c r="Z38" i="48"/>
  <c r="AK38" i="48"/>
  <c r="AG38" i="48"/>
  <c r="AB38" i="48"/>
  <c r="AM38" i="48"/>
  <c r="Y38" i="48"/>
  <c r="AL38" i="48"/>
  <c r="AN38" i="48"/>
  <c r="AH38" i="48"/>
  <c r="A38" i="48"/>
  <c r="AD38" i="48"/>
  <c r="AJ38" i="48"/>
  <c r="AC38" i="48"/>
  <c r="AE38" i="48"/>
  <c r="AF38" i="48"/>
  <c r="C39" i="48"/>
  <c r="AO39" i="48" s="1"/>
  <c r="AA38" i="48"/>
  <c r="V38" i="48"/>
  <c r="W38" i="48"/>
  <c r="X38" i="48"/>
  <c r="AI38" i="48"/>
  <c r="G328" i="86"/>
  <c r="L95" i="52"/>
  <c r="I95" i="52"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V47" i="47" l="1"/>
  <c r="AA47" i="47"/>
  <c r="AB45" i="47"/>
  <c r="AD45" i="47"/>
  <c r="DB15" i="35" s="1"/>
  <c r="AC45" i="47"/>
  <c r="W45" i="47"/>
  <c r="Y45" i="47"/>
  <c r="DA15" i="35" s="1"/>
  <c r="X45" i="47"/>
  <c r="H229" i="52"/>
  <c r="U85" i="74" s="1"/>
  <c r="D229" i="52"/>
  <c r="C229" i="52"/>
  <c r="D93" i="52"/>
  <c r="D230" i="52" a="1"/>
  <c r="M38" i="48"/>
  <c r="L38" i="48"/>
  <c r="K38" i="48"/>
  <c r="G38" i="48"/>
  <c r="F38" i="48"/>
  <c r="E38" i="48"/>
  <c r="H38" i="48"/>
  <c r="D38" i="48"/>
  <c r="J38" i="48"/>
  <c r="I38" i="48"/>
  <c r="CR13" i="35"/>
  <c r="CE13" i="35"/>
  <c r="CQ13" i="35"/>
  <c r="CD13" i="35"/>
  <c r="X39" i="48"/>
  <c r="Y39" i="48"/>
  <c r="A39" i="48"/>
  <c r="AC39" i="48"/>
  <c r="AN39" i="48"/>
  <c r="AA39" i="48"/>
  <c r="AF39" i="48"/>
  <c r="AK39" i="48"/>
  <c r="Z39" i="48"/>
  <c r="AB39" i="48"/>
  <c r="AD39" i="48"/>
  <c r="V39" i="48"/>
  <c r="AE39" i="48"/>
  <c r="AJ39" i="48"/>
  <c r="W39" i="48"/>
  <c r="C40" i="48"/>
  <c r="AO40" i="48" s="1"/>
  <c r="AG39" i="48"/>
  <c r="AH39" i="48"/>
  <c r="AM39" i="48"/>
  <c r="AL39" i="48"/>
  <c r="AI39" i="48"/>
  <c r="H328" i="86"/>
  <c r="K328" i="86"/>
  <c r="L96" i="52"/>
  <c r="I96" i="52"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V48" i="47" l="1"/>
  <c r="AA48" i="47"/>
  <c r="W46" i="47"/>
  <c r="Y46" i="47"/>
  <c r="DA16" i="35" s="1"/>
  <c r="X46" i="47"/>
  <c r="AB46" i="47"/>
  <c r="AD46" i="47"/>
  <c r="DB16" i="35" s="1"/>
  <c r="AC46" i="47"/>
  <c r="H230" i="52"/>
  <c r="U86" i="74" s="1"/>
  <c r="D230" i="52"/>
  <c r="C230" i="52"/>
  <c r="D94" i="52"/>
  <c r="D231" i="52" a="1"/>
  <c r="M39" i="48"/>
  <c r="L39" i="48"/>
  <c r="K39" i="48"/>
  <c r="I39" i="48"/>
  <c r="D39" i="48"/>
  <c r="H39" i="48"/>
  <c r="E39" i="48"/>
  <c r="G39" i="48"/>
  <c r="F39" i="48"/>
  <c r="J39" i="48"/>
  <c r="CR14" i="35"/>
  <c r="CE14" i="35"/>
  <c r="CQ14" i="35"/>
  <c r="CD14" i="35"/>
  <c r="AH40" i="48"/>
  <c r="V40" i="48"/>
  <c r="AJ40" i="48"/>
  <c r="C41" i="48"/>
  <c r="AO41" i="48" s="1"/>
  <c r="Z40" i="48"/>
  <c r="AE40" i="48"/>
  <c r="X40" i="48"/>
  <c r="Y40" i="48"/>
  <c r="A40" i="48"/>
  <c r="AC40" i="48"/>
  <c r="AF40" i="48"/>
  <c r="W40" i="48"/>
  <c r="AA40" i="48"/>
  <c r="AL40" i="48"/>
  <c r="AM40" i="48"/>
  <c r="AN40" i="48"/>
  <c r="AK40" i="48"/>
  <c r="AD40" i="48"/>
  <c r="AI40" i="48"/>
  <c r="AB40" i="48"/>
  <c r="AG40" i="48"/>
  <c r="L328" i="86"/>
  <c r="O328" i="86" s="1"/>
  <c r="I328" i="86"/>
  <c r="E329" i="86" s="1"/>
  <c r="L97" i="52"/>
  <c r="I97" i="52"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V49" i="47" l="1"/>
  <c r="AA49" i="47"/>
  <c r="W47" i="47"/>
  <c r="X47" i="47"/>
  <c r="Y47" i="47"/>
  <c r="DA17" i="35" s="1"/>
  <c r="AB47" i="47"/>
  <c r="AC47" i="47"/>
  <c r="AD47" i="47"/>
  <c r="DB17" i="35" s="1"/>
  <c r="H231" i="52"/>
  <c r="U87" i="74" s="1"/>
  <c r="D231" i="52"/>
  <c r="C231" i="52"/>
  <c r="D95" i="52"/>
  <c r="D232" i="52" a="1"/>
  <c r="M40" i="48"/>
  <c r="H40" i="48"/>
  <c r="L40" i="48"/>
  <c r="E40" i="48"/>
  <c r="F40" i="48"/>
  <c r="K40" i="48"/>
  <c r="D40" i="48"/>
  <c r="I40" i="48"/>
  <c r="J40" i="48"/>
  <c r="G40" i="48"/>
  <c r="CR15" i="35"/>
  <c r="CE15" i="35"/>
  <c r="CQ15" i="35"/>
  <c r="CD15" i="35"/>
  <c r="AM41" i="48"/>
  <c r="AK41" i="48"/>
  <c r="AD41" i="48"/>
  <c r="AF41" i="48"/>
  <c r="AG41" i="48"/>
  <c r="AE41" i="48"/>
  <c r="Y41" i="48"/>
  <c r="V41" i="48"/>
  <c r="A41" i="48"/>
  <c r="AH41" i="48"/>
  <c r="X41" i="48"/>
  <c r="AL41" i="48"/>
  <c r="AA41" i="48"/>
  <c r="Z41" i="48"/>
  <c r="W41" i="48"/>
  <c r="AI41" i="48"/>
  <c r="AB41" i="48"/>
  <c r="AJ41" i="48"/>
  <c r="AC41" i="48"/>
  <c r="C42" i="48"/>
  <c r="AO42" i="48" s="1"/>
  <c r="AN41" i="48"/>
  <c r="G329" i="86"/>
  <c r="L98" i="52"/>
  <c r="I98" i="52"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V50" i="47" l="1"/>
  <c r="AA50" i="47"/>
  <c r="W48" i="47"/>
  <c r="Y48" i="47"/>
  <c r="DA18" i="35" s="1"/>
  <c r="X48" i="47"/>
  <c r="AB48" i="47"/>
  <c r="AD48" i="47"/>
  <c r="DB18" i="35" s="1"/>
  <c r="AC48" i="47"/>
  <c r="H232" i="52"/>
  <c r="U88" i="74" s="1"/>
  <c r="D232" i="52"/>
  <c r="C232" i="52"/>
  <c r="D96" i="52"/>
  <c r="D233" i="52" a="1"/>
  <c r="M41" i="48"/>
  <c r="L41" i="48"/>
  <c r="D41" i="48"/>
  <c r="J41" i="48"/>
  <c r="E41" i="48"/>
  <c r="K41" i="48"/>
  <c r="G41" i="48"/>
  <c r="F41" i="48"/>
  <c r="I41" i="48"/>
  <c r="H41" i="48"/>
  <c r="CR16" i="35"/>
  <c r="CE16" i="35"/>
  <c r="CQ16" i="35"/>
  <c r="CD16" i="35"/>
  <c r="AK42" i="48"/>
  <c r="AH42" i="48"/>
  <c r="V42" i="48"/>
  <c r="Z42" i="48"/>
  <c r="AE42" i="48"/>
  <c r="Y42" i="48"/>
  <c r="AG42" i="48"/>
  <c r="AM42" i="48"/>
  <c r="X42" i="48"/>
  <c r="AL42" i="48"/>
  <c r="AC42" i="48"/>
  <c r="AB42" i="48"/>
  <c r="A42" i="48"/>
  <c r="AN42" i="48"/>
  <c r="AI42" i="48"/>
  <c r="AJ42" i="48"/>
  <c r="AD42" i="48"/>
  <c r="C43" i="48"/>
  <c r="AO43" i="48" s="1"/>
  <c r="AA42" i="48"/>
  <c r="AF42" i="48"/>
  <c r="W42" i="48"/>
  <c r="H329" i="86"/>
  <c r="K329" i="86"/>
  <c r="L99" i="52"/>
  <c r="I99" i="52"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V51" i="47" l="1"/>
  <c r="AA51" i="47"/>
  <c r="AB49" i="47"/>
  <c r="AD49" i="47"/>
  <c r="DB19" i="35" s="1"/>
  <c r="AC49" i="47"/>
  <c r="W49" i="47"/>
  <c r="X49" i="47"/>
  <c r="Y49" i="47"/>
  <c r="DA19" i="35" s="1"/>
  <c r="H233" i="52"/>
  <c r="U89" i="74" s="1"/>
  <c r="C233" i="52"/>
  <c r="D233" i="52"/>
  <c r="D97" i="52"/>
  <c r="D234" i="52" a="1"/>
  <c r="M42" i="48"/>
  <c r="H42" i="48"/>
  <c r="E42" i="48"/>
  <c r="I42" i="48"/>
  <c r="L42" i="48"/>
  <c r="K42" i="48"/>
  <c r="F42" i="48"/>
  <c r="D42" i="48"/>
  <c r="G42" i="48"/>
  <c r="J42" i="48"/>
  <c r="CR17" i="35"/>
  <c r="CE17" i="35"/>
  <c r="CQ17" i="35"/>
  <c r="CD17" i="35"/>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F15" i="35"/>
  <c r="L100" i="52"/>
  <c r="I100" i="52"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V52" i="47" l="1"/>
  <c r="AA52" i="47"/>
  <c r="AB50" i="47"/>
  <c r="AD50" i="47"/>
  <c r="DB20" i="35" s="1"/>
  <c r="AC50" i="47"/>
  <c r="W50" i="47"/>
  <c r="Y50" i="47"/>
  <c r="DA20" i="35" s="1"/>
  <c r="X50" i="47"/>
  <c r="H234" i="52"/>
  <c r="U90" i="74" s="1"/>
  <c r="D234" i="52"/>
  <c r="C234" i="52"/>
  <c r="D98" i="52"/>
  <c r="D235" i="52" a="1"/>
  <c r="M43" i="48"/>
  <c r="H43" i="48"/>
  <c r="E43" i="48"/>
  <c r="J43" i="48"/>
  <c r="D43" i="48"/>
  <c r="K43" i="48"/>
  <c r="F43" i="48"/>
  <c r="G43" i="48"/>
  <c r="L43" i="48"/>
  <c r="I43" i="48"/>
  <c r="CR18" i="35"/>
  <c r="CE18" i="35"/>
  <c r="CQ18" i="35"/>
  <c r="CD18" i="35"/>
  <c r="AB44" i="48"/>
  <c r="Y44" i="48"/>
  <c r="AN44" i="48"/>
  <c r="AD44" i="48"/>
  <c r="AF44" i="48"/>
  <c r="A44" i="48"/>
  <c r="AC44" i="48"/>
  <c r="AK44" i="48"/>
  <c r="V44" i="48"/>
  <c r="Z44" i="48"/>
  <c r="AA44" i="48"/>
  <c r="AJ44" i="48"/>
  <c r="W44" i="48"/>
  <c r="AH44" i="48"/>
  <c r="C45" i="48"/>
  <c r="AO45" i="48" s="1"/>
  <c r="AI44" i="48"/>
  <c r="X44" i="48"/>
  <c r="AG44" i="48"/>
  <c r="AL44" i="48"/>
  <c r="AE44" i="48"/>
  <c r="AM44" i="48"/>
  <c r="G330" i="86"/>
  <c r="L101" i="52"/>
  <c r="I101" i="52"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V53" i="47" l="1"/>
  <c r="AA53" i="47"/>
  <c r="AB51" i="47"/>
  <c r="AD51" i="47"/>
  <c r="DB21" i="35" s="1"/>
  <c r="AC51" i="47"/>
  <c r="W51" i="47"/>
  <c r="X51" i="47"/>
  <c r="H235" i="52"/>
  <c r="U91" i="74" s="1"/>
  <c r="C235" i="52"/>
  <c r="D235" i="52"/>
  <c r="D99" i="52"/>
  <c r="D236" i="52" a="1"/>
  <c r="M44" i="48"/>
  <c r="E44" i="48"/>
  <c r="F44" i="48"/>
  <c r="L44" i="48"/>
  <c r="D44" i="48"/>
  <c r="I44" i="48"/>
  <c r="H44" i="48"/>
  <c r="J44" i="48"/>
  <c r="K44" i="48"/>
  <c r="G44" i="48"/>
  <c r="CR19" i="35"/>
  <c r="CE19" i="35"/>
  <c r="CQ19" i="35"/>
  <c r="CD19" i="35"/>
  <c r="AL45" i="48"/>
  <c r="AB45" i="48"/>
  <c r="AI45" i="48"/>
  <c r="AJ45" i="48"/>
  <c r="Z45" i="48"/>
  <c r="C46" i="48"/>
  <c r="AO46" i="48" s="1"/>
  <c r="AA45" i="48"/>
  <c r="W45" i="48"/>
  <c r="AN45" i="48"/>
  <c r="AG45" i="48"/>
  <c r="AD45" i="48"/>
  <c r="AM45" i="48"/>
  <c r="AF45" i="48"/>
  <c r="AE45" i="48"/>
  <c r="AK45" i="48"/>
  <c r="V45" i="48"/>
  <c r="Y45" i="48"/>
  <c r="AH45" i="48"/>
  <c r="A45" i="48"/>
  <c r="X45" i="48"/>
  <c r="AC45" i="48"/>
  <c r="H330" i="86"/>
  <c r="K330" i="86"/>
  <c r="L102" i="52"/>
  <c r="I102" i="52"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C240" i="52" s="1"/>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Y51" i="47" l="1"/>
  <c r="DA21" i="35" s="1"/>
  <c r="V54" i="47"/>
  <c r="AA54" i="47"/>
  <c r="W52" i="47"/>
  <c r="X52" i="47"/>
  <c r="Y52" i="47"/>
  <c r="DA22" i="35" s="1"/>
  <c r="AB52" i="47"/>
  <c r="AC52" i="47"/>
  <c r="AD52" i="47"/>
  <c r="DB22" i="35" s="1"/>
  <c r="H236" i="52"/>
  <c r="U92" i="74" s="1"/>
  <c r="C236" i="52"/>
  <c r="D236" i="52"/>
  <c r="D100" i="52"/>
  <c r="D237" i="52" a="1"/>
  <c r="M45" i="48"/>
  <c r="J45" i="48"/>
  <c r="H45" i="48"/>
  <c r="L45" i="48"/>
  <c r="E45" i="48"/>
  <c r="D45" i="48"/>
  <c r="F45" i="48"/>
  <c r="K45" i="48"/>
  <c r="I45" i="48"/>
  <c r="G45" i="48"/>
  <c r="CQ20" i="35"/>
  <c r="CD20" i="35"/>
  <c r="AM46" i="48"/>
  <c r="AG46" i="48"/>
  <c r="AI46" i="48"/>
  <c r="AK46" i="48"/>
  <c r="X46" i="48"/>
  <c r="AE46" i="48"/>
  <c r="AD46" i="48"/>
  <c r="Y46" i="48"/>
  <c r="AF46" i="48"/>
  <c r="V46" i="48"/>
  <c r="AH46" i="48"/>
  <c r="W46" i="48"/>
  <c r="AC46" i="48"/>
  <c r="A46" i="48"/>
  <c r="AL46" i="48"/>
  <c r="Z46" i="48"/>
  <c r="AJ46" i="48"/>
  <c r="C47" i="48"/>
  <c r="AO47" i="48" s="1"/>
  <c r="AB46" i="48"/>
  <c r="AA46" i="48"/>
  <c r="AN46" i="48"/>
  <c r="I330" i="86"/>
  <c r="E331" i="86" s="1"/>
  <c r="L330" i="86"/>
  <c r="O330" i="86" s="1"/>
  <c r="L103" i="52"/>
  <c r="I103" i="52"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C241" i="52" s="1"/>
  <c r="F103" i="52"/>
  <c r="G103" i="52"/>
  <c r="E104" i="52"/>
  <c r="A21" i="35"/>
  <c r="Q51" i="47"/>
  <c r="O30" i="48" s="1"/>
  <c r="AR42" i="63"/>
  <c r="R23" i="35"/>
  <c r="BI22" i="35"/>
  <c r="F53" i="47"/>
  <c r="K54" i="47"/>
  <c r="C54" i="47"/>
  <c r="AA55" i="47" s="1"/>
  <c r="D54" i="47"/>
  <c r="M53" i="47"/>
  <c r="N52" i="47"/>
  <c r="G52" i="47"/>
  <c r="E53" i="47"/>
  <c r="BK20" i="35"/>
  <c r="Z21" i="35"/>
  <c r="AD21" i="35"/>
  <c r="N21" i="35"/>
  <c r="BH20" i="35"/>
  <c r="BG20" i="35"/>
  <c r="J21" i="35"/>
  <c r="E22" i="35"/>
  <c r="C22" i="35" s="1"/>
  <c r="V55" i="47" l="1"/>
  <c r="AB53" i="47"/>
  <c r="AD53" i="47"/>
  <c r="DB23" i="35" s="1"/>
  <c r="AC53" i="47"/>
  <c r="W53" i="47"/>
  <c r="Y53" i="47"/>
  <c r="DA23" i="35" s="1"/>
  <c r="X53" i="47"/>
  <c r="H237" i="52"/>
  <c r="U93" i="74" s="1"/>
  <c r="C237" i="52"/>
  <c r="D237" i="52"/>
  <c r="D101" i="52"/>
  <c r="D238" i="52" a="1"/>
  <c r="M46" i="48"/>
  <c r="K46" i="48"/>
  <c r="H46" i="48"/>
  <c r="J46" i="48"/>
  <c r="D46" i="48"/>
  <c r="G46" i="48"/>
  <c r="I46" i="48"/>
  <c r="F46" i="48"/>
  <c r="L46" i="48"/>
  <c r="E46" i="48"/>
  <c r="CR21" i="35"/>
  <c r="CE21" i="35"/>
  <c r="CQ21" i="35"/>
  <c r="CD21" i="35"/>
  <c r="C48" i="48"/>
  <c r="AO48" i="48" s="1"/>
  <c r="AA47" i="48"/>
  <c r="X47" i="48"/>
  <c r="AI47" i="48"/>
  <c r="AL47" i="48"/>
  <c r="AG47" i="48"/>
  <c r="AH47" i="48"/>
  <c r="W47" i="48"/>
  <c r="AB47" i="48"/>
  <c r="AK47" i="48"/>
  <c r="V47" i="48"/>
  <c r="A47" i="48"/>
  <c r="AE47" i="48"/>
  <c r="AD47" i="48"/>
  <c r="AM47" i="48"/>
  <c r="Y47" i="48"/>
  <c r="AF47" i="48"/>
  <c r="AN47" i="48"/>
  <c r="AC47" i="48"/>
  <c r="Z47" i="48"/>
  <c r="AJ47" i="48"/>
  <c r="G331" i="86"/>
  <c r="L104" i="52"/>
  <c r="I104" i="52"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C242" i="52" s="1"/>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V56" i="47" l="1"/>
  <c r="AA56" i="47"/>
  <c r="W54" i="47"/>
  <c r="X54" i="47"/>
  <c r="AB54" i="47"/>
  <c r="AD54" i="47"/>
  <c r="DB24" i="35" s="1"/>
  <c r="AC54" i="47"/>
  <c r="H238" i="52"/>
  <c r="U94" i="74" s="1"/>
  <c r="C238" i="52"/>
  <c r="D238" i="52"/>
  <c r="D102" i="52"/>
  <c r="D239" i="52" a="1"/>
  <c r="M47" i="48"/>
  <c r="K47" i="48"/>
  <c r="H47" i="48"/>
  <c r="I47" i="48"/>
  <c r="J47" i="48"/>
  <c r="G47" i="48"/>
  <c r="L47" i="48"/>
  <c r="E47" i="48"/>
  <c r="D47" i="48"/>
  <c r="F47" i="48"/>
  <c r="CR22" i="35"/>
  <c r="CE22" i="35"/>
  <c r="CQ22" i="35"/>
  <c r="CD22" i="35"/>
  <c r="AA48" i="48"/>
  <c r="AL48" i="48"/>
  <c r="AD48" i="48"/>
  <c r="AI48" i="48"/>
  <c r="AF48" i="48"/>
  <c r="AG48" i="48"/>
  <c r="Z48" i="48"/>
  <c r="AM48" i="48"/>
  <c r="W48" i="48"/>
  <c r="AJ48" i="48"/>
  <c r="AK48" i="48"/>
  <c r="AB48" i="48"/>
  <c r="AE48" i="48"/>
  <c r="AN48" i="48"/>
  <c r="AH48" i="48"/>
  <c r="Y48" i="48"/>
  <c r="V48" i="48"/>
  <c r="A48" i="48"/>
  <c r="X48" i="48"/>
  <c r="C49" i="48"/>
  <c r="AO49" i="48" s="1"/>
  <c r="AC48" i="48"/>
  <c r="H331" i="86"/>
  <c r="K331" i="86"/>
  <c r="L105" i="52"/>
  <c r="I105" i="52"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C243" i="52" s="1"/>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V57" i="47" l="1"/>
  <c r="AA57" i="47"/>
  <c r="Y54" i="47"/>
  <c r="DA24" i="35" s="1"/>
  <c r="W55" i="47"/>
  <c r="X55" i="47"/>
  <c r="AB55" i="47"/>
  <c r="AC55" i="47"/>
  <c r="AD55" i="47"/>
  <c r="DB25" i="35" s="1"/>
  <c r="H239" i="52"/>
  <c r="U95" i="74" s="1"/>
  <c r="D239" i="52"/>
  <c r="C239" i="52"/>
  <c r="D103" i="52"/>
  <c r="D240" i="52" a="1"/>
  <c r="M48" i="48"/>
  <c r="J48" i="48"/>
  <c r="E48" i="48"/>
  <c r="K48" i="48"/>
  <c r="D48" i="48"/>
  <c r="F48" i="48"/>
  <c r="I48" i="48"/>
  <c r="H48" i="48"/>
  <c r="G48" i="48"/>
  <c r="L48" i="48"/>
  <c r="CR23" i="35"/>
  <c r="CE23" i="35"/>
  <c r="CQ23" i="35"/>
  <c r="CD23" i="35"/>
  <c r="AM49" i="48"/>
  <c r="V49" i="48"/>
  <c r="AF49" i="48"/>
  <c r="Z49" i="48"/>
  <c r="AI49" i="48"/>
  <c r="AG49" i="48"/>
  <c r="AN49" i="48"/>
  <c r="AJ49" i="48"/>
  <c r="C50" i="48"/>
  <c r="AO50" i="48" s="1"/>
  <c r="Y49" i="48"/>
  <c r="AD49" i="48"/>
  <c r="A49" i="48"/>
  <c r="AB49" i="48"/>
  <c r="AC49" i="48"/>
  <c r="X49" i="48"/>
  <c r="AK49" i="48"/>
  <c r="AL49" i="48"/>
  <c r="AE49" i="48"/>
  <c r="AA49" i="48"/>
  <c r="AH49" i="48"/>
  <c r="W49" i="48"/>
  <c r="L331" i="86"/>
  <c r="O331" i="86" s="1"/>
  <c r="I331" i="86"/>
  <c r="E332" i="86" s="1"/>
  <c r="L106" i="52"/>
  <c r="I106" i="52"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C244" i="52" s="1"/>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V58" i="47" l="1"/>
  <c r="AA58" i="47"/>
  <c r="Y55" i="47"/>
  <c r="DA25" i="35" s="1"/>
  <c r="Y56" i="47"/>
  <c r="DA26" i="35" s="1"/>
  <c r="X56" i="47"/>
  <c r="W56" i="47"/>
  <c r="AD56" i="47"/>
  <c r="DB26" i="35" s="1"/>
  <c r="AC56" i="47"/>
  <c r="AB56" i="47"/>
  <c r="D240" i="52"/>
  <c r="H240" i="52"/>
  <c r="U96" i="74" s="1"/>
  <c r="D104" i="52"/>
  <c r="D241" i="52" a="1"/>
  <c r="M49" i="48"/>
  <c r="L49" i="48"/>
  <c r="D49" i="48"/>
  <c r="E49" i="48"/>
  <c r="K49" i="48"/>
  <c r="F49" i="48"/>
  <c r="G49" i="48"/>
  <c r="I49" i="48"/>
  <c r="H49" i="48"/>
  <c r="J49" i="48"/>
  <c r="CR24" i="35"/>
  <c r="CE24" i="35"/>
  <c r="CQ24" i="35"/>
  <c r="CD24" i="35"/>
  <c r="A50" i="48"/>
  <c r="Z50" i="48"/>
  <c r="AJ50" i="48"/>
  <c r="C51" i="48"/>
  <c r="AO51" i="48" s="1"/>
  <c r="AC50" i="48"/>
  <c r="AH50" i="48"/>
  <c r="X50" i="48"/>
  <c r="W50" i="48"/>
  <c r="AL50" i="48"/>
  <c r="AI50" i="48"/>
  <c r="AB50" i="48"/>
  <c r="AG50" i="48"/>
  <c r="AD50" i="48"/>
  <c r="AM50" i="48"/>
  <c r="V50" i="48"/>
  <c r="AE50" i="48"/>
  <c r="AK50" i="48"/>
  <c r="AF50" i="48"/>
  <c r="Y50" i="48"/>
  <c r="AN50" i="48"/>
  <c r="AA50" i="48"/>
  <c r="G332" i="86"/>
  <c r="L107" i="52"/>
  <c r="I107" i="52"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C245" i="52" s="1"/>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V59" i="47" l="1"/>
  <c r="AA59" i="47"/>
  <c r="AD57" i="47"/>
  <c r="DB27" i="35" s="1"/>
  <c r="AB57" i="47"/>
  <c r="AC57" i="47"/>
  <c r="W57" i="47"/>
  <c r="Y57" i="47"/>
  <c r="DA27" i="35" s="1"/>
  <c r="X57" i="47"/>
  <c r="D241" i="52"/>
  <c r="H241" i="52"/>
  <c r="U97" i="74" s="1"/>
  <c r="D105" i="52"/>
  <c r="D242" i="52" a="1"/>
  <c r="M50" i="48"/>
  <c r="L50" i="48"/>
  <c r="G50" i="48"/>
  <c r="F50" i="48"/>
  <c r="I50" i="48"/>
  <c r="E50" i="48"/>
  <c r="J50" i="48"/>
  <c r="D50" i="48"/>
  <c r="H50" i="48"/>
  <c r="K50" i="48"/>
  <c r="CR25" i="35"/>
  <c r="CE25" i="35"/>
  <c r="CQ25" i="35"/>
  <c r="CD25" i="35"/>
  <c r="AB51" i="48"/>
  <c r="AN51" i="48"/>
  <c r="AD51" i="48"/>
  <c r="C52" i="48"/>
  <c r="AO52" i="48" s="1"/>
  <c r="AK51" i="48"/>
  <c r="AM51" i="48"/>
  <c r="AE51" i="48"/>
  <c r="Y51" i="48"/>
  <c r="V51" i="48"/>
  <c r="A51" i="48"/>
  <c r="AC51" i="48"/>
  <c r="Z51" i="48"/>
  <c r="AF51" i="48"/>
  <c r="AJ51" i="48"/>
  <c r="AG51" i="48"/>
  <c r="AH51" i="48"/>
  <c r="AA51" i="48"/>
  <c r="X51" i="48"/>
  <c r="W51" i="48"/>
  <c r="AL51" i="48"/>
  <c r="AI51" i="48"/>
  <c r="H332" i="86"/>
  <c r="K332" i="86"/>
  <c r="L108" i="52"/>
  <c r="I108" i="52"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C246" i="52" s="1"/>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V60" i="47" l="1"/>
  <c r="AA60" i="47"/>
  <c r="AC58" i="47"/>
  <c r="AB58" i="47"/>
  <c r="AD58" i="47"/>
  <c r="DB28" i="35" s="1"/>
  <c r="X58" i="47"/>
  <c r="W58" i="47"/>
  <c r="Y58" i="47"/>
  <c r="DA28" i="35" s="1"/>
  <c r="D242" i="52"/>
  <c r="H242" i="52"/>
  <c r="U98" i="74" s="1"/>
  <c r="D106" i="52"/>
  <c r="D243" i="52" a="1"/>
  <c r="M51" i="48"/>
  <c r="J51" i="48"/>
  <c r="E51" i="48"/>
  <c r="D51" i="48"/>
  <c r="K51" i="48"/>
  <c r="I51" i="48"/>
  <c r="H51" i="48"/>
  <c r="F51" i="48"/>
  <c r="G51" i="48"/>
  <c r="L51" i="48"/>
  <c r="CR26" i="35"/>
  <c r="CE26" i="35"/>
  <c r="CQ26" i="35"/>
  <c r="CD26" i="35"/>
  <c r="AM52" i="48"/>
  <c r="AB52" i="48"/>
  <c r="V52" i="48"/>
  <c r="AG52" i="48"/>
  <c r="W52" i="48"/>
  <c r="AI52" i="48"/>
  <c r="AE52" i="48"/>
  <c r="Y52" i="48"/>
  <c r="AC52" i="48"/>
  <c r="AH52" i="48"/>
  <c r="X52" i="48"/>
  <c r="AL52" i="48"/>
  <c r="AN52" i="48"/>
  <c r="AD52" i="48"/>
  <c r="Z52" i="48"/>
  <c r="AJ52" i="48"/>
  <c r="C53" i="48"/>
  <c r="AO53" i="48" s="1"/>
  <c r="AA52" i="48"/>
  <c r="AK52" i="48"/>
  <c r="AF52" i="48"/>
  <c r="A52" i="48"/>
  <c r="L332" i="86"/>
  <c r="O332" i="86" s="1"/>
  <c r="I332" i="86"/>
  <c r="E333" i="86" s="1"/>
  <c r="L109" i="52"/>
  <c r="I109" i="52"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C247" i="52" s="1"/>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V61" i="47" l="1"/>
  <c r="AA61" i="47"/>
  <c r="AD59" i="47"/>
  <c r="DB29" i="35" s="1"/>
  <c r="AC59" i="47"/>
  <c r="AB59" i="47"/>
  <c r="Y59" i="47"/>
  <c r="DA29" i="35" s="1"/>
  <c r="W59" i="47"/>
  <c r="X59" i="47"/>
  <c r="D243" i="52"/>
  <c r="H243" i="52"/>
  <c r="U99" i="74" s="1"/>
  <c r="D107" i="52"/>
  <c r="D244" i="52" a="1"/>
  <c r="M52" i="48"/>
  <c r="I52" i="48"/>
  <c r="J52" i="48"/>
  <c r="K52" i="48"/>
  <c r="F52" i="48"/>
  <c r="H52" i="48"/>
  <c r="D52" i="48"/>
  <c r="L52" i="48"/>
  <c r="G52" i="48"/>
  <c r="E52" i="48"/>
  <c r="CR27" i="35"/>
  <c r="CE27" i="35"/>
  <c r="CQ27" i="35"/>
  <c r="CD27" i="35"/>
  <c r="AK53" i="48"/>
  <c r="AH53" i="48"/>
  <c r="AJ53" i="48"/>
  <c r="Y53" i="48"/>
  <c r="C54" i="48"/>
  <c r="AO54" i="48" s="1"/>
  <c r="Z53" i="48"/>
  <c r="AE53" i="48"/>
  <c r="AG53" i="48"/>
  <c r="AM53" i="48"/>
  <c r="A53" i="48"/>
  <c r="X53" i="48"/>
  <c r="AL53" i="48"/>
  <c r="AB53" i="48"/>
  <c r="AA53" i="48"/>
  <c r="AN53" i="48"/>
  <c r="W53" i="48"/>
  <c r="AD53" i="48"/>
  <c r="AI53" i="48"/>
  <c r="V53" i="48"/>
  <c r="AC53" i="48"/>
  <c r="AF53" i="48"/>
  <c r="G333" i="86"/>
  <c r="L110" i="52"/>
  <c r="I110" i="52" s="1"/>
  <c r="BX26" i="35"/>
  <c r="BY26" i="35"/>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C248" i="52" s="1"/>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V62" i="47" l="1"/>
  <c r="AA62" i="47"/>
  <c r="W60" i="47"/>
  <c r="X60" i="47"/>
  <c r="Y60" i="47"/>
  <c r="DA30" i="35" s="1"/>
  <c r="AB60" i="47"/>
  <c r="AC60" i="47"/>
  <c r="AD60" i="47"/>
  <c r="DB30" i="35" s="1"/>
  <c r="D244" i="52"/>
  <c r="H244" i="52"/>
  <c r="U100" i="74" s="1"/>
  <c r="D108" i="52"/>
  <c r="D245" i="52" a="1"/>
  <c r="M53" i="48"/>
  <c r="F53" i="48"/>
  <c r="K53" i="48"/>
  <c r="H53" i="48"/>
  <c r="G53" i="48"/>
  <c r="L53" i="48"/>
  <c r="J53" i="48"/>
  <c r="I53" i="48"/>
  <c r="E53" i="48"/>
  <c r="D53" i="48"/>
  <c r="CR28" i="35"/>
  <c r="CE28" i="35"/>
  <c r="CQ28" i="35"/>
  <c r="CD28" i="35"/>
  <c r="AC54" i="48"/>
  <c r="AA54" i="48"/>
  <c r="W54" i="48"/>
  <c r="AI54" i="48"/>
  <c r="AL54" i="48"/>
  <c r="AB54" i="48"/>
  <c r="AN54" i="48"/>
  <c r="V54" i="48"/>
  <c r="AG54" i="48"/>
  <c r="AF54" i="48"/>
  <c r="Z54" i="48"/>
  <c r="AJ54" i="48"/>
  <c r="AM54" i="48"/>
  <c r="X54" i="48"/>
  <c r="A54" i="48"/>
  <c r="AD54" i="48"/>
  <c r="C55" i="48"/>
  <c r="AO55" i="48" s="1"/>
  <c r="AE54" i="48"/>
  <c r="AK54" i="48"/>
  <c r="AH54" i="48"/>
  <c r="Y54" i="48"/>
  <c r="H333" i="86"/>
  <c r="K333" i="86"/>
  <c r="L111" i="52"/>
  <c r="I111" i="52" s="1"/>
  <c r="F26" i="35"/>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C249" i="52" s="1"/>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V63" i="47" l="1"/>
  <c r="AA63" i="47"/>
  <c r="AD61" i="47"/>
  <c r="DB31" i="35" s="1"/>
  <c r="AC61" i="47"/>
  <c r="AB61" i="47"/>
  <c r="X61" i="47"/>
  <c r="Y61" i="47"/>
  <c r="DA31" i="35" s="1"/>
  <c r="W61" i="47"/>
  <c r="D245" i="52"/>
  <c r="H245" i="52"/>
  <c r="U101" i="74" s="1"/>
  <c r="D109" i="52"/>
  <c r="D246" i="52" a="1"/>
  <c r="L54" i="48"/>
  <c r="M54" i="48"/>
  <c r="G54" i="48"/>
  <c r="D54" i="48"/>
  <c r="J54" i="48"/>
  <c r="I54" i="48"/>
  <c r="H54" i="48"/>
  <c r="E54" i="48"/>
  <c r="K54" i="48"/>
  <c r="F54" i="48"/>
  <c r="CR29" i="35"/>
  <c r="CE29" i="35"/>
  <c r="CQ29" i="35"/>
  <c r="CD29" i="35"/>
  <c r="C56" i="48"/>
  <c r="AO56" i="48" s="1"/>
  <c r="AE55" i="48"/>
  <c r="AG55" i="48"/>
  <c r="AM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C250" i="52" s="1"/>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V64" i="47" l="1"/>
  <c r="AA64" i="47"/>
  <c r="W62" i="47"/>
  <c r="X62" i="47"/>
  <c r="Y62" i="47"/>
  <c r="DA32" i="35" s="1"/>
  <c r="AB62" i="47"/>
  <c r="AC62" i="47"/>
  <c r="D246" i="52"/>
  <c r="H246" i="52"/>
  <c r="U102" i="74" s="1"/>
  <c r="D110" i="52"/>
  <c r="D247" i="52" a="1"/>
  <c r="M55" i="48"/>
  <c r="K55" i="48"/>
  <c r="H55" i="48"/>
  <c r="I55" i="48"/>
  <c r="D55" i="48"/>
  <c r="G55" i="48"/>
  <c r="L55" i="48"/>
  <c r="F55" i="48"/>
  <c r="E55" i="48"/>
  <c r="J55" i="48"/>
  <c r="CR30" i="35"/>
  <c r="CE30" i="35"/>
  <c r="CQ30" i="35"/>
  <c r="CD30" i="35"/>
  <c r="AE56" i="48"/>
  <c r="AK56" i="48"/>
  <c r="AB56" i="48"/>
  <c r="AL56" i="48"/>
  <c r="V56" i="48"/>
  <c r="AC56" i="48"/>
  <c r="Y56" i="48"/>
  <c r="AF56" i="48"/>
  <c r="C75" i="65"/>
  <c r="A75" i="65" s="1"/>
  <c r="Z56" i="48"/>
  <c r="C57" i="48"/>
  <c r="AO57" i="48" s="1"/>
  <c r="X56" i="48"/>
  <c r="AI56" i="48"/>
  <c r="AD56" i="48"/>
  <c r="AA56" i="48"/>
  <c r="AH56" i="48"/>
  <c r="W56" i="48"/>
  <c r="AN56" i="48"/>
  <c r="AG56" i="48"/>
  <c r="AJ56" i="48"/>
  <c r="A56" i="48"/>
  <c r="AM56" i="48"/>
  <c r="G334" i="86"/>
  <c r="L113" i="52"/>
  <c r="I113" i="52"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C251" i="52" s="1"/>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V65" i="47" l="1"/>
  <c r="AA65" i="47"/>
  <c r="AD62" i="47"/>
  <c r="DB32" i="35" s="1"/>
  <c r="AC63" i="47"/>
  <c r="AB63" i="47"/>
  <c r="X63" i="47"/>
  <c r="Y63" i="47"/>
  <c r="DA33" i="35" s="1"/>
  <c r="W63" i="47"/>
  <c r="H247" i="52"/>
  <c r="U103" i="74" s="1"/>
  <c r="D247" i="52"/>
  <c r="D111" i="52"/>
  <c r="D248" i="52" a="1"/>
  <c r="M56" i="48"/>
  <c r="J56" i="48"/>
  <c r="F56" i="48"/>
  <c r="E56" i="48"/>
  <c r="K56" i="48"/>
  <c r="I56" i="48"/>
  <c r="D56" i="48"/>
  <c r="H56" i="48"/>
  <c r="L56" i="48"/>
  <c r="G56" i="48"/>
  <c r="CR31" i="35"/>
  <c r="CE31" i="35"/>
  <c r="CQ31" i="35"/>
  <c r="CD31" i="35"/>
  <c r="A57" i="48"/>
  <c r="AH57" i="48"/>
  <c r="Z57" i="48"/>
  <c r="AJ57" i="48"/>
  <c r="C58" i="48"/>
  <c r="AO58" i="48" s="1"/>
  <c r="AA57" i="48"/>
  <c r="AI57" i="48"/>
  <c r="AN57" i="48"/>
  <c r="AD57" i="48"/>
  <c r="W57" i="48"/>
  <c r="X57" i="48"/>
  <c r="C76" i="65"/>
  <c r="A76" i="65" s="1"/>
  <c r="AG57" i="48"/>
  <c r="AB57" i="48"/>
  <c r="AL57" i="48"/>
  <c r="Y57" i="48"/>
  <c r="AM57" i="48"/>
  <c r="V57" i="48"/>
  <c r="AC57" i="48"/>
  <c r="AK57" i="48"/>
  <c r="AF57" i="48"/>
  <c r="AE57" i="48"/>
  <c r="H334" i="86"/>
  <c r="K334" i="86"/>
  <c r="L114" i="52"/>
  <c r="I114" i="52"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AD63" i="47" l="1"/>
  <c r="DB33" i="35" s="1"/>
  <c r="V66" i="47"/>
  <c r="AA66" i="47"/>
  <c r="AD64" i="47"/>
  <c r="DB34" i="35" s="1"/>
  <c r="AC64" i="47"/>
  <c r="AB64" i="47"/>
  <c r="Y64" i="47"/>
  <c r="DA34" i="35" s="1"/>
  <c r="X64" i="47"/>
  <c r="W64" i="47"/>
  <c r="D248" i="52"/>
  <c r="H248" i="52"/>
  <c r="U104" i="74" s="1"/>
  <c r="D112" i="52"/>
  <c r="D249" i="52" a="1"/>
  <c r="M57" i="48"/>
  <c r="K57" i="48"/>
  <c r="D57" i="48"/>
  <c r="H57" i="48"/>
  <c r="G57" i="48"/>
  <c r="F57" i="48"/>
  <c r="J57" i="48"/>
  <c r="I57" i="48"/>
  <c r="E57" i="48"/>
  <c r="L57" i="48"/>
  <c r="CR32" i="35"/>
  <c r="CE32" i="35"/>
  <c r="CQ32" i="35"/>
  <c r="CD32" i="35"/>
  <c r="W58" i="48"/>
  <c r="AI58" i="48"/>
  <c r="Z58" i="48"/>
  <c r="AJ58" i="48"/>
  <c r="AG58" i="48"/>
  <c r="AM58" i="48"/>
  <c r="Y58" i="48"/>
  <c r="AC58" i="48"/>
  <c r="AF58" i="48"/>
  <c r="X58" i="48"/>
  <c r="AH58" i="48"/>
  <c r="AA58" i="48"/>
  <c r="AD58" i="48"/>
  <c r="AE58" i="48"/>
  <c r="AL58" i="48"/>
  <c r="A58" i="48"/>
  <c r="AN58" i="48"/>
  <c r="C59" i="48"/>
  <c r="AO59" i="48" s="1"/>
  <c r="AK58" i="48"/>
  <c r="AB58" i="48"/>
  <c r="C77" i="65"/>
  <c r="A77" i="65" s="1"/>
  <c r="V58" i="48"/>
  <c r="L334" i="86"/>
  <c r="O334" i="86" s="1"/>
  <c r="I334" i="86"/>
  <c r="E335" i="86" s="1"/>
  <c r="L115" i="52"/>
  <c r="I115" i="52"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V67" i="47" l="1"/>
  <c r="AA67" i="47"/>
  <c r="W65" i="47"/>
  <c r="X65" i="47"/>
  <c r="Y65" i="47"/>
  <c r="DA35" i="35" s="1"/>
  <c r="AB65" i="47"/>
  <c r="AC65" i="47"/>
  <c r="AD65" i="47"/>
  <c r="DB35" i="35" s="1"/>
  <c r="D249" i="52"/>
  <c r="H249" i="52"/>
  <c r="U105" i="74" s="1"/>
  <c r="D113" i="52"/>
  <c r="D250" i="52" a="1"/>
  <c r="M58" i="48"/>
  <c r="D58" i="48"/>
  <c r="F58" i="48"/>
  <c r="I58" i="48"/>
  <c r="G58" i="48"/>
  <c r="E58" i="48"/>
  <c r="L58" i="48"/>
  <c r="K58" i="48"/>
  <c r="H58" i="48"/>
  <c r="J58" i="48"/>
  <c r="CR33" i="35"/>
  <c r="CE33" i="35"/>
  <c r="CQ33" i="35"/>
  <c r="CD33" i="35"/>
  <c r="AD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V68" i="47" l="1"/>
  <c r="AA68" i="47"/>
  <c r="Y66" i="47"/>
  <c r="DA36" i="35" s="1"/>
  <c r="X66" i="47"/>
  <c r="W66" i="47"/>
  <c r="AD66" i="47"/>
  <c r="DB36" i="35" s="1"/>
  <c r="AB66" i="47"/>
  <c r="AC66" i="47"/>
  <c r="D250" i="52"/>
  <c r="H250" i="52"/>
  <c r="U106" i="74" s="1"/>
  <c r="D114" i="52"/>
  <c r="D251" i="52" a="1"/>
  <c r="M59" i="48"/>
  <c r="F59" i="48"/>
  <c r="D59" i="48"/>
  <c r="J59" i="48"/>
  <c r="G59" i="48"/>
  <c r="H59" i="48"/>
  <c r="K59" i="48"/>
  <c r="L59" i="48"/>
  <c r="I59" i="48"/>
  <c r="E59" i="48"/>
  <c r="CR34" i="35"/>
  <c r="CE34" i="35"/>
  <c r="CQ34" i="35"/>
  <c r="CD34" i="35"/>
  <c r="AE60" i="48"/>
  <c r="AC60" i="48"/>
  <c r="AK60" i="48"/>
  <c r="AF60" i="48"/>
  <c r="X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V69" i="47" l="1"/>
  <c r="AA69" i="47"/>
  <c r="W67" i="47"/>
  <c r="X67" i="47"/>
  <c r="Y67" i="47"/>
  <c r="DA37" i="35" s="1"/>
  <c r="AD67" i="47"/>
  <c r="DB37" i="35" s="1"/>
  <c r="AC67" i="47"/>
  <c r="AB67" i="47"/>
  <c r="D251" i="52"/>
  <c r="H251" i="52"/>
  <c r="U107" i="74" s="1"/>
  <c r="D115" i="52"/>
  <c r="D252" i="52" a="1"/>
  <c r="M60" i="48"/>
  <c r="G60" i="48"/>
  <c r="D60" i="48"/>
  <c r="J60" i="48"/>
  <c r="K60" i="48"/>
  <c r="L60" i="48"/>
  <c r="F60" i="48"/>
  <c r="E60" i="48"/>
  <c r="H60" i="48"/>
  <c r="I60" i="48"/>
  <c r="CR35" i="35"/>
  <c r="CE35" i="35"/>
  <c r="CQ35" i="35"/>
  <c r="CD35" i="35"/>
  <c r="Z61" i="48"/>
  <c r="AJ61" i="48"/>
  <c r="AK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V70" i="47" l="1"/>
  <c r="AA70" i="47"/>
  <c r="AC68" i="47"/>
  <c r="AB68" i="47"/>
  <c r="AD68" i="47"/>
  <c r="DB38" i="35" s="1"/>
  <c r="W68" i="47"/>
  <c r="X68" i="47"/>
  <c r="Y68" i="47"/>
  <c r="DA38" i="35" s="1"/>
  <c r="D252" i="52"/>
  <c r="H252" i="52"/>
  <c r="U108" i="74" s="1"/>
  <c r="D116" i="52"/>
  <c r="D253" i="52" a="1"/>
  <c r="M61" i="48"/>
  <c r="I61" i="48"/>
  <c r="D61" i="48"/>
  <c r="F61" i="48"/>
  <c r="H61" i="48"/>
  <c r="E61" i="48"/>
  <c r="L61" i="48"/>
  <c r="G61" i="48"/>
  <c r="K61" i="48"/>
  <c r="J61" i="48"/>
  <c r="CR36" i="35"/>
  <c r="CE36" i="35"/>
  <c r="CQ36" i="35"/>
  <c r="CD36" i="35"/>
  <c r="AG62" i="48"/>
  <c r="AM62" i="48"/>
  <c r="AF62" i="48"/>
  <c r="X62" i="48"/>
  <c r="AJ62" i="48"/>
  <c r="AK62" i="48"/>
  <c r="V62" i="48"/>
  <c r="AI62" i="48"/>
  <c r="Y62" i="48"/>
  <c r="C63" i="48"/>
  <c r="AO63" i="48" s="1"/>
  <c r="AC62" i="48"/>
  <c r="AE62" i="48"/>
  <c r="AB62" i="48"/>
  <c r="AL62" i="48"/>
  <c r="AD62" i="48"/>
  <c r="AA62" i="48"/>
  <c r="AN62" i="48"/>
  <c r="W62" i="48"/>
  <c r="AH62" i="48"/>
  <c r="C81" i="65"/>
  <c r="A81" i="65" s="1"/>
  <c r="Z62" i="48"/>
  <c r="A62" i="48"/>
  <c r="G336" i="86"/>
  <c r="L119" i="52"/>
  <c r="I119" i="52"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V71" i="47" l="1"/>
  <c r="AA71" i="47"/>
  <c r="AD69" i="47"/>
  <c r="DB39" i="35" s="1"/>
  <c r="AC69" i="47"/>
  <c r="AB69" i="47"/>
  <c r="Y69" i="47"/>
  <c r="DA39" i="35" s="1"/>
  <c r="W69" i="47"/>
  <c r="X69" i="47"/>
  <c r="D253" i="52"/>
  <c r="H253" i="52"/>
  <c r="U109" i="74" s="1"/>
  <c r="D117" i="52"/>
  <c r="D254" i="52" a="1"/>
  <c r="M62" i="48"/>
  <c r="L62" i="48"/>
  <c r="H62" i="48"/>
  <c r="I62" i="48"/>
  <c r="J62" i="48"/>
  <c r="D62" i="48"/>
  <c r="K62" i="48"/>
  <c r="E62" i="48"/>
  <c r="G62" i="48"/>
  <c r="F62" i="48"/>
  <c r="CR37" i="35"/>
  <c r="CE37" i="35"/>
  <c r="CQ37" i="35"/>
  <c r="CD37" i="35"/>
  <c r="AK63" i="48"/>
  <c r="AM63" i="48"/>
  <c r="AD63" i="48"/>
  <c r="Y63" i="48"/>
  <c r="X63" i="48"/>
  <c r="AC63" i="48"/>
  <c r="AH63" i="48"/>
  <c r="AE63" i="48"/>
  <c r="Z63" i="48"/>
  <c r="AJ63" i="48"/>
  <c r="C64" i="48"/>
  <c r="AO64" i="48" s="1"/>
  <c r="C82" i="65"/>
  <c r="A82" i="65" s="1"/>
  <c r="A63" i="48"/>
  <c r="AB63" i="48"/>
  <c r="AI63" i="48"/>
  <c r="AL63" i="48"/>
  <c r="AG63" i="48"/>
  <c r="AN63" i="48"/>
  <c r="V63" i="48"/>
  <c r="AA63" i="48"/>
  <c r="AF63" i="48"/>
  <c r="W63" i="48"/>
  <c r="H336" i="86"/>
  <c r="K336" i="86"/>
  <c r="L120" i="52"/>
  <c r="I120" i="52"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V72" i="47" l="1"/>
  <c r="AA72" i="47"/>
  <c r="AB70" i="47"/>
  <c r="AD70" i="47"/>
  <c r="DB40" i="35" s="1"/>
  <c r="AC70" i="47"/>
  <c r="W70" i="47"/>
  <c r="X70" i="47"/>
  <c r="Y70" i="47"/>
  <c r="DA40" i="35" s="1"/>
  <c r="D254" i="52"/>
  <c r="H254" i="52"/>
  <c r="U110" i="74" s="1"/>
  <c r="D118" i="52"/>
  <c r="D255" i="52" a="1"/>
  <c r="M63" i="48"/>
  <c r="L63" i="48"/>
  <c r="D63" i="48"/>
  <c r="J63" i="48"/>
  <c r="E63" i="48"/>
  <c r="K63" i="48"/>
  <c r="H63" i="48"/>
  <c r="I63" i="48"/>
  <c r="F63" i="48"/>
  <c r="G63" i="48"/>
  <c r="CR38" i="35"/>
  <c r="CE38" i="35"/>
  <c r="CQ38" i="35"/>
  <c r="CD38" i="35"/>
  <c r="AJ64" i="48"/>
  <c r="AB64" i="48"/>
  <c r="AD64" i="48"/>
  <c r="Y64" i="48"/>
  <c r="AG64" i="48"/>
  <c r="V64" i="48"/>
  <c r="AC64" i="48"/>
  <c r="AM64" i="48"/>
  <c r="AF64" i="48"/>
  <c r="AE64" i="48"/>
  <c r="AK64" i="48"/>
  <c r="X64" i="48"/>
  <c r="C83" i="65"/>
  <c r="A83" i="65" s="1"/>
  <c r="AH64" i="48"/>
  <c r="A64" i="48"/>
  <c r="Z64" i="48"/>
  <c r="W64" i="48"/>
  <c r="AL64" i="48"/>
  <c r="C65" i="48"/>
  <c r="AO65" i="48" s="1"/>
  <c r="AI64" i="48"/>
  <c r="AN64" i="48"/>
  <c r="AA64" i="48"/>
  <c r="L336" i="86"/>
  <c r="O336" i="86" s="1"/>
  <c r="I336" i="86"/>
  <c r="E337" i="86" s="1"/>
  <c r="L121" i="52"/>
  <c r="I121" i="52"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V73" i="47" l="1"/>
  <c r="AA73" i="47"/>
  <c r="X71" i="47"/>
  <c r="W71" i="47"/>
  <c r="AD71" i="47"/>
  <c r="DB41" i="35" s="1"/>
  <c r="AB71" i="47"/>
  <c r="AC71" i="47"/>
  <c r="D255" i="52"/>
  <c r="H255" i="52"/>
  <c r="U111" i="74" s="1"/>
  <c r="D119" i="52"/>
  <c r="D256" i="52" a="1"/>
  <c r="M64" i="48"/>
  <c r="L64" i="48"/>
  <c r="I64" i="48"/>
  <c r="E64" i="48"/>
  <c r="G64" i="48"/>
  <c r="K64" i="48"/>
  <c r="F64" i="48"/>
  <c r="D64" i="48"/>
  <c r="J64" i="48"/>
  <c r="H64" i="48"/>
  <c r="CR39" i="35"/>
  <c r="CE39" i="35"/>
  <c r="CQ39" i="35"/>
  <c r="CD39" i="35"/>
  <c r="T35" i="65"/>
  <c r="J35" i="65" s="1"/>
  <c r="C66" i="48"/>
  <c r="AO66" i="48" s="1"/>
  <c r="AJ65" i="48"/>
  <c r="AB65" i="48"/>
  <c r="AA65" i="48"/>
  <c r="AL65" i="48"/>
  <c r="W65" i="48"/>
  <c r="AD65" i="48"/>
  <c r="AI65" i="48"/>
  <c r="AN65" i="48"/>
  <c r="Y65" i="48"/>
  <c r="AG65" i="48"/>
  <c r="V65" i="48"/>
  <c r="AC65" i="48"/>
  <c r="AM65" i="48"/>
  <c r="AF65" i="48"/>
  <c r="AE65" i="48"/>
  <c r="AK65" i="48"/>
  <c r="X65" i="48"/>
  <c r="C84" i="65"/>
  <c r="A84" i="65" s="1"/>
  <c r="AH65" i="48"/>
  <c r="A65" i="48"/>
  <c r="Z65" i="48"/>
  <c r="G337" i="86"/>
  <c r="L122" i="52"/>
  <c r="I122" i="52"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Y71" i="47" l="1"/>
  <c r="DA41" i="35" s="1"/>
  <c r="V74" i="47"/>
  <c r="AA74" i="47"/>
  <c r="W72" i="47"/>
  <c r="Y72" i="47"/>
  <c r="DA42" i="35" s="1"/>
  <c r="X72" i="47"/>
  <c r="AD72" i="47"/>
  <c r="DB42" i="35" s="1"/>
  <c r="AC72" i="47"/>
  <c r="AB72" i="47"/>
  <c r="D256" i="52"/>
  <c r="H256" i="52"/>
  <c r="U112" i="74" s="1"/>
  <c r="D120" i="52"/>
  <c r="D257" i="52" a="1"/>
  <c r="M65" i="48"/>
  <c r="L65" i="48"/>
  <c r="H65" i="48"/>
  <c r="I65" i="48"/>
  <c r="E65" i="48"/>
  <c r="D65" i="48"/>
  <c r="K65" i="48"/>
  <c r="J65" i="48"/>
  <c r="G65" i="48"/>
  <c r="F65" i="48"/>
  <c r="CR40" i="35"/>
  <c r="CE40" i="35"/>
  <c r="CQ40" i="35"/>
  <c r="CD40" i="35"/>
  <c r="AK66" i="48"/>
  <c r="V66" i="48"/>
  <c r="Y66" i="48"/>
  <c r="AC66" i="48"/>
  <c r="AE66" i="48"/>
  <c r="AL66" i="48"/>
  <c r="AG66" i="48"/>
  <c r="AN66" i="48"/>
  <c r="AM66" i="48"/>
  <c r="AF66" i="48"/>
  <c r="C85" i="65"/>
  <c r="A85" i="65" s="1"/>
  <c r="A66" i="48"/>
  <c r="AH66" i="48"/>
  <c r="X66" i="48"/>
  <c r="Z66" i="48"/>
  <c r="AI66" i="48"/>
  <c r="AJ66" i="48"/>
  <c r="C67" i="48"/>
  <c r="AO67" i="48" s="1"/>
  <c r="AA66" i="48"/>
  <c r="AB66" i="48"/>
  <c r="W66" i="48"/>
  <c r="AD66" i="48"/>
  <c r="H337" i="86"/>
  <c r="K337" i="86"/>
  <c r="L123" i="52"/>
  <c r="I123" i="52"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D74" i="47"/>
  <c r="M73" i="47"/>
  <c r="N72" i="47"/>
  <c r="E73" i="47"/>
  <c r="G72" i="47"/>
  <c r="BK40" i="35"/>
  <c r="Z41" i="35"/>
  <c r="AD41" i="35"/>
  <c r="BL40" i="35"/>
  <c r="N41" i="35"/>
  <c r="BH40" i="35"/>
  <c r="J41" i="35"/>
  <c r="BG40" i="35"/>
  <c r="E42" i="35"/>
  <c r="C42" i="35" s="1"/>
  <c r="V75" i="47" l="1"/>
  <c r="AA75" i="47"/>
  <c r="AC73" i="47"/>
  <c r="AB73" i="47"/>
  <c r="AD73" i="47"/>
  <c r="DB43" i="35" s="1"/>
  <c r="X73" i="47"/>
  <c r="W73" i="47"/>
  <c r="Y73" i="47"/>
  <c r="DA43" i="35" s="1"/>
  <c r="D257" i="52"/>
  <c r="H257" i="52"/>
  <c r="U113" i="74" s="1"/>
  <c r="D121" i="52"/>
  <c r="D258" i="52" a="1"/>
  <c r="M66" i="48"/>
  <c r="E66" i="48"/>
  <c r="I66" i="48"/>
  <c r="G66" i="48"/>
  <c r="K66" i="48"/>
  <c r="L66" i="48"/>
  <c r="F66" i="48"/>
  <c r="J66" i="48"/>
  <c r="H66" i="48"/>
  <c r="D66" i="48"/>
  <c r="CR41" i="35"/>
  <c r="CE41" i="35"/>
  <c r="CQ41" i="35"/>
  <c r="CD41" i="35"/>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L124" i="52"/>
  <c r="I124" i="52"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V76" i="47" l="1"/>
  <c r="AA76" i="47"/>
  <c r="Y74" i="47"/>
  <c r="DA44" i="35" s="1"/>
  <c r="W74" i="47"/>
  <c r="X74" i="47"/>
  <c r="AD74" i="47"/>
  <c r="DB44" i="35" s="1"/>
  <c r="AC74" i="47"/>
  <c r="AB74" i="47"/>
  <c r="D258" i="52"/>
  <c r="H258" i="52"/>
  <c r="U114" i="74" s="1"/>
  <c r="D122" i="52"/>
  <c r="D259" i="52" a="1"/>
  <c r="M67" i="48"/>
  <c r="I67" i="48"/>
  <c r="H67" i="48"/>
  <c r="F67" i="48"/>
  <c r="D67" i="48"/>
  <c r="J67" i="48"/>
  <c r="K67" i="48"/>
  <c r="L67" i="48"/>
  <c r="E67" i="48"/>
  <c r="G67" i="48"/>
  <c r="CR42" i="35"/>
  <c r="CE42" i="35"/>
  <c r="CQ42" i="35"/>
  <c r="CD42" i="35"/>
  <c r="AA68" i="48"/>
  <c r="AD68" i="48"/>
  <c r="W68" i="48"/>
  <c r="AL68" i="48"/>
  <c r="AN68" i="48"/>
  <c r="AI68" i="48"/>
  <c r="V68" i="48"/>
  <c r="AG68" i="48"/>
  <c r="AB68" i="48"/>
  <c r="AH68" i="48"/>
  <c r="AM68" i="48"/>
  <c r="Z68" i="48"/>
  <c r="Y68" i="48"/>
  <c r="AJ68" i="48"/>
  <c r="AC68" i="48"/>
  <c r="A68" i="48"/>
  <c r="C69" i="48"/>
  <c r="AO69" i="48" s="1"/>
  <c r="AF68" i="48"/>
  <c r="AE68" i="48"/>
  <c r="AK68" i="48"/>
  <c r="X68" i="48"/>
  <c r="C87" i="65"/>
  <c r="A87" i="65" s="1"/>
  <c r="G338" i="86"/>
  <c r="L125" i="52"/>
  <c r="I125" i="52"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D76" i="47"/>
  <c r="M75" i="47"/>
  <c r="N74" i="47"/>
  <c r="G74" i="47"/>
  <c r="E75" i="47"/>
  <c r="Z43" i="35"/>
  <c r="BK42" i="35"/>
  <c r="AD43" i="35"/>
  <c r="BL42" i="35"/>
  <c r="BH42" i="35"/>
  <c r="N43" i="35"/>
  <c r="BG42" i="35"/>
  <c r="J43" i="35"/>
  <c r="E44" i="35"/>
  <c r="C44" i="35" s="1"/>
  <c r="AP10" i="74" l="1"/>
  <c r="V77" i="47"/>
  <c r="AA77" i="47"/>
  <c r="AB75" i="47"/>
  <c r="AC75" i="47"/>
  <c r="AD75" i="47"/>
  <c r="DB45" i="35" s="1"/>
  <c r="W75" i="47"/>
  <c r="X75" i="47"/>
  <c r="Y75" i="47"/>
  <c r="DA45" i="35" s="1"/>
  <c r="AG10" i="74"/>
  <c r="D259" i="52"/>
  <c r="H259" i="52"/>
  <c r="U115" i="74" s="1"/>
  <c r="D123" i="52"/>
  <c r="D260" i="52" a="1"/>
  <c r="AN10" i="74"/>
  <c r="AO10" i="74"/>
  <c r="AL10" i="74"/>
  <c r="AM10" i="74"/>
  <c r="AJ10" i="74"/>
  <c r="AK10" i="74"/>
  <c r="AH10" i="74"/>
  <c r="AI10" i="74"/>
  <c r="AP9" i="74"/>
  <c r="AO9" i="74"/>
  <c r="AN9" i="74"/>
  <c r="AM9" i="74"/>
  <c r="AK9" i="74"/>
  <c r="AL9" i="74"/>
  <c r="AI9" i="74"/>
  <c r="AJ9" i="74"/>
  <c r="AG9" i="74"/>
  <c r="AH9" i="74"/>
  <c r="M68" i="48"/>
  <c r="I68" i="48"/>
  <c r="D68" i="48"/>
  <c r="G68" i="48"/>
  <c r="E68" i="48"/>
  <c r="J68" i="48"/>
  <c r="K68" i="48"/>
  <c r="L68" i="48"/>
  <c r="F68" i="48"/>
  <c r="H68" i="48"/>
  <c r="CR43" i="35"/>
  <c r="CE43" i="35"/>
  <c r="CQ43" i="35"/>
  <c r="CD43" i="35"/>
  <c r="X69" i="48"/>
  <c r="AH69" i="48"/>
  <c r="AI69" i="48"/>
  <c r="A69" i="48"/>
  <c r="AN69" i="48"/>
  <c r="V69" i="48"/>
  <c r="W69" i="48"/>
  <c r="AF69" i="48"/>
  <c r="AA69" i="48"/>
  <c r="Z69" i="48"/>
  <c r="AG69" i="48"/>
  <c r="C70" i="48"/>
  <c r="AO70" i="48" s="1"/>
  <c r="AJ69" i="48"/>
  <c r="Y69" i="48"/>
  <c r="AM69" i="48"/>
  <c r="AB69" i="48"/>
  <c r="AC69" i="48"/>
  <c r="AK69" i="48"/>
  <c r="AL69" i="48"/>
  <c r="AE69" i="48"/>
  <c r="AD69" i="48"/>
  <c r="C88" i="65"/>
  <c r="A88" i="65" s="1"/>
  <c r="H338" i="86"/>
  <c r="K338" i="86"/>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V78" i="47" l="1"/>
  <c r="AA78" i="47"/>
  <c r="AD76" i="47"/>
  <c r="DB46" i="35" s="1"/>
  <c r="AC76" i="47"/>
  <c r="AB76" i="47"/>
  <c r="X76" i="47"/>
  <c r="Y76" i="47"/>
  <c r="DA46" i="35" s="1"/>
  <c r="W76" i="47"/>
  <c r="A9" i="74"/>
  <c r="B9" i="74" s="1"/>
  <c r="A10" i="74"/>
  <c r="B10" i="74" s="1"/>
  <c r="D124" i="52"/>
  <c r="D261" i="52" a="1"/>
  <c r="D260" i="52"/>
  <c r="H260" i="52"/>
  <c r="U116" i="74" s="1"/>
  <c r="M69" i="48"/>
  <c r="L69" i="48"/>
  <c r="F69" i="48"/>
  <c r="H69" i="48"/>
  <c r="E69" i="48"/>
  <c r="J69" i="48"/>
  <c r="D69" i="48"/>
  <c r="G69" i="48"/>
  <c r="I69" i="48"/>
  <c r="K69" i="48"/>
  <c r="CR44" i="35"/>
  <c r="CE44" i="35"/>
  <c r="CQ44" i="35"/>
  <c r="CD44" i="35"/>
  <c r="AE70" i="48"/>
  <c r="AC70" i="48"/>
  <c r="AF70" i="48"/>
  <c r="X70" i="48"/>
  <c r="AB70" i="48"/>
  <c r="Y70" i="48"/>
  <c r="C89" i="65"/>
  <c r="A89" i="65" s="1"/>
  <c r="AG70" i="48"/>
  <c r="AM70" i="48"/>
  <c r="AJ70" i="48"/>
  <c r="A70" i="48"/>
  <c r="C71" i="48"/>
  <c r="AO71" i="48" s="1"/>
  <c r="AK70" i="48"/>
  <c r="AL70" i="48"/>
  <c r="AD70" i="48"/>
  <c r="AN70" i="48"/>
  <c r="W70" i="48"/>
  <c r="V70" i="48"/>
  <c r="AI70" i="48"/>
  <c r="AH70" i="48"/>
  <c r="Z70" i="48"/>
  <c r="AA70" i="48"/>
  <c r="L338" i="86"/>
  <c r="O338" i="86" s="1"/>
  <c r="I338" i="86"/>
  <c r="E339" i="86" s="1"/>
  <c r="D78" i="47"/>
  <c r="H78" i="47" s="1"/>
  <c r="E77" i="47"/>
  <c r="BY43" i="35"/>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V79" i="47" l="1"/>
  <c r="AA79" i="47"/>
  <c r="W77" i="47"/>
  <c r="X77" i="47"/>
  <c r="Y77" i="47"/>
  <c r="DA47" i="35" s="1"/>
  <c r="AD77" i="47"/>
  <c r="DB47" i="35" s="1"/>
  <c r="AC77" i="47"/>
  <c r="AB77" i="47"/>
  <c r="D261" i="52"/>
  <c r="H261" i="52"/>
  <c r="U117" i="74" s="1"/>
  <c r="D125" i="52"/>
  <c r="D262" i="52" a="1"/>
  <c r="M70" i="48"/>
  <c r="G70" i="48"/>
  <c r="D70" i="48"/>
  <c r="F70" i="48"/>
  <c r="J70" i="48"/>
  <c r="K70" i="48"/>
  <c r="L70" i="48"/>
  <c r="I70" i="48"/>
  <c r="H70" i="48"/>
  <c r="E70" i="48"/>
  <c r="CR45" i="35"/>
  <c r="CE45" i="35"/>
  <c r="CQ45" i="35"/>
  <c r="CD45" i="35"/>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D79" i="47"/>
  <c r="E78" i="47"/>
  <c r="F78" i="47"/>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V80" i="47" l="1"/>
  <c r="AA80" i="47"/>
  <c r="AC78" i="47"/>
  <c r="AB78" i="47"/>
  <c r="AD78" i="47"/>
  <c r="DB48" i="35" s="1"/>
  <c r="X78" i="47"/>
  <c r="W78" i="47"/>
  <c r="D262" i="52"/>
  <c r="H262" i="52"/>
  <c r="U118" i="74" s="1"/>
  <c r="D126" i="52"/>
  <c r="D263" i="52" a="1"/>
  <c r="M71" i="48"/>
  <c r="G71" i="48"/>
  <c r="J71" i="48"/>
  <c r="E71" i="48"/>
  <c r="L71" i="48"/>
  <c r="D71" i="48"/>
  <c r="I71" i="48"/>
  <c r="K71" i="48"/>
  <c r="H71" i="48"/>
  <c r="F71" i="48"/>
  <c r="CR46" i="35"/>
  <c r="CE46" i="35"/>
  <c r="CQ46" i="35"/>
  <c r="CD46" i="35"/>
  <c r="C91" i="65"/>
  <c r="A91" i="65" s="1"/>
  <c r="C73" i="48"/>
  <c r="AO73" i="48" s="1"/>
  <c r="A72" i="48"/>
  <c r="AB72" i="48"/>
  <c r="AL72" i="48"/>
  <c r="AJ72" i="48"/>
  <c r="AA72" i="48"/>
  <c r="W72" i="48"/>
  <c r="AD72" i="48"/>
  <c r="AI72" i="48"/>
  <c r="AN72" i="48"/>
  <c r="AG72" i="48"/>
  <c r="V72" i="48"/>
  <c r="AH72" i="48"/>
  <c r="Z72" i="48"/>
  <c r="AE72" i="48"/>
  <c r="AF72" i="48"/>
  <c r="Y72" i="48"/>
  <c r="AM72" i="48"/>
  <c r="X72" i="48"/>
  <c r="AC72" i="48"/>
  <c r="AK72" i="48"/>
  <c r="H339" i="86"/>
  <c r="K339" i="86"/>
  <c r="B349" i="74" a="1"/>
  <c r="B349" i="74" s="1"/>
  <c r="C47" i="35"/>
  <c r="C136" i="35" s="1"/>
  <c r="D80" i="47"/>
  <c r="E79" i="47"/>
  <c r="F79" i="47"/>
  <c r="H79" i="47"/>
  <c r="G78" i="47"/>
  <c r="Q78" i="47" s="1"/>
  <c r="O57" i="48" s="1"/>
  <c r="BY45" i="35"/>
  <c r="BX45" i="35"/>
  <c r="F44" i="35"/>
  <c r="L129" i="52"/>
  <c r="I129" i="52" s="1"/>
  <c r="R79" i="47"/>
  <c r="C80" i="47"/>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Y78" i="47" l="1"/>
  <c r="DA48" i="35" s="1"/>
  <c r="V81" i="47"/>
  <c r="AA81" i="47"/>
  <c r="Y79" i="47"/>
  <c r="DA49" i="35" s="1"/>
  <c r="W79" i="47"/>
  <c r="X79" i="47"/>
  <c r="AD79" i="47"/>
  <c r="DB49" i="35" s="1"/>
  <c r="AC79" i="47"/>
  <c r="AB79" i="47"/>
  <c r="D81" i="47"/>
  <c r="E81" i="47" s="1"/>
  <c r="D263" i="52"/>
  <c r="H263" i="52"/>
  <c r="U119" i="74" s="1"/>
  <c r="D127" i="52"/>
  <c r="D264" i="52" a="1"/>
  <c r="M72" i="48"/>
  <c r="H72" i="48"/>
  <c r="E72" i="48"/>
  <c r="I72" i="48"/>
  <c r="K72" i="48"/>
  <c r="F72" i="48"/>
  <c r="L72" i="48"/>
  <c r="J72" i="48"/>
  <c r="G72" i="48"/>
  <c r="D72" i="48"/>
  <c r="CR47" i="35"/>
  <c r="CE47" i="35"/>
  <c r="CQ47" i="35"/>
  <c r="CD47" i="35"/>
  <c r="AK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I339" i="86"/>
  <c r="E340" i="86" s="1"/>
  <c r="L339" i="86"/>
  <c r="O339" i="86" s="1"/>
  <c r="BX46" i="35"/>
  <c r="F80" i="47"/>
  <c r="H80" i="47"/>
  <c r="E80" i="47"/>
  <c r="G79" i="47"/>
  <c r="Q79" i="47" s="1"/>
  <c r="O58" i="48" s="1"/>
  <c r="BY46" i="35"/>
  <c r="F45" i="35"/>
  <c r="L130" i="52"/>
  <c r="I130" i="52" s="1"/>
  <c r="K81" i="47"/>
  <c r="C81" i="47"/>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V82" i="47" l="1"/>
  <c r="AA82" i="47"/>
  <c r="AB80" i="47"/>
  <c r="AD80" i="47"/>
  <c r="DB50" i="35" s="1"/>
  <c r="AC80" i="47"/>
  <c r="W80" i="47"/>
  <c r="X80" i="47"/>
  <c r="Y80" i="47"/>
  <c r="DA50" i="35" s="1"/>
  <c r="H81" i="47"/>
  <c r="F81" i="47"/>
  <c r="G81" i="47" s="1"/>
  <c r="D82" i="47"/>
  <c r="H82" i="47" s="1"/>
  <c r="D264" i="52"/>
  <c r="H264" i="52"/>
  <c r="U120" i="74" s="1"/>
  <c r="D128" i="52"/>
  <c r="D265" i="52" a="1"/>
  <c r="M73" i="48"/>
  <c r="K73" i="48"/>
  <c r="D73" i="48"/>
  <c r="J73" i="48"/>
  <c r="L73" i="48"/>
  <c r="E73" i="48"/>
  <c r="I73" i="48"/>
  <c r="H73" i="48"/>
  <c r="F73" i="48"/>
  <c r="G73" i="48"/>
  <c r="CR48" i="35"/>
  <c r="CE48" i="35"/>
  <c r="CQ48" i="35"/>
  <c r="CD48" i="35"/>
  <c r="AJ74" i="48"/>
  <c r="Z74" i="48"/>
  <c r="AC74" i="48"/>
  <c r="AE74" i="48"/>
  <c r="C93" i="65"/>
  <c r="A93" i="65" s="1"/>
  <c r="AK74" i="48"/>
  <c r="AF74" i="48"/>
  <c r="AG74" i="48"/>
  <c r="AN74" i="48"/>
  <c r="AM74" i="48"/>
  <c r="C75" i="48"/>
  <c r="AO75" i="48" s="1"/>
  <c r="A74" i="48"/>
  <c r="V74" i="48"/>
  <c r="AH74" i="48"/>
  <c r="AL74" i="48"/>
  <c r="AB74" i="48"/>
  <c r="AA74" i="48"/>
  <c r="AD74" i="48"/>
  <c r="Y74" i="48"/>
  <c r="W74" i="48"/>
  <c r="X74" i="48"/>
  <c r="AI74" i="48"/>
  <c r="G340" i="86"/>
  <c r="F46" i="35"/>
  <c r="G80" i="47"/>
  <c r="Q80" i="47" s="1"/>
  <c r="O59" i="48" s="1"/>
  <c r="BY47" i="35"/>
  <c r="BD7" i="63" s="1"/>
  <c r="L131" i="52"/>
  <c r="I131" i="52" s="1"/>
  <c r="C82" i="47"/>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V83" i="47" l="1"/>
  <c r="AA83" i="47"/>
  <c r="X81" i="47"/>
  <c r="Y81" i="47"/>
  <c r="DA51" i="35" s="1"/>
  <c r="W81" i="47"/>
  <c r="AD81" i="47"/>
  <c r="DB51" i="35" s="1"/>
  <c r="AC81" i="47"/>
  <c r="AB81" i="47"/>
  <c r="F82" i="47"/>
  <c r="E82" i="47"/>
  <c r="D83" i="47"/>
  <c r="H83" i="47" s="1"/>
  <c r="D265" i="52"/>
  <c r="H265" i="52"/>
  <c r="U121" i="74" s="1"/>
  <c r="D129" i="52"/>
  <c r="D266" i="52" a="1"/>
  <c r="M74" i="48"/>
  <c r="G74" i="48"/>
  <c r="H74" i="48"/>
  <c r="F74" i="48"/>
  <c r="E74" i="48"/>
  <c r="K74" i="48"/>
  <c r="I74" i="48"/>
  <c r="J74" i="48"/>
  <c r="L74" i="48"/>
  <c r="D74" i="48"/>
  <c r="CR49" i="35"/>
  <c r="CE49" i="35"/>
  <c r="CQ49" i="35"/>
  <c r="CD49" i="35"/>
  <c r="AC75" i="48"/>
  <c r="Z75" i="48"/>
  <c r="AE75" i="48"/>
  <c r="AJ75" i="48"/>
  <c r="C94" i="65"/>
  <c r="A94" i="65" s="1"/>
  <c r="C76" i="48"/>
  <c r="AO76" i="48" s="1"/>
  <c r="W75" i="48"/>
  <c r="AL75" i="48"/>
  <c r="AB75" i="48"/>
  <c r="Y75" i="48"/>
  <c r="AM75" i="48"/>
  <c r="AD75" i="48"/>
  <c r="AK75" i="48"/>
  <c r="A75" i="48"/>
  <c r="AF75" i="48"/>
  <c r="AG75" i="48"/>
  <c r="AH75" i="48"/>
  <c r="AI75" i="48"/>
  <c r="AN75" i="48"/>
  <c r="V75" i="48"/>
  <c r="X75" i="48"/>
  <c r="AA75" i="48"/>
  <c r="H340" i="86"/>
  <c r="K340" i="86"/>
  <c r="F132" i="52"/>
  <c r="BX48" i="35"/>
  <c r="F47" i="35"/>
  <c r="BY48" i="35"/>
  <c r="Q81" i="47"/>
  <c r="O60" i="48" s="1"/>
  <c r="K83" i="47"/>
  <c r="C83" i="47"/>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V84" i="47" l="1"/>
  <c r="AA84" i="47"/>
  <c r="AD82" i="47"/>
  <c r="DB52" i="35" s="1"/>
  <c r="AB82" i="47"/>
  <c r="AC82" i="47"/>
  <c r="W82" i="47"/>
  <c r="Y82" i="47"/>
  <c r="DA52" i="35" s="1"/>
  <c r="X82" i="47"/>
  <c r="G82" i="47"/>
  <c r="Q82" i="47" s="1"/>
  <c r="O61" i="48" s="1"/>
  <c r="E83" i="47"/>
  <c r="F83" i="47"/>
  <c r="D84" i="47"/>
  <c r="H84" i="47" s="1"/>
  <c r="D266" i="52"/>
  <c r="H266" i="52"/>
  <c r="U122" i="74" s="1"/>
  <c r="D130" i="52"/>
  <c r="D267" i="52" a="1"/>
  <c r="M75" i="48"/>
  <c r="E75" i="48"/>
  <c r="K75" i="48"/>
  <c r="D75" i="48"/>
  <c r="H75" i="48"/>
  <c r="F75" i="48"/>
  <c r="L75" i="48"/>
  <c r="G75" i="48"/>
  <c r="J75" i="48"/>
  <c r="I75" i="48"/>
  <c r="CR50" i="35"/>
  <c r="CE50" i="35"/>
  <c r="CQ50" i="35"/>
  <c r="CD50" i="35"/>
  <c r="AK76" i="48"/>
  <c r="AM76" i="48"/>
  <c r="C77" i="48"/>
  <c r="AO77" i="48" s="1"/>
  <c r="Y76" i="48"/>
  <c r="AG76" i="48"/>
  <c r="AH76" i="48"/>
  <c r="AC76" i="48"/>
  <c r="X76" i="48"/>
  <c r="AE76" i="48"/>
  <c r="V76" i="48"/>
  <c r="C95" i="65"/>
  <c r="A95" i="65" s="1"/>
  <c r="Z76" i="48"/>
  <c r="AJ76" i="48"/>
  <c r="AI76" i="48"/>
  <c r="AL76" i="48"/>
  <c r="A76" i="48"/>
  <c r="AB76" i="48"/>
  <c r="AN76" i="48"/>
  <c r="AD76" i="48"/>
  <c r="AA76" i="48"/>
  <c r="AF76" i="48"/>
  <c r="W76" i="48"/>
  <c r="L340" i="86"/>
  <c r="O340" i="86" s="1"/>
  <c r="I340" i="86"/>
  <c r="E341" i="86" s="1"/>
  <c r="F48" i="35"/>
  <c r="BY49" i="35"/>
  <c r="R83" i="47"/>
  <c r="K84" i="47"/>
  <c r="C84" i="47"/>
  <c r="M83" i="47"/>
  <c r="L83" i="47"/>
  <c r="O83" i="47"/>
  <c r="N82" i="47"/>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V85" i="47" l="1"/>
  <c r="AA85" i="47"/>
  <c r="X83" i="47"/>
  <c r="W83" i="47"/>
  <c r="Y83" i="47"/>
  <c r="DA53" i="35" s="1"/>
  <c r="AC83" i="47"/>
  <c r="AB83" i="47"/>
  <c r="AD83" i="47"/>
  <c r="DB53" i="35" s="1"/>
  <c r="G83" i="47"/>
  <c r="Q83" i="47" s="1"/>
  <c r="O62" i="48" s="1"/>
  <c r="F84" i="47"/>
  <c r="E84" i="47"/>
  <c r="D85" i="47"/>
  <c r="F85" i="47" s="1"/>
  <c r="D267" i="52"/>
  <c r="H267" i="52"/>
  <c r="U123" i="74" s="1"/>
  <c r="D131" i="52"/>
  <c r="D268" i="52" a="1"/>
  <c r="M76" i="48"/>
  <c r="E76" i="48"/>
  <c r="L76" i="48"/>
  <c r="J76" i="48"/>
  <c r="G76" i="48"/>
  <c r="H76" i="48"/>
  <c r="I76" i="48"/>
  <c r="D76" i="48"/>
  <c r="K76" i="48"/>
  <c r="F76" i="48"/>
  <c r="CR51" i="35"/>
  <c r="CE51" i="35"/>
  <c r="CQ51" i="35"/>
  <c r="CD51" i="35"/>
  <c r="C52" i="35"/>
  <c r="D10" i="63"/>
  <c r="AD77" i="48"/>
  <c r="AK77" i="48"/>
  <c r="Y77" i="48"/>
  <c r="AC77" i="48"/>
  <c r="AE77" i="48"/>
  <c r="AM77" i="48"/>
  <c r="C96" i="65"/>
  <c r="A96" i="65" s="1"/>
  <c r="A77" i="48"/>
  <c r="AL77" i="48"/>
  <c r="AN77" i="48"/>
  <c r="AF77" i="48"/>
  <c r="V77" i="48"/>
  <c r="Z77" i="48"/>
  <c r="AG77" i="48"/>
  <c r="AH77" i="48"/>
  <c r="X77" i="48"/>
  <c r="AJ77" i="48"/>
  <c r="AA77" i="48"/>
  <c r="C78" i="48"/>
  <c r="AM78" i="48" s="1"/>
  <c r="AI77" i="48"/>
  <c r="AB77" i="48"/>
  <c r="W77" i="48"/>
  <c r="G341" i="86"/>
  <c r="C134" i="52"/>
  <c r="BY50" i="35"/>
  <c r="F49" i="35"/>
  <c r="BX50" i="35"/>
  <c r="K85" i="47"/>
  <c r="C85" i="47"/>
  <c r="N83" i="47"/>
  <c r="R84" i="47"/>
  <c r="M84" i="47"/>
  <c r="L84" i="47"/>
  <c r="O84" i="47"/>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V86" i="47" l="1"/>
  <c r="AA86" i="47"/>
  <c r="Y84" i="47"/>
  <c r="DA54" i="35" s="1"/>
  <c r="X84" i="47"/>
  <c r="W84" i="47"/>
  <c r="AC84" i="47"/>
  <c r="AD84" i="47"/>
  <c r="DB54" i="35" s="1"/>
  <c r="AB84" i="47"/>
  <c r="G84" i="47"/>
  <c r="Q84" i="47" s="1"/>
  <c r="O63" i="48" s="1"/>
  <c r="E85" i="47"/>
  <c r="G85" i="47" s="1"/>
  <c r="H85" i="47"/>
  <c r="D86" i="47"/>
  <c r="H86" i="47" s="1"/>
  <c r="D268" i="52"/>
  <c r="H268" i="52"/>
  <c r="U124" i="74" s="1"/>
  <c r="D132" i="52"/>
  <c r="D269" i="52" a="1"/>
  <c r="M77" i="48"/>
  <c r="E77" i="48"/>
  <c r="L77" i="48"/>
  <c r="K77" i="48"/>
  <c r="I77" i="48"/>
  <c r="H77" i="48"/>
  <c r="G77" i="48"/>
  <c r="F77" i="48"/>
  <c r="D77" i="48"/>
  <c r="J77" i="48"/>
  <c r="CR52" i="35"/>
  <c r="CE52" i="35"/>
  <c r="CQ52" i="35"/>
  <c r="CD52" i="35"/>
  <c r="K9" i="63"/>
  <c r="BC7" i="63"/>
  <c r="BC9" i="63" s="1"/>
  <c r="E47" i="65" s="1"/>
  <c r="AN78" i="48"/>
  <c r="AF78" i="48"/>
  <c r="V78" i="48"/>
  <c r="Z78" i="48"/>
  <c r="AJ78" i="48"/>
  <c r="AG78" i="48"/>
  <c r="W78" i="48"/>
  <c r="C97" i="65"/>
  <c r="A97" i="65" s="1"/>
  <c r="AD78" i="48"/>
  <c r="AA78" i="48"/>
  <c r="AK78" i="48"/>
  <c r="AI78" i="48"/>
  <c r="C79" i="48"/>
  <c r="AO79" i="48" s="1"/>
  <c r="AB78" i="48"/>
  <c r="Y78" i="48"/>
  <c r="AH78" i="48"/>
  <c r="AO78" i="48"/>
  <c r="X78" i="48"/>
  <c r="AE78" i="48"/>
  <c r="AL78" i="48"/>
  <c r="A78" i="48"/>
  <c r="AC78" i="48"/>
  <c r="AK79" i="48"/>
  <c r="H341" i="86"/>
  <c r="K341" i="86"/>
  <c r="F135" i="52"/>
  <c r="F50" i="35"/>
  <c r="BY51" i="35"/>
  <c r="R85" i="47"/>
  <c r="C86" i="47"/>
  <c r="K86" i="47"/>
  <c r="O85" i="47"/>
  <c r="M85" i="47"/>
  <c r="L85" i="47"/>
  <c r="N84" i="47"/>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V87" i="47" l="1"/>
  <c r="AA87" i="47"/>
  <c r="W85" i="47"/>
  <c r="X85" i="47"/>
  <c r="Y85" i="47"/>
  <c r="DA55" i="35" s="1"/>
  <c r="AB85" i="47"/>
  <c r="AD85" i="47"/>
  <c r="DB55" i="35" s="1"/>
  <c r="AC85" i="47"/>
  <c r="F86" i="47"/>
  <c r="E86" i="47"/>
  <c r="D87" i="47"/>
  <c r="F87" i="47" s="1"/>
  <c r="D269" i="52"/>
  <c r="H269" i="52"/>
  <c r="U125" i="74" s="1"/>
  <c r="D133" i="52"/>
  <c r="D270" i="52" a="1"/>
  <c r="L78" i="48"/>
  <c r="G78" i="48"/>
  <c r="E78" i="48"/>
  <c r="J78" i="48"/>
  <c r="M78" i="48"/>
  <c r="H78" i="48"/>
  <c r="K78" i="48"/>
  <c r="F78" i="48"/>
  <c r="D78" i="48"/>
  <c r="I78" i="48"/>
  <c r="CR53" i="35"/>
  <c r="CE53" i="35"/>
  <c r="CQ53" i="35"/>
  <c r="CD53" i="35"/>
  <c r="U35" i="65"/>
  <c r="K35" i="65" s="1"/>
  <c r="AM79" i="48"/>
  <c r="AH79" i="48"/>
  <c r="X79" i="48"/>
  <c r="Y79" i="48"/>
  <c r="AC79" i="48"/>
  <c r="AE79" i="48"/>
  <c r="AF79" i="48"/>
  <c r="W79" i="48"/>
  <c r="AD79" i="48"/>
  <c r="AI79" i="48"/>
  <c r="V79" i="48"/>
  <c r="AG79" i="48"/>
  <c r="AL79" i="48"/>
  <c r="C98" i="65"/>
  <c r="A98" i="65" s="1"/>
  <c r="AB79" i="48"/>
  <c r="A79" i="48"/>
  <c r="AN79" i="48"/>
  <c r="Z79" i="48"/>
  <c r="C80" i="48"/>
  <c r="AD80" i="48" s="1"/>
  <c r="AJ79" i="48"/>
  <c r="AA79" i="48"/>
  <c r="I341" i="86"/>
  <c r="E342" i="86" s="1"/>
  <c r="L341" i="86"/>
  <c r="O341" i="86" s="1"/>
  <c r="F51" i="35"/>
  <c r="BY52" i="35"/>
  <c r="BX52" i="35"/>
  <c r="K87" i="47"/>
  <c r="C87" i="47"/>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V88" i="47" l="1"/>
  <c r="AA88" i="47"/>
  <c r="AD86" i="47"/>
  <c r="DB56" i="35" s="1"/>
  <c r="AC86" i="47"/>
  <c r="AB86" i="47"/>
  <c r="X86" i="47"/>
  <c r="Y86" i="47"/>
  <c r="DA56" i="35" s="1"/>
  <c r="W86" i="47"/>
  <c r="G86" i="47"/>
  <c r="Q86" i="47" s="1"/>
  <c r="O65" i="48" s="1"/>
  <c r="E87" i="47"/>
  <c r="G87" i="47" s="1"/>
  <c r="H87" i="47"/>
  <c r="D88" i="47"/>
  <c r="F88" i="47" s="1"/>
  <c r="D270" i="52"/>
  <c r="H270" i="52"/>
  <c r="U126" i="74" s="1"/>
  <c r="D134" i="52"/>
  <c r="D271" i="52" a="1"/>
  <c r="G79" i="48"/>
  <c r="J79" i="48"/>
  <c r="M79" i="48"/>
  <c r="I79" i="48"/>
  <c r="F79" i="48"/>
  <c r="H79" i="48"/>
  <c r="K79" i="48"/>
  <c r="L79" i="48"/>
  <c r="E79" i="48"/>
  <c r="D79" i="48"/>
  <c r="CR54" i="35"/>
  <c r="CE54" i="35"/>
  <c r="CQ54" i="35"/>
  <c r="CD54" i="35"/>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BY53" i="35"/>
  <c r="F52" i="35"/>
  <c r="CO56" i="35"/>
  <c r="CB56" i="35"/>
  <c r="K88" i="47"/>
  <c r="C88" i="47"/>
  <c r="R87" i="47"/>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V89" i="47" l="1"/>
  <c r="AA89" i="47"/>
  <c r="W87" i="47"/>
  <c r="X87" i="47"/>
  <c r="Y87" i="47"/>
  <c r="DA57" i="35" s="1"/>
  <c r="AD87" i="47"/>
  <c r="DB57" i="35" s="1"/>
  <c r="AC87" i="47"/>
  <c r="AB87" i="47"/>
  <c r="H88" i="47"/>
  <c r="E88" i="47"/>
  <c r="G88" i="47" s="1"/>
  <c r="D89" i="47"/>
  <c r="H89" i="47" s="1"/>
  <c r="D271" i="52"/>
  <c r="H271" i="52"/>
  <c r="U127" i="74" s="1"/>
  <c r="D135" i="52"/>
  <c r="D272" i="52" a="1"/>
  <c r="G80" i="48"/>
  <c r="M80" i="48"/>
  <c r="J80" i="48"/>
  <c r="D80" i="48"/>
  <c r="H80" i="48"/>
  <c r="L80" i="48"/>
  <c r="I80" i="48"/>
  <c r="K80" i="48"/>
  <c r="E80" i="48"/>
  <c r="F80" i="48"/>
  <c r="CR55" i="35"/>
  <c r="CE55" i="35"/>
  <c r="CQ55" i="35"/>
  <c r="CD55" i="35"/>
  <c r="AK81" i="48"/>
  <c r="AM81" i="48"/>
  <c r="AH81" i="48"/>
  <c r="AF81" i="48"/>
  <c r="V81" i="48"/>
  <c r="AI81" i="48"/>
  <c r="AG81" i="48"/>
  <c r="Y81" i="48"/>
  <c r="AL81" i="48"/>
  <c r="AC81" i="48"/>
  <c r="AB81" i="48"/>
  <c r="AE81" i="48"/>
  <c r="AN81" i="48"/>
  <c r="AD81" i="48"/>
  <c r="W81" i="48"/>
  <c r="Z81" i="48"/>
  <c r="C100" i="65"/>
  <c r="A100" i="65" s="1"/>
  <c r="AJ81" i="48"/>
  <c r="C82" i="48"/>
  <c r="AO82" i="48" s="1"/>
  <c r="AA81" i="48"/>
  <c r="X81" i="48"/>
  <c r="A81" i="48"/>
  <c r="H342" i="86"/>
  <c r="K342" i="86"/>
  <c r="BX54" i="35"/>
  <c r="BH7" i="63"/>
  <c r="F53" i="35"/>
  <c r="BY54" i="35"/>
  <c r="CO57" i="35"/>
  <c r="CB57" i="35"/>
  <c r="N87" i="47"/>
  <c r="K89" i="47"/>
  <c r="C89" i="47"/>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V90" i="47" l="1"/>
  <c r="AA90" i="47"/>
  <c r="AC88" i="47"/>
  <c r="AB88" i="47"/>
  <c r="AD88" i="47"/>
  <c r="DB58" i="35" s="1"/>
  <c r="X88" i="47"/>
  <c r="W88" i="47"/>
  <c r="Y88" i="47"/>
  <c r="DA58" i="35" s="1"/>
  <c r="F89" i="47"/>
  <c r="E89" i="47"/>
  <c r="D90" i="47"/>
  <c r="F90" i="47" s="1"/>
  <c r="D272" i="52"/>
  <c r="H272" i="52"/>
  <c r="U128" i="74" s="1"/>
  <c r="D136" i="52"/>
  <c r="D273" i="52" a="1"/>
  <c r="M81" i="48"/>
  <c r="E81" i="48"/>
  <c r="G81" i="48"/>
  <c r="L81" i="48"/>
  <c r="K81" i="48"/>
  <c r="F81" i="48"/>
  <c r="D81" i="48"/>
  <c r="H81" i="48"/>
  <c r="I81" i="48"/>
  <c r="J81" i="48"/>
  <c r="CR56" i="35"/>
  <c r="CE56" i="35"/>
  <c r="CQ56" i="35"/>
  <c r="CD56" i="35"/>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C139" i="52"/>
  <c r="BF9" i="63"/>
  <c r="BY55" i="35"/>
  <c r="CM56" i="35"/>
  <c r="BZ56" i="35"/>
  <c r="CO58" i="35"/>
  <c r="CB58" i="35"/>
  <c r="CN56" i="35"/>
  <c r="CA56" i="35"/>
  <c r="C90" i="47"/>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V91" i="47" l="1"/>
  <c r="AA91" i="47"/>
  <c r="AD89" i="47"/>
  <c r="DB59" i="35" s="1"/>
  <c r="AC89" i="47"/>
  <c r="AB89" i="47"/>
  <c r="Y89" i="47"/>
  <c r="DA59" i="35" s="1"/>
  <c r="X89" i="47"/>
  <c r="W89" i="47"/>
  <c r="G89" i="47"/>
  <c r="Q89" i="47" s="1"/>
  <c r="O68" i="48" s="1"/>
  <c r="H90" i="47"/>
  <c r="E90" i="47"/>
  <c r="G90" i="47" s="1"/>
  <c r="D91" i="47"/>
  <c r="H91" i="47" s="1"/>
  <c r="D273" i="52"/>
  <c r="H273" i="52"/>
  <c r="U129" i="74" s="1"/>
  <c r="D137" i="52"/>
  <c r="D274" i="52" a="1"/>
  <c r="M82" i="48"/>
  <c r="H82" i="48"/>
  <c r="F82" i="48"/>
  <c r="L82" i="48"/>
  <c r="I82" i="48"/>
  <c r="J82" i="48"/>
  <c r="G82" i="48"/>
  <c r="K82" i="48"/>
  <c r="D82" i="48"/>
  <c r="E82" i="48"/>
  <c r="CR57" i="35"/>
  <c r="CE57" i="35"/>
  <c r="CQ57" i="35"/>
  <c r="CD57" i="35"/>
  <c r="A83" i="48"/>
  <c r="C84" i="48"/>
  <c r="AO84" i="48" s="1"/>
  <c r="AB83" i="48"/>
  <c r="AF83" i="48"/>
  <c r="V83" i="48"/>
  <c r="AH83" i="48"/>
  <c r="AA83" i="48"/>
  <c r="X83" i="48"/>
  <c r="Y83" i="48"/>
  <c r="W83" i="48"/>
  <c r="AL83" i="48"/>
  <c r="AM83" i="48"/>
  <c r="Z83" i="48"/>
  <c r="AK83" i="48"/>
  <c r="AJ83" i="48"/>
  <c r="C102" i="65"/>
  <c r="A102" i="65" s="1"/>
  <c r="AD83" i="48"/>
  <c r="AC83" i="48"/>
  <c r="AI83" i="48"/>
  <c r="AN83" i="48"/>
  <c r="AE83" i="48"/>
  <c r="AG83" i="48"/>
  <c r="N7" i="46"/>
  <c r="P7" i="46" s="1"/>
  <c r="G343" i="86"/>
  <c r="A37" i="65"/>
  <c r="C140" i="52"/>
  <c r="BB7" i="63"/>
  <c r="BI9" i="63"/>
  <c r="BF10" i="63" s="1"/>
  <c r="BY56" i="35"/>
  <c r="F55" i="35"/>
  <c r="CM57" i="35"/>
  <c r="BZ57" i="35"/>
  <c r="BX56" i="35"/>
  <c r="CN57" i="35"/>
  <c r="CA57" i="35"/>
  <c r="CO59" i="35"/>
  <c r="CB59" i="35"/>
  <c r="N89" i="47"/>
  <c r="K91" i="47"/>
  <c r="C91" i="47"/>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V92" i="47" l="1"/>
  <c r="AA92" i="47"/>
  <c r="AB90" i="47"/>
  <c r="AD90" i="47"/>
  <c r="DB60" i="35" s="1"/>
  <c r="AC90" i="47"/>
  <c r="W90" i="47"/>
  <c r="X90" i="47"/>
  <c r="Y90" i="47"/>
  <c r="DA60" i="35" s="1"/>
  <c r="F91" i="47"/>
  <c r="E91" i="47"/>
  <c r="D92" i="47"/>
  <c r="H92" i="47" s="1"/>
  <c r="D274" i="52"/>
  <c r="H274" i="52"/>
  <c r="U130" i="74" s="1"/>
  <c r="D138" i="52"/>
  <c r="D275" i="52" a="1"/>
  <c r="K83" i="48"/>
  <c r="M83" i="48"/>
  <c r="I83" i="48"/>
  <c r="L83" i="48"/>
  <c r="E83" i="48"/>
  <c r="H83" i="48"/>
  <c r="J83" i="48"/>
  <c r="D83" i="48"/>
  <c r="F83" i="48"/>
  <c r="G83" i="48"/>
  <c r="CR58" i="35"/>
  <c r="CE58" i="35"/>
  <c r="CQ58" i="35"/>
  <c r="CD58" i="35"/>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H343" i="86"/>
  <c r="K343" i="86"/>
  <c r="BY57" i="35"/>
  <c r="F56" i="35"/>
  <c r="CN58" i="35"/>
  <c r="CA58" i="35"/>
  <c r="CO60" i="35"/>
  <c r="CB60" i="35"/>
  <c r="BX57" i="35"/>
  <c r="CM58" i="35"/>
  <c r="BZ58" i="35"/>
  <c r="Q90" i="47"/>
  <c r="O69" i="48" s="1"/>
  <c r="C92" i="47"/>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V93" i="47" l="1"/>
  <c r="AA93" i="47"/>
  <c r="AD91" i="47"/>
  <c r="DB61" i="35" s="1"/>
  <c r="AC91" i="47"/>
  <c r="AB91" i="47"/>
  <c r="X91" i="47"/>
  <c r="Y91" i="47"/>
  <c r="DA61" i="35" s="1"/>
  <c r="W91" i="47"/>
  <c r="G91" i="47"/>
  <c r="Q91" i="47" s="1"/>
  <c r="O70" i="48" s="1"/>
  <c r="E92" i="47"/>
  <c r="F92" i="47"/>
  <c r="D93" i="47"/>
  <c r="H93" i="47" s="1"/>
  <c r="D275" i="52"/>
  <c r="H275" i="52"/>
  <c r="U131" i="74" s="1"/>
  <c r="D139" i="52"/>
  <c r="D276" i="52" a="1"/>
  <c r="D84" i="48"/>
  <c r="K84" i="48"/>
  <c r="I84" i="48"/>
  <c r="H84" i="48"/>
  <c r="M84" i="48"/>
  <c r="J84" i="48"/>
  <c r="G84" i="48"/>
  <c r="E84" i="48"/>
  <c r="F84" i="48"/>
  <c r="L84" i="48"/>
  <c r="CR59" i="35"/>
  <c r="CE59" i="35"/>
  <c r="CQ59" i="35"/>
  <c r="CD59" i="35"/>
  <c r="AM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E143" i="52"/>
  <c r="BI10" i="63"/>
  <c r="BF11" i="63" s="1"/>
  <c r="BY58" i="35"/>
  <c r="F57" i="35"/>
  <c r="BX58" i="35"/>
  <c r="CO61" i="35"/>
  <c r="CB61" i="35"/>
  <c r="CN59" i="35"/>
  <c r="CA59" i="35"/>
  <c r="CM59" i="35"/>
  <c r="BZ59" i="35"/>
  <c r="K93" i="47"/>
  <c r="C93" i="47"/>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V94" i="47" l="1"/>
  <c r="AA94" i="47"/>
  <c r="Y92" i="47"/>
  <c r="DA62" i="35" s="1"/>
  <c r="W92" i="47"/>
  <c r="X92" i="47"/>
  <c r="AD92" i="47"/>
  <c r="DB62" i="35" s="1"/>
  <c r="AC92" i="47"/>
  <c r="AB92" i="47"/>
  <c r="G92" i="47"/>
  <c r="Q92" i="47" s="1"/>
  <c r="O71" i="48" s="1"/>
  <c r="E93" i="47"/>
  <c r="F93" i="47"/>
  <c r="D94" i="47"/>
  <c r="F94" i="47" s="1"/>
  <c r="D276" i="52"/>
  <c r="H276" i="52"/>
  <c r="U132" i="74" s="1"/>
  <c r="D140" i="52"/>
  <c r="D277" i="52" a="1"/>
  <c r="I85" i="48"/>
  <c r="J85" i="48"/>
  <c r="F85" i="48"/>
  <c r="L85" i="48"/>
  <c r="E85" i="48"/>
  <c r="K85" i="48"/>
  <c r="H85" i="48"/>
  <c r="M85" i="48"/>
  <c r="D85" i="48"/>
  <c r="G85" i="48"/>
  <c r="CR60" i="35"/>
  <c r="CE60" i="35"/>
  <c r="CQ60" i="35"/>
  <c r="CD60" i="35"/>
  <c r="AL9" i="63"/>
  <c r="AH86" i="48"/>
  <c r="AA86" i="48"/>
  <c r="X86" i="48"/>
  <c r="AK86" i="48"/>
  <c r="AL86" i="48"/>
  <c r="AI86" i="48"/>
  <c r="AB86" i="48"/>
  <c r="AE86" i="48"/>
  <c r="Y86" i="48"/>
  <c r="AG86" i="48"/>
  <c r="AN86" i="48"/>
  <c r="A86" i="48"/>
  <c r="AO86" i="48"/>
  <c r="AD86" i="48"/>
  <c r="AC86" i="48"/>
  <c r="AM86" i="48"/>
  <c r="AF86" i="48"/>
  <c r="V86" i="48"/>
  <c r="Z86" i="48"/>
  <c r="W86" i="48"/>
  <c r="C87" i="48"/>
  <c r="W87" i="48" s="1"/>
  <c r="AJ86" i="48"/>
  <c r="G344" i="86"/>
  <c r="E144" i="52"/>
  <c r="C143" i="52"/>
  <c r="F143" i="52"/>
  <c r="G143" i="52"/>
  <c r="BI11" i="63"/>
  <c r="BF12" i="63" s="1"/>
  <c r="BY59" i="35"/>
  <c r="BX59" i="35"/>
  <c r="F58" i="35"/>
  <c r="CO62" i="35"/>
  <c r="CB62" i="35"/>
  <c r="CM60" i="35"/>
  <c r="BZ60" i="35"/>
  <c r="CN60" i="35"/>
  <c r="CA60" i="35"/>
  <c r="C94" i="47"/>
  <c r="K94" i="47"/>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V95" i="47" l="1"/>
  <c r="AA95" i="47"/>
  <c r="AC93" i="47"/>
  <c r="AB93" i="47"/>
  <c r="AD93" i="47"/>
  <c r="DB63" i="35" s="1"/>
  <c r="X93" i="47"/>
  <c r="W93" i="47"/>
  <c r="Y93" i="47"/>
  <c r="DA63" i="35" s="1"/>
  <c r="G93" i="47"/>
  <c r="Q93" i="47" s="1"/>
  <c r="O72" i="48" s="1"/>
  <c r="H94" i="47"/>
  <c r="E94" i="47"/>
  <c r="G94" i="47" s="1"/>
  <c r="D95" i="47"/>
  <c r="F95" i="47" s="1"/>
  <c r="D277" i="52"/>
  <c r="H277" i="52"/>
  <c r="U133" i="74" s="1"/>
  <c r="D141" i="52"/>
  <c r="D278" i="52" a="1"/>
  <c r="I86" i="48"/>
  <c r="D86" i="48"/>
  <c r="G86" i="48"/>
  <c r="E86" i="48"/>
  <c r="H86" i="48"/>
  <c r="K86" i="48"/>
  <c r="J86" i="48"/>
  <c r="F86" i="48"/>
  <c r="M86" i="48"/>
  <c r="L86" i="48"/>
  <c r="CR61" i="35"/>
  <c r="CE61" i="35"/>
  <c r="CQ61" i="35"/>
  <c r="CD61" i="35"/>
  <c r="AM87" i="48"/>
  <c r="AI87" i="48"/>
  <c r="AH87" i="48"/>
  <c r="AO87" i="48"/>
  <c r="AL87" i="48"/>
  <c r="AK87" i="48"/>
  <c r="C88" i="48"/>
  <c r="W88" i="48" s="1"/>
  <c r="AB87" i="48"/>
  <c r="X87" i="48"/>
  <c r="AE87" i="48"/>
  <c r="Z87" i="48"/>
  <c r="Y87" i="48"/>
  <c r="AJ87" i="48"/>
  <c r="A87" i="48"/>
  <c r="AC87" i="48"/>
  <c r="AD87" i="48"/>
  <c r="C106" i="65"/>
  <c r="A106" i="65" s="1"/>
  <c r="AF87" i="48"/>
  <c r="AG87" i="48"/>
  <c r="V87" i="48"/>
  <c r="AA87" i="48"/>
  <c r="AN87" i="48"/>
  <c r="H344" i="86"/>
  <c r="K344" i="86"/>
  <c r="A42" i="65"/>
  <c r="F144" i="52"/>
  <c r="G144" i="52"/>
  <c r="E145" i="52"/>
  <c r="C144" i="52"/>
  <c r="BI12" i="63"/>
  <c r="BF13" i="63" s="1"/>
  <c r="F59" i="35"/>
  <c r="BY60" i="35"/>
  <c r="CN61" i="35"/>
  <c r="CA61" i="35"/>
  <c r="CM61" i="35"/>
  <c r="BZ61" i="35"/>
  <c r="BX60" i="35"/>
  <c r="CO63" i="35"/>
  <c r="CB63" i="35"/>
  <c r="N93" i="47"/>
  <c r="K95" i="47"/>
  <c r="C95" i="47"/>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V96" i="47" l="1"/>
  <c r="AA96" i="47"/>
  <c r="AD94" i="47"/>
  <c r="DB64" i="35" s="1"/>
  <c r="AB94" i="47"/>
  <c r="AC94" i="47"/>
  <c r="Y94" i="47"/>
  <c r="DA64" i="35" s="1"/>
  <c r="X94" i="47"/>
  <c r="W94" i="47"/>
  <c r="H95" i="47"/>
  <c r="E95" i="47"/>
  <c r="G95" i="47" s="1"/>
  <c r="D96" i="47"/>
  <c r="E96" i="47" s="1"/>
  <c r="D278" i="52"/>
  <c r="H278" i="52"/>
  <c r="U134" i="74" s="1"/>
  <c r="D142" i="52"/>
  <c r="D279" i="52" a="1"/>
  <c r="D87" i="48"/>
  <c r="G87" i="48"/>
  <c r="J87" i="48"/>
  <c r="E87" i="48"/>
  <c r="I87" i="48"/>
  <c r="H87" i="48"/>
  <c r="L87" i="48"/>
  <c r="K87" i="48"/>
  <c r="M87" i="48"/>
  <c r="F87" i="48"/>
  <c r="CR62" i="35"/>
  <c r="CE62" i="35"/>
  <c r="CQ62" i="35"/>
  <c r="CD62" i="35"/>
  <c r="AF88" i="48"/>
  <c r="AC88" i="48"/>
  <c r="V88" i="48"/>
  <c r="AM88" i="48"/>
  <c r="AH88" i="48"/>
  <c r="X88" i="48"/>
  <c r="AL88" i="48"/>
  <c r="C107" i="65"/>
  <c r="A107" i="65" s="1"/>
  <c r="Z88" i="48"/>
  <c r="AG88" i="48"/>
  <c r="AA88" i="48"/>
  <c r="AE88" i="48"/>
  <c r="AK88" i="48"/>
  <c r="AD88" i="48"/>
  <c r="Y88" i="48"/>
  <c r="AI88" i="48"/>
  <c r="AN88" i="48"/>
  <c r="A88" i="48"/>
  <c r="AO88" i="48"/>
  <c r="C89" i="48"/>
  <c r="V89" i="48" s="1"/>
  <c r="AJ88" i="48"/>
  <c r="AB88" i="48"/>
  <c r="AG89" i="48"/>
  <c r="W89" i="48"/>
  <c r="BX61" i="35"/>
  <c r="L344" i="86"/>
  <c r="O344" i="86" s="1"/>
  <c r="I344" i="86"/>
  <c r="E345" i="86" s="1"/>
  <c r="E146" i="52"/>
  <c r="F145" i="52"/>
  <c r="G145" i="52"/>
  <c r="C145" i="52"/>
  <c r="BI13" i="63"/>
  <c r="BF14" i="63" s="1"/>
  <c r="BY61" i="35"/>
  <c r="F60" i="35"/>
  <c r="CM62" i="35"/>
  <c r="BZ62" i="35"/>
  <c r="CO64" i="35"/>
  <c r="CB64" i="35"/>
  <c r="CN62" i="35"/>
  <c r="CA62" i="35"/>
  <c r="Q94" i="47"/>
  <c r="O73" i="48" s="1"/>
  <c r="N94" i="47"/>
  <c r="C96" i="47"/>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V97" i="47" l="1"/>
  <c r="AA97" i="47"/>
  <c r="AB95" i="47"/>
  <c r="AD95" i="47"/>
  <c r="DB65" i="35" s="1"/>
  <c r="AC95" i="47"/>
  <c r="W95" i="47"/>
  <c r="X95" i="47"/>
  <c r="Y95" i="47"/>
  <c r="DA65" i="35" s="1"/>
  <c r="H96" i="47"/>
  <c r="F96" i="47"/>
  <c r="G96" i="47" s="1"/>
  <c r="D97" i="47"/>
  <c r="E97" i="47" s="1"/>
  <c r="D279" i="52"/>
  <c r="H279" i="52"/>
  <c r="U135" i="74" s="1"/>
  <c r="D143" i="52"/>
  <c r="D280" i="52" a="1"/>
  <c r="D88" i="48"/>
  <c r="D89" i="48" s="1"/>
  <c r="E88" i="48"/>
  <c r="G88" i="48"/>
  <c r="L88" i="48"/>
  <c r="F88" i="48"/>
  <c r="H88" i="48"/>
  <c r="J88" i="48"/>
  <c r="M88" i="48"/>
  <c r="K88" i="48"/>
  <c r="I88" i="48"/>
  <c r="CR63" i="35"/>
  <c r="CE63" i="35"/>
  <c r="CQ63" i="35"/>
  <c r="CD63" i="35"/>
  <c r="C108" i="65"/>
  <c r="A108" i="65" s="1"/>
  <c r="AH89" i="48"/>
  <c r="X89" i="48"/>
  <c r="AL89" i="48"/>
  <c r="AB89" i="48"/>
  <c r="AN89" i="48"/>
  <c r="AE89" i="48"/>
  <c r="AA89" i="48"/>
  <c r="Z89" i="48"/>
  <c r="Y89" i="48"/>
  <c r="AK89" i="48"/>
  <c r="C90" i="48"/>
  <c r="AA90" i="48" s="1"/>
  <c r="AJ89" i="48"/>
  <c r="A89" i="48"/>
  <c r="AI89" i="48"/>
  <c r="AD89" i="48"/>
  <c r="AC89" i="48"/>
  <c r="AO89" i="48"/>
  <c r="AF89" i="48"/>
  <c r="AM89" i="48"/>
  <c r="F61" i="35"/>
  <c r="G345" i="86"/>
  <c r="C146" i="52"/>
  <c r="E147" i="52"/>
  <c r="F146" i="52"/>
  <c r="G146" i="52"/>
  <c r="BI14" i="63"/>
  <c r="BF15" i="63" s="1"/>
  <c r="BY62" i="35"/>
  <c r="CN63" i="35"/>
  <c r="CA63" i="35"/>
  <c r="CM63" i="35"/>
  <c r="BZ63" i="35"/>
  <c r="CO65" i="35"/>
  <c r="CB65" i="35"/>
  <c r="BX62" i="35"/>
  <c r="Q95" i="47"/>
  <c r="O74" i="48" s="1"/>
  <c r="K97" i="47"/>
  <c r="C97" i="47"/>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V98" i="47" l="1"/>
  <c r="AA98" i="47"/>
  <c r="AD96" i="47"/>
  <c r="DB66" i="35" s="1"/>
  <c r="AC96" i="47"/>
  <c r="AB96" i="47"/>
  <c r="Y96" i="47"/>
  <c r="DA66" i="35" s="1"/>
  <c r="X96" i="47"/>
  <c r="W96" i="47"/>
  <c r="H97" i="47"/>
  <c r="F97" i="47"/>
  <c r="G97" i="47" s="1"/>
  <c r="D98" i="47"/>
  <c r="E98" i="47" s="1"/>
  <c r="D280" i="52"/>
  <c r="H280" i="52"/>
  <c r="U136" i="74" s="1"/>
  <c r="D144" i="52"/>
  <c r="D281" i="52" a="1"/>
  <c r="L89" i="48"/>
  <c r="E89" i="48"/>
  <c r="H89" i="48"/>
  <c r="G89" i="48"/>
  <c r="K89" i="48"/>
  <c r="I89" i="48"/>
  <c r="F89" i="48"/>
  <c r="J89" i="48"/>
  <c r="M89" i="48"/>
  <c r="CR64" i="35"/>
  <c r="CE64" i="35"/>
  <c r="CQ64" i="35"/>
  <c r="CD64" i="35"/>
  <c r="AM90" i="48"/>
  <c r="AJ90" i="48"/>
  <c r="AO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C147" i="52"/>
  <c r="G147" i="52"/>
  <c r="E148" i="52"/>
  <c r="F147" i="52"/>
  <c r="BI15" i="63"/>
  <c r="BF16" i="63" s="1"/>
  <c r="BY63" i="35"/>
  <c r="F62" i="35"/>
  <c r="CN64" i="35"/>
  <c r="CA64" i="35"/>
  <c r="CO66" i="35"/>
  <c r="CB66" i="35"/>
  <c r="CM64" i="35"/>
  <c r="BZ64" i="35"/>
  <c r="C98" i="47"/>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V99" i="47" l="1"/>
  <c r="AA99" i="47"/>
  <c r="AC97" i="47"/>
  <c r="AD97" i="47"/>
  <c r="DB67" i="35" s="1"/>
  <c r="Q75" i="74" s="1" a="1"/>
  <c r="Q75" i="74" s="1"/>
  <c r="AB97" i="47"/>
  <c r="Y97" i="47"/>
  <c r="DA67" i="35" s="1"/>
  <c r="P75" i="74" s="1" a="1"/>
  <c r="P75" i="74" s="1"/>
  <c r="W97" i="47"/>
  <c r="X97" i="47"/>
  <c r="H98" i="47"/>
  <c r="F98" i="47"/>
  <c r="G98" i="47" s="1"/>
  <c r="D99" i="47"/>
  <c r="H99" i="47" s="1"/>
  <c r="G11" i="74"/>
  <c r="V11" i="74"/>
  <c r="L11" i="74"/>
  <c r="J11" i="74"/>
  <c r="AC11" i="74"/>
  <c r="H11" i="74"/>
  <c r="Q11" i="74"/>
  <c r="Z11" i="74"/>
  <c r="N11" i="74"/>
  <c r="U11" i="74"/>
  <c r="K11" i="74"/>
  <c r="I11" i="74"/>
  <c r="AB11" i="74"/>
  <c r="AA11" i="74"/>
  <c r="Y11" i="74"/>
  <c r="X11" i="74"/>
  <c r="W11" i="74"/>
  <c r="AD11" i="74"/>
  <c r="T11" i="74"/>
  <c r="S11" i="74"/>
  <c r="R11" i="74"/>
  <c r="P11" i="74"/>
  <c r="O11" i="74"/>
  <c r="M11" i="74"/>
  <c r="E11" i="74"/>
  <c r="F11" i="74"/>
  <c r="C11" i="74"/>
  <c r="D11" i="74"/>
  <c r="D281" i="52"/>
  <c r="H281" i="52"/>
  <c r="U137" i="74" s="1"/>
  <c r="D145" i="52"/>
  <c r="D282" i="52" a="1"/>
  <c r="J90" i="48"/>
  <c r="E90" i="48"/>
  <c r="M90" i="48"/>
  <c r="H90" i="48"/>
  <c r="G90" i="48"/>
  <c r="F90" i="48"/>
  <c r="D90" i="48"/>
  <c r="I90" i="48"/>
  <c r="L90" i="48"/>
  <c r="K90" i="48"/>
  <c r="CR65" i="35"/>
  <c r="CE65" i="35"/>
  <c r="CQ65" i="35"/>
  <c r="CD65" i="35"/>
  <c r="C92" i="48"/>
  <c r="AA92" i="48" s="1"/>
  <c r="AH91" i="48"/>
  <c r="Z91" i="48"/>
  <c r="AE91" i="48"/>
  <c r="AJ91" i="48"/>
  <c r="W91" i="48"/>
  <c r="C110" i="65"/>
  <c r="A110" i="65" s="1"/>
  <c r="X91" i="48"/>
  <c r="AG91" i="48"/>
  <c r="AL91" i="48"/>
  <c r="AA91" i="48"/>
  <c r="AB91" i="48"/>
  <c r="AK91" i="48"/>
  <c r="AN91" i="48"/>
  <c r="AD91" i="48"/>
  <c r="Y91" i="48"/>
  <c r="AI91" i="48"/>
  <c r="AF91" i="48"/>
  <c r="A91" i="48"/>
  <c r="AO91" i="48"/>
  <c r="V91" i="48"/>
  <c r="AC91" i="48"/>
  <c r="I345" i="86"/>
  <c r="E346" i="86" s="1"/>
  <c r="L345" i="86"/>
  <c r="O345" i="86" s="1"/>
  <c r="F63" i="35"/>
  <c r="C148" i="52"/>
  <c r="G148" i="52"/>
  <c r="E149" i="52"/>
  <c r="F148" i="52"/>
  <c r="BI16" i="63"/>
  <c r="BF17" i="63" s="1"/>
  <c r="BX64" i="35"/>
  <c r="CB67" i="35"/>
  <c r="R68" i="35"/>
  <c r="CO68" i="35" s="1"/>
  <c r="BY64" i="35"/>
  <c r="CM65" i="35"/>
  <c r="BZ65" i="35"/>
  <c r="CN65" i="35"/>
  <c r="CA65" i="35"/>
  <c r="N97" i="47"/>
  <c r="K99" i="47"/>
  <c r="C99" i="47"/>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AE11" i="74" l="1"/>
  <c r="V100" i="47"/>
  <c r="AA100" i="47"/>
  <c r="BS9" i="63"/>
  <c r="BS18" i="63"/>
  <c r="BS15" i="63"/>
  <c r="BS13" i="63"/>
  <c r="BS17" i="63"/>
  <c r="BS14" i="63"/>
  <c r="BS16" i="63"/>
  <c r="BS12" i="63"/>
  <c r="BS11" i="63"/>
  <c r="BS10" i="63"/>
  <c r="BR11" i="63"/>
  <c r="BR17" i="63"/>
  <c r="BR10" i="63"/>
  <c r="BR14" i="63"/>
  <c r="BR15" i="63"/>
  <c r="BR12" i="63"/>
  <c r="BR18" i="63"/>
  <c r="BR16" i="63"/>
  <c r="BR13" i="63"/>
  <c r="BR9" i="63"/>
  <c r="F99" i="47"/>
  <c r="X98" i="47"/>
  <c r="Y98" i="47"/>
  <c r="DA68" i="35" s="1"/>
  <c r="W98" i="47"/>
  <c r="AC98" i="47"/>
  <c r="AB98" i="47"/>
  <c r="AD98" i="47"/>
  <c r="DB68" i="35" s="1"/>
  <c r="E99" i="47"/>
  <c r="D100" i="47"/>
  <c r="E100" i="47" s="1"/>
  <c r="D282" i="52"/>
  <c r="H282" i="52"/>
  <c r="U138" i="74" s="1"/>
  <c r="D146" i="52"/>
  <c r="D283" i="52" a="1"/>
  <c r="H91" i="48"/>
  <c r="E91" i="48"/>
  <c r="L91" i="48"/>
  <c r="J91" i="48"/>
  <c r="D91" i="48"/>
  <c r="G91" i="48"/>
  <c r="M91" i="48"/>
  <c r="I91" i="48"/>
  <c r="K91" i="48"/>
  <c r="F91" i="48"/>
  <c r="CR66" i="35"/>
  <c r="CE66" i="35"/>
  <c r="CQ66" i="35"/>
  <c r="CD66" i="35"/>
  <c r="V68" i="35"/>
  <c r="V69" i="35" s="1"/>
  <c r="CC67" i="35"/>
  <c r="AH68" i="35"/>
  <c r="CF68" i="35" s="1"/>
  <c r="CF67" i="35"/>
  <c r="BM68" i="35"/>
  <c r="AM92" i="48"/>
  <c r="AL92" i="48"/>
  <c r="V92" i="48"/>
  <c r="AH92" i="48"/>
  <c r="Z92" i="48"/>
  <c r="AE92" i="48"/>
  <c r="Y92" i="48"/>
  <c r="AO92" i="48"/>
  <c r="A92" i="48"/>
  <c r="AC92" i="48"/>
  <c r="AB92" i="48"/>
  <c r="AI92" i="48"/>
  <c r="AN92" i="48"/>
  <c r="W92" i="48"/>
  <c r="AD92" i="48"/>
  <c r="AK92" i="48"/>
  <c r="AF92" i="48"/>
  <c r="C111" i="65"/>
  <c r="A111" i="65" s="1"/>
  <c r="X92" i="48"/>
  <c r="AG92" i="48"/>
  <c r="C93" i="48"/>
  <c r="AK93" i="48" s="1"/>
  <c r="AJ92" i="48"/>
  <c r="AX69" i="35"/>
  <c r="BQ68" i="35"/>
  <c r="G346" i="86"/>
  <c r="BB68" i="35"/>
  <c r="CK68" i="35" s="1"/>
  <c r="CK67" i="35"/>
  <c r="F149" i="52"/>
  <c r="G149" i="52"/>
  <c r="E150" i="52"/>
  <c r="C149" i="52"/>
  <c r="BI17" i="63"/>
  <c r="BF18" i="63" s="1"/>
  <c r="F64" i="35"/>
  <c r="CB68" i="35"/>
  <c r="BI68" i="35"/>
  <c r="R69" i="35"/>
  <c r="CO69" i="35" s="1"/>
  <c r="A68" i="35"/>
  <c r="C68" i="35"/>
  <c r="E69" i="35"/>
  <c r="BY65" i="35"/>
  <c r="CN66" i="35"/>
  <c r="CA66" i="35"/>
  <c r="BX65" i="35"/>
  <c r="CM66" i="35"/>
  <c r="BZ66" i="35"/>
  <c r="Q98" i="47"/>
  <c r="O77" i="48" s="1"/>
  <c r="R99" i="47"/>
  <c r="C100" i="47"/>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V101" i="47" l="1"/>
  <c r="AA101" i="47"/>
  <c r="G99" i="47"/>
  <c r="Q99" i="47" s="1"/>
  <c r="O78" i="48" s="1"/>
  <c r="Y99" i="47"/>
  <c r="DA69" i="35" s="1"/>
  <c r="X99" i="47"/>
  <c r="W99" i="47"/>
  <c r="AC99" i="47"/>
  <c r="AD99" i="47"/>
  <c r="DB69" i="35" s="1"/>
  <c r="AB99" i="47"/>
  <c r="F100" i="47"/>
  <c r="G100" i="47" s="1"/>
  <c r="D101" i="47"/>
  <c r="E101" i="47" s="1"/>
  <c r="H100" i="47"/>
  <c r="D283" i="52"/>
  <c r="H283" i="52"/>
  <c r="U139" i="74" s="1"/>
  <c r="D147" i="52"/>
  <c r="D284" i="52" a="1"/>
  <c r="G92" i="48"/>
  <c r="E92" i="48"/>
  <c r="L92" i="48"/>
  <c r="J92" i="48"/>
  <c r="M92" i="48"/>
  <c r="F92" i="48"/>
  <c r="H92" i="48"/>
  <c r="D92" i="48"/>
  <c r="K92" i="48"/>
  <c r="I92" i="48"/>
  <c r="BJ68" i="35"/>
  <c r="AD68" i="35"/>
  <c r="CE68" i="35" s="1"/>
  <c r="CE67" i="35"/>
  <c r="Z68" i="35"/>
  <c r="CD68" i="35" s="1"/>
  <c r="CD67" i="35"/>
  <c r="CP68" i="35"/>
  <c r="CC68" i="35"/>
  <c r="CP69" i="35"/>
  <c r="CC69" i="35"/>
  <c r="AH69" i="35"/>
  <c r="CF69" i="35" s="1"/>
  <c r="BM69" i="35"/>
  <c r="BL68" i="35"/>
  <c r="V70" i="35"/>
  <c r="BJ69" i="35"/>
  <c r="V93" i="48"/>
  <c r="AJ93" i="48"/>
  <c r="AC93" i="48"/>
  <c r="AF93" i="48"/>
  <c r="A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K101" i="47"/>
  <c r="C101" i="47"/>
  <c r="N99" i="47"/>
  <c r="M100" i="47"/>
  <c r="L100" i="47"/>
  <c r="O100" i="47"/>
  <c r="R100" i="47"/>
  <c r="BL67" i="35"/>
  <c r="CR67" i="35"/>
  <c r="BH67" i="35"/>
  <c r="CN67" i="35"/>
  <c r="BK67" i="35"/>
  <c r="CQ67" i="35"/>
  <c r="BG67" i="35"/>
  <c r="CM67" i="35"/>
  <c r="BO67" i="35"/>
  <c r="CU67" i="35"/>
  <c r="BP67" i="35"/>
  <c r="CV67" i="35"/>
  <c r="L150" i="52"/>
  <c r="I150" i="52" s="1"/>
  <c r="V102" i="47" l="1"/>
  <c r="AA102" i="47"/>
  <c r="W100" i="47"/>
  <c r="X100" i="47"/>
  <c r="Y100" i="47"/>
  <c r="DA70" i="35" s="1"/>
  <c r="AB100" i="47"/>
  <c r="AD100" i="47"/>
  <c r="DB70" i="35" s="1"/>
  <c r="AC100" i="47"/>
  <c r="F101" i="47"/>
  <c r="G101" i="47" s="1"/>
  <c r="H101" i="47"/>
  <c r="D102" i="47"/>
  <c r="F102" i="47" s="1"/>
  <c r="D284" i="52"/>
  <c r="H284" i="52"/>
  <c r="U140" i="74" s="1"/>
  <c r="D148" i="52"/>
  <c r="D285" i="52" a="1"/>
  <c r="G93" i="48"/>
  <c r="M93" i="48"/>
  <c r="L93" i="48"/>
  <c r="J93" i="48"/>
  <c r="E93" i="48"/>
  <c r="I93" i="48"/>
  <c r="K93" i="48"/>
  <c r="D93" i="48"/>
  <c r="H93" i="48"/>
  <c r="F93" i="48"/>
  <c r="AD69" i="35"/>
  <c r="CE69" i="35" s="1"/>
  <c r="Z69" i="35"/>
  <c r="CD69" i="35" s="1"/>
  <c r="BK68" i="35"/>
  <c r="CP70" i="35"/>
  <c r="CC70" i="35"/>
  <c r="AH70" i="35"/>
  <c r="CF70" i="35" s="1"/>
  <c r="BM70" i="35"/>
  <c r="BY68" i="35"/>
  <c r="BB70" i="35"/>
  <c r="CK70" i="35" s="1"/>
  <c r="V71" i="35"/>
  <c r="BJ70" i="35"/>
  <c r="BX67" i="35"/>
  <c r="G75" i="74" s="1" a="1"/>
  <c r="G75" i="74" s="1"/>
  <c r="V94" i="48"/>
  <c r="AH94" i="48"/>
  <c r="AN94" i="48"/>
  <c r="Z94" i="48"/>
  <c r="W94" i="48"/>
  <c r="AD94" i="48"/>
  <c r="AF94" i="48"/>
  <c r="AJ94" i="48"/>
  <c r="C113" i="65"/>
  <c r="A113" i="65" s="1"/>
  <c r="AE94" i="48"/>
  <c r="AG94" i="48"/>
  <c r="Y94" i="48"/>
  <c r="AA94" i="48"/>
  <c r="C95" i="48"/>
  <c r="AM95" i="48" s="1"/>
  <c r="A94" i="48"/>
  <c r="AM94" i="48"/>
  <c r="X94" i="48"/>
  <c r="AC94" i="48"/>
  <c r="AK94" i="48"/>
  <c r="AL94" i="48"/>
  <c r="AI94" i="48"/>
  <c r="CX69" i="35"/>
  <c r="AB94" i="48"/>
  <c r="AX71" i="35"/>
  <c r="BQ70" i="35"/>
  <c r="L346" i="86"/>
  <c r="O346" i="86" s="1"/>
  <c r="I346" i="86"/>
  <c r="E347" i="86"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G206" i="74" s="1" a="1"/>
  <c r="G206" i="74" s="1"/>
  <c r="F77" i="74"/>
  <c r="F78" i="74" s="1"/>
  <c r="F79" i="74" s="1"/>
  <c r="F80" i="74" s="1"/>
  <c r="F81" i="74" s="1"/>
  <c r="F82" i="74" s="1"/>
  <c r="F83" i="74" s="1"/>
  <c r="F84" i="74" s="1"/>
  <c r="F85" i="74" s="1"/>
  <c r="Q100" i="47"/>
  <c r="O79" i="48" s="1"/>
  <c r="C102" i="47"/>
  <c r="K102" i="47"/>
  <c r="R101" i="47"/>
  <c r="O101" i="47"/>
  <c r="M101" i="47"/>
  <c r="L101" i="47"/>
  <c r="N100" i="47"/>
  <c r="L151" i="52"/>
  <c r="I151" i="52" s="1"/>
  <c r="V103" i="47" l="1"/>
  <c r="AA103" i="47"/>
  <c r="Y101" i="47"/>
  <c r="DA71" i="35" s="1"/>
  <c r="X101" i="47"/>
  <c r="W101" i="47"/>
  <c r="AD101" i="47"/>
  <c r="DB71" i="35" s="1"/>
  <c r="AC101" i="47"/>
  <c r="AB101" i="47"/>
  <c r="E102" i="47"/>
  <c r="G102" i="47" s="1"/>
  <c r="H102" i="47"/>
  <c r="D103" i="47"/>
  <c r="F103" i="47" s="1"/>
  <c r="AH71" i="35"/>
  <c r="CF71" i="35" s="1"/>
  <c r="AD70" i="35"/>
  <c r="CE70" i="35" s="1"/>
  <c r="D285" i="52"/>
  <c r="H285" i="52"/>
  <c r="U141" i="74" s="1"/>
  <c r="D149" i="52"/>
  <c r="D286" i="52" a="1"/>
  <c r="BL69" i="35"/>
  <c r="M94" i="48"/>
  <c r="J94" i="48"/>
  <c r="H94" i="48"/>
  <c r="D94" i="48"/>
  <c r="E94" i="48"/>
  <c r="F94" i="48"/>
  <c r="K94" i="48"/>
  <c r="I94" i="48"/>
  <c r="G94" i="48"/>
  <c r="L94" i="48"/>
  <c r="BK69" i="35"/>
  <c r="Z70" i="35"/>
  <c r="CD70" i="35" s="1"/>
  <c r="CP71" i="35"/>
  <c r="CC71" i="35"/>
  <c r="AH72" i="35"/>
  <c r="CF72" i="35" s="1"/>
  <c r="BM71" i="35"/>
  <c r="BB71" i="35"/>
  <c r="CK71" i="35" s="1"/>
  <c r="BY69" i="35"/>
  <c r="V72" i="35"/>
  <c r="BJ71" i="35"/>
  <c r="C114" i="65"/>
  <c r="A114" i="65" s="1"/>
  <c r="W95" i="48"/>
  <c r="AH95" i="48"/>
  <c r="V95" i="48"/>
  <c r="X95" i="48"/>
  <c r="AL95" i="48"/>
  <c r="AB95" i="48"/>
  <c r="AE95" i="48"/>
  <c r="AG95" i="48"/>
  <c r="AN95" i="48"/>
  <c r="Y95" i="48"/>
  <c r="AA95" i="48"/>
  <c r="AD95" i="48"/>
  <c r="A95" i="48"/>
  <c r="AK95" i="48"/>
  <c r="Z95" i="48"/>
  <c r="AC95" i="48"/>
  <c r="AI95" i="48"/>
  <c r="C96" i="48"/>
  <c r="AI96" i="48" s="1"/>
  <c r="AJ95" i="48"/>
  <c r="AO95" i="48"/>
  <c r="AF95" i="48"/>
  <c r="AX72" i="35"/>
  <c r="BQ71" i="35"/>
  <c r="G347" i="86"/>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K103" i="47"/>
  <c r="C103" i="47"/>
  <c r="O102" i="47"/>
  <c r="M102" i="47"/>
  <c r="L102" i="47"/>
  <c r="R102" i="47"/>
  <c r="N101" i="47"/>
  <c r="Q101" i="47"/>
  <c r="O80" i="48" s="1"/>
  <c r="L152" i="52"/>
  <c r="I152" i="52" s="1"/>
  <c r="V104" i="47" l="1"/>
  <c r="AA104" i="47"/>
  <c r="Y102" i="47"/>
  <c r="DA72" i="35" s="1"/>
  <c r="W102" i="47"/>
  <c r="X102" i="47"/>
  <c r="AD102" i="47"/>
  <c r="DB72" i="35" s="1"/>
  <c r="AC102" i="47"/>
  <c r="AB102" i="47"/>
  <c r="H103" i="47"/>
  <c r="E103" i="47"/>
  <c r="G103" i="47" s="1"/>
  <c r="D104" i="47"/>
  <c r="E104" i="47" s="1"/>
  <c r="BL70" i="35"/>
  <c r="AD71" i="35"/>
  <c r="CE71" i="35" s="1"/>
  <c r="D286" i="52"/>
  <c r="H286" i="52"/>
  <c r="U142" i="74" s="1"/>
  <c r="D150" i="52"/>
  <c r="D287" i="52" a="1"/>
  <c r="Z71" i="35"/>
  <c r="CD71" i="35" s="1"/>
  <c r="BK70" i="35"/>
  <c r="F95" i="48"/>
  <c r="E95" i="48"/>
  <c r="D95" i="48"/>
  <c r="L95" i="48"/>
  <c r="K95" i="48"/>
  <c r="M95" i="48"/>
  <c r="G95" i="48"/>
  <c r="H95" i="48"/>
  <c r="J95" i="48"/>
  <c r="I95" i="48"/>
  <c r="CP72" i="35"/>
  <c r="CC72" i="35"/>
  <c r="AH73" i="35"/>
  <c r="CF73" i="35" s="1"/>
  <c r="BM72" i="35"/>
  <c r="BB72" i="35"/>
  <c r="CK72" i="35" s="1"/>
  <c r="V73" i="35"/>
  <c r="BJ72" i="35"/>
  <c r="V96" i="48"/>
  <c r="AC96" i="48"/>
  <c r="AB96" i="48"/>
  <c r="AN96" i="48"/>
  <c r="AD96" i="48"/>
  <c r="AF96" i="48"/>
  <c r="Z96" i="48"/>
  <c r="W96" i="48"/>
  <c r="AJ96" i="48"/>
  <c r="C115" i="65"/>
  <c r="A115" i="65" s="1"/>
  <c r="AG96" i="48"/>
  <c r="AO96" i="48"/>
  <c r="C97" i="48"/>
  <c r="AM97" i="48" s="1"/>
  <c r="AM96" i="48"/>
  <c r="AH96" i="48"/>
  <c r="AE96" i="48"/>
  <c r="AA96" i="48"/>
  <c r="X96" i="48"/>
  <c r="Y96" i="48"/>
  <c r="AK96" i="48"/>
  <c r="AL96" i="48"/>
  <c r="A96" i="48"/>
  <c r="AX73" i="35"/>
  <c r="BQ72" i="35"/>
  <c r="H347" i="86"/>
  <c r="K347" i="86"/>
  <c r="F153" i="52"/>
  <c r="C153" i="52"/>
  <c r="G153" i="52"/>
  <c r="E154" i="52"/>
  <c r="F96" i="74"/>
  <c r="BI21" i="63"/>
  <c r="BF22" i="63" s="1"/>
  <c r="BX69" i="35"/>
  <c r="F69" i="35" s="1"/>
  <c r="BR72" i="35"/>
  <c r="CX72" i="35"/>
  <c r="J71" i="35"/>
  <c r="CM71" i="35" s="1"/>
  <c r="BY71" i="35" s="1"/>
  <c r="BZ70" i="35"/>
  <c r="BG70" i="35"/>
  <c r="R73" i="35"/>
  <c r="CO73" i="35" s="1"/>
  <c r="CB72" i="35"/>
  <c r="BI72" i="35"/>
  <c r="N71" i="35"/>
  <c r="BH70" i="35"/>
  <c r="CA70" i="35"/>
  <c r="E73" i="35"/>
  <c r="C72" i="35"/>
  <c r="A72" i="35"/>
  <c r="R103" i="47"/>
  <c r="C104" i="47"/>
  <c r="K104" i="47"/>
  <c r="O103" i="47"/>
  <c r="M103" i="47"/>
  <c r="L103" i="47"/>
  <c r="N102" i="47"/>
  <c r="Q102" i="47"/>
  <c r="O81" i="48" s="1"/>
  <c r="L153" i="52"/>
  <c r="I153" i="52" s="1"/>
  <c r="AD72" i="35" l="1"/>
  <c r="CE72" i="35" s="1"/>
  <c r="V105" i="47"/>
  <c r="AA105" i="47"/>
  <c r="W103" i="47"/>
  <c r="X103" i="47"/>
  <c r="Y103" i="47"/>
  <c r="DA73" i="35" s="1"/>
  <c r="AC103" i="47"/>
  <c r="AB103" i="47"/>
  <c r="AD103" i="47"/>
  <c r="DB73" i="35" s="1"/>
  <c r="H104" i="47"/>
  <c r="F104" i="47"/>
  <c r="G104" i="47" s="1"/>
  <c r="D105" i="47"/>
  <c r="E105" i="47" s="1"/>
  <c r="BB73" i="35"/>
  <c r="CK73" i="35" s="1"/>
  <c r="BL71" i="35"/>
  <c r="BK71" i="35"/>
  <c r="Z72" i="35"/>
  <c r="CD72" i="35" s="1"/>
  <c r="D287" i="52"/>
  <c r="H287" i="52"/>
  <c r="U143" i="74" s="1"/>
  <c r="D151" i="52"/>
  <c r="D288" i="52" a="1"/>
  <c r="D96" i="48"/>
  <c r="G96" i="48"/>
  <c r="E96" i="48"/>
  <c r="J96" i="48"/>
  <c r="H96" i="48"/>
  <c r="M96" i="48"/>
  <c r="K96" i="48"/>
  <c r="L96" i="48"/>
  <c r="F96" i="48"/>
  <c r="I96" i="48"/>
  <c r="CP73" i="35"/>
  <c r="CC73" i="35"/>
  <c r="AH74" i="35"/>
  <c r="CF74" i="35" s="1"/>
  <c r="BM73" i="35"/>
  <c r="BL72" i="35"/>
  <c r="V74" i="35"/>
  <c r="BJ73" i="35"/>
  <c r="AL97" i="48"/>
  <c r="AN97" i="48"/>
  <c r="AD97" i="48"/>
  <c r="W97" i="48"/>
  <c r="AF97" i="48"/>
  <c r="C116" i="65"/>
  <c r="A116" i="65" s="1"/>
  <c r="V97" i="48"/>
  <c r="AE97" i="48"/>
  <c r="AG97" i="48"/>
  <c r="AH97" i="48"/>
  <c r="Y97" i="48"/>
  <c r="AA97" i="48"/>
  <c r="X97" i="48"/>
  <c r="A97" i="48"/>
  <c r="AK97" i="48"/>
  <c r="Z97" i="48"/>
  <c r="AC97" i="48"/>
  <c r="AI97" i="48"/>
  <c r="C98" i="48"/>
  <c r="W98" i="48" s="1"/>
  <c r="AJ97" i="48"/>
  <c r="AO97" i="48"/>
  <c r="AB97" i="48"/>
  <c r="AX74" i="35"/>
  <c r="BQ73" i="35"/>
  <c r="I347" i="86"/>
  <c r="E348" i="86" s="1"/>
  <c r="L347" i="86"/>
  <c r="O347" i="86" s="1"/>
  <c r="BX70" i="35"/>
  <c r="F70" i="35" s="1"/>
  <c r="F154" i="52"/>
  <c r="C154" i="52"/>
  <c r="E155" i="52"/>
  <c r="G154" i="52"/>
  <c r="F97" i="74"/>
  <c r="BI22" i="63"/>
  <c r="BF23" i="63" s="1"/>
  <c r="BI73" i="35"/>
  <c r="CB73" i="35"/>
  <c r="R74" i="35"/>
  <c r="CO74" i="35" s="1"/>
  <c r="BZ71" i="35"/>
  <c r="BG71" i="35"/>
  <c r="J72" i="35"/>
  <c r="CM72" i="35" s="1"/>
  <c r="BY72" i="35" s="1"/>
  <c r="CA71" i="35"/>
  <c r="BH71" i="35"/>
  <c r="N72" i="35"/>
  <c r="CX73" i="35"/>
  <c r="BR73" i="35"/>
  <c r="E74" i="35"/>
  <c r="C73" i="35"/>
  <c r="A73" i="35"/>
  <c r="K105" i="47"/>
  <c r="C105" i="47"/>
  <c r="N103" i="47"/>
  <c r="R104" i="47"/>
  <c r="L104" i="47"/>
  <c r="O104" i="47"/>
  <c r="M104" i="47"/>
  <c r="Q103" i="47"/>
  <c r="O82" i="48" s="1"/>
  <c r="L154" i="52"/>
  <c r="I154" i="52" s="1"/>
  <c r="BB74" i="35" l="1"/>
  <c r="CK74" i="35" s="1"/>
  <c r="AD73" i="35"/>
  <c r="CE73" i="35" s="1"/>
  <c r="V106" i="47"/>
  <c r="AA106" i="47"/>
  <c r="AD104" i="47"/>
  <c r="DB74" i="35" s="1"/>
  <c r="AC104" i="47"/>
  <c r="AB104" i="47"/>
  <c r="X104" i="47"/>
  <c r="Y104" i="47"/>
  <c r="DA74" i="35" s="1"/>
  <c r="W104" i="47"/>
  <c r="H105" i="47"/>
  <c r="F105" i="47"/>
  <c r="G105" i="47" s="1"/>
  <c r="D106" i="47"/>
  <c r="H106" i="47" s="1"/>
  <c r="BK72" i="35"/>
  <c r="Z73" i="35"/>
  <c r="CD73" i="35" s="1"/>
  <c r="D288" i="52"/>
  <c r="H288" i="52"/>
  <c r="U144" i="74" s="1"/>
  <c r="D152" i="52"/>
  <c r="D289" i="52" a="1"/>
  <c r="L97" i="48"/>
  <c r="J97" i="48"/>
  <c r="G97" i="48"/>
  <c r="M97" i="48"/>
  <c r="F97" i="48"/>
  <c r="I97" i="48"/>
  <c r="E97" i="48"/>
  <c r="H97" i="48"/>
  <c r="K97" i="48"/>
  <c r="D97" i="48"/>
  <c r="CP74" i="35"/>
  <c r="CC74" i="35"/>
  <c r="AH75" i="35"/>
  <c r="CF75" i="35" s="1"/>
  <c r="BM74" i="35"/>
  <c r="AD74" i="35"/>
  <c r="CE74" i="35" s="1"/>
  <c r="BL73" i="35"/>
  <c r="BK73" i="35"/>
  <c r="V75" i="35"/>
  <c r="BJ74" i="35"/>
  <c r="C117" i="65"/>
  <c r="A117" i="65" s="1"/>
  <c r="A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F155" i="52"/>
  <c r="E156" i="52"/>
  <c r="G155" i="52"/>
  <c r="C155" i="52"/>
  <c r="F98" i="74"/>
  <c r="BI23" i="63"/>
  <c r="BF24" i="63" s="1"/>
  <c r="BG72" i="35"/>
  <c r="J73" i="35"/>
  <c r="CM73" i="35" s="1"/>
  <c r="BY73" i="35" s="1"/>
  <c r="BZ72" i="35"/>
  <c r="BX71" i="35"/>
  <c r="F71" i="35" s="1"/>
  <c r="R75" i="35"/>
  <c r="CO75" i="35" s="1"/>
  <c r="BI74" i="35"/>
  <c r="CB74" i="35"/>
  <c r="BR74" i="35"/>
  <c r="CX74" i="35"/>
  <c r="CA72" i="35"/>
  <c r="BH72" i="35"/>
  <c r="N73" i="35"/>
  <c r="E75" i="35"/>
  <c r="C74" i="35"/>
  <c r="A74" i="35"/>
  <c r="N104" i="47"/>
  <c r="K106" i="47"/>
  <c r="C106" i="47"/>
  <c r="R105" i="47"/>
  <c r="M105" i="47"/>
  <c r="O105" i="47"/>
  <c r="L105" i="47"/>
  <c r="Q104" i="47"/>
  <c r="O83" i="48" s="1"/>
  <c r="L155" i="52"/>
  <c r="I155" i="52" s="1"/>
  <c r="BB75" i="35" l="1"/>
  <c r="CK75" i="35" s="1"/>
  <c r="Z74" i="35"/>
  <c r="CD74" i="35" s="1"/>
  <c r="V107" i="47"/>
  <c r="AA107" i="47"/>
  <c r="AB105" i="47"/>
  <c r="AD105" i="47"/>
  <c r="DB75" i="35" s="1"/>
  <c r="AC105" i="47"/>
  <c r="W105" i="47"/>
  <c r="X105" i="47"/>
  <c r="Y105" i="47"/>
  <c r="DA75" i="35" s="1"/>
  <c r="F106" i="47"/>
  <c r="E106" i="47"/>
  <c r="D107" i="47"/>
  <c r="F107" i="47" s="1"/>
  <c r="D289" i="52"/>
  <c r="H289" i="52"/>
  <c r="U145" i="74" s="1"/>
  <c r="D153" i="52"/>
  <c r="D290" i="52" a="1"/>
  <c r="J98" i="48"/>
  <c r="G98" i="48"/>
  <c r="L98" i="48"/>
  <c r="F98" i="48"/>
  <c r="D98" i="48"/>
  <c r="I98" i="48"/>
  <c r="M98" i="48"/>
  <c r="K98" i="48"/>
  <c r="E98" i="48"/>
  <c r="H98" i="48"/>
  <c r="CP75" i="35"/>
  <c r="CC75" i="35"/>
  <c r="AH76" i="35"/>
  <c r="CF76" i="35" s="1"/>
  <c r="BM75" i="35"/>
  <c r="AD75" i="35"/>
  <c r="CE75" i="35" s="1"/>
  <c r="BL74" i="35"/>
  <c r="BK74" i="35"/>
  <c r="V76" i="35"/>
  <c r="BJ75" i="35"/>
  <c r="AI99" i="48"/>
  <c r="AO99" i="48"/>
  <c r="AK99" i="48"/>
  <c r="AA99" i="48"/>
  <c r="AG99" i="48"/>
  <c r="AF99" i="48"/>
  <c r="AH99" i="48"/>
  <c r="V99" i="48"/>
  <c r="AE99" i="48"/>
  <c r="Y99" i="48"/>
  <c r="A99" i="48"/>
  <c r="AC99" i="48"/>
  <c r="C100" i="48"/>
  <c r="AA100" i="48" s="1"/>
  <c r="AM99" i="48"/>
  <c r="AJ99" i="48"/>
  <c r="AB99" i="48"/>
  <c r="Z99" i="48"/>
  <c r="W99" i="48"/>
  <c r="AL99" i="48"/>
  <c r="C118" i="65"/>
  <c r="A118" i="65" s="1"/>
  <c r="AD99" i="48"/>
  <c r="AN99" i="48"/>
  <c r="AX76" i="35"/>
  <c r="BQ75" i="35"/>
  <c r="H348" i="86"/>
  <c r="K348" i="86"/>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K107" i="47"/>
  <c r="C107" i="47"/>
  <c r="N105" i="47"/>
  <c r="Q105" i="47"/>
  <c r="O84" i="48" s="1"/>
  <c r="R106" i="47"/>
  <c r="M106" i="47"/>
  <c r="O106" i="47"/>
  <c r="L106" i="47"/>
  <c r="L156" i="52"/>
  <c r="I156" i="52" s="1"/>
  <c r="Z75" i="35" l="1"/>
  <c r="CD75" i="35" s="1"/>
  <c r="V108" i="47"/>
  <c r="AA108" i="47"/>
  <c r="Y106" i="47"/>
  <c r="DA76" i="35" s="1"/>
  <c r="X106" i="47"/>
  <c r="W106" i="47"/>
  <c r="AD106" i="47"/>
  <c r="DB76" i="35" s="1"/>
  <c r="AC106" i="47"/>
  <c r="AB106" i="47"/>
  <c r="E107" i="47"/>
  <c r="G107" i="47" s="1"/>
  <c r="G106" i="47"/>
  <c r="Q106" i="47" s="1"/>
  <c r="O85" i="48" s="1"/>
  <c r="H107" i="47"/>
  <c r="D108" i="47"/>
  <c r="E108" i="47" s="1"/>
  <c r="D290" i="52"/>
  <c r="H290" i="52"/>
  <c r="U146" i="74" s="1"/>
  <c r="D154" i="52"/>
  <c r="D291" i="52" a="1"/>
  <c r="H99" i="48"/>
  <c r="E99" i="48"/>
  <c r="I99" i="48"/>
  <c r="F99" i="48"/>
  <c r="J99" i="48"/>
  <c r="G99" i="48"/>
  <c r="D99" i="48"/>
  <c r="K99" i="48"/>
  <c r="M99" i="48"/>
  <c r="L99" i="48"/>
  <c r="CP76" i="35"/>
  <c r="CC76" i="35"/>
  <c r="AH77" i="35"/>
  <c r="CF77" i="35" s="1"/>
  <c r="BM76" i="35"/>
  <c r="AD76" i="35"/>
  <c r="CE76" i="35" s="1"/>
  <c r="BL75" i="35"/>
  <c r="Z76" i="35"/>
  <c r="CD76" i="35" s="1"/>
  <c r="BK75" i="35"/>
  <c r="V77" i="35"/>
  <c r="BJ76" i="35"/>
  <c r="AH100" i="48"/>
  <c r="AN100" i="48"/>
  <c r="AC100" i="48"/>
  <c r="AF100" i="48"/>
  <c r="AM100" i="48"/>
  <c r="V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R107" i="47"/>
  <c r="C108" i="47"/>
  <c r="K108" i="47"/>
  <c r="M107" i="47"/>
  <c r="L107" i="47"/>
  <c r="O107" i="47"/>
  <c r="N106" i="47"/>
  <c r="L157" i="52"/>
  <c r="I157" i="52" s="1"/>
  <c r="V109" i="47" l="1"/>
  <c r="AA109" i="47"/>
  <c r="Y107" i="47"/>
  <c r="DA77" i="35" s="1"/>
  <c r="W107" i="47"/>
  <c r="X107" i="47"/>
  <c r="AD107" i="47"/>
  <c r="DB77" i="35" s="1"/>
  <c r="AC107" i="47"/>
  <c r="AB107" i="47"/>
  <c r="H108" i="47"/>
  <c r="F108" i="47"/>
  <c r="G108" i="47" s="1"/>
  <c r="D109" i="47"/>
  <c r="H109" i="47" s="1"/>
  <c r="D291" i="52"/>
  <c r="H291" i="52"/>
  <c r="U147" i="74" s="1"/>
  <c r="D155" i="52"/>
  <c r="D292" i="52" a="1"/>
  <c r="H100" i="48"/>
  <c r="G100" i="48"/>
  <c r="J100" i="48"/>
  <c r="L100" i="48"/>
  <c r="M100" i="48"/>
  <c r="F100" i="48"/>
  <c r="D100" i="48"/>
  <c r="K100" i="48"/>
  <c r="I100" i="48"/>
  <c r="E100" i="48"/>
  <c r="CP77" i="35"/>
  <c r="CC77" i="35"/>
  <c r="AH78" i="35"/>
  <c r="CF78" i="35" s="1"/>
  <c r="BM77" i="35"/>
  <c r="AD77" i="35"/>
  <c r="CE77" i="35" s="1"/>
  <c r="BL76" i="35"/>
  <c r="Z77" i="35"/>
  <c r="CD77" i="35" s="1"/>
  <c r="BK76" i="35"/>
  <c r="V78" i="35"/>
  <c r="BJ77" i="35"/>
  <c r="AL101" i="48"/>
  <c r="AD101" i="48"/>
  <c r="AN101" i="48"/>
  <c r="W101" i="48"/>
  <c r="C120" i="65"/>
  <c r="A120" i="65" s="1"/>
  <c r="AG101" i="48"/>
  <c r="Z101" i="48"/>
  <c r="AE101" i="48"/>
  <c r="AA101" i="48"/>
  <c r="AB101" i="48"/>
  <c r="Y101" i="48"/>
  <c r="V101" i="48"/>
  <c r="AC101" i="48"/>
  <c r="AO101" i="48"/>
  <c r="AH101" i="48"/>
  <c r="AM101" i="48"/>
  <c r="X101" i="48"/>
  <c r="AJ101" i="48"/>
  <c r="AI101" i="48"/>
  <c r="C102" i="48"/>
  <c r="AO102" i="48" s="1"/>
  <c r="AF101" i="48"/>
  <c r="A101" i="48"/>
  <c r="AX78" i="35"/>
  <c r="BQ77" i="35"/>
  <c r="G349" i="86"/>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K109" i="47"/>
  <c r="C109" i="47"/>
  <c r="N107" i="47"/>
  <c r="O108" i="47"/>
  <c r="M108" i="47"/>
  <c r="L108" i="47"/>
  <c r="R108" i="47"/>
  <c r="Q107" i="47"/>
  <c r="O86" i="48" s="1"/>
  <c r="L158" i="52"/>
  <c r="I158" i="52" s="1"/>
  <c r="V110" i="47" l="1"/>
  <c r="AA110" i="47"/>
  <c r="AC108" i="47"/>
  <c r="AB108" i="47"/>
  <c r="AD108" i="47"/>
  <c r="DB78" i="35" s="1"/>
  <c r="W108" i="47"/>
  <c r="X108" i="47"/>
  <c r="Y108" i="47"/>
  <c r="DA78" i="35" s="1"/>
  <c r="E109" i="47"/>
  <c r="F109" i="47"/>
  <c r="D110" i="47"/>
  <c r="H110" i="47" s="1"/>
  <c r="D292" i="52"/>
  <c r="H292" i="52"/>
  <c r="U148" i="74" s="1"/>
  <c r="D156" i="52"/>
  <c r="D293" i="52" a="1"/>
  <c r="H101" i="48"/>
  <c r="K101" i="48"/>
  <c r="J101" i="48"/>
  <c r="M101" i="48"/>
  <c r="D101" i="48"/>
  <c r="I101" i="48"/>
  <c r="L101" i="48"/>
  <c r="G101" i="48"/>
  <c r="E101" i="48"/>
  <c r="F101" i="48"/>
  <c r="CP78" i="35"/>
  <c r="CC78" i="35"/>
  <c r="AH79" i="35"/>
  <c r="CF79" i="35" s="1"/>
  <c r="BM78" i="35"/>
  <c r="AD78" i="35"/>
  <c r="CE78" i="35" s="1"/>
  <c r="BL77" i="35"/>
  <c r="Z78" i="35"/>
  <c r="CD78" i="35" s="1"/>
  <c r="BK77" i="35"/>
  <c r="V79" i="35"/>
  <c r="BJ78" i="35"/>
  <c r="AM102" i="48"/>
  <c r="AJ102" i="48"/>
  <c r="W102" i="48"/>
  <c r="Z102" i="48"/>
  <c r="AL102" i="48"/>
  <c r="AB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Q108" i="47"/>
  <c r="O87" i="48" s="1"/>
  <c r="R109" i="47"/>
  <c r="C110" i="47"/>
  <c r="K110" i="47"/>
  <c r="O109" i="47"/>
  <c r="M109" i="47"/>
  <c r="L109" i="47"/>
  <c r="N108" i="47"/>
  <c r="L159" i="52"/>
  <c r="I159" i="52" s="1"/>
  <c r="V111" i="47" l="1"/>
  <c r="AA111" i="47"/>
  <c r="AD109" i="47"/>
  <c r="DB79" i="35" s="1"/>
  <c r="AC109" i="47"/>
  <c r="AB109" i="47"/>
  <c r="X109" i="47"/>
  <c r="Y109" i="47"/>
  <c r="DA79" i="35" s="1"/>
  <c r="W109" i="47"/>
  <c r="G109" i="47"/>
  <c r="Q109" i="47" s="1"/>
  <c r="O88" i="48" s="1"/>
  <c r="E110" i="47"/>
  <c r="F110" i="47"/>
  <c r="D111" i="47"/>
  <c r="E111" i="47" s="1"/>
  <c r="D293" i="52"/>
  <c r="H293" i="52"/>
  <c r="U149" i="74" s="1"/>
  <c r="D157" i="52"/>
  <c r="D294" i="52" a="1"/>
  <c r="K102" i="48"/>
  <c r="E102" i="48"/>
  <c r="M102" i="48"/>
  <c r="D102" i="48"/>
  <c r="I102" i="48"/>
  <c r="G102" i="48"/>
  <c r="H102" i="48"/>
  <c r="J102" i="48"/>
  <c r="L102" i="48"/>
  <c r="F102" i="48"/>
  <c r="CP79" i="35"/>
  <c r="CC79" i="35"/>
  <c r="AH80" i="35"/>
  <c r="CF80" i="35" s="1"/>
  <c r="BM79" i="35"/>
  <c r="AD79" i="35"/>
  <c r="CE79" i="35" s="1"/>
  <c r="BL78" i="35"/>
  <c r="Z79" i="35"/>
  <c r="CD79" i="35" s="1"/>
  <c r="BK78" i="35"/>
  <c r="V80" i="35"/>
  <c r="BJ79" i="35"/>
  <c r="AB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G160" i="52"/>
  <c r="F160" i="52"/>
  <c r="C160" i="52"/>
  <c r="E161" i="52"/>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K111" i="47"/>
  <c r="C111" i="47"/>
  <c r="L110" i="47"/>
  <c r="O110" i="47"/>
  <c r="M110" i="47"/>
  <c r="R110" i="47"/>
  <c r="N109" i="47"/>
  <c r="L160" i="52"/>
  <c r="I160" i="52" s="1"/>
  <c r="V112" i="47" l="1"/>
  <c r="AA112" i="47"/>
  <c r="AB110" i="47"/>
  <c r="AD110" i="47"/>
  <c r="DB80" i="35" s="1"/>
  <c r="AC110" i="47"/>
  <c r="W110" i="47"/>
  <c r="X110" i="47"/>
  <c r="Y110" i="47"/>
  <c r="DA80" i="35" s="1"/>
  <c r="G110" i="47"/>
  <c r="Q110" i="47" s="1"/>
  <c r="O89" i="48" s="1"/>
  <c r="F111" i="47"/>
  <c r="G111" i="47" s="1"/>
  <c r="H111" i="47"/>
  <c r="D112" i="47"/>
  <c r="E112" i="47" s="1"/>
  <c r="D294" i="52"/>
  <c r="H294" i="52"/>
  <c r="U150" i="74" s="1"/>
  <c r="D158" i="52"/>
  <c r="D295" i="52" a="1"/>
  <c r="C161" i="52"/>
  <c r="K103" i="48"/>
  <c r="E103" i="48"/>
  <c r="G103" i="48"/>
  <c r="F103" i="48"/>
  <c r="J103" i="48"/>
  <c r="M103" i="48"/>
  <c r="D103" i="48"/>
  <c r="I103" i="48"/>
  <c r="L103" i="48"/>
  <c r="H103" i="48"/>
  <c r="CP80" i="35"/>
  <c r="CC80" i="35"/>
  <c r="AH81" i="35"/>
  <c r="CF81" i="35" s="1"/>
  <c r="BM80" i="35"/>
  <c r="AD80" i="35"/>
  <c r="CE80" i="35" s="1"/>
  <c r="BL79" i="35"/>
  <c r="Z80" i="35"/>
  <c r="CD80" i="35" s="1"/>
  <c r="BK79" i="35"/>
  <c r="V81" i="35"/>
  <c r="BJ80" i="35"/>
  <c r="AD104" i="48"/>
  <c r="AN104" i="48"/>
  <c r="AL104" i="48"/>
  <c r="W104" i="48"/>
  <c r="C123" i="65"/>
  <c r="A123" i="65" s="1"/>
  <c r="Z104" i="48"/>
  <c r="C105" i="48"/>
  <c r="AO105" i="48" s="1"/>
  <c r="AG104" i="48"/>
  <c r="V104" i="48"/>
  <c r="AA104" i="48"/>
  <c r="AB104" i="48"/>
  <c r="AE104" i="48"/>
  <c r="AO104" i="48"/>
  <c r="X104" i="48"/>
  <c r="Y104" i="48"/>
  <c r="AM104" i="48"/>
  <c r="AJ104" i="48"/>
  <c r="AF104" i="48"/>
  <c r="A104" i="48"/>
  <c r="AK104" i="48"/>
  <c r="AH104" i="48"/>
  <c r="AC104" i="48"/>
  <c r="AX81" i="35"/>
  <c r="BQ80" i="35"/>
  <c r="G350" i="86"/>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N110" i="47"/>
  <c r="K112" i="47"/>
  <c r="C112" i="47"/>
  <c r="R111" i="47"/>
  <c r="O111" i="47"/>
  <c r="M111" i="47"/>
  <c r="L111" i="47"/>
  <c r="L161" i="52"/>
  <c r="I161" i="52" s="1"/>
  <c r="V113" i="47" l="1"/>
  <c r="AA113" i="47"/>
  <c r="AD111" i="47"/>
  <c r="DB81" i="35" s="1"/>
  <c r="AC111" i="47"/>
  <c r="AB111" i="47"/>
  <c r="Y111" i="47"/>
  <c r="DA81" i="35" s="1"/>
  <c r="W111" i="47"/>
  <c r="X111" i="47"/>
  <c r="F112" i="47"/>
  <c r="G112" i="47" s="1"/>
  <c r="H112" i="47"/>
  <c r="D113" i="47"/>
  <c r="E113" i="47" s="1"/>
  <c r="D295" i="52"/>
  <c r="H295" i="52"/>
  <c r="U151" i="74" s="1"/>
  <c r="D159" i="52"/>
  <c r="D296" i="52" a="1"/>
  <c r="J104" i="48"/>
  <c r="L104" i="48"/>
  <c r="I104" i="48"/>
  <c r="E104" i="48"/>
  <c r="M104" i="48"/>
  <c r="G104" i="48"/>
  <c r="H104" i="48"/>
  <c r="D104" i="48"/>
  <c r="K104" i="48"/>
  <c r="F104" i="48"/>
  <c r="CP81" i="35"/>
  <c r="CC81" i="35"/>
  <c r="AH82" i="35"/>
  <c r="CF82" i="35" s="1"/>
  <c r="BM81" i="35"/>
  <c r="AD81" i="35"/>
  <c r="CE81" i="35" s="1"/>
  <c r="BL80" i="35"/>
  <c r="Z81" i="35"/>
  <c r="CD81" i="35" s="1"/>
  <c r="BK80" i="35"/>
  <c r="V82" i="35"/>
  <c r="BJ81" i="35"/>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K113" i="47"/>
  <c r="C113" i="47"/>
  <c r="N111" i="47"/>
  <c r="Q111" i="47"/>
  <c r="O90" i="48" s="1"/>
  <c r="R112" i="47"/>
  <c r="M112" i="47"/>
  <c r="L112" i="47"/>
  <c r="O112" i="47"/>
  <c r="L162" i="52"/>
  <c r="V114" i="47" l="1"/>
  <c r="AA114" i="47"/>
  <c r="AD112" i="47"/>
  <c r="DB82" i="35" s="1"/>
  <c r="AC112" i="47"/>
  <c r="AB112" i="47"/>
  <c r="Y112" i="47"/>
  <c r="DA82" i="35" s="1"/>
  <c r="W112" i="47"/>
  <c r="X112" i="47"/>
  <c r="H113" i="47"/>
  <c r="F113" i="47"/>
  <c r="G113" i="47" s="1"/>
  <c r="D114" i="47"/>
  <c r="F114" i="47" s="1"/>
  <c r="D296" i="52"/>
  <c r="H296" i="52"/>
  <c r="U152" i="74" s="1"/>
  <c r="D160" i="52"/>
  <c r="D297" i="52" a="1"/>
  <c r="J105" i="48"/>
  <c r="H105" i="48"/>
  <c r="M105" i="48"/>
  <c r="K105" i="48"/>
  <c r="G105" i="48"/>
  <c r="I105" i="48"/>
  <c r="F105" i="48"/>
  <c r="L105" i="48"/>
  <c r="D105" i="48"/>
  <c r="E105" i="48"/>
  <c r="CP82" i="35"/>
  <c r="CC82" i="35"/>
  <c r="AH83" i="35"/>
  <c r="CF83" i="35" s="1"/>
  <c r="BM82" i="35"/>
  <c r="AD82" i="35"/>
  <c r="CE82" i="35" s="1"/>
  <c r="BL81" i="35"/>
  <c r="Z82" i="35"/>
  <c r="CD82" i="35" s="1"/>
  <c r="BK81" i="35"/>
  <c r="V83" i="35"/>
  <c r="BJ82" i="35"/>
  <c r="AI106" i="48"/>
  <c r="AO106" i="48"/>
  <c r="AN106" i="48"/>
  <c r="AK106" i="48"/>
  <c r="AM106" i="48"/>
  <c r="A106" i="48"/>
  <c r="Y106" i="48"/>
  <c r="AC106" i="48"/>
  <c r="C107" i="48"/>
  <c r="AI107" i="48" s="1"/>
  <c r="AH106" i="48"/>
  <c r="V106" i="48"/>
  <c r="AF106" i="48"/>
  <c r="AD106" i="48"/>
  <c r="AA106" i="48"/>
  <c r="AJ106" i="48"/>
  <c r="X106" i="48"/>
  <c r="AL106" i="48"/>
  <c r="W106" i="48"/>
  <c r="Z106" i="48"/>
  <c r="C125" i="65"/>
  <c r="A125" i="65" s="1"/>
  <c r="AB106" i="48"/>
  <c r="AE106" i="48"/>
  <c r="AX83" i="35"/>
  <c r="BQ82" i="35"/>
  <c r="L350" i="86"/>
  <c r="O350" i="86" s="1"/>
  <c r="I350" i="86"/>
  <c r="E351" i="86"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C114" i="47"/>
  <c r="K114" i="47"/>
  <c r="R113" i="47"/>
  <c r="O113" i="47"/>
  <c r="M113" i="47"/>
  <c r="L113" i="47"/>
  <c r="N112" i="47"/>
  <c r="Q112" i="47"/>
  <c r="O91" i="48" s="1"/>
  <c r="I162" i="52"/>
  <c r="L163" i="52"/>
  <c r="V115" i="47" l="1"/>
  <c r="AA115" i="47"/>
  <c r="AC113" i="47"/>
  <c r="AB113" i="47"/>
  <c r="AD113" i="47"/>
  <c r="DB83" i="35" s="1"/>
  <c r="W113" i="47"/>
  <c r="X113" i="47"/>
  <c r="Y113" i="47"/>
  <c r="DA83" i="35" s="1"/>
  <c r="H114" i="47"/>
  <c r="E114" i="47"/>
  <c r="G114" i="47" s="1"/>
  <c r="D115" i="47"/>
  <c r="E115" i="47" s="1"/>
  <c r="D297" i="52"/>
  <c r="H297" i="52"/>
  <c r="U153" i="74" s="1"/>
  <c r="D161" i="52"/>
  <c r="D298" i="52" a="1"/>
  <c r="F106" i="48"/>
  <c r="K106" i="48"/>
  <c r="G106" i="48"/>
  <c r="D106" i="48"/>
  <c r="H106" i="48"/>
  <c r="M106" i="48"/>
  <c r="I106" i="48"/>
  <c r="L106" i="48"/>
  <c r="E106" i="48"/>
  <c r="J106" i="48"/>
  <c r="CP83" i="35"/>
  <c r="CC83" i="35"/>
  <c r="AH84" i="35"/>
  <c r="CF84" i="35" s="1"/>
  <c r="BM83" i="35"/>
  <c r="AD83" i="35"/>
  <c r="CE83" i="35" s="1"/>
  <c r="BL82" i="35"/>
  <c r="Z83" i="35"/>
  <c r="CD83" i="35" s="1"/>
  <c r="BK82" i="35"/>
  <c r="V84" i="35"/>
  <c r="BJ83" i="35"/>
  <c r="AN107" i="48"/>
  <c r="W107" i="48"/>
  <c r="AJ107" i="48"/>
  <c r="AF107" i="48"/>
  <c r="C126" i="65"/>
  <c r="A126" i="65" s="1"/>
  <c r="V107" i="48"/>
  <c r="AG107" i="48"/>
  <c r="C108" i="48"/>
  <c r="AO108" i="48" s="1"/>
  <c r="AA107" i="48"/>
  <c r="X107" i="48"/>
  <c r="AE107" i="48"/>
  <c r="AO107" i="48"/>
  <c r="Z107" i="48"/>
  <c r="Y107" i="48"/>
  <c r="AM107" i="48"/>
  <c r="AL107" i="48"/>
  <c r="AB107" i="48"/>
  <c r="AH107" i="48"/>
  <c r="A107" i="48"/>
  <c r="AK107" i="48"/>
  <c r="AD107" i="48"/>
  <c r="AC107" i="48"/>
  <c r="AX84" i="35"/>
  <c r="BQ83" i="35"/>
  <c r="G351" i="86"/>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K115" i="47"/>
  <c r="C115" i="47"/>
  <c r="N113" i="47"/>
  <c r="Q113" i="47"/>
  <c r="O92" i="48" s="1"/>
  <c r="O114" i="47"/>
  <c r="L114" i="47"/>
  <c r="M114" i="47"/>
  <c r="R114" i="47"/>
  <c r="I163" i="52"/>
  <c r="L164" i="52"/>
  <c r="V116" i="47" l="1"/>
  <c r="AA116" i="47"/>
  <c r="Y114" i="47"/>
  <c r="DA84" i="35" s="1"/>
  <c r="X114" i="47"/>
  <c r="W114" i="47"/>
  <c r="AD114" i="47"/>
  <c r="DB84" i="35" s="1"/>
  <c r="AC114" i="47"/>
  <c r="AB114" i="47"/>
  <c r="F115" i="47"/>
  <c r="G115" i="47" s="1"/>
  <c r="H115" i="47"/>
  <c r="D116" i="47"/>
  <c r="H116" i="47" s="1"/>
  <c r="D298" i="52"/>
  <c r="H298" i="52"/>
  <c r="U154" i="74" s="1"/>
  <c r="D162" i="52"/>
  <c r="D299" i="52" a="1"/>
  <c r="H107" i="48"/>
  <c r="F107" i="48"/>
  <c r="K107" i="48"/>
  <c r="D107" i="48"/>
  <c r="L107" i="48"/>
  <c r="G107" i="48"/>
  <c r="I107" i="48"/>
  <c r="M107" i="48"/>
  <c r="E107" i="48"/>
  <c r="J107" i="48"/>
  <c r="CP84" i="35"/>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AL108" i="48"/>
  <c r="C127" i="65"/>
  <c r="A127" i="65" s="1"/>
  <c r="AG108" i="48"/>
  <c r="C109" i="48"/>
  <c r="AG109" i="48" s="1"/>
  <c r="Z108" i="48"/>
  <c r="AA108" i="48"/>
  <c r="AB108" i="48"/>
  <c r="AK108" i="48"/>
  <c r="AE108" i="48"/>
  <c r="V108" i="48"/>
  <c r="Y108" i="48"/>
  <c r="AI108" i="48"/>
  <c r="AH108" i="48"/>
  <c r="A108" i="48"/>
  <c r="AM108" i="48"/>
  <c r="X108" i="48"/>
  <c r="AJ108" i="48"/>
  <c r="AD108" i="48"/>
  <c r="AN108" i="48"/>
  <c r="W108" i="48"/>
  <c r="AF108" i="48"/>
  <c r="AC108" i="48"/>
  <c r="AX85" i="35"/>
  <c r="BQ84" i="35"/>
  <c r="H351" i="86"/>
  <c r="K351" i="86"/>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N114" i="47"/>
  <c r="R115" i="47"/>
  <c r="Q114" i="47"/>
  <c r="O93" i="48" s="1"/>
  <c r="C116" i="47"/>
  <c r="K116" i="47"/>
  <c r="M115" i="47"/>
  <c r="L115" i="47"/>
  <c r="O115" i="47"/>
  <c r="I164" i="52"/>
  <c r="L165" i="52"/>
  <c r="V117" i="47" l="1"/>
  <c r="AA117" i="47"/>
  <c r="AB115" i="47"/>
  <c r="AD115" i="47"/>
  <c r="DB85" i="35" s="1"/>
  <c r="AC115" i="47"/>
  <c r="W115" i="47"/>
  <c r="Y115" i="47"/>
  <c r="DA85" i="35" s="1"/>
  <c r="X115" i="47"/>
  <c r="F116" i="47"/>
  <c r="E116" i="47"/>
  <c r="D117" i="47"/>
  <c r="F117" i="47" s="1"/>
  <c r="D299" i="52"/>
  <c r="H299" i="52"/>
  <c r="U155" i="74" s="1"/>
  <c r="D163" i="52"/>
  <c r="D300" i="52" a="1"/>
  <c r="M108" i="48"/>
  <c r="L108" i="48"/>
  <c r="J108" i="48"/>
  <c r="I108" i="48"/>
  <c r="D108" i="48"/>
  <c r="H108" i="48"/>
  <c r="K108" i="48"/>
  <c r="G108" i="48"/>
  <c r="E108" i="48"/>
  <c r="F108" i="48"/>
  <c r="CP85" i="35"/>
  <c r="CC85" i="35"/>
  <c r="AH86" i="35"/>
  <c r="CF86" i="35" s="1"/>
  <c r="BM85" i="35"/>
  <c r="AD85" i="35"/>
  <c r="CE85" i="35" s="1"/>
  <c r="BL84" i="35"/>
  <c r="Z85" i="35"/>
  <c r="CD85" i="35" s="1"/>
  <c r="BK84" i="35"/>
  <c r="V86" i="35"/>
  <c r="BJ85" i="35"/>
  <c r="AM109" i="48"/>
  <c r="AO109" i="48"/>
  <c r="AB109" i="48"/>
  <c r="AD109" i="48"/>
  <c r="AN109" i="48"/>
  <c r="AI109" i="48"/>
  <c r="Y109" i="48"/>
  <c r="A109" i="48"/>
  <c r="AC109" i="48"/>
  <c r="AK109" i="48"/>
  <c r="C110" i="48"/>
  <c r="AA110" i="48" s="1"/>
  <c r="X109" i="48"/>
  <c r="AJ109" i="48"/>
  <c r="Z109" i="48"/>
  <c r="AL109" i="48"/>
  <c r="AA109" i="48"/>
  <c r="AF109" i="48"/>
  <c r="W109" i="48"/>
  <c r="AH109" i="48"/>
  <c r="C128" i="65"/>
  <c r="A128" i="65" s="1"/>
  <c r="V109" i="48"/>
  <c r="AE109" i="48"/>
  <c r="AX86" i="35"/>
  <c r="BQ85" i="35"/>
  <c r="I351" i="86"/>
  <c r="E352" i="86" s="1"/>
  <c r="L351" i="86"/>
  <c r="O351" i="86"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R86" i="35"/>
  <c r="CO86" i="35" s="1"/>
  <c r="BI85" i="35"/>
  <c r="CB85" i="35"/>
  <c r="N84" i="35"/>
  <c r="BH83" i="35"/>
  <c r="CA83" i="35"/>
  <c r="J84" i="35"/>
  <c r="CM84" i="35" s="1"/>
  <c r="BY84" i="35" s="1"/>
  <c r="BZ83" i="35"/>
  <c r="BG83" i="35"/>
  <c r="CX85" i="35"/>
  <c r="BR85" i="35"/>
  <c r="BB86" i="35"/>
  <c r="CK86" i="35" s="1"/>
  <c r="BX82" i="35"/>
  <c r="F82" i="35" s="1"/>
  <c r="E86" i="35"/>
  <c r="C85" i="35"/>
  <c r="A85" i="35"/>
  <c r="K117" i="47"/>
  <c r="O75" i="74" s="1" a="1"/>
  <c r="O75" i="74" s="1"/>
  <c r="C117" i="47"/>
  <c r="N115" i="47"/>
  <c r="O116" i="47"/>
  <c r="M116" i="47"/>
  <c r="L116" i="47"/>
  <c r="R116" i="47"/>
  <c r="Q115" i="47"/>
  <c r="O94" i="48" s="1"/>
  <c r="I165" i="52"/>
  <c r="L166" i="52"/>
  <c r="V118" i="47" l="1"/>
  <c r="AA118" i="47"/>
  <c r="AD116" i="47"/>
  <c r="DB86" i="35" s="1"/>
  <c r="AC116" i="47"/>
  <c r="AB116" i="47"/>
  <c r="Y116" i="47"/>
  <c r="DA86" i="35" s="1"/>
  <c r="W116" i="47"/>
  <c r="X116" i="47"/>
  <c r="G116" i="47"/>
  <c r="Q116" i="47" s="1"/>
  <c r="O95" i="48" s="1"/>
  <c r="N75" i="74" a="1"/>
  <c r="N75" i="74" s="1"/>
  <c r="E117" i="47"/>
  <c r="G117" i="47" s="1"/>
  <c r="H117" i="47"/>
  <c r="D118" i="47"/>
  <c r="E118" i="47" s="1"/>
  <c r="D300" i="52"/>
  <c r="H300" i="52"/>
  <c r="U156" i="74" s="1"/>
  <c r="D164" i="52"/>
  <c r="D301" i="52" a="1"/>
  <c r="J109" i="48"/>
  <c r="I109" i="48"/>
  <c r="D109" i="48"/>
  <c r="E109" i="48"/>
  <c r="K109" i="48"/>
  <c r="G109" i="48"/>
  <c r="L109" i="48"/>
  <c r="M109" i="48"/>
  <c r="F109" i="48"/>
  <c r="H109" i="48"/>
  <c r="CP86" i="35"/>
  <c r="CC86" i="35"/>
  <c r="AH87" i="35"/>
  <c r="CF87" i="35" s="1"/>
  <c r="BM86" i="35"/>
  <c r="AD86" i="35"/>
  <c r="CE86" i="35" s="1"/>
  <c r="BL85" i="35"/>
  <c r="Z86" i="35"/>
  <c r="CD86" i="35" s="1"/>
  <c r="BK85" i="35"/>
  <c r="V87" i="35"/>
  <c r="BJ86" i="35"/>
  <c r="BX83" i="35"/>
  <c r="F83" i="35" s="1"/>
  <c r="A110" i="48"/>
  <c r="AC110" i="48"/>
  <c r="V110" i="48"/>
  <c r="AH110" i="48"/>
  <c r="AO110" i="48"/>
  <c r="AB110" i="48"/>
  <c r="AM110" i="48"/>
  <c r="AD110" i="48"/>
  <c r="X110" i="48"/>
  <c r="AF110" i="48"/>
  <c r="Z110" i="48"/>
  <c r="W110" i="48"/>
  <c r="C129" i="65"/>
  <c r="A129" i="65" s="1"/>
  <c r="AG110" i="48"/>
  <c r="C111" i="48"/>
  <c r="W111" i="48" s="1"/>
  <c r="AI110" i="48"/>
  <c r="AN110" i="48"/>
  <c r="AJ110" i="48"/>
  <c r="AE110" i="48"/>
  <c r="AK110" i="48"/>
  <c r="AL110" i="48"/>
  <c r="Y110" i="48"/>
  <c r="AX87" i="35"/>
  <c r="BQ86" i="35"/>
  <c r="G352" i="86"/>
  <c r="G167" i="52"/>
  <c r="F167" i="52"/>
  <c r="C167" i="52"/>
  <c r="E168" i="52"/>
  <c r="BI35" i="63"/>
  <c r="BF36" i="63" s="1"/>
  <c r="BZ84" i="35"/>
  <c r="BG84" i="35"/>
  <c r="J85" i="35"/>
  <c r="CM85" i="35" s="1"/>
  <c r="BY85" i="35" s="1"/>
  <c r="BH84" i="35"/>
  <c r="N85" i="35"/>
  <c r="CA84" i="35"/>
  <c r="BB87" i="35"/>
  <c r="CK87" i="35" s="1"/>
  <c r="BR86" i="35"/>
  <c r="CX86" i="35"/>
  <c r="BI86" i="35"/>
  <c r="R87" i="35"/>
  <c r="CO87" i="35" s="1"/>
  <c r="CB86" i="35"/>
  <c r="E87" i="35"/>
  <c r="A86" i="35"/>
  <c r="C86" i="35"/>
  <c r="N116" i="47"/>
  <c r="C118" i="47"/>
  <c r="K118" i="47"/>
  <c r="R117" i="47"/>
  <c r="L117" i="47"/>
  <c r="M117" i="47"/>
  <c r="O117" i="47"/>
  <c r="I166" i="52"/>
  <c r="L167" i="52"/>
  <c r="V119" i="47" l="1"/>
  <c r="AA119" i="47"/>
  <c r="Y117" i="47"/>
  <c r="DA87" i="35" s="1"/>
  <c r="X117" i="47"/>
  <c r="W117" i="47"/>
  <c r="AD117" i="47"/>
  <c r="DB87" i="35" s="1"/>
  <c r="AC117" i="47"/>
  <c r="AB117" i="47"/>
  <c r="H118" i="47"/>
  <c r="F118" i="47"/>
  <c r="G118" i="47" s="1"/>
  <c r="D119" i="47"/>
  <c r="E119" i="47" s="1"/>
  <c r="D301" i="52"/>
  <c r="H301" i="52"/>
  <c r="U157" i="74" s="1"/>
  <c r="D165" i="52"/>
  <c r="D302" i="52" a="1"/>
  <c r="G110" i="48"/>
  <c r="M110" i="48"/>
  <c r="E110" i="48"/>
  <c r="D110" i="48"/>
  <c r="I110" i="48"/>
  <c r="L110" i="48"/>
  <c r="F110" i="48"/>
  <c r="K110" i="48"/>
  <c r="H110" i="48"/>
  <c r="J110" i="48"/>
  <c r="CP87" i="35"/>
  <c r="CC87" i="35"/>
  <c r="AH88" i="35"/>
  <c r="CF88" i="35" s="1"/>
  <c r="BM87" i="35"/>
  <c r="AD87" i="35"/>
  <c r="CE87" i="35" s="1"/>
  <c r="BL86" i="35"/>
  <c r="Z87" i="35"/>
  <c r="CD87" i="35" s="1"/>
  <c r="BK86" i="35"/>
  <c r="V88" i="35"/>
  <c r="BJ87" i="35"/>
  <c r="AM111" i="48"/>
  <c r="AO111" i="48"/>
  <c r="AI111" i="48"/>
  <c r="AK111" i="48"/>
  <c r="AL111" i="48"/>
  <c r="AJ111" i="48"/>
  <c r="X111" i="48"/>
  <c r="AB111" i="48"/>
  <c r="AE111" i="48"/>
  <c r="Y111" i="48"/>
  <c r="A111" i="48"/>
  <c r="AC111" i="48"/>
  <c r="AF111" i="48"/>
  <c r="AD111" i="48"/>
  <c r="C130" i="65"/>
  <c r="A130" i="65" s="1"/>
  <c r="AG111" i="48"/>
  <c r="AN111" i="48"/>
  <c r="C112" i="48"/>
  <c r="AM112" i="48" s="1"/>
  <c r="AA111" i="48"/>
  <c r="Z111" i="48"/>
  <c r="AH111" i="48"/>
  <c r="V111" i="48"/>
  <c r="AX88" i="35"/>
  <c r="BQ87" i="35"/>
  <c r="H352" i="86"/>
  <c r="K352" i="86"/>
  <c r="G168" i="52"/>
  <c r="F168" i="52"/>
  <c r="C168" i="52"/>
  <c r="E169" i="52"/>
  <c r="BI36" i="63"/>
  <c r="BF37" i="63" s="1"/>
  <c r="BR87" i="35"/>
  <c r="BB88" i="35"/>
  <c r="CK88" i="35" s="1"/>
  <c r="CX87" i="35"/>
  <c r="N86" i="35"/>
  <c r="CA85" i="35"/>
  <c r="BH85" i="35"/>
  <c r="CB87" i="35"/>
  <c r="BI87" i="35"/>
  <c r="R88" i="35"/>
  <c r="CO88" i="35" s="1"/>
  <c r="BG85" i="35"/>
  <c r="J86" i="35"/>
  <c r="CM86" i="35" s="1"/>
  <c r="BY86" i="35" s="1"/>
  <c r="BZ85" i="35"/>
  <c r="BX84" i="35"/>
  <c r="F84" i="35" s="1"/>
  <c r="C87" i="35"/>
  <c r="A87" i="35"/>
  <c r="E88" i="35"/>
  <c r="N117" i="47"/>
  <c r="K119" i="47"/>
  <c r="C119" i="47"/>
  <c r="Q117" i="47"/>
  <c r="O96" i="48" s="1"/>
  <c r="O118" i="47"/>
  <c r="M118" i="47"/>
  <c r="L118" i="47"/>
  <c r="R118" i="47"/>
  <c r="I167" i="52"/>
  <c r="L168" i="52"/>
  <c r="V120" i="47" l="1"/>
  <c r="AA120" i="47"/>
  <c r="AC118" i="47"/>
  <c r="AB118" i="47"/>
  <c r="AD118" i="47"/>
  <c r="DB88" i="35" s="1"/>
  <c r="X118" i="47"/>
  <c r="W118" i="47"/>
  <c r="Y118" i="47"/>
  <c r="DA88" i="35" s="1"/>
  <c r="H119" i="47"/>
  <c r="F119" i="47"/>
  <c r="G119" i="47" s="1"/>
  <c r="D120" i="47"/>
  <c r="H120" i="47" s="1"/>
  <c r="D302" i="52"/>
  <c r="H302" i="52"/>
  <c r="U158" i="74" s="1"/>
  <c r="D166" i="52"/>
  <c r="D303" i="52" a="1"/>
  <c r="F111" i="48"/>
  <c r="D111" i="48"/>
  <c r="H111" i="48"/>
  <c r="K111" i="48"/>
  <c r="L111" i="48"/>
  <c r="G111" i="48"/>
  <c r="M111" i="48"/>
  <c r="E111" i="48"/>
  <c r="I111" i="48"/>
  <c r="J111" i="48"/>
  <c r="CP88" i="35"/>
  <c r="CC88" i="35"/>
  <c r="AH89" i="35"/>
  <c r="CF89" i="35" s="1"/>
  <c r="BM88" i="35"/>
  <c r="AD88" i="35"/>
  <c r="CE88" i="35" s="1"/>
  <c r="BL87" i="35"/>
  <c r="Z88" i="35"/>
  <c r="CD88" i="35" s="1"/>
  <c r="BK87" i="35"/>
  <c r="V89" i="35"/>
  <c r="BJ88" i="35"/>
  <c r="AE112" i="48"/>
  <c r="AJ112" i="48"/>
  <c r="AL112" i="48"/>
  <c r="W112" i="48"/>
  <c r="AF112" i="48"/>
  <c r="C131" i="65"/>
  <c r="A131" i="65" s="1"/>
  <c r="AG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C169" i="52"/>
  <c r="G169" i="52"/>
  <c r="E170" i="52"/>
  <c r="F169" i="52"/>
  <c r="BI37" i="63"/>
  <c r="BF38" i="63" s="1"/>
  <c r="BH86" i="35"/>
  <c r="N87" i="35"/>
  <c r="CA86" i="35"/>
  <c r="BX85" i="35"/>
  <c r="F85" i="35" s="1"/>
  <c r="J87" i="35"/>
  <c r="CM87" i="35" s="1"/>
  <c r="BY87" i="35" s="1"/>
  <c r="BG86" i="35"/>
  <c r="BZ86" i="35"/>
  <c r="CX88" i="35"/>
  <c r="BB89" i="35"/>
  <c r="CK89" i="35" s="1"/>
  <c r="BR88" i="35"/>
  <c r="BI88" i="35"/>
  <c r="R89" i="35"/>
  <c r="CO89" i="35" s="1"/>
  <c r="CB88" i="35"/>
  <c r="C88" i="35"/>
  <c r="A88" i="35"/>
  <c r="E89" i="35"/>
  <c r="Q118" i="47"/>
  <c r="O97" i="48" s="1"/>
  <c r="R119" i="47"/>
  <c r="K120" i="47"/>
  <c r="C120" i="47"/>
  <c r="M119" i="47"/>
  <c r="L119" i="47"/>
  <c r="O119" i="47"/>
  <c r="N118" i="47"/>
  <c r="I168" i="52"/>
  <c r="L169" i="52"/>
  <c r="Q7" i="46"/>
  <c r="T7" i="46" s="1"/>
  <c r="S7" i="46"/>
  <c r="V121" i="47" l="1"/>
  <c r="AA121" i="47"/>
  <c r="X119" i="47"/>
  <c r="W119" i="47"/>
  <c r="Y119" i="47"/>
  <c r="DA89" i="35" s="1"/>
  <c r="AD119" i="47"/>
  <c r="DB89" i="35" s="1"/>
  <c r="AC119" i="47"/>
  <c r="AB119" i="47"/>
  <c r="E120" i="47"/>
  <c r="F120" i="47"/>
  <c r="D121" i="47"/>
  <c r="H121" i="47" s="1"/>
  <c r="D303" i="52"/>
  <c r="H303" i="52"/>
  <c r="U159" i="74" s="1"/>
  <c r="D167" i="52"/>
  <c r="D304" i="52" a="1"/>
  <c r="F170" i="52"/>
  <c r="E112" i="48"/>
  <c r="M112" i="48"/>
  <c r="L112" i="48"/>
  <c r="I112" i="48"/>
  <c r="G112" i="48"/>
  <c r="K112" i="48"/>
  <c r="H112" i="48"/>
  <c r="J112" i="48"/>
  <c r="D112" i="48"/>
  <c r="F112" i="48"/>
  <c r="CP89" i="35"/>
  <c r="CC89" i="35"/>
  <c r="AH90" i="35"/>
  <c r="CF90" i="35" s="1"/>
  <c r="BM89" i="35"/>
  <c r="AD89" i="35"/>
  <c r="CE89" i="35" s="1"/>
  <c r="BL88" i="35"/>
  <c r="Z89" i="35"/>
  <c r="CD89" i="35" s="1"/>
  <c r="BK88" i="35"/>
  <c r="V90" i="35"/>
  <c r="BJ89" i="35"/>
  <c r="AM113" i="48"/>
  <c r="AO113" i="48"/>
  <c r="Y113" i="48"/>
  <c r="X113" i="48"/>
  <c r="AJ113" i="48"/>
  <c r="AD113" i="48"/>
  <c r="A113" i="48"/>
  <c r="AN113" i="48"/>
  <c r="AI113" i="48"/>
  <c r="AC113" i="48"/>
  <c r="AF113" i="48"/>
  <c r="V113" i="48"/>
  <c r="AK113" i="48"/>
  <c r="C114" i="48"/>
  <c r="W114" i="48" s="1"/>
  <c r="AB113" i="48"/>
  <c r="C132" i="65"/>
  <c r="A132" i="65" s="1"/>
  <c r="Z113" i="48"/>
  <c r="AG113" i="48"/>
  <c r="AL113" i="48"/>
  <c r="AE113" i="48"/>
  <c r="AA113" i="48"/>
  <c r="AH113" i="48"/>
  <c r="AX90" i="35"/>
  <c r="BQ89" i="35"/>
  <c r="G353" i="86"/>
  <c r="U7" i="46"/>
  <c r="BX86" i="35"/>
  <c r="F86" i="35" s="1"/>
  <c r="E171" i="52"/>
  <c r="C170" i="52"/>
  <c r="G170" i="52"/>
  <c r="BI38" i="63"/>
  <c r="J88" i="35"/>
  <c r="CM88" i="35" s="1"/>
  <c r="BY88" i="35" s="1"/>
  <c r="BZ87" i="35"/>
  <c r="BG87" i="35"/>
  <c r="CB89" i="35"/>
  <c r="BI89" i="35"/>
  <c r="R90" i="35"/>
  <c r="CO90" i="35" s="1"/>
  <c r="BH87" i="35"/>
  <c r="N88" i="35"/>
  <c r="CA87" i="35"/>
  <c r="BB90" i="35"/>
  <c r="CK90" i="35" s="1"/>
  <c r="CX89" i="35"/>
  <c r="BR89" i="35"/>
  <c r="A89" i="35"/>
  <c r="C89" i="35"/>
  <c r="E90" i="35"/>
  <c r="Q119" i="47"/>
  <c r="O98" i="48" s="1"/>
  <c r="K121" i="47"/>
  <c r="C121" i="47"/>
  <c r="N119" i="47"/>
  <c r="M120" i="47"/>
  <c r="O120" i="47"/>
  <c r="L120" i="47"/>
  <c r="R120" i="47"/>
  <c r="I169" i="52"/>
  <c r="L170" i="52"/>
  <c r="V122" i="47" l="1"/>
  <c r="AA122" i="47"/>
  <c r="AB120" i="47"/>
  <c r="AD120" i="47"/>
  <c r="DB90" i="35" s="1"/>
  <c r="AC120" i="47"/>
  <c r="W120" i="47"/>
  <c r="Y120" i="47"/>
  <c r="DA90" i="35" s="1"/>
  <c r="X120" i="47"/>
  <c r="G120" i="47"/>
  <c r="Q120" i="47" s="1"/>
  <c r="O99" i="48" s="1"/>
  <c r="F121" i="47"/>
  <c r="E121" i="47"/>
  <c r="D122" i="47"/>
  <c r="H122" i="47" s="1"/>
  <c r="Z7" i="46"/>
  <c r="V7" i="46"/>
  <c r="Y7" i="46" s="1"/>
  <c r="D304" i="52"/>
  <c r="H304" i="52"/>
  <c r="U160" i="74" s="1"/>
  <c r="D168" i="52"/>
  <c r="D305" i="52" a="1"/>
  <c r="F171" i="52"/>
  <c r="BF39" i="63"/>
  <c r="AG4" i="74" s="1"/>
  <c r="I113" i="48"/>
  <c r="J113" i="48"/>
  <c r="D113" i="48"/>
  <c r="L113" i="48"/>
  <c r="M113" i="48"/>
  <c r="F113" i="48"/>
  <c r="H113" i="48"/>
  <c r="K113" i="48"/>
  <c r="E113" i="48"/>
  <c r="G113" i="48"/>
  <c r="CP90" i="35"/>
  <c r="CC90" i="35"/>
  <c r="AH91" i="35"/>
  <c r="CF91" i="35" s="1"/>
  <c r="BM90" i="35"/>
  <c r="AD90" i="35"/>
  <c r="CE90" i="35" s="1"/>
  <c r="BL89" i="35"/>
  <c r="Z90" i="35"/>
  <c r="CD90" i="35" s="1"/>
  <c r="BK89" i="35"/>
  <c r="V91" i="35"/>
  <c r="BJ90" i="35"/>
  <c r="AM114" i="48"/>
  <c r="A114" i="48"/>
  <c r="AC114" i="48"/>
  <c r="AL114" i="48"/>
  <c r="AD114" i="48"/>
  <c r="AN114" i="48"/>
  <c r="AI114" i="48"/>
  <c r="AO114" i="48"/>
  <c r="AF114" i="48"/>
  <c r="C133" i="65"/>
  <c r="A133" i="65" s="1"/>
  <c r="V114" i="48"/>
  <c r="AG114" i="48"/>
  <c r="AH114" i="48"/>
  <c r="AE114" i="48"/>
  <c r="AA114" i="48"/>
  <c r="X114" i="48"/>
  <c r="Y114" i="48"/>
  <c r="AK114" i="48"/>
  <c r="C115" i="48"/>
  <c r="V115" i="48" s="1"/>
  <c r="AB114" i="48"/>
  <c r="AJ114" i="48"/>
  <c r="Z114" i="48"/>
  <c r="AX91" i="35"/>
  <c r="BQ90" i="35"/>
  <c r="H353" i="86"/>
  <c r="K353" i="86"/>
  <c r="E172" i="52"/>
  <c r="C171" i="52"/>
  <c r="G171" i="52"/>
  <c r="BH88" i="35"/>
  <c r="N89" i="35"/>
  <c r="CA88" i="35"/>
  <c r="R91" i="35"/>
  <c r="CO91" i="35" s="1"/>
  <c r="BI90" i="35"/>
  <c r="CB90" i="35"/>
  <c r="BX87" i="35"/>
  <c r="F87" i="35" s="1"/>
  <c r="J89" i="35"/>
  <c r="CM89" i="35" s="1"/>
  <c r="BY89" i="35" s="1"/>
  <c r="BG88" i="35"/>
  <c r="BZ88" i="35"/>
  <c r="CX90" i="35"/>
  <c r="BR90" i="35"/>
  <c r="BB91" i="35"/>
  <c r="CK91" i="35" s="1"/>
  <c r="E91" i="35"/>
  <c r="A90" i="35"/>
  <c r="C90" i="35"/>
  <c r="C122" i="47"/>
  <c r="K122" i="47"/>
  <c r="N120" i="47"/>
  <c r="R121" i="47"/>
  <c r="O121" i="47"/>
  <c r="L121" i="47"/>
  <c r="M121" i="47"/>
  <c r="I170" i="52"/>
  <c r="L171" i="52"/>
  <c r="J15" i="46"/>
  <c r="L15" i="46"/>
  <c r="L13" i="46"/>
  <c r="K15" i="46"/>
  <c r="K11" i="46"/>
  <c r="K13" i="46"/>
  <c r="I19" i="63"/>
  <c r="J11" i="46"/>
  <c r="J13" i="46"/>
  <c r="J16" i="46"/>
  <c r="H19" i="63"/>
  <c r="G19" i="63"/>
  <c r="L10" i="46"/>
  <c r="AK19" i="63" l="1"/>
  <c r="BS19" i="63"/>
  <c r="BR19" i="63"/>
  <c r="V123" i="47"/>
  <c r="AA123" i="47"/>
  <c r="Y121" i="47"/>
  <c r="DA91" i="35" s="1"/>
  <c r="W121" i="47"/>
  <c r="X121" i="47"/>
  <c r="AD121" i="47"/>
  <c r="DB91" i="35" s="1"/>
  <c r="AC121" i="47"/>
  <c r="AB121" i="47"/>
  <c r="G121" i="47"/>
  <c r="Q121" i="47" s="1"/>
  <c r="O100" i="48" s="1"/>
  <c r="F122" i="47"/>
  <c r="E122" i="47"/>
  <c r="D123" i="47"/>
  <c r="E123" i="47" s="1"/>
  <c r="D305" i="52"/>
  <c r="H305" i="52"/>
  <c r="U161" i="74" s="1"/>
  <c r="D169" i="52"/>
  <c r="D306" i="52" a="1"/>
  <c r="BI39" i="63"/>
  <c r="BF40" i="63" s="1"/>
  <c r="AH4" i="74" s="1"/>
  <c r="D114" i="48"/>
  <c r="K114" i="48"/>
  <c r="J114" i="48"/>
  <c r="F114" i="48"/>
  <c r="I114" i="48"/>
  <c r="E114" i="48"/>
  <c r="H114" i="48"/>
  <c r="G114" i="48"/>
  <c r="M114" i="48"/>
  <c r="L114" i="48"/>
  <c r="CP91" i="35"/>
  <c r="CC91" i="35"/>
  <c r="AH92" i="35"/>
  <c r="CF92" i="35" s="1"/>
  <c r="BM91" i="35"/>
  <c r="AD91" i="35"/>
  <c r="CE91" i="35" s="1"/>
  <c r="BL90" i="35"/>
  <c r="Z91" i="35"/>
  <c r="CD91" i="35" s="1"/>
  <c r="BK90" i="35"/>
  <c r="V92" i="35"/>
  <c r="BJ91" i="35"/>
  <c r="C134" i="65"/>
  <c r="A134" i="65" s="1"/>
  <c r="W115" i="48"/>
  <c r="AF115" i="48"/>
  <c r="AH115" i="48"/>
  <c r="X115" i="48"/>
  <c r="AE115" i="48"/>
  <c r="AG115" i="48"/>
  <c r="AA115" i="48"/>
  <c r="AI115" i="48"/>
  <c r="AO115" i="48"/>
  <c r="AD115" i="48"/>
  <c r="C116" i="48"/>
  <c r="AM116" i="48" s="1"/>
  <c r="AN115" i="48"/>
  <c r="AJ115" i="48"/>
  <c r="Y115" i="48"/>
  <c r="Z115" i="48"/>
  <c r="A115" i="48"/>
  <c r="AK115" i="48"/>
  <c r="AL115" i="48"/>
  <c r="AC115" i="48"/>
  <c r="AB115" i="48"/>
  <c r="AM115" i="48"/>
  <c r="AX92" i="35"/>
  <c r="BQ91" i="35"/>
  <c r="I353" i="86"/>
  <c r="E354" i="86" s="1"/>
  <c r="L353" i="86"/>
  <c r="O353" i="86" s="1"/>
  <c r="E173" i="52"/>
  <c r="G172" i="52"/>
  <c r="F172" i="52"/>
  <c r="C172" i="52"/>
  <c r="J90" i="35"/>
  <c r="CM90" i="35" s="1"/>
  <c r="BY90" i="35" s="1"/>
  <c r="BZ89" i="35"/>
  <c r="BG89" i="35"/>
  <c r="CX91" i="35"/>
  <c r="BB92" i="35"/>
  <c r="CK92" i="35" s="1"/>
  <c r="BR91" i="35"/>
  <c r="BI91" i="35"/>
  <c r="R92" i="35"/>
  <c r="CO92" i="35" s="1"/>
  <c r="CB91" i="35"/>
  <c r="BH89" i="35"/>
  <c r="N90" i="35"/>
  <c r="CA89" i="35"/>
  <c r="BX88" i="35"/>
  <c r="F88" i="35" s="1"/>
  <c r="C91" i="35"/>
  <c r="E92" i="35"/>
  <c r="A91" i="35"/>
  <c r="N121" i="47"/>
  <c r="C123" i="47"/>
  <c r="K123" i="47"/>
  <c r="M122" i="47"/>
  <c r="L122" i="47"/>
  <c r="O122" i="47"/>
  <c r="R122" i="47"/>
  <c r="I171" i="52"/>
  <c r="L172" i="52"/>
  <c r="AM9" i="63"/>
  <c r="J17" i="46"/>
  <c r="H20" i="63"/>
  <c r="J18" i="46" s="1"/>
  <c r="C38" i="65"/>
  <c r="K17" i="46"/>
  <c r="I20" i="63"/>
  <c r="G20" i="63"/>
  <c r="L17" i="46"/>
  <c r="K12" i="46"/>
  <c r="L16" i="46"/>
  <c r="J12" i="46"/>
  <c r="K16" i="46"/>
  <c r="C43" i="65"/>
  <c r="L11" i="46"/>
  <c r="L12" i="46"/>
  <c r="AK20" i="63" l="1"/>
  <c r="BR20" i="63"/>
  <c r="BS20" i="63"/>
  <c r="V124" i="47"/>
  <c r="AA124" i="47"/>
  <c r="AD122" i="47"/>
  <c r="DB92" i="35" s="1"/>
  <c r="AC122" i="47"/>
  <c r="AB122" i="47"/>
  <c r="Y122" i="47"/>
  <c r="DA92" i="35" s="1"/>
  <c r="X122" i="47"/>
  <c r="W122" i="47"/>
  <c r="G122" i="47"/>
  <c r="Q122" i="47" s="1"/>
  <c r="O101" i="48" s="1"/>
  <c r="H123" i="47"/>
  <c r="F123" i="47"/>
  <c r="G123" i="47" s="1"/>
  <c r="D124" i="47"/>
  <c r="E124" i="47" s="1"/>
  <c r="D306" i="52"/>
  <c r="H306" i="52"/>
  <c r="U162" i="74" s="1"/>
  <c r="D170" i="52"/>
  <c r="D307" i="52" a="1"/>
  <c r="E174" i="52"/>
  <c r="F174" i="52" s="1"/>
  <c r="BI40" i="63"/>
  <c r="BF41" i="63" s="1"/>
  <c r="AI4" i="74" s="1"/>
  <c r="D115" i="48"/>
  <c r="G115" i="48"/>
  <c r="H115" i="48"/>
  <c r="M115" i="48"/>
  <c r="I115" i="48"/>
  <c r="L115" i="48"/>
  <c r="F115" i="48"/>
  <c r="E115" i="48"/>
  <c r="K115" i="48"/>
  <c r="J115" i="48"/>
  <c r="CP92" i="35"/>
  <c r="CC92" i="35"/>
  <c r="AH93" i="35"/>
  <c r="CF93" i="35" s="1"/>
  <c r="BM92" i="35"/>
  <c r="AD92" i="35"/>
  <c r="CE92" i="35" s="1"/>
  <c r="BL91" i="35"/>
  <c r="Z92" i="35"/>
  <c r="CD92" i="35" s="1"/>
  <c r="BK91" i="35"/>
  <c r="V93" i="35"/>
  <c r="BJ92" i="35"/>
  <c r="AJ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C173" i="52"/>
  <c r="G173" i="52"/>
  <c r="F173" i="52"/>
  <c r="BB93" i="35"/>
  <c r="CK93" i="35" s="1"/>
  <c r="CX92" i="35"/>
  <c r="BR92" i="35"/>
  <c r="CA90" i="35"/>
  <c r="BH90" i="35"/>
  <c r="N91" i="35"/>
  <c r="BX89" i="35"/>
  <c r="F89" i="35" s="1"/>
  <c r="BG90" i="35"/>
  <c r="J91" i="35"/>
  <c r="CM91" i="35" s="1"/>
  <c r="BY91" i="35" s="1"/>
  <c r="BZ90" i="35"/>
  <c r="R93" i="35"/>
  <c r="CO93" i="35" s="1"/>
  <c r="CB92" i="35"/>
  <c r="BI92" i="35"/>
  <c r="E93" i="35"/>
  <c r="C92" i="35"/>
  <c r="A92" i="35"/>
  <c r="M123" i="47"/>
  <c r="L123" i="47"/>
  <c r="O123" i="47"/>
  <c r="R123" i="47"/>
  <c r="C124" i="47"/>
  <c r="K124" i="47"/>
  <c r="N122" i="47"/>
  <c r="L173" i="52"/>
  <c r="I172" i="52"/>
  <c r="H218" i="52" s="1"/>
  <c r="H21" i="63"/>
  <c r="R19" i="48"/>
  <c r="D38" i="65" s="1"/>
  <c r="Q19" i="48"/>
  <c r="C44" i="65"/>
  <c r="C39" i="65"/>
  <c r="A39" i="65" s="1"/>
  <c r="L18" i="46"/>
  <c r="G21" i="63"/>
  <c r="C45" i="65"/>
  <c r="C41" i="65"/>
  <c r="I21" i="63"/>
  <c r="K18" i="46"/>
  <c r="C40" i="65"/>
  <c r="AK21" i="63" l="1"/>
  <c r="BS21" i="63"/>
  <c r="BR21" i="63"/>
  <c r="V125" i="47"/>
  <c r="AA125" i="47"/>
  <c r="W123" i="47"/>
  <c r="X123" i="47"/>
  <c r="Y123" i="47"/>
  <c r="DA93" i="35" s="1"/>
  <c r="AC123" i="47"/>
  <c r="AB123" i="47"/>
  <c r="AD123" i="47"/>
  <c r="DB93" i="35" s="1"/>
  <c r="H124" i="47"/>
  <c r="F124" i="47"/>
  <c r="G124" i="47" s="1"/>
  <c r="D125" i="47"/>
  <c r="E125" i="47" s="1"/>
  <c r="G174" i="52"/>
  <c r="C174" i="52"/>
  <c r="D307" i="52"/>
  <c r="H307" i="52"/>
  <c r="U163" i="74" s="1"/>
  <c r="D171" i="52"/>
  <c r="D308" i="52" a="1"/>
  <c r="E175" i="52"/>
  <c r="E176" i="52" s="1"/>
  <c r="BI41" i="63"/>
  <c r="BF42" i="63" s="1"/>
  <c r="AJ4" i="74" s="1"/>
  <c r="H116" i="48"/>
  <c r="K116" i="48"/>
  <c r="L116" i="48"/>
  <c r="J116" i="48"/>
  <c r="M116" i="48"/>
  <c r="F116" i="48"/>
  <c r="E116" i="48"/>
  <c r="D116" i="48"/>
  <c r="I116" i="48"/>
  <c r="G116" i="48"/>
  <c r="CP93" i="35"/>
  <c r="CC93" i="35"/>
  <c r="AH94" i="35"/>
  <c r="CF94" i="35" s="1"/>
  <c r="BM93" i="35"/>
  <c r="AD93" i="35"/>
  <c r="CE93" i="35" s="1"/>
  <c r="BL92" i="35"/>
  <c r="Z93" i="35"/>
  <c r="CD93" i="35" s="1"/>
  <c r="BK92" i="35"/>
  <c r="V94" i="35"/>
  <c r="BJ93" i="35"/>
  <c r="AM117" i="48"/>
  <c r="AO117" i="48"/>
  <c r="AI117" i="48"/>
  <c r="Y117" i="48"/>
  <c r="A117" i="48"/>
  <c r="AC117" i="48"/>
  <c r="AA117" i="48"/>
  <c r="AK117" i="48"/>
  <c r="Z117" i="48"/>
  <c r="AF117" i="48"/>
  <c r="V117" i="48"/>
  <c r="AH117" i="48"/>
  <c r="AD117" i="48"/>
  <c r="AN117" i="48"/>
  <c r="C118" i="48"/>
  <c r="AG118" i="48" s="1"/>
  <c r="C136" i="65"/>
  <c r="A136" i="65" s="1"/>
  <c r="X117" i="48"/>
  <c r="AE117" i="48"/>
  <c r="AG117" i="48"/>
  <c r="AJ117" i="48"/>
  <c r="AL117" i="48"/>
  <c r="AB117" i="48"/>
  <c r="AX94" i="35"/>
  <c r="BQ93" i="35"/>
  <c r="H354" i="86"/>
  <c r="K354" i="86"/>
  <c r="A41" i="65"/>
  <c r="A45" i="65"/>
  <c r="A44" i="65"/>
  <c r="A40" i="65"/>
  <c r="BH91" i="35"/>
  <c r="N92" i="35"/>
  <c r="CA91" i="35"/>
  <c r="BI93" i="35"/>
  <c r="CB93" i="35"/>
  <c r="R94" i="35"/>
  <c r="CO94" i="35" s="1"/>
  <c r="BX90" i="35"/>
  <c r="F90" i="35" s="1"/>
  <c r="J92" i="35"/>
  <c r="CM92" i="35" s="1"/>
  <c r="BY92" i="35" s="1"/>
  <c r="BG91" i="35"/>
  <c r="BZ91" i="35"/>
  <c r="BR93" i="35"/>
  <c r="BB94" i="35"/>
  <c r="CK94" i="35" s="1"/>
  <c r="CX93" i="35"/>
  <c r="C93" i="35"/>
  <c r="A93" i="35"/>
  <c r="E94" i="35"/>
  <c r="K125" i="47"/>
  <c r="C125" i="47"/>
  <c r="R124" i="47"/>
  <c r="Q123" i="47"/>
  <c r="O102" i="48" s="1"/>
  <c r="O124" i="47"/>
  <c r="M124" i="47"/>
  <c r="L124" i="47"/>
  <c r="N123" i="47"/>
  <c r="I173" i="52"/>
  <c r="L174" i="52"/>
  <c r="H22" i="63"/>
  <c r="J19" i="46"/>
  <c r="S19" i="48"/>
  <c r="Q20" i="48"/>
  <c r="R20" i="48"/>
  <c r="D39" i="65" s="1"/>
  <c r="L19" i="46"/>
  <c r="G22" i="63"/>
  <c r="C46" i="65"/>
  <c r="K19" i="46"/>
  <c r="I22" i="63"/>
  <c r="AK22" i="63" l="1"/>
  <c r="BS22" i="63"/>
  <c r="BR22" i="63"/>
  <c r="V126" i="47"/>
  <c r="AA126" i="47"/>
  <c r="AD124" i="47"/>
  <c r="DB94" i="35" s="1"/>
  <c r="AC124" i="47"/>
  <c r="AB124" i="47"/>
  <c r="X124" i="47"/>
  <c r="W124" i="47"/>
  <c r="Y124" i="47"/>
  <c r="DA94" i="35" s="1"/>
  <c r="H125" i="47"/>
  <c r="F125" i="47"/>
  <c r="G125" i="47" s="1"/>
  <c r="D126" i="47"/>
  <c r="E126" i="47" s="1"/>
  <c r="D308" i="52"/>
  <c r="H308" i="52"/>
  <c r="U164" i="74" s="1"/>
  <c r="D172" i="52"/>
  <c r="D309" i="52" a="1"/>
  <c r="F175" i="52"/>
  <c r="G175" i="52"/>
  <c r="C175" i="52"/>
  <c r="BI42" i="63"/>
  <c r="BF43" i="63" s="1"/>
  <c r="BI43" i="63" s="1"/>
  <c r="BF44" i="63" s="1"/>
  <c r="H117" i="48"/>
  <c r="F117" i="48"/>
  <c r="K117" i="48"/>
  <c r="I117" i="48"/>
  <c r="D117" i="48"/>
  <c r="G117" i="48"/>
  <c r="M117" i="48"/>
  <c r="L117" i="48"/>
  <c r="J117" i="48"/>
  <c r="E117" i="48"/>
  <c r="CP94" i="35"/>
  <c r="CC94" i="35"/>
  <c r="AH95" i="35"/>
  <c r="CF95" i="35" s="1"/>
  <c r="BM94" i="35"/>
  <c r="AD94" i="35"/>
  <c r="CE94" i="35" s="1"/>
  <c r="BL93" i="35"/>
  <c r="Z94" i="35"/>
  <c r="CD94" i="35" s="1"/>
  <c r="BK93" i="35"/>
  <c r="V95" i="35"/>
  <c r="BJ94" i="35"/>
  <c r="AF118" i="48"/>
  <c r="V118" i="48"/>
  <c r="AH118" i="48"/>
  <c r="Z118" i="48"/>
  <c r="AM118" i="48"/>
  <c r="X118" i="48"/>
  <c r="AE118" i="48"/>
  <c r="AJ118" i="48"/>
  <c r="Y118" i="48"/>
  <c r="W118" i="48"/>
  <c r="AD118" i="48"/>
  <c r="A118" i="48"/>
  <c r="AA118" i="48"/>
  <c r="AN118" i="48"/>
  <c r="AK118" i="48"/>
  <c r="AI118" i="48"/>
  <c r="C119" i="48"/>
  <c r="AI119" i="48" s="1"/>
  <c r="AO118" i="48"/>
  <c r="AB118" i="48"/>
  <c r="AC118" i="48"/>
  <c r="C137" i="65"/>
  <c r="A137" i="65" s="1"/>
  <c r="AL118" i="48"/>
  <c r="AX95" i="35"/>
  <c r="BQ94" i="35"/>
  <c r="L354" i="86"/>
  <c r="O354" i="86" s="1"/>
  <c r="I354" i="86"/>
  <c r="E355" i="86" s="1"/>
  <c r="A46" i="65"/>
  <c r="G176" i="52"/>
  <c r="C176" i="52"/>
  <c r="E177" i="52"/>
  <c r="F176" i="52"/>
  <c r="Q21" i="48"/>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R125" i="47"/>
  <c r="C126" i="47"/>
  <c r="K126" i="47"/>
  <c r="O125" i="47"/>
  <c r="M125" i="47"/>
  <c r="L125" i="47"/>
  <c r="N124" i="47"/>
  <c r="Q124" i="47"/>
  <c r="O103" i="48" s="1"/>
  <c r="I174" i="52"/>
  <c r="L175" i="52"/>
  <c r="H23" i="63"/>
  <c r="J20" i="46"/>
  <c r="L20" i="46"/>
  <c r="G23" i="63"/>
  <c r="S20" i="48"/>
  <c r="I23" i="63"/>
  <c r="K20" i="46"/>
  <c r="C47" i="65"/>
  <c r="AK23" i="63" l="1"/>
  <c r="BS23" i="63"/>
  <c r="BR23" i="63"/>
  <c r="V127" i="47"/>
  <c r="AA127" i="47"/>
  <c r="W125" i="47"/>
  <c r="Y125" i="47"/>
  <c r="DA95" i="35" s="1"/>
  <c r="X125" i="47"/>
  <c r="AB125" i="47"/>
  <c r="AD125" i="47"/>
  <c r="DB95" i="35" s="1"/>
  <c r="AC125" i="47"/>
  <c r="H126" i="47"/>
  <c r="F126" i="47"/>
  <c r="G126" i="47" s="1"/>
  <c r="D309" i="52"/>
  <c r="H309" i="52"/>
  <c r="U165" i="74" s="1"/>
  <c r="D173" i="52"/>
  <c r="D310" i="52" a="1"/>
  <c r="AK4" i="74"/>
  <c r="AL4" i="74"/>
  <c r="F118" i="48"/>
  <c r="I118" i="48"/>
  <c r="D118" i="48"/>
  <c r="E118" i="48"/>
  <c r="K118" i="48"/>
  <c r="M118" i="48"/>
  <c r="J118" i="48"/>
  <c r="L118" i="48"/>
  <c r="H118" i="48"/>
  <c r="G118" i="48"/>
  <c r="CP95" i="35"/>
  <c r="CC95" i="35"/>
  <c r="AH96" i="35"/>
  <c r="CF96" i="35" s="1"/>
  <c r="BM95" i="35"/>
  <c r="AD95" i="35"/>
  <c r="CE95" i="35" s="1"/>
  <c r="BL94" i="35"/>
  <c r="Z95" i="35"/>
  <c r="CD95" i="35" s="1"/>
  <c r="BK94" i="35"/>
  <c r="V96" i="35"/>
  <c r="BJ95" i="35"/>
  <c r="AD119" i="48"/>
  <c r="AL119" i="48"/>
  <c r="Z119" i="48"/>
  <c r="X119" i="48"/>
  <c r="W119" i="48"/>
  <c r="AJ119" i="48"/>
  <c r="C138" i="65"/>
  <c r="A138" i="65" s="1"/>
  <c r="AB119" i="48"/>
  <c r="AE119" i="48"/>
  <c r="AG119" i="48"/>
  <c r="V119" i="48"/>
  <c r="Y119" i="48"/>
  <c r="AA119" i="48"/>
  <c r="AH119" i="48"/>
  <c r="A119" i="48"/>
  <c r="AM119" i="48"/>
  <c r="AN119" i="48"/>
  <c r="AC119" i="48"/>
  <c r="AK119" i="48"/>
  <c r="C120" i="48"/>
  <c r="AA120" i="48" s="1"/>
  <c r="AO119" i="48"/>
  <c r="AF119" i="48"/>
  <c r="AX96" i="35"/>
  <c r="BQ95" i="35"/>
  <c r="G355" i="86"/>
  <c r="A47" i="65"/>
  <c r="E178" i="52"/>
  <c r="G177" i="52"/>
  <c r="F177" i="52"/>
  <c r="C177" i="52"/>
  <c r="BI44" i="63"/>
  <c r="BF45" i="63" s="1"/>
  <c r="S21" i="48"/>
  <c r="Q22" i="48"/>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N125" i="47"/>
  <c r="O126" i="47"/>
  <c r="M126" i="47"/>
  <c r="L126" i="47"/>
  <c r="R126" i="47"/>
  <c r="Q125" i="47"/>
  <c r="O104" i="48" s="1"/>
  <c r="I175" i="52"/>
  <c r="L176" i="52"/>
  <c r="H24" i="63"/>
  <c r="J21" i="46"/>
  <c r="I24" i="63"/>
  <c r="K21" i="46"/>
  <c r="G24" i="63"/>
  <c r="L21" i="46"/>
  <c r="C48" i="65"/>
  <c r="AK24" i="63" l="1"/>
  <c r="BR24" i="63"/>
  <c r="BS24" i="63"/>
  <c r="V128" i="47"/>
  <c r="AA128" i="47"/>
  <c r="Y126" i="47"/>
  <c r="DA96" i="35" s="1"/>
  <c r="X126" i="47"/>
  <c r="W126" i="47"/>
  <c r="AD126" i="47"/>
  <c r="DB96" i="35" s="1"/>
  <c r="AC126" i="47"/>
  <c r="AB126" i="47"/>
  <c r="D310" i="52"/>
  <c r="H310" i="52"/>
  <c r="U166" i="74" s="1"/>
  <c r="D174" i="52"/>
  <c r="D311" i="52" a="1"/>
  <c r="D311" i="52" s="1"/>
  <c r="G178" i="52"/>
  <c r="AM4" i="74"/>
  <c r="I119" i="48"/>
  <c r="H119" i="48"/>
  <c r="L119" i="48"/>
  <c r="J119" i="48"/>
  <c r="E119" i="48"/>
  <c r="F119" i="48"/>
  <c r="D119" i="48"/>
  <c r="G119" i="48"/>
  <c r="M119" i="48"/>
  <c r="K119" i="48"/>
  <c r="CP96" i="35"/>
  <c r="CC96" i="35"/>
  <c r="AH97" i="35"/>
  <c r="CF97" i="35" s="1"/>
  <c r="BM96" i="35"/>
  <c r="AD96" i="35"/>
  <c r="CE96" i="35" s="1"/>
  <c r="BL95" i="35"/>
  <c r="Z96" i="35"/>
  <c r="CD96" i="35" s="1"/>
  <c r="BK95" i="35"/>
  <c r="V97" i="35"/>
  <c r="BJ96" i="35"/>
  <c r="A120" i="48"/>
  <c r="AC120" i="48"/>
  <c r="AH120" i="48"/>
  <c r="AI120" i="48"/>
  <c r="Z120" i="48"/>
  <c r="AO120" i="48"/>
  <c r="AL120" i="48"/>
  <c r="AM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C178" i="52"/>
  <c r="BI45" i="63"/>
  <c r="BF46" i="63" s="1"/>
  <c r="S22" i="48"/>
  <c r="Q23" i="48"/>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L127" i="47"/>
  <c r="M127" i="47"/>
  <c r="R127" i="47"/>
  <c r="E127" i="47"/>
  <c r="H127" i="47"/>
  <c r="F127" i="47"/>
  <c r="A96" i="35"/>
  <c r="E97" i="35"/>
  <c r="C96" i="35"/>
  <c r="Q126" i="47"/>
  <c r="O105" i="48" s="1"/>
  <c r="N126" i="47"/>
  <c r="I176" i="52"/>
  <c r="L177" i="52"/>
  <c r="J22" i="46"/>
  <c r="H25" i="63"/>
  <c r="I25" i="63"/>
  <c r="K22" i="46"/>
  <c r="C49" i="65"/>
  <c r="G25" i="63"/>
  <c r="L22" i="46"/>
  <c r="AK25" i="63" l="1"/>
  <c r="BR25" i="63"/>
  <c r="BS25" i="63"/>
  <c r="V129" i="47"/>
  <c r="AA129" i="47"/>
  <c r="Y127" i="47"/>
  <c r="DA97" i="35" s="1"/>
  <c r="X127" i="47"/>
  <c r="W127" i="47"/>
  <c r="AD127" i="47"/>
  <c r="DB97" i="35" s="1"/>
  <c r="AC127" i="47"/>
  <c r="AB127" i="47"/>
  <c r="D175" i="52"/>
  <c r="D312" i="52" a="1"/>
  <c r="AF11" i="74" s="1"/>
  <c r="H311" i="52"/>
  <c r="U167" i="74" s="1"/>
  <c r="E180" i="52"/>
  <c r="E181" i="52" s="1"/>
  <c r="AN4" i="74"/>
  <c r="I120" i="48"/>
  <c r="M120" i="48"/>
  <c r="G120" i="48"/>
  <c r="F120" i="48"/>
  <c r="K120" i="48"/>
  <c r="J120" i="48"/>
  <c r="H120" i="48"/>
  <c r="L120" i="48"/>
  <c r="D120" i="48"/>
  <c r="E120" i="48"/>
  <c r="CP97" i="35"/>
  <c r="CC97" i="35"/>
  <c r="AH98" i="35"/>
  <c r="CF98" i="35" s="1"/>
  <c r="BM97" i="35"/>
  <c r="AD97" i="35"/>
  <c r="CE97" i="35" s="1"/>
  <c r="BL96" i="35"/>
  <c r="Z97" i="35"/>
  <c r="CD97" i="35" s="1"/>
  <c r="BK96" i="35"/>
  <c r="V98" i="35"/>
  <c r="BJ97" i="35"/>
  <c r="X121" i="48"/>
  <c r="V121" i="48"/>
  <c r="AH121" i="48"/>
  <c r="W121" i="48"/>
  <c r="AJ121" i="48"/>
  <c r="AO121" i="48"/>
  <c r="Z121" i="48"/>
  <c r="AM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BI46" i="63"/>
  <c r="BF47" i="63" s="1"/>
  <c r="BX94" i="35"/>
  <c r="F94" i="35" s="1"/>
  <c r="S23" i="48"/>
  <c r="Q24" i="48"/>
  <c r="R24" i="48"/>
  <c r="D43" i="65" s="1"/>
  <c r="N127" i="47"/>
  <c r="BG95" i="35"/>
  <c r="J96" i="35"/>
  <c r="CM96" i="35" s="1"/>
  <c r="BY96" i="35" s="1"/>
  <c r="BZ95" i="35"/>
  <c r="BR97" i="35"/>
  <c r="BB98" i="35"/>
  <c r="CK98" i="35" s="1"/>
  <c r="CX97" i="35"/>
  <c r="N96" i="35"/>
  <c r="CA95" i="35"/>
  <c r="BH95" i="35"/>
  <c r="BI97" i="35"/>
  <c r="R98" i="35"/>
  <c r="CO98" i="35" s="1"/>
  <c r="CB97" i="35"/>
  <c r="F128" i="47"/>
  <c r="H128" i="47"/>
  <c r="E128" i="47"/>
  <c r="R128" i="47"/>
  <c r="C129" i="47"/>
  <c r="K129" i="47"/>
  <c r="D129" i="47"/>
  <c r="G127" i="47"/>
  <c r="Q127" i="47" s="1"/>
  <c r="O106" i="48" s="1"/>
  <c r="M128" i="47"/>
  <c r="L128" i="47"/>
  <c r="O128" i="47"/>
  <c r="C97" i="35"/>
  <c r="A97" i="35"/>
  <c r="E98" i="35"/>
  <c r="I177" i="52"/>
  <c r="L178" i="52"/>
  <c r="H26" i="63"/>
  <c r="J23" i="46"/>
  <c r="G26" i="63"/>
  <c r="L23" i="46"/>
  <c r="I26" i="63"/>
  <c r="K23" i="46"/>
  <c r="C50" i="65"/>
  <c r="AH11" i="74" l="1"/>
  <c r="AG11" i="74"/>
  <c r="AJ11" i="74"/>
  <c r="AI11" i="74"/>
  <c r="AO11" i="74"/>
  <c r="AN11" i="74"/>
  <c r="AP11" i="74"/>
  <c r="AK11" i="74"/>
  <c r="AL11" i="74"/>
  <c r="AM11" i="74"/>
  <c r="AK26" i="63"/>
  <c r="BS26" i="63"/>
  <c r="BR26" i="63"/>
  <c r="V130" i="47"/>
  <c r="AA130" i="47"/>
  <c r="AC128" i="47"/>
  <c r="AB128" i="47"/>
  <c r="AD128" i="47"/>
  <c r="DB98" i="35" s="1"/>
  <c r="X128" i="47"/>
  <c r="W128" i="47"/>
  <c r="Y128" i="47"/>
  <c r="DA98" i="35" s="1"/>
  <c r="D312" i="52"/>
  <c r="H312" i="52"/>
  <c r="U168" i="74" s="1"/>
  <c r="D176" i="52"/>
  <c r="D313" i="52" a="1"/>
  <c r="F180" i="52"/>
  <c r="G180" i="52"/>
  <c r="C180" i="52"/>
  <c r="AO4" i="74"/>
  <c r="L121" i="48"/>
  <c r="M121" i="48"/>
  <c r="G121" i="48"/>
  <c r="J121" i="48"/>
  <c r="D121" i="48"/>
  <c r="E121" i="48"/>
  <c r="H121" i="48"/>
  <c r="F121" i="48"/>
  <c r="I121" i="48"/>
  <c r="K121" i="48"/>
  <c r="CP98" i="35"/>
  <c r="CC98" i="35"/>
  <c r="AH99" i="35"/>
  <c r="CF99" i="35" s="1"/>
  <c r="BM98" i="35"/>
  <c r="AD98" i="35"/>
  <c r="CE98" i="35" s="1"/>
  <c r="BL97" i="35"/>
  <c r="Z98" i="35"/>
  <c r="CD98" i="35" s="1"/>
  <c r="BK97" i="35"/>
  <c r="V99" i="35"/>
  <c r="BJ98" i="35"/>
  <c r="AM122" i="48"/>
  <c r="Y122" i="48"/>
  <c r="AI122" i="48"/>
  <c r="AO122" i="48"/>
  <c r="A122" i="48"/>
  <c r="AC122" i="48"/>
  <c r="AK122" i="48"/>
  <c r="Z122" i="48"/>
  <c r="AJ122" i="48"/>
  <c r="AL122" i="48"/>
  <c r="AB122" i="48"/>
  <c r="AA122" i="48"/>
  <c r="AF122" i="48"/>
  <c r="V122" i="48"/>
  <c r="AN122" i="48"/>
  <c r="C123" i="48"/>
  <c r="AO123" i="48" s="1"/>
  <c r="X122" i="48"/>
  <c r="AG122" i="48"/>
  <c r="W122" i="48"/>
  <c r="AH122" i="48"/>
  <c r="AD122" i="48"/>
  <c r="AE122" i="48"/>
  <c r="AX99" i="35"/>
  <c r="BQ98" i="35"/>
  <c r="G356" i="86"/>
  <c r="A50" i="65"/>
  <c r="E182" i="52"/>
  <c r="BI47" i="63"/>
  <c r="BF48" i="63" s="1"/>
  <c r="I87" i="74" s="1" a="1"/>
  <c r="I87" i="74" s="1"/>
  <c r="F218" i="74" s="1" a="1"/>
  <c r="F218" i="74" s="1"/>
  <c r="S24" i="48"/>
  <c r="Q25" i="48"/>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H129" i="47"/>
  <c r="F129" i="47"/>
  <c r="O129" i="47"/>
  <c r="M129" i="47"/>
  <c r="L129" i="47"/>
  <c r="N128" i="47"/>
  <c r="G128" i="47"/>
  <c r="Q128" i="47" s="1"/>
  <c r="O107" i="48" s="1"/>
  <c r="D130" i="47"/>
  <c r="K130" i="47"/>
  <c r="C130" i="47"/>
  <c r="C98" i="35"/>
  <c r="A98" i="35"/>
  <c r="E99" i="35"/>
  <c r="C181" i="52"/>
  <c r="F181" i="52"/>
  <c r="G181" i="52"/>
  <c r="I178" i="52"/>
  <c r="L179" i="52"/>
  <c r="H27" i="63"/>
  <c r="J24" i="46"/>
  <c r="C51" i="65"/>
  <c r="I27" i="63"/>
  <c r="K24" i="46"/>
  <c r="L24" i="46"/>
  <c r="G27" i="63"/>
  <c r="A11" i="74" l="1"/>
  <c r="B11" i="74" s="1"/>
  <c r="AK27" i="63"/>
  <c r="BS27" i="63"/>
  <c r="BR27" i="63"/>
  <c r="V131" i="47"/>
  <c r="AA131" i="47"/>
  <c r="AD129" i="47"/>
  <c r="DB99" i="35" s="1"/>
  <c r="AC129" i="47"/>
  <c r="AB129" i="47"/>
  <c r="Y129" i="47"/>
  <c r="DA99" i="35" s="1"/>
  <c r="X129" i="47"/>
  <c r="W129" i="47"/>
  <c r="D313" i="52"/>
  <c r="H313" i="52"/>
  <c r="U169" i="74" s="1"/>
  <c r="D177" i="52"/>
  <c r="D314" i="52" a="1"/>
  <c r="AP4" i="74"/>
  <c r="G122" i="48"/>
  <c r="I122" i="48"/>
  <c r="D122" i="48"/>
  <c r="H122" i="48"/>
  <c r="J122" i="48"/>
  <c r="L122" i="48"/>
  <c r="K122" i="48"/>
  <c r="F122" i="48"/>
  <c r="E122" i="48"/>
  <c r="M122" i="48"/>
  <c r="CP99" i="35"/>
  <c r="CC99" i="35"/>
  <c r="AH100" i="35"/>
  <c r="CF100" i="35" s="1"/>
  <c r="BM99" i="35"/>
  <c r="AD99" i="35"/>
  <c r="CE99" i="35" s="1"/>
  <c r="BL98" i="35"/>
  <c r="Z99" i="35"/>
  <c r="CD99" i="35" s="1"/>
  <c r="BK98" i="35"/>
  <c r="V100" i="35"/>
  <c r="BJ99" i="35"/>
  <c r="A123" i="48"/>
  <c r="Y123" i="48"/>
  <c r="C124" i="48"/>
  <c r="C143" i="65" s="1"/>
  <c r="A143" i="65" s="1"/>
  <c r="AD123" i="48"/>
  <c r="W123" i="48"/>
  <c r="C142" i="65"/>
  <c r="A142" i="65" s="1"/>
  <c r="AG123" i="48"/>
  <c r="AB123" i="48"/>
  <c r="AK123" i="48"/>
  <c r="Z123" i="48"/>
  <c r="AN123" i="48"/>
  <c r="AE123" i="48"/>
  <c r="AA123" i="48"/>
  <c r="AL123" i="48"/>
  <c r="AC123" i="48"/>
  <c r="AI123" i="48"/>
  <c r="AF123" i="48"/>
  <c r="AM123" i="48"/>
  <c r="V123" i="48"/>
  <c r="AH123" i="48"/>
  <c r="X123" i="48"/>
  <c r="AJ123" i="48"/>
  <c r="AX100" i="35"/>
  <c r="BQ99" i="35"/>
  <c r="H356" i="86"/>
  <c r="K356" i="86"/>
  <c r="A51" i="65"/>
  <c r="BX96" i="35"/>
  <c r="F96" i="35" s="1"/>
  <c r="C182" i="52"/>
  <c r="E183" i="52"/>
  <c r="G182" i="52"/>
  <c r="F182" i="52"/>
  <c r="BI48" i="63"/>
  <c r="S25" i="48"/>
  <c r="R26" i="48"/>
  <c r="D45" i="65" s="1"/>
  <c r="Q26" i="48"/>
  <c r="CB99" i="35"/>
  <c r="R100" i="35"/>
  <c r="CO100" i="35" s="1"/>
  <c r="BI99" i="35"/>
  <c r="BB100" i="35"/>
  <c r="CK100" i="35" s="1"/>
  <c r="CX99" i="35"/>
  <c r="BR99" i="35"/>
  <c r="BG97" i="35"/>
  <c r="J98" i="35"/>
  <c r="CM98" i="35" s="1"/>
  <c r="BY98" i="35" s="1"/>
  <c r="BZ97" i="35"/>
  <c r="CA97" i="35"/>
  <c r="N98" i="35"/>
  <c r="BH97" i="35"/>
  <c r="G129" i="47"/>
  <c r="Q129" i="47" s="1"/>
  <c r="O108" i="48" s="1"/>
  <c r="O130" i="47"/>
  <c r="M130" i="47"/>
  <c r="L130" i="47"/>
  <c r="F130" i="47"/>
  <c r="R130" i="47"/>
  <c r="E130" i="47"/>
  <c r="H130" i="47"/>
  <c r="N129" i="47"/>
  <c r="K131" i="47"/>
  <c r="C131" i="47"/>
  <c r="D131" i="47"/>
  <c r="A99" i="35"/>
  <c r="C99" i="35"/>
  <c r="E100" i="35"/>
  <c r="I179" i="52"/>
  <c r="L180" i="52"/>
  <c r="H28" i="63"/>
  <c r="J25" i="46"/>
  <c r="L25" i="46"/>
  <c r="G28" i="63"/>
  <c r="C52" i="65"/>
  <c r="I28" i="63"/>
  <c r="K25" i="46"/>
  <c r="AK28" i="63" l="1"/>
  <c r="BS28" i="63"/>
  <c r="BR28" i="63"/>
  <c r="V132" i="47"/>
  <c r="AA132" i="47"/>
  <c r="W130" i="47"/>
  <c r="Y130" i="47"/>
  <c r="DA100" i="35" s="1"/>
  <c r="X130" i="47"/>
  <c r="AB130" i="47"/>
  <c r="AD130" i="47"/>
  <c r="DB100" i="35" s="1"/>
  <c r="AC130" i="47"/>
  <c r="D314" i="52"/>
  <c r="H314" i="52"/>
  <c r="U170" i="74" s="1"/>
  <c r="D178" i="52"/>
  <c r="D315" i="52" a="1"/>
  <c r="D123" i="48"/>
  <c r="G123" i="48"/>
  <c r="I123" i="48"/>
  <c r="J123" i="48"/>
  <c r="M123" i="48"/>
  <c r="K123" i="48"/>
  <c r="E123" i="48"/>
  <c r="F123" i="48"/>
  <c r="L123" i="48"/>
  <c r="H123" i="48"/>
  <c r="CP100" i="35"/>
  <c r="CC100" i="35"/>
  <c r="AH101" i="35"/>
  <c r="CF101" i="35" s="1"/>
  <c r="BM100" i="35"/>
  <c r="AD100" i="35"/>
  <c r="CE100" i="35" s="1"/>
  <c r="BL99" i="35"/>
  <c r="Z100" i="35"/>
  <c r="CD100" i="35" s="1"/>
  <c r="BK99" i="35"/>
  <c r="F332" i="74"/>
  <c r="V101" i="35"/>
  <c r="BJ100" i="35"/>
  <c r="AM124" i="48"/>
  <c r="AC124" i="48"/>
  <c r="AL124" i="48"/>
  <c r="AD124" i="48"/>
  <c r="AK124" i="48"/>
  <c r="AI124" i="48"/>
  <c r="A124" i="48"/>
  <c r="AO124" i="48"/>
  <c r="X124" i="48"/>
  <c r="AG124" i="48"/>
  <c r="AJ124" i="48"/>
  <c r="AE124" i="48"/>
  <c r="AA124" i="48"/>
  <c r="AB124" i="48"/>
  <c r="AF124" i="48"/>
  <c r="V124" i="48"/>
  <c r="AH124" i="48"/>
  <c r="Z124" i="48"/>
  <c r="W124" i="48"/>
  <c r="C125" i="48"/>
  <c r="AM125" i="48" s="1"/>
  <c r="AN124" i="48"/>
  <c r="Y124" i="48"/>
  <c r="AX101" i="35"/>
  <c r="BQ100" i="35"/>
  <c r="I356" i="86"/>
  <c r="E357" i="86" s="1"/>
  <c r="L356" i="86"/>
  <c r="O356" i="86" s="1"/>
  <c r="A52" i="65"/>
  <c r="C183" i="52"/>
  <c r="G183" i="52"/>
  <c r="E184" i="52"/>
  <c r="F183" i="52"/>
  <c r="S26" i="48"/>
  <c r="Q27" i="48"/>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F131" i="47"/>
  <c r="E131" i="47"/>
  <c r="R131" i="47"/>
  <c r="N130" i="47"/>
  <c r="D132" i="47"/>
  <c r="C132" i="47"/>
  <c r="K132" i="47"/>
  <c r="M131" i="47"/>
  <c r="L131" i="47"/>
  <c r="O131" i="47"/>
  <c r="E101" i="35"/>
  <c r="C100" i="35"/>
  <c r="A100" i="35"/>
  <c r="I180" i="52"/>
  <c r="L181" i="52"/>
  <c r="J26" i="46"/>
  <c r="H29" i="63"/>
  <c r="K26" i="46"/>
  <c r="I29" i="63"/>
  <c r="G29" i="63"/>
  <c r="L26" i="46"/>
  <c r="C53" i="65"/>
  <c r="AK29" i="63" l="1"/>
  <c r="BS29" i="63"/>
  <c r="BR29" i="63"/>
  <c r="V133" i="47"/>
  <c r="AA133" i="47"/>
  <c r="AD131" i="47"/>
  <c r="DB101" i="35" s="1"/>
  <c r="AC131" i="47"/>
  <c r="AB131" i="47"/>
  <c r="Y131" i="47"/>
  <c r="DA101" i="35" s="1"/>
  <c r="X131" i="47"/>
  <c r="W131" i="47"/>
  <c r="D315" i="52"/>
  <c r="H315" i="52"/>
  <c r="U171" i="74" s="1"/>
  <c r="D179" i="52"/>
  <c r="D316" i="52" a="1"/>
  <c r="J124" i="48"/>
  <c r="M124" i="48"/>
  <c r="G124" i="48"/>
  <c r="L124" i="48"/>
  <c r="H124" i="48"/>
  <c r="K124" i="48"/>
  <c r="E124" i="48"/>
  <c r="I124" i="48"/>
  <c r="F124" i="48"/>
  <c r="D124" i="48"/>
  <c r="CP101" i="35"/>
  <c r="CC101" i="35"/>
  <c r="AH102" i="35"/>
  <c r="CF102" i="35" s="1"/>
  <c r="BM101" i="35"/>
  <c r="AD101" i="35"/>
  <c r="CE101" i="35" s="1"/>
  <c r="BL100" i="35"/>
  <c r="Z101" i="35"/>
  <c r="CD101" i="35" s="1"/>
  <c r="BK100" i="35"/>
  <c r="V102" i="35"/>
  <c r="BJ101" i="35"/>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O9" i="63" s="1"/>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H132" i="47"/>
  <c r="F132" i="47"/>
  <c r="O132" i="47"/>
  <c r="M132" i="47"/>
  <c r="L132" i="47"/>
  <c r="K133" i="47"/>
  <c r="D133" i="47"/>
  <c r="C133" i="47"/>
  <c r="C101" i="35"/>
  <c r="E102" i="35"/>
  <c r="A101" i="35"/>
  <c r="I181" i="52"/>
  <c r="L182" i="52"/>
  <c r="J27" i="46"/>
  <c r="H30" i="63"/>
  <c r="G30" i="63"/>
  <c r="L27" i="46"/>
  <c r="C54" i="65"/>
  <c r="K27" i="46"/>
  <c r="I30" i="63"/>
  <c r="AK30" i="63" l="1"/>
  <c r="BS30" i="63"/>
  <c r="BR30" i="63"/>
  <c r="V134" i="47"/>
  <c r="AA134" i="47"/>
  <c r="Y132" i="47"/>
  <c r="DA102" i="35" s="1"/>
  <c r="X132" i="47"/>
  <c r="W132" i="47"/>
  <c r="AD132" i="47"/>
  <c r="DB102" i="35" s="1"/>
  <c r="AC132" i="47"/>
  <c r="AB132" i="47"/>
  <c r="D316" i="52"/>
  <c r="H316" i="52"/>
  <c r="U172" i="74" s="1"/>
  <c r="D180" i="52"/>
  <c r="D317" i="52" a="1"/>
  <c r="L125" i="48"/>
  <c r="D125" i="48"/>
  <c r="F125" i="48"/>
  <c r="E125" i="48"/>
  <c r="G125" i="48"/>
  <c r="J125" i="48"/>
  <c r="I125" i="48"/>
  <c r="K125" i="48"/>
  <c r="M125" i="48"/>
  <c r="H125" i="48"/>
  <c r="CP102" i="35"/>
  <c r="CC102" i="35"/>
  <c r="AH103" i="35"/>
  <c r="CF103" i="35" s="1"/>
  <c r="BM102" i="35"/>
  <c r="AD102" i="35"/>
  <c r="CE102" i="35" s="1"/>
  <c r="BL101" i="35"/>
  <c r="Z102" i="35"/>
  <c r="CD102" i="35" s="1"/>
  <c r="BK101" i="35"/>
  <c r="V103" i="35"/>
  <c r="BJ102" i="35"/>
  <c r="AM126" i="48"/>
  <c r="AF126" i="48"/>
  <c r="AD126" i="48"/>
  <c r="AN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F133" i="47"/>
  <c r="R133" i="47"/>
  <c r="E133" i="47"/>
  <c r="O133" i="47"/>
  <c r="M133" i="47"/>
  <c r="L133" i="47"/>
  <c r="E103" i="35"/>
  <c r="C102" i="35"/>
  <c r="A102" i="35"/>
  <c r="I182" i="52"/>
  <c r="L183" i="52"/>
  <c r="H31" i="63"/>
  <c r="J28" i="46"/>
  <c r="C55" i="65"/>
  <c r="G31" i="63"/>
  <c r="L28" i="46"/>
  <c r="K28" i="46"/>
  <c r="I31" i="63"/>
  <c r="O10" i="63" l="1"/>
  <c r="AK31" i="63"/>
  <c r="BR31" i="63"/>
  <c r="BS31" i="63"/>
  <c r="V135" i="47"/>
  <c r="AA135" i="47"/>
  <c r="AC133" i="47"/>
  <c r="AB133" i="47"/>
  <c r="AD133" i="47"/>
  <c r="DB103" i="35" s="1"/>
  <c r="X133" i="47"/>
  <c r="W133" i="47"/>
  <c r="Y133" i="47"/>
  <c r="DA103" i="35" s="1"/>
  <c r="D317" i="52"/>
  <c r="H317" i="52"/>
  <c r="U173" i="74" s="1"/>
  <c r="D181" i="52"/>
  <c r="D318" i="52" a="1"/>
  <c r="L126" i="48"/>
  <c r="J126" i="48"/>
  <c r="G126" i="48"/>
  <c r="I126" i="48"/>
  <c r="K126" i="48"/>
  <c r="H126" i="48"/>
  <c r="M126" i="48"/>
  <c r="F126" i="48"/>
  <c r="D126" i="48"/>
  <c r="E126" i="48"/>
  <c r="CP103" i="35"/>
  <c r="CC103" i="35"/>
  <c r="AH104" i="35"/>
  <c r="CF104" i="35" s="1"/>
  <c r="BM103" i="35"/>
  <c r="AD103" i="35"/>
  <c r="CE103" i="35" s="1"/>
  <c r="BL102" i="35"/>
  <c r="Z103" i="35"/>
  <c r="CD103" i="35" s="1"/>
  <c r="BK102" i="35"/>
  <c r="V104" i="35"/>
  <c r="BJ103" i="35"/>
  <c r="W127" i="48"/>
  <c r="C146" i="65"/>
  <c r="A146" i="65" s="1"/>
  <c r="AG127" i="48"/>
  <c r="AF127" i="48"/>
  <c r="AE127" i="48"/>
  <c r="V127" i="48"/>
  <c r="Y127" i="48"/>
  <c r="AH127" i="48"/>
  <c r="AD127" i="48"/>
  <c r="AN127" i="48"/>
  <c r="A127" i="48"/>
  <c r="AA127" i="48"/>
  <c r="AC127" i="48"/>
  <c r="AK127" i="48"/>
  <c r="C128" i="48"/>
  <c r="AA128" i="48" s="1"/>
  <c r="AM127" i="48"/>
  <c r="Z127" i="48"/>
  <c r="X127" i="48"/>
  <c r="AB127" i="48"/>
  <c r="AJ127" i="48"/>
  <c r="AI127" i="48"/>
  <c r="AL127" i="48"/>
  <c r="AX104" i="35"/>
  <c r="BQ103" i="35"/>
  <c r="L357" i="86"/>
  <c r="O357" i="86" s="1"/>
  <c r="I357" i="86"/>
  <c r="E358" i="86" s="1"/>
  <c r="A55" i="65"/>
  <c r="G186" i="52"/>
  <c r="E187" i="52"/>
  <c r="C186" i="52"/>
  <c r="F186" i="52"/>
  <c r="S29" i="48"/>
  <c r="R30" i="48"/>
  <c r="D49" i="65" s="1"/>
  <c r="Q30" i="48"/>
  <c r="O11" i="63" s="1"/>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F134" i="47"/>
  <c r="O134" i="47"/>
  <c r="M134" i="47"/>
  <c r="L134" i="47"/>
  <c r="N133" i="47"/>
  <c r="D135" i="47"/>
  <c r="C135" i="47"/>
  <c r="K135" i="47"/>
  <c r="C103" i="35"/>
  <c r="A103" i="35"/>
  <c r="E104" i="35"/>
  <c r="I183" i="52"/>
  <c r="L184" i="52"/>
  <c r="J29" i="46"/>
  <c r="H32" i="63"/>
  <c r="C56" i="65"/>
  <c r="K29" i="46"/>
  <c r="I32" i="63"/>
  <c r="G32" i="63"/>
  <c r="L29" i="46"/>
  <c r="AK32" i="63" l="1"/>
  <c r="BS32" i="63"/>
  <c r="BR32" i="63"/>
  <c r="V136" i="47"/>
  <c r="AA136" i="47"/>
  <c r="X134" i="47"/>
  <c r="W134" i="47"/>
  <c r="Y134" i="47"/>
  <c r="DA104" i="35" s="1"/>
  <c r="AD134" i="47"/>
  <c r="DB104" i="35" s="1"/>
  <c r="AC134" i="47"/>
  <c r="AB134" i="47"/>
  <c r="D318" i="52"/>
  <c r="H318" i="52"/>
  <c r="U174" i="74" s="1"/>
  <c r="D182" i="52"/>
  <c r="D319" i="52" a="1"/>
  <c r="M127" i="48"/>
  <c r="I127" i="48"/>
  <c r="D127" i="48"/>
  <c r="F127" i="48"/>
  <c r="L127" i="48"/>
  <c r="K127" i="48"/>
  <c r="G127" i="48"/>
  <c r="H127" i="48"/>
  <c r="E127" i="48"/>
  <c r="J127" i="48"/>
  <c r="CP104" i="35"/>
  <c r="CC104" i="35"/>
  <c r="AH105" i="35"/>
  <c r="CF105" i="35" s="1"/>
  <c r="BM104" i="35"/>
  <c r="AD104" i="35"/>
  <c r="CE104" i="35" s="1"/>
  <c r="BL103" i="35"/>
  <c r="Z104" i="35"/>
  <c r="CD104" i="35" s="1"/>
  <c r="BK103" i="35"/>
  <c r="V105" i="35"/>
  <c r="BJ104" i="35"/>
  <c r="AM128" i="48"/>
  <c r="AO128" i="48"/>
  <c r="AI128" i="48"/>
  <c r="AC128" i="48"/>
  <c r="AJ128" i="48"/>
  <c r="AD128" i="48"/>
  <c r="AN128" i="48"/>
  <c r="C129" i="48"/>
  <c r="AI129" i="48" s="1"/>
  <c r="Z128" i="48"/>
  <c r="AB128" i="48"/>
  <c r="AK128" i="48"/>
  <c r="AL128" i="48"/>
  <c r="AF128" i="48"/>
  <c r="W128" i="48"/>
  <c r="C147" i="65"/>
  <c r="A147" i="65" s="1"/>
  <c r="AH128" i="48"/>
  <c r="Y128" i="48"/>
  <c r="AG128" i="48"/>
  <c r="V128" i="48"/>
  <c r="AE128" i="48"/>
  <c r="X128" i="48"/>
  <c r="A128" i="48"/>
  <c r="AX105" i="35"/>
  <c r="BQ104" i="35"/>
  <c r="G358" i="86"/>
  <c r="A56" i="65"/>
  <c r="BX101" i="35"/>
  <c r="F101" i="35" s="1"/>
  <c r="G187" i="52"/>
  <c r="F187" i="52"/>
  <c r="E188" i="52"/>
  <c r="C187" i="52"/>
  <c r="S30" i="48"/>
  <c r="R31" i="48"/>
  <c r="D50" i="65" s="1"/>
  <c r="Q31" i="48"/>
  <c r="G134" i="47"/>
  <c r="Q134" i="47" s="1"/>
  <c r="O113" i="48" s="1"/>
  <c r="J103" i="35"/>
  <c r="CM103" i="35" s="1"/>
  <c r="BY103" i="35" s="1"/>
  <c r="BG102" i="35"/>
  <c r="BZ102" i="35"/>
  <c r="CA102" i="35"/>
  <c r="BH102" i="35"/>
  <c r="N103" i="35"/>
  <c r="CB104" i="35"/>
  <c r="BI104" i="35"/>
  <c r="R105" i="35"/>
  <c r="CO105" i="35" s="1"/>
  <c r="BR104" i="35"/>
  <c r="CX104" i="35"/>
  <c r="BB105" i="35"/>
  <c r="CK105" i="35" s="1"/>
  <c r="N134" i="47"/>
  <c r="O135" i="47"/>
  <c r="M135" i="47"/>
  <c r="L135" i="47"/>
  <c r="K136" i="47"/>
  <c r="C136" i="47"/>
  <c r="D136" i="47"/>
  <c r="F135" i="47"/>
  <c r="R135" i="47"/>
  <c r="E135" i="47"/>
  <c r="H135" i="47"/>
  <c r="C104" i="35"/>
  <c r="A104" i="35"/>
  <c r="E105" i="35"/>
  <c r="I184" i="52"/>
  <c r="L185" i="52"/>
  <c r="J30" i="46"/>
  <c r="H33" i="63"/>
  <c r="C57" i="65"/>
  <c r="G33" i="63"/>
  <c r="L30" i="46"/>
  <c r="K30" i="46"/>
  <c r="I33" i="63"/>
  <c r="O12" i="63" l="1"/>
  <c r="AK33" i="63"/>
  <c r="BR33" i="63"/>
  <c r="BS33" i="63"/>
  <c r="V137" i="47"/>
  <c r="AA137" i="47"/>
  <c r="AB135" i="47"/>
  <c r="AD135" i="47"/>
  <c r="DB105" i="35" s="1"/>
  <c r="AC135" i="47"/>
  <c r="W135" i="47"/>
  <c r="Y135" i="47"/>
  <c r="DA105" i="35" s="1"/>
  <c r="X135" i="47"/>
  <c r="D319" i="52"/>
  <c r="H319" i="52"/>
  <c r="U175" i="74" s="1"/>
  <c r="D183" i="52"/>
  <c r="D320" i="52" a="1"/>
  <c r="E189" i="52"/>
  <c r="E190" i="52" s="1"/>
  <c r="D128" i="48"/>
  <c r="F128" i="48"/>
  <c r="E128" i="48"/>
  <c r="G128" i="48"/>
  <c r="I128" i="48"/>
  <c r="L128" i="48"/>
  <c r="M128" i="48"/>
  <c r="J128" i="48"/>
  <c r="H128" i="48"/>
  <c r="K128" i="48"/>
  <c r="CP105" i="35"/>
  <c r="CC105" i="35"/>
  <c r="AH106" i="35"/>
  <c r="CF106" i="35" s="1"/>
  <c r="BM105" i="35"/>
  <c r="AD105" i="35"/>
  <c r="CE105" i="35" s="1"/>
  <c r="BL104" i="35"/>
  <c r="Z105" i="35"/>
  <c r="CD105" i="35" s="1"/>
  <c r="BK104" i="35"/>
  <c r="V106" i="35"/>
  <c r="BJ105" i="35"/>
  <c r="W129" i="48"/>
  <c r="C148" i="65"/>
  <c r="A148" i="65" s="1"/>
  <c r="AH129" i="48"/>
  <c r="AG129" i="48"/>
  <c r="X129" i="48"/>
  <c r="AA129" i="48"/>
  <c r="AJ129" i="48"/>
  <c r="AL129" i="48"/>
  <c r="AE129" i="48"/>
  <c r="AD129" i="48"/>
  <c r="AN129" i="48"/>
  <c r="C130" i="48"/>
  <c r="AA130" i="48" s="1"/>
  <c r="Y129" i="48"/>
  <c r="AK129" i="48"/>
  <c r="AB129" i="48"/>
  <c r="A129" i="48"/>
  <c r="AO129" i="48"/>
  <c r="AF129" i="48"/>
  <c r="AM129" i="48"/>
  <c r="V129" i="48"/>
  <c r="Z129" i="48"/>
  <c r="AC129" i="48"/>
  <c r="AX106" i="35"/>
  <c r="BQ105" i="35"/>
  <c r="H358" i="86"/>
  <c r="K358" i="86"/>
  <c r="A57" i="65"/>
  <c r="G188" i="52"/>
  <c r="C188" i="52"/>
  <c r="F188" i="52"/>
  <c r="S31" i="48"/>
  <c r="Q32" i="48"/>
  <c r="O13" i="63" s="1"/>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F136" i="47"/>
  <c r="R136" i="47"/>
  <c r="E136" i="47"/>
  <c r="M136" i="47"/>
  <c r="L136" i="47"/>
  <c r="O136" i="47"/>
  <c r="G135" i="47"/>
  <c r="Q135" i="47" s="1"/>
  <c r="O114" i="48" s="1"/>
  <c r="C105" i="35"/>
  <c r="E106" i="35"/>
  <c r="A105" i="35"/>
  <c r="I185" i="52"/>
  <c r="L186" i="52"/>
  <c r="J31" i="46"/>
  <c r="H34" i="63"/>
  <c r="K31" i="46"/>
  <c r="I34" i="63"/>
  <c r="C58" i="65"/>
  <c r="L31" i="46"/>
  <c r="G34" i="63"/>
  <c r="AK34" i="63" l="1"/>
  <c r="BR34" i="63"/>
  <c r="BS34" i="63"/>
  <c r="V138" i="47"/>
  <c r="AA138" i="47"/>
  <c r="Y136" i="47"/>
  <c r="DA106" i="35" s="1"/>
  <c r="X136" i="47"/>
  <c r="W136" i="47"/>
  <c r="AD136" i="47"/>
  <c r="DB106" i="35" s="1"/>
  <c r="AC136" i="47"/>
  <c r="AB136" i="47"/>
  <c r="C189" i="52"/>
  <c r="D320" i="52"/>
  <c r="H320" i="52"/>
  <c r="U176" i="74" s="1"/>
  <c r="D184" i="52"/>
  <c r="D321" i="52" a="1"/>
  <c r="F189" i="52"/>
  <c r="G189" i="52"/>
  <c r="H129" i="48"/>
  <c r="M129" i="48"/>
  <c r="J129" i="48"/>
  <c r="G129" i="48"/>
  <c r="E129" i="48"/>
  <c r="F129" i="48"/>
  <c r="D129" i="48"/>
  <c r="I129" i="48"/>
  <c r="L129" i="48"/>
  <c r="K129" i="48"/>
  <c r="CP106" i="35"/>
  <c r="CC106" i="35"/>
  <c r="AH107" i="35"/>
  <c r="CF107" i="35" s="1"/>
  <c r="BM106" i="35"/>
  <c r="AD106" i="35"/>
  <c r="CE106" i="35" s="1"/>
  <c r="BL105" i="35"/>
  <c r="Z106" i="35"/>
  <c r="CD106" i="35" s="1"/>
  <c r="BK105" i="35"/>
  <c r="V107" i="35"/>
  <c r="BJ106" i="35"/>
  <c r="AF130" i="48"/>
  <c r="AH130" i="48"/>
  <c r="AM130" i="48"/>
  <c r="X130" i="48"/>
  <c r="AJ130" i="48"/>
  <c r="Z130" i="48"/>
  <c r="AL130" i="48"/>
  <c r="W130" i="48"/>
  <c r="AI130" i="48"/>
  <c r="AO130" i="48"/>
  <c r="C131" i="48"/>
  <c r="C150" i="65" s="1"/>
  <c r="A150" i="65" s="1"/>
  <c r="AN130" i="48"/>
  <c r="V130" i="48"/>
  <c r="AC130" i="48"/>
  <c r="AK130" i="48"/>
  <c r="AB130" i="48"/>
  <c r="AE130" i="48"/>
  <c r="C149" i="65"/>
  <c r="A149" i="65" s="1"/>
  <c r="AD130" i="48"/>
  <c r="Y130" i="48"/>
  <c r="AG130" i="48"/>
  <c r="A130" i="48"/>
  <c r="AX107" i="35"/>
  <c r="BQ106" i="35"/>
  <c r="I358" i="86"/>
  <c r="E359" i="86" s="1"/>
  <c r="L358" i="86"/>
  <c r="O358" i="86" s="1"/>
  <c r="A58" i="65"/>
  <c r="G190" i="52"/>
  <c r="E191" i="52"/>
  <c r="C190" i="52"/>
  <c r="F190" i="52"/>
  <c r="S32" i="48"/>
  <c r="Q33" i="48"/>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K138" i="47"/>
  <c r="D138" i="47"/>
  <c r="C138" i="47"/>
  <c r="G136" i="47"/>
  <c r="Q136" i="47" s="1"/>
  <c r="O115" i="48" s="1"/>
  <c r="R137" i="47"/>
  <c r="E137" i="47"/>
  <c r="F137" i="47"/>
  <c r="H137" i="47"/>
  <c r="A106" i="35"/>
  <c r="C106" i="35"/>
  <c r="E107" i="35"/>
  <c r="I186" i="52"/>
  <c r="L187" i="52"/>
  <c r="H35" i="63"/>
  <c r="J32" i="46"/>
  <c r="K32" i="46"/>
  <c r="I35" i="63"/>
  <c r="G35" i="63"/>
  <c r="L32" i="46"/>
  <c r="C59" i="65"/>
  <c r="O14" i="63" l="1"/>
  <c r="BR35" i="63"/>
  <c r="BS35" i="63"/>
  <c r="AK35" i="63"/>
  <c r="V139" i="47"/>
  <c r="AA139" i="47"/>
  <c r="Y137" i="47"/>
  <c r="DA107" i="35" s="1"/>
  <c r="X137" i="47"/>
  <c r="W137" i="47"/>
  <c r="AD137" i="47"/>
  <c r="DB107" i="35" s="1"/>
  <c r="AC137" i="47"/>
  <c r="AB137" i="47"/>
  <c r="D321" i="52"/>
  <c r="H321" i="52"/>
  <c r="U177" i="74" s="1"/>
  <c r="D185" i="52"/>
  <c r="D322" i="52" a="1"/>
  <c r="F191" i="52"/>
  <c r="M130" i="48"/>
  <c r="H130" i="48"/>
  <c r="J130" i="48"/>
  <c r="D130" i="48"/>
  <c r="E130" i="48"/>
  <c r="L130" i="48"/>
  <c r="G130" i="48"/>
  <c r="F130" i="48"/>
  <c r="K130" i="48"/>
  <c r="I130" i="48"/>
  <c r="CP107" i="35"/>
  <c r="CC107" i="35"/>
  <c r="AH108" i="35"/>
  <c r="CF108" i="35" s="1"/>
  <c r="BM107" i="35"/>
  <c r="AD107" i="35"/>
  <c r="CE107" i="35" s="1"/>
  <c r="BL106" i="35"/>
  <c r="Z107" i="35"/>
  <c r="CD107" i="35" s="1"/>
  <c r="BK106" i="35"/>
  <c r="V108" i="35"/>
  <c r="BJ107" i="35"/>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N106" i="35"/>
  <c r="CA105" i="35"/>
  <c r="BH105" i="35"/>
  <c r="CB107" i="35"/>
  <c r="BI107" i="35"/>
  <c r="R108" i="35"/>
  <c r="CO108" i="35" s="1"/>
  <c r="BG105" i="35"/>
  <c r="J106" i="35"/>
  <c r="CM106" i="35" s="1"/>
  <c r="BY106" i="35" s="1"/>
  <c r="BZ105" i="35"/>
  <c r="BX104" i="35"/>
  <c r="F104" i="35" s="1"/>
  <c r="BR107" i="35"/>
  <c r="BB108" i="35"/>
  <c r="CK108" i="35" s="1"/>
  <c r="CX107" i="35"/>
  <c r="O138" i="47"/>
  <c r="M138" i="47"/>
  <c r="L138" i="47"/>
  <c r="H138" i="47"/>
  <c r="F138" i="47"/>
  <c r="R138" i="47"/>
  <c r="E138" i="47"/>
  <c r="C139" i="47"/>
  <c r="K139" i="47"/>
  <c r="D139" i="47"/>
  <c r="N137" i="47"/>
  <c r="G137" i="47"/>
  <c r="Q137" i="47" s="1"/>
  <c r="O116" i="48" s="1"/>
  <c r="C107" i="35"/>
  <c r="A107" i="35"/>
  <c r="E108" i="35"/>
  <c r="I187" i="52"/>
  <c r="L188" i="52"/>
  <c r="J33" i="46"/>
  <c r="H36" i="63"/>
  <c r="C60" i="65"/>
  <c r="I36" i="63"/>
  <c r="K33" i="46"/>
  <c r="G36" i="63"/>
  <c r="L33" i="46"/>
  <c r="O15" i="63" l="1"/>
  <c r="BR36" i="63"/>
  <c r="BS36" i="63"/>
  <c r="AK36" i="63"/>
  <c r="V140" i="47"/>
  <c r="AA140" i="47"/>
  <c r="AC138" i="47"/>
  <c r="AB138" i="47"/>
  <c r="AD138" i="47"/>
  <c r="DB108" i="35" s="1"/>
  <c r="W138" i="47"/>
  <c r="X138" i="47"/>
  <c r="Y138" i="47"/>
  <c r="DA108" i="35" s="1"/>
  <c r="D322" i="52"/>
  <c r="H322" i="52"/>
  <c r="U178" i="74" s="1"/>
  <c r="D186" i="52"/>
  <c r="D323" i="52" a="1"/>
  <c r="M131" i="48"/>
  <c r="L131" i="48"/>
  <c r="D131" i="48"/>
  <c r="K131" i="48"/>
  <c r="E131" i="48"/>
  <c r="F131" i="48"/>
  <c r="H131" i="48"/>
  <c r="J131" i="48"/>
  <c r="G131" i="48"/>
  <c r="I131" i="48"/>
  <c r="CP108" i="35"/>
  <c r="CC108" i="35"/>
  <c r="AH109" i="35"/>
  <c r="CF109" i="35" s="1"/>
  <c r="BM108" i="35"/>
  <c r="AD108" i="35"/>
  <c r="CE108" i="35" s="1"/>
  <c r="BL107" i="35"/>
  <c r="Z108" i="35"/>
  <c r="CD108" i="35" s="1"/>
  <c r="BK107" i="35"/>
  <c r="V109" i="35"/>
  <c r="BJ108" i="35"/>
  <c r="AO132" i="48"/>
  <c r="AM132" i="48"/>
  <c r="AI132" i="48"/>
  <c r="AE132" i="48"/>
  <c r="Y132" i="48"/>
  <c r="A132" i="48"/>
  <c r="AL132" i="48"/>
  <c r="AB132" i="48"/>
  <c r="AC132" i="48"/>
  <c r="AH132" i="48"/>
  <c r="AD132" i="48"/>
  <c r="AK132" i="48"/>
  <c r="AN132" i="48"/>
  <c r="AA132" i="48"/>
  <c r="C133" i="48"/>
  <c r="AI133" i="48" s="1"/>
  <c r="X132" i="48"/>
  <c r="C151" i="65"/>
  <c r="A151" i="65" s="1"/>
  <c r="AJ132" i="48"/>
  <c r="AG132" i="48"/>
  <c r="AF132" i="48"/>
  <c r="V132" i="48"/>
  <c r="W132" i="48"/>
  <c r="AX109" i="35"/>
  <c r="BQ108" i="35"/>
  <c r="H359" i="86"/>
  <c r="K359" i="86"/>
  <c r="A60" i="65"/>
  <c r="C192" i="52"/>
  <c r="F192" i="52"/>
  <c r="E193" i="52"/>
  <c r="G192" i="52"/>
  <c r="S34" i="48"/>
  <c r="Q35" i="48"/>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F139" i="47"/>
  <c r="O139" i="47"/>
  <c r="M139" i="47"/>
  <c r="L139" i="47"/>
  <c r="C108" i="35"/>
  <c r="A108" i="35"/>
  <c r="E109" i="35"/>
  <c r="I188" i="52"/>
  <c r="L189" i="52"/>
  <c r="H37" i="63"/>
  <c r="J34" i="46"/>
  <c r="G37" i="63"/>
  <c r="L34" i="46"/>
  <c r="I37" i="63"/>
  <c r="K34" i="46"/>
  <c r="C61" i="65"/>
  <c r="O16" i="63" l="1"/>
  <c r="BR37" i="63"/>
  <c r="BS37" i="63"/>
  <c r="AK37" i="63"/>
  <c r="V141" i="47"/>
  <c r="AA141" i="47"/>
  <c r="Y139" i="47"/>
  <c r="DA109" i="35" s="1"/>
  <c r="X139" i="47"/>
  <c r="W139" i="47"/>
  <c r="AD139" i="47"/>
  <c r="DB109" i="35" s="1"/>
  <c r="AC139" i="47"/>
  <c r="AB139" i="47"/>
  <c r="D323" i="52"/>
  <c r="H323" i="52"/>
  <c r="U179" i="74" s="1"/>
  <c r="D187" i="52"/>
  <c r="D324" i="52" a="1"/>
  <c r="M132" i="48"/>
  <c r="I132" i="48"/>
  <c r="F132" i="48"/>
  <c r="D132" i="48"/>
  <c r="H132" i="48"/>
  <c r="J132" i="48"/>
  <c r="K132" i="48"/>
  <c r="G132" i="48"/>
  <c r="L132" i="48"/>
  <c r="E132" i="48"/>
  <c r="CP109" i="35"/>
  <c r="CC109" i="35"/>
  <c r="AH110" i="35"/>
  <c r="CF110" i="35" s="1"/>
  <c r="BM109" i="35"/>
  <c r="AD109" i="35"/>
  <c r="CE109" i="35" s="1"/>
  <c r="BL108" i="35"/>
  <c r="Z109" i="35"/>
  <c r="CD109" i="35" s="1"/>
  <c r="BK108" i="35"/>
  <c r="V110" i="35"/>
  <c r="BJ109" i="35"/>
  <c r="AE133" i="48"/>
  <c r="AM133" i="48"/>
  <c r="AO133" i="48"/>
  <c r="C134" i="48"/>
  <c r="C153" i="65" s="1"/>
  <c r="A153" i="65" s="1"/>
  <c r="AB133" i="48"/>
  <c r="Z133" i="48"/>
  <c r="AL133" i="48"/>
  <c r="AF133" i="48"/>
  <c r="V133" i="48"/>
  <c r="C152" i="65"/>
  <c r="A152" i="65" s="1"/>
  <c r="AN133" i="48"/>
  <c r="W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O140" i="47"/>
  <c r="M140" i="47"/>
  <c r="L140" i="47"/>
  <c r="G139" i="47"/>
  <c r="Q139" i="47" s="1"/>
  <c r="O118" i="48" s="1"/>
  <c r="F140" i="47"/>
  <c r="R140" i="47"/>
  <c r="E140" i="47"/>
  <c r="H140" i="47"/>
  <c r="E110" i="35"/>
  <c r="A109" i="35"/>
  <c r="C109" i="35"/>
  <c r="I189" i="52"/>
  <c r="L190" i="52"/>
  <c r="J35" i="46"/>
  <c r="H38" i="63"/>
  <c r="L35" i="46"/>
  <c r="G38" i="63"/>
  <c r="C62" i="65"/>
  <c r="I38" i="63"/>
  <c r="K35" i="46"/>
  <c r="O17" i="63" l="1"/>
  <c r="BS38" i="63"/>
  <c r="BR38" i="63"/>
  <c r="AK38" i="63"/>
  <c r="V142" i="47"/>
  <c r="AA142" i="47"/>
  <c r="AB140" i="47"/>
  <c r="AD140" i="47"/>
  <c r="DB110" i="35" s="1"/>
  <c r="AC140" i="47"/>
  <c r="W140" i="47"/>
  <c r="Y140" i="47"/>
  <c r="DA110" i="35" s="1"/>
  <c r="X140" i="47"/>
  <c r="D324" i="52"/>
  <c r="H324" i="52"/>
  <c r="U180" i="74" s="1"/>
  <c r="D188" i="52"/>
  <c r="D325" i="52" a="1"/>
  <c r="I133" i="48"/>
  <c r="M133" i="48"/>
  <c r="H133" i="48"/>
  <c r="K133" i="48"/>
  <c r="D133" i="48"/>
  <c r="L133" i="48"/>
  <c r="E133" i="48"/>
  <c r="F133" i="48"/>
  <c r="G133" i="48"/>
  <c r="J133" i="48"/>
  <c r="CP110" i="35"/>
  <c r="CC110" i="35"/>
  <c r="AH111" i="35"/>
  <c r="CF111" i="35" s="1"/>
  <c r="BM110" i="35"/>
  <c r="AD110" i="35"/>
  <c r="CE110" i="35" s="1"/>
  <c r="BL109" i="35"/>
  <c r="Z110" i="35"/>
  <c r="CD110" i="35" s="1"/>
  <c r="BK109" i="35"/>
  <c r="V111" i="35"/>
  <c r="BJ110" i="35"/>
  <c r="Y134" i="48"/>
  <c r="A134" i="48"/>
  <c r="AO134" i="48"/>
  <c r="AM134" i="48"/>
  <c r="AC134" i="48"/>
  <c r="V134" i="48"/>
  <c r="AJ134" i="48"/>
  <c r="X134" i="48"/>
  <c r="AI134" i="48"/>
  <c r="Z134" i="48"/>
  <c r="AD134" i="48"/>
  <c r="AK134" i="48"/>
  <c r="AA134" i="48"/>
  <c r="AN134" i="48"/>
  <c r="AB134" i="48"/>
  <c r="AG134" i="48"/>
  <c r="C135" i="48"/>
  <c r="AI135" i="48" s="1"/>
  <c r="AF134" i="48"/>
  <c r="AH134" i="48"/>
  <c r="W134" i="48"/>
  <c r="AL134" i="48"/>
  <c r="AE134" i="48"/>
  <c r="AX111" i="35"/>
  <c r="BQ110" i="35"/>
  <c r="G360" i="86"/>
  <c r="A62" i="65"/>
  <c r="E195" i="52"/>
  <c r="C194" i="52"/>
  <c r="F194" i="52"/>
  <c r="G194" i="52"/>
  <c r="BX107" i="35"/>
  <c r="F107" i="35" s="1"/>
  <c r="S36" i="48"/>
  <c r="Q37" i="48"/>
  <c r="R37" i="48"/>
  <c r="D56" i="65" s="1"/>
  <c r="J109" i="35"/>
  <c r="CM109" i="35" s="1"/>
  <c r="BY109" i="35" s="1"/>
  <c r="BG108" i="35"/>
  <c r="BZ108" i="35"/>
  <c r="N109" i="35"/>
  <c r="BH108" i="35"/>
  <c r="CA108" i="35"/>
  <c r="BR110" i="35"/>
  <c r="CX110" i="35"/>
  <c r="BB111" i="35"/>
  <c r="CK111" i="35" s="1"/>
  <c r="R111" i="35"/>
  <c r="CO111" i="35" s="1"/>
  <c r="BI110" i="35"/>
  <c r="CB110" i="35"/>
  <c r="N140" i="47"/>
  <c r="H141" i="47"/>
  <c r="F141" i="47"/>
  <c r="R141" i="47"/>
  <c r="E141" i="47"/>
  <c r="D142" i="47"/>
  <c r="C142" i="47"/>
  <c r="K142" i="47"/>
  <c r="M141" i="47"/>
  <c r="L141" i="47"/>
  <c r="O141" i="47"/>
  <c r="G140" i="47"/>
  <c r="Q140" i="47" s="1"/>
  <c r="O119" i="48" s="1"/>
  <c r="E111" i="35"/>
  <c r="A110" i="35"/>
  <c r="C110" i="35"/>
  <c r="I190" i="52"/>
  <c r="L191" i="52"/>
  <c r="H39" i="63"/>
  <c r="J36" i="46"/>
  <c r="L36" i="46"/>
  <c r="G39" i="63"/>
  <c r="I39" i="63"/>
  <c r="K36" i="46"/>
  <c r="C63" i="65"/>
  <c r="O18" i="63" l="1"/>
  <c r="BS39" i="63"/>
  <c r="BR39" i="63"/>
  <c r="AK39" i="63"/>
  <c r="V143" i="47"/>
  <c r="AA143" i="47"/>
  <c r="Y141" i="47"/>
  <c r="DA111" i="35" s="1"/>
  <c r="X141" i="47"/>
  <c r="W141" i="47"/>
  <c r="AD141" i="47"/>
  <c r="DB111" i="35" s="1"/>
  <c r="AC141" i="47"/>
  <c r="AB141" i="47"/>
  <c r="D325" i="52"/>
  <c r="H325" i="52"/>
  <c r="U181" i="74" s="1"/>
  <c r="D189" i="52"/>
  <c r="D326" i="52" a="1"/>
  <c r="E196" i="52"/>
  <c r="F196" i="52" s="1"/>
  <c r="I134" i="48"/>
  <c r="L134" i="48"/>
  <c r="D134" i="48"/>
  <c r="G134" i="48"/>
  <c r="H134" i="48"/>
  <c r="F134" i="48"/>
  <c r="J134" i="48"/>
  <c r="E134" i="48"/>
  <c r="K134" i="48"/>
  <c r="M134" i="48"/>
  <c r="CP111" i="35"/>
  <c r="CC111" i="35"/>
  <c r="AH112" i="35"/>
  <c r="CF112" i="35" s="1"/>
  <c r="BM111" i="35"/>
  <c r="AD111" i="35"/>
  <c r="CE111" i="35" s="1"/>
  <c r="BL110" i="35"/>
  <c r="Z111" i="35"/>
  <c r="CD111" i="35" s="1"/>
  <c r="BK110" i="35"/>
  <c r="V112" i="35"/>
  <c r="BJ111" i="35"/>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Q38" i="48"/>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R142" i="47"/>
  <c r="E142" i="47"/>
  <c r="H142" i="47"/>
  <c r="F142" i="47"/>
  <c r="K143" i="47"/>
  <c r="D143" i="47"/>
  <c r="C143" i="47"/>
  <c r="G141" i="47"/>
  <c r="Q141" i="47" s="1"/>
  <c r="O120" i="48" s="1"/>
  <c r="E112" i="35"/>
  <c r="C111" i="35"/>
  <c r="A111" i="35"/>
  <c r="I191" i="52"/>
  <c r="L192" i="52"/>
  <c r="J37" i="46"/>
  <c r="H40" i="63"/>
  <c r="C64" i="65"/>
  <c r="K37" i="46"/>
  <c r="I40" i="63"/>
  <c r="L37" i="46"/>
  <c r="G40" i="63"/>
  <c r="O19" i="63" l="1"/>
  <c r="BR40" i="63"/>
  <c r="BS40" i="63"/>
  <c r="AK40" i="63"/>
  <c r="V144" i="47"/>
  <c r="AA144" i="47"/>
  <c r="Y142" i="47"/>
  <c r="DA112" i="35" s="1"/>
  <c r="X142" i="47"/>
  <c r="W142" i="47"/>
  <c r="AD142" i="47"/>
  <c r="DB112" i="35" s="1"/>
  <c r="AC142" i="47"/>
  <c r="AB142" i="47"/>
  <c r="D326" i="52"/>
  <c r="H326" i="52"/>
  <c r="U182" i="74" s="1"/>
  <c r="D190" i="52"/>
  <c r="D327" i="52" a="1"/>
  <c r="C196" i="52"/>
  <c r="E197" i="52"/>
  <c r="F197" i="52" s="1"/>
  <c r="G196" i="52"/>
  <c r="G135" i="48"/>
  <c r="H135" i="48"/>
  <c r="L135" i="48"/>
  <c r="K135" i="48"/>
  <c r="M135" i="48"/>
  <c r="D135" i="48"/>
  <c r="F135" i="48"/>
  <c r="I135" i="48"/>
  <c r="E135" i="48"/>
  <c r="J135" i="48"/>
  <c r="CP112" i="35"/>
  <c r="CC112" i="35"/>
  <c r="AH113" i="35"/>
  <c r="CF113" i="35" s="1"/>
  <c r="BM112" i="35"/>
  <c r="AD112" i="35"/>
  <c r="CE112" i="35" s="1"/>
  <c r="BL111" i="35"/>
  <c r="Z112" i="35"/>
  <c r="CD112" i="35" s="1"/>
  <c r="BK111" i="35"/>
  <c r="V113" i="35"/>
  <c r="BJ112" i="35"/>
  <c r="AM136" i="48"/>
  <c r="AI136" i="48"/>
  <c r="AO136" i="48"/>
  <c r="AB136" i="48"/>
  <c r="AL136" i="48"/>
  <c r="AF136" i="48"/>
  <c r="AC136" i="48"/>
  <c r="AD136" i="48"/>
  <c r="AN136" i="48"/>
  <c r="C137" i="48"/>
  <c r="AA137" i="48" s="1"/>
  <c r="C155" i="65"/>
  <c r="A155" i="65" s="1"/>
  <c r="V136" i="48"/>
  <c r="Y136" i="48"/>
  <c r="AG136" i="48"/>
  <c r="X136" i="48"/>
  <c r="AA136" i="48"/>
  <c r="AH136" i="48"/>
  <c r="A136" i="48"/>
  <c r="AK136" i="48"/>
  <c r="AJ136" i="48"/>
  <c r="Z136" i="48"/>
  <c r="AE136" i="48"/>
  <c r="AX113" i="35"/>
  <c r="BQ112" i="35"/>
  <c r="I360" i="86"/>
  <c r="E361" i="86" s="1"/>
  <c r="L360" i="86"/>
  <c r="O360" i="86" s="1"/>
  <c r="A64" i="65"/>
  <c r="BX109" i="35"/>
  <c r="F109" i="35" s="1"/>
  <c r="S38" i="48"/>
  <c r="R39" i="48"/>
  <c r="D58" i="65" s="1"/>
  <c r="Q39" i="48"/>
  <c r="BZ110" i="35"/>
  <c r="J111" i="35"/>
  <c r="CM111" i="35" s="1"/>
  <c r="BY111" i="35" s="1"/>
  <c r="BG110" i="35"/>
  <c r="BR112" i="35"/>
  <c r="BB113" i="35"/>
  <c r="CK113" i="35" s="1"/>
  <c r="CX112" i="35"/>
  <c r="CA110" i="35"/>
  <c r="BH110" i="35"/>
  <c r="N111" i="35"/>
  <c r="R113" i="35"/>
  <c r="CO113" i="35" s="1"/>
  <c r="BI112" i="35"/>
  <c r="CB112" i="35"/>
  <c r="G142" i="47"/>
  <c r="Q142" i="47" s="1"/>
  <c r="O121" i="48" s="1"/>
  <c r="O143" i="47"/>
  <c r="M143" i="47"/>
  <c r="L143" i="47"/>
  <c r="C144" i="47"/>
  <c r="K144" i="47"/>
  <c r="D144" i="47"/>
  <c r="N142" i="47"/>
  <c r="H143" i="47"/>
  <c r="F143" i="47"/>
  <c r="R143" i="47"/>
  <c r="E143" i="47"/>
  <c r="E113" i="35"/>
  <c r="C112" i="35"/>
  <c r="A112" i="35"/>
  <c r="I192" i="52"/>
  <c r="L193" i="52"/>
  <c r="J38" i="46"/>
  <c r="H41" i="63"/>
  <c r="L38" i="46"/>
  <c r="G41" i="63"/>
  <c r="C65" i="65"/>
  <c r="I41" i="63"/>
  <c r="K38" i="46"/>
  <c r="O20" i="63" l="1"/>
  <c r="BR41" i="63"/>
  <c r="BS41" i="63"/>
  <c r="AK41" i="63"/>
  <c r="V145" i="47"/>
  <c r="AA145" i="47"/>
  <c r="X143" i="47"/>
  <c r="W143" i="47"/>
  <c r="Y143" i="47"/>
  <c r="DA113" i="35" s="1"/>
  <c r="AC143" i="47"/>
  <c r="AB143" i="47"/>
  <c r="AD143" i="47"/>
  <c r="DB113" i="35" s="1"/>
  <c r="E198" i="52"/>
  <c r="C198" i="52" s="1"/>
  <c r="C197" i="52"/>
  <c r="D327" i="52"/>
  <c r="H327" i="52"/>
  <c r="U183" i="74" s="1"/>
  <c r="G197" i="52"/>
  <c r="D191" i="52"/>
  <c r="D328" i="52" a="1"/>
  <c r="H136" i="48"/>
  <c r="L136" i="48"/>
  <c r="M136" i="48"/>
  <c r="K136" i="48"/>
  <c r="E136" i="48"/>
  <c r="G136" i="48"/>
  <c r="D136" i="48"/>
  <c r="J136" i="48"/>
  <c r="I136" i="48"/>
  <c r="F136" i="48"/>
  <c r="CP113" i="35"/>
  <c r="CC113" i="35"/>
  <c r="AH114" i="35"/>
  <c r="CF114" i="35" s="1"/>
  <c r="BM113" i="35"/>
  <c r="AD113" i="35"/>
  <c r="CE113" i="35" s="1"/>
  <c r="BL112" i="35"/>
  <c r="Z113" i="35"/>
  <c r="CD113" i="35" s="1"/>
  <c r="BK112" i="35"/>
  <c r="V114" i="35"/>
  <c r="BJ113" i="35"/>
  <c r="AD137" i="48"/>
  <c r="AN137" i="48"/>
  <c r="C138" i="48"/>
  <c r="AD138" i="48" s="1"/>
  <c r="AK137" i="48"/>
  <c r="X137" i="48"/>
  <c r="AI137" i="48"/>
  <c r="Z137" i="48"/>
  <c r="AO137" i="48"/>
  <c r="AJ137" i="48"/>
  <c r="AE137" i="48"/>
  <c r="AM137" i="48"/>
  <c r="AF137" i="48"/>
  <c r="AC137" i="48"/>
  <c r="V137" i="48"/>
  <c r="W137" i="48"/>
  <c r="AH137" i="48"/>
  <c r="C156" i="65"/>
  <c r="A156" i="65" s="1"/>
  <c r="AL137" i="48"/>
  <c r="Y137" i="48"/>
  <c r="AG137" i="48"/>
  <c r="AB137" i="48"/>
  <c r="A137" i="48"/>
  <c r="AX114" i="35"/>
  <c r="BQ113" i="35"/>
  <c r="G361" i="86"/>
  <c r="A65" i="65"/>
  <c r="R40" i="48"/>
  <c r="D59" i="65" s="1"/>
  <c r="Q40" i="48"/>
  <c r="S39" i="48"/>
  <c r="BX110" i="35"/>
  <c r="F110" i="35" s="1"/>
  <c r="BR113" i="35"/>
  <c r="BB114" i="35"/>
  <c r="CK114" i="35" s="1"/>
  <c r="CX113" i="35"/>
  <c r="BI113" i="35"/>
  <c r="R114" i="35"/>
  <c r="CO114" i="35" s="1"/>
  <c r="CB113" i="35"/>
  <c r="BZ111" i="35"/>
  <c r="BG111" i="35"/>
  <c r="J112" i="35"/>
  <c r="CM112" i="35" s="1"/>
  <c r="BY112" i="35" s="1"/>
  <c r="BH111" i="35"/>
  <c r="N112" i="35"/>
  <c r="CA111" i="35"/>
  <c r="H144" i="47"/>
  <c r="F144" i="47"/>
  <c r="R144" i="47"/>
  <c r="E144" i="47"/>
  <c r="D145" i="47"/>
  <c r="C145" i="47"/>
  <c r="K145" i="47"/>
  <c r="O144" i="47"/>
  <c r="M144" i="47"/>
  <c r="L144" i="47"/>
  <c r="N143" i="47"/>
  <c r="G143" i="47"/>
  <c r="Q143" i="47" s="1"/>
  <c r="O122" i="48" s="1"/>
  <c r="C113" i="35"/>
  <c r="A113" i="35"/>
  <c r="E114" i="35"/>
  <c r="I193" i="52"/>
  <c r="L194" i="52"/>
  <c r="H42" i="63"/>
  <c r="J39" i="46"/>
  <c r="C66" i="65"/>
  <c r="K39" i="46"/>
  <c r="I42" i="63"/>
  <c r="G42" i="63"/>
  <c r="L39" i="46"/>
  <c r="O21" i="63" l="1"/>
  <c r="BR42" i="63"/>
  <c r="BS42" i="63"/>
  <c r="AK42" i="63"/>
  <c r="V146" i="47"/>
  <c r="AA146" i="47"/>
  <c r="Y144" i="47"/>
  <c r="DA114" i="35" s="1"/>
  <c r="X144" i="47"/>
  <c r="W144" i="47"/>
  <c r="AD144" i="47"/>
  <c r="DB114" i="35" s="1"/>
  <c r="AC144" i="47"/>
  <c r="AB144" i="47"/>
  <c r="F198" i="52"/>
  <c r="E199" i="52"/>
  <c r="E200" i="52" s="1"/>
  <c r="G198" i="52"/>
  <c r="D328" i="52"/>
  <c r="H328" i="52"/>
  <c r="U184" i="74" s="1"/>
  <c r="D192" i="52"/>
  <c r="D329" i="52" a="1"/>
  <c r="H137" i="48"/>
  <c r="M137" i="48"/>
  <c r="I137" i="48"/>
  <c r="D137" i="48"/>
  <c r="G137" i="48"/>
  <c r="K137" i="48"/>
  <c r="L137" i="48"/>
  <c r="F137" i="48"/>
  <c r="J137" i="48"/>
  <c r="E137" i="48"/>
  <c r="CP114" i="35"/>
  <c r="CC114" i="35"/>
  <c r="AH115" i="35"/>
  <c r="CF115" i="35" s="1"/>
  <c r="BM114" i="35"/>
  <c r="AD114" i="35"/>
  <c r="CE114" i="35" s="1"/>
  <c r="BL113" i="35"/>
  <c r="Z114" i="35"/>
  <c r="CD114" i="35" s="1"/>
  <c r="BK113" i="35"/>
  <c r="V115" i="35"/>
  <c r="BJ114" i="35"/>
  <c r="AO138" i="48"/>
  <c r="AM138" i="48"/>
  <c r="AA138" i="48"/>
  <c r="AK138" i="48"/>
  <c r="AI138" i="48"/>
  <c r="AE138" i="48"/>
  <c r="Y138" i="48"/>
  <c r="A138" i="48"/>
  <c r="AC138" i="48"/>
  <c r="AB138" i="48"/>
  <c r="Z138" i="48"/>
  <c r="AH138" i="48"/>
  <c r="X138" i="48"/>
  <c r="AJ138" i="48"/>
  <c r="AN138" i="48"/>
  <c r="C139" i="48"/>
  <c r="C158" i="65" s="1"/>
  <c r="A158" i="65" s="1"/>
  <c r="AG138" i="48"/>
  <c r="AL138" i="48"/>
  <c r="AF138" i="48"/>
  <c r="W138" i="48"/>
  <c r="V138" i="48"/>
  <c r="C157" i="65"/>
  <c r="A157" i="65" s="1"/>
  <c r="AX115" i="35"/>
  <c r="BQ114" i="35"/>
  <c r="H361" i="86"/>
  <c r="K361" i="86"/>
  <c r="A66" i="65"/>
  <c r="BX111" i="35"/>
  <c r="F111" i="35" s="1"/>
  <c r="S40" i="48"/>
  <c r="Q41" i="48"/>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O145" i="47"/>
  <c r="M145" i="47"/>
  <c r="L145" i="47"/>
  <c r="F145" i="47"/>
  <c r="R145" i="47"/>
  <c r="E145" i="47"/>
  <c r="H145" i="47"/>
  <c r="G144" i="47"/>
  <c r="Q144" i="47" s="1"/>
  <c r="O123" i="48" s="1"/>
  <c r="C114" i="35"/>
  <c r="A114" i="35"/>
  <c r="E115" i="35"/>
  <c r="L195" i="52"/>
  <c r="I194" i="52"/>
  <c r="H43" i="63"/>
  <c r="J40" i="46"/>
  <c r="L40" i="46"/>
  <c r="G43" i="63"/>
  <c r="C67" i="65"/>
  <c r="A67" i="65" s="1"/>
  <c r="K40" i="46"/>
  <c r="I43" i="63"/>
  <c r="O22" i="63" l="1"/>
  <c r="BS43" i="63"/>
  <c r="BR43" i="63"/>
  <c r="AK43" i="63"/>
  <c r="V147" i="47"/>
  <c r="AA147" i="47"/>
  <c r="W145" i="47"/>
  <c r="Y145" i="47"/>
  <c r="DA115" i="35" s="1"/>
  <c r="X145" i="47"/>
  <c r="AB145" i="47"/>
  <c r="AD145" i="47"/>
  <c r="DB115" i="35" s="1"/>
  <c r="AC145" i="47"/>
  <c r="C199" i="52"/>
  <c r="F199" i="52"/>
  <c r="G199" i="52"/>
  <c r="D329" i="52"/>
  <c r="H329" i="52"/>
  <c r="U185" i="74" s="1"/>
  <c r="D193" i="52"/>
  <c r="D330" i="52" a="1"/>
  <c r="H138" i="48"/>
  <c r="G138" i="48"/>
  <c r="D138" i="48"/>
  <c r="I138" i="48"/>
  <c r="J138" i="48"/>
  <c r="E138" i="48"/>
  <c r="F138" i="48"/>
  <c r="L138" i="48"/>
  <c r="M138" i="48"/>
  <c r="K138" i="48"/>
  <c r="CP115" i="35"/>
  <c r="CC115" i="35"/>
  <c r="AH116" i="35"/>
  <c r="CF116" i="35" s="1"/>
  <c r="BM115" i="35"/>
  <c r="AD115" i="35"/>
  <c r="CE115" i="35" s="1"/>
  <c r="BL114" i="35"/>
  <c r="Z115" i="35"/>
  <c r="CD115" i="35" s="1"/>
  <c r="BK114" i="35"/>
  <c r="V116" i="35"/>
  <c r="BJ115" i="35"/>
  <c r="Y139" i="48"/>
  <c r="AM139" i="48"/>
  <c r="A139" i="48"/>
  <c r="AC139" i="48"/>
  <c r="AO139" i="48"/>
  <c r="AJ139" i="48"/>
  <c r="AF139" i="48"/>
  <c r="V139" i="48"/>
  <c r="AI139" i="48"/>
  <c r="AD139" i="48"/>
  <c r="AN139" i="48"/>
  <c r="AL139" i="48"/>
  <c r="AK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F146" i="47"/>
  <c r="R146" i="47"/>
  <c r="E146" i="47"/>
  <c r="M146" i="47"/>
  <c r="L146" i="47"/>
  <c r="O146" i="47"/>
  <c r="C115" i="35"/>
  <c r="A115" i="35"/>
  <c r="E116" i="35"/>
  <c r="E117" i="35" s="1"/>
  <c r="I195" i="52"/>
  <c r="L196" i="52"/>
  <c r="H44" i="63"/>
  <c r="J41" i="46"/>
  <c r="I44" i="63"/>
  <c r="K41" i="46"/>
  <c r="C68" i="65"/>
  <c r="A68" i="65" s="1"/>
  <c r="L41" i="46"/>
  <c r="G44" i="63"/>
  <c r="O23" i="63" l="1"/>
  <c r="BS44" i="63"/>
  <c r="BR44" i="63"/>
  <c r="AK44" i="63"/>
  <c r="V148" i="47"/>
  <c r="AA148" i="47"/>
  <c r="Y146" i="47"/>
  <c r="DA116" i="35" s="1"/>
  <c r="X146" i="47"/>
  <c r="W146" i="47"/>
  <c r="AD146" i="47"/>
  <c r="DB116" i="35" s="1"/>
  <c r="AC146" i="47"/>
  <c r="AB146" i="47"/>
  <c r="D330" i="52"/>
  <c r="H330" i="52"/>
  <c r="U186" i="74" s="1"/>
  <c r="D194" i="52"/>
  <c r="D331" i="52" a="1"/>
  <c r="L139" i="48"/>
  <c r="G139" i="48"/>
  <c r="K139" i="48"/>
  <c r="F139" i="48"/>
  <c r="M139" i="48"/>
  <c r="H139" i="48"/>
  <c r="E139" i="48"/>
  <c r="D139" i="48"/>
  <c r="J139" i="48"/>
  <c r="I139" i="48"/>
  <c r="CP116" i="35"/>
  <c r="CC116" i="35"/>
  <c r="AH117" i="35"/>
  <c r="CF117" i="35" s="1"/>
  <c r="BM116" i="35"/>
  <c r="AD116" i="35"/>
  <c r="CE116" i="35" s="1"/>
  <c r="BL115" i="35"/>
  <c r="Z116" i="35"/>
  <c r="CD116" i="35" s="1"/>
  <c r="BK115" i="35"/>
  <c r="V117" i="35"/>
  <c r="BJ116" i="35"/>
  <c r="X140" i="48"/>
  <c r="AJ140" i="48"/>
  <c r="AG140" i="48"/>
  <c r="AA140" i="48"/>
  <c r="AK140" i="48"/>
  <c r="V140" i="48"/>
  <c r="AI140" i="48"/>
  <c r="AF140" i="48"/>
  <c r="AE140" i="48"/>
  <c r="AH140" i="48"/>
  <c r="Y140" i="48"/>
  <c r="A140" i="48"/>
  <c r="A141" i="48" s="1"/>
  <c r="AO140" i="48"/>
  <c r="AC140" i="48"/>
  <c r="Z140" i="48"/>
  <c r="AM140" i="48"/>
  <c r="AL140" i="48"/>
  <c r="AB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E118" i="35"/>
  <c r="C117" i="35"/>
  <c r="A117" i="35"/>
  <c r="N115" i="35"/>
  <c r="CA114" i="35"/>
  <c r="BH114" i="35"/>
  <c r="CB116" i="35"/>
  <c r="BI116" i="35"/>
  <c r="CX116" i="35"/>
  <c r="BR116" i="35"/>
  <c r="J115" i="35"/>
  <c r="CM115" i="35" s="1"/>
  <c r="BY115" i="35" s="1"/>
  <c r="BZ114" i="35"/>
  <c r="BG114" i="35"/>
  <c r="N146" i="47"/>
  <c r="R147" i="47"/>
  <c r="E147" i="47"/>
  <c r="H147" i="47"/>
  <c r="F147" i="47"/>
  <c r="G146" i="47"/>
  <c r="Q146" i="47" s="1"/>
  <c r="O125" i="48" s="1"/>
  <c r="O147" i="47"/>
  <c r="M147" i="47"/>
  <c r="L147" i="47"/>
  <c r="K148" i="47"/>
  <c r="D148" i="47"/>
  <c r="C148" i="47"/>
  <c r="A116" i="35"/>
  <c r="C116" i="35"/>
  <c r="I196" i="52"/>
  <c r="L197" i="52"/>
  <c r="J42" i="46"/>
  <c r="H45" i="63"/>
  <c r="G45" i="63"/>
  <c r="L42" i="46"/>
  <c r="I45" i="63"/>
  <c r="K42" i="46"/>
  <c r="C69" i="65"/>
  <c r="A69" i="65" s="1"/>
  <c r="O24" i="63" l="1"/>
  <c r="BR45" i="63"/>
  <c r="BS45" i="63"/>
  <c r="AK45" i="63"/>
  <c r="V149" i="47"/>
  <c r="AA149" i="47"/>
  <c r="Y147" i="47"/>
  <c r="DA117" i="35" s="1"/>
  <c r="X147" i="47"/>
  <c r="W147" i="47"/>
  <c r="AD147" i="47"/>
  <c r="DB117" i="35" s="1"/>
  <c r="AC147" i="47"/>
  <c r="AB147" i="47"/>
  <c r="D331" i="52"/>
  <c r="H331" i="52"/>
  <c r="U187" i="74" s="1"/>
  <c r="D195" i="52"/>
  <c r="D332" i="52" a="1"/>
  <c r="L140" i="48"/>
  <c r="G140" i="48"/>
  <c r="F140" i="48"/>
  <c r="M140" i="48"/>
  <c r="J140" i="48"/>
  <c r="H140" i="48"/>
  <c r="K140" i="48"/>
  <c r="E140" i="48"/>
  <c r="D140" i="48"/>
  <c r="I140" i="48"/>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BI118" i="35"/>
  <c r="CB118" i="35"/>
  <c r="S43" i="48"/>
  <c r="Q44" i="48"/>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F148" i="47"/>
  <c r="R148" i="47"/>
  <c r="E148" i="47"/>
  <c r="O148" i="47"/>
  <c r="M148" i="47"/>
  <c r="L148" i="47"/>
  <c r="I197" i="52"/>
  <c r="L198" i="52"/>
  <c r="J43" i="46"/>
  <c r="H46" i="63"/>
  <c r="I46" i="63"/>
  <c r="K43" i="46"/>
  <c r="L43" i="46"/>
  <c r="G46" i="63"/>
  <c r="C70" i="65"/>
  <c r="A70" i="65" s="1"/>
  <c r="O25" i="63" l="1"/>
  <c r="BS46" i="63"/>
  <c r="BR46" i="63"/>
  <c r="AK46" i="63"/>
  <c r="V150" i="47"/>
  <c r="AA150" i="47"/>
  <c r="AC148" i="47"/>
  <c r="AB148" i="47"/>
  <c r="AD148" i="47"/>
  <c r="DB118" i="35" s="1"/>
  <c r="X148" i="47"/>
  <c r="W148" i="47"/>
  <c r="Y148" i="47"/>
  <c r="DA118" i="35" s="1"/>
  <c r="D332" i="52"/>
  <c r="H332" i="52"/>
  <c r="U188" i="74" s="1"/>
  <c r="D196" i="52"/>
  <c r="D333" i="52" a="1"/>
  <c r="CP118" i="35"/>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C119" i="35"/>
  <c r="A119" i="35"/>
  <c r="E120" i="35"/>
  <c r="BZ116" i="35"/>
  <c r="BG116" i="35"/>
  <c r="BH116" i="35"/>
  <c r="CA116" i="35"/>
  <c r="N148" i="47"/>
  <c r="G148" i="47"/>
  <c r="Q148" i="47" s="1"/>
  <c r="O127" i="48" s="1"/>
  <c r="H149" i="47"/>
  <c r="F149" i="47"/>
  <c r="R149" i="47"/>
  <c r="E149" i="47"/>
  <c r="O149" i="47"/>
  <c r="M149" i="47"/>
  <c r="L149" i="47"/>
  <c r="D150" i="47"/>
  <c r="C150" i="47"/>
  <c r="K150" i="47"/>
  <c r="I198" i="52"/>
  <c r="L199" i="52"/>
  <c r="H47" i="63"/>
  <c r="J44" i="46"/>
  <c r="C71" i="65"/>
  <c r="A71" i="65" s="1"/>
  <c r="K44" i="46"/>
  <c r="I47" i="63"/>
  <c r="L44" i="46"/>
  <c r="G47" i="63"/>
  <c r="O26" i="63" l="1"/>
  <c r="BS47" i="63"/>
  <c r="BR47" i="63"/>
  <c r="AK47" i="63"/>
  <c r="V151" i="47"/>
  <c r="AA151" i="47"/>
  <c r="Y149" i="47"/>
  <c r="DA119" i="35" s="1"/>
  <c r="X149" i="47"/>
  <c r="W149" i="47"/>
  <c r="AD149" i="47"/>
  <c r="DB119" i="35" s="1"/>
  <c r="AC149" i="47"/>
  <c r="AB149" i="47"/>
  <c r="D333" i="52"/>
  <c r="H333" i="52"/>
  <c r="U189" i="74" s="1"/>
  <c r="D197" i="52"/>
  <c r="D334" i="52" a="1"/>
  <c r="R120" i="35"/>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C120" i="35"/>
  <c r="A120" i="35"/>
  <c r="E121" i="35"/>
  <c r="BX116" i="35"/>
  <c r="F116" i="35" s="1"/>
  <c r="N149" i="47"/>
  <c r="K151" i="47"/>
  <c r="D151" i="47"/>
  <c r="C151" i="47"/>
  <c r="G149" i="47"/>
  <c r="Q149" i="47" s="1"/>
  <c r="O128" i="48" s="1"/>
  <c r="O150" i="47"/>
  <c r="M150" i="47"/>
  <c r="L150" i="47"/>
  <c r="F150" i="47"/>
  <c r="R150" i="47"/>
  <c r="E150" i="47"/>
  <c r="H150" i="47"/>
  <c r="I199" i="52"/>
  <c r="L200" i="52"/>
  <c r="J45" i="46"/>
  <c r="H48" i="63"/>
  <c r="C72" i="65"/>
  <c r="A72" i="65" s="1"/>
  <c r="K45" i="46"/>
  <c r="I48" i="63"/>
  <c r="G48" i="63"/>
  <c r="L45" i="46"/>
  <c r="O27" i="63" l="1"/>
  <c r="BS48" i="63"/>
  <c r="BR48" i="63"/>
  <c r="AK48" i="63"/>
  <c r="V152" i="47"/>
  <c r="AA152" i="47"/>
  <c r="AB150" i="47"/>
  <c r="AD150" i="47"/>
  <c r="DB120" i="35" s="1"/>
  <c r="AC150" i="47"/>
  <c r="W150" i="47"/>
  <c r="Y150" i="47"/>
  <c r="DA120" i="35" s="1"/>
  <c r="X150" i="47"/>
  <c r="D334" i="52"/>
  <c r="H334" i="52"/>
  <c r="U190" i="74" s="1"/>
  <c r="D198" i="52"/>
  <c r="D335" i="52" a="1"/>
  <c r="CP120" i="35"/>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R47" i="48"/>
  <c r="D66" i="65" s="1"/>
  <c r="A121" i="35"/>
  <c r="E122" i="35"/>
  <c r="C121" i="35"/>
  <c r="N150" i="47"/>
  <c r="D152" i="47"/>
  <c r="C152" i="47"/>
  <c r="K152" i="47"/>
  <c r="H151" i="47"/>
  <c r="F151" i="47"/>
  <c r="R151" i="47"/>
  <c r="E151" i="47"/>
  <c r="M151" i="47"/>
  <c r="L151" i="47"/>
  <c r="O151" i="47"/>
  <c r="G150" i="47"/>
  <c r="Q150" i="47" s="1"/>
  <c r="O129" i="48" s="1"/>
  <c r="I200" i="52"/>
  <c r="L201" i="52"/>
  <c r="K46" i="46"/>
  <c r="J46" i="46"/>
  <c r="L46" i="46"/>
  <c r="C73" i="65"/>
  <c r="A73" i="65" s="1"/>
  <c r="O28" i="63" l="1"/>
  <c r="V153" i="47"/>
  <c r="AA153" i="47"/>
  <c r="Y151" i="47"/>
  <c r="DA121" i="35" s="1"/>
  <c r="X151" i="47"/>
  <c r="W151" i="47"/>
  <c r="AD151" i="47"/>
  <c r="DB121" i="35" s="1"/>
  <c r="AC151" i="47"/>
  <c r="AB151" i="47"/>
  <c r="D335" i="52"/>
  <c r="H335" i="52"/>
  <c r="U191" i="74" s="1"/>
  <c r="D199" i="52"/>
  <c r="D336" i="52" a="1"/>
  <c r="BZ119" i="35"/>
  <c r="BX119" i="35" s="1"/>
  <c r="F119" i="35" s="1"/>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N121" i="35"/>
  <c r="BH120" i="35"/>
  <c r="CA120" i="35"/>
  <c r="CB122" i="35"/>
  <c r="R123" i="35"/>
  <c r="CO123" i="35" s="1"/>
  <c r="BI122" i="35"/>
  <c r="CX122" i="35"/>
  <c r="BR122" i="35"/>
  <c r="S47" i="48"/>
  <c r="Q48" i="48"/>
  <c r="R48" i="48"/>
  <c r="D67" i="65" s="1"/>
  <c r="A122" i="35"/>
  <c r="E123" i="35"/>
  <c r="C122" i="35"/>
  <c r="N151" i="47"/>
  <c r="O152" i="47"/>
  <c r="M152" i="47"/>
  <c r="L152" i="47"/>
  <c r="R152" i="47"/>
  <c r="E152" i="47"/>
  <c r="H152" i="47"/>
  <c r="F152" i="47"/>
  <c r="G151" i="47"/>
  <c r="Q151" i="47" s="1"/>
  <c r="O130" i="48" s="1"/>
  <c r="K153" i="47"/>
  <c r="D153" i="47"/>
  <c r="C153" i="47"/>
  <c r="I201" i="52"/>
  <c r="L202" i="52"/>
  <c r="C74" i="65"/>
  <c r="A74" i="65" s="1"/>
  <c r="A161" i="65" s="1"/>
  <c r="O29" i="63" l="1"/>
  <c r="V154" i="47"/>
  <c r="AA154" i="47"/>
  <c r="Y152" i="47"/>
  <c r="DA122" i="35" s="1"/>
  <c r="X152" i="47"/>
  <c r="W152" i="47"/>
  <c r="AD152" i="47"/>
  <c r="DB122" i="35" s="1"/>
  <c r="AC152" i="47"/>
  <c r="AB152" i="47"/>
  <c r="D336" i="52"/>
  <c r="H336" i="52"/>
  <c r="U192" i="74" s="1"/>
  <c r="D200" i="52"/>
  <c r="D337" i="52" a="1"/>
  <c r="BB123" i="35"/>
  <c r="CK123" i="35" s="1"/>
  <c r="BZ120" i="35"/>
  <c r="BX120" i="35" s="1"/>
  <c r="F120" i="35" s="1"/>
  <c r="J121" i="35"/>
  <c r="CM121" i="35" s="1"/>
  <c r="BG120" i="35"/>
  <c r="BY121"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R123" i="35"/>
  <c r="R49" i="48"/>
  <c r="D68" i="65" s="1"/>
  <c r="Q49" i="48"/>
  <c r="S48" i="48"/>
  <c r="E124" i="35"/>
  <c r="C123" i="35"/>
  <c r="A123" i="35"/>
  <c r="G152" i="47"/>
  <c r="Q152" i="47" s="1"/>
  <c r="O131" i="48" s="1"/>
  <c r="C154" i="47"/>
  <c r="K154" i="47"/>
  <c r="D154" i="47"/>
  <c r="H153" i="47"/>
  <c r="F153" i="47"/>
  <c r="R153" i="47"/>
  <c r="E153" i="47"/>
  <c r="N152" i="47"/>
  <c r="O153" i="47"/>
  <c r="M153" i="47"/>
  <c r="L153" i="47"/>
  <c r="I202" i="52"/>
  <c r="L203" i="52"/>
  <c r="O30" i="63" l="1"/>
  <c r="V155" i="47"/>
  <c r="AA155" i="47"/>
  <c r="AC153" i="47"/>
  <c r="AB153" i="47"/>
  <c r="AD153" i="47"/>
  <c r="DB123" i="35" s="1"/>
  <c r="X153" i="47"/>
  <c r="W153" i="47"/>
  <c r="Y153" i="47"/>
  <c r="DA123" i="35" s="1"/>
  <c r="BB124" i="35"/>
  <c r="CK124" i="35" s="1"/>
  <c r="D337" i="52"/>
  <c r="H337" i="52"/>
  <c r="U193" i="74" s="1"/>
  <c r="D201" i="52"/>
  <c r="D338" i="52" a="1"/>
  <c r="BZ121" i="35"/>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CX124" i="35"/>
  <c r="CA122" i="35"/>
  <c r="BH122" i="35"/>
  <c r="N123" i="35"/>
  <c r="CB124" i="35"/>
  <c r="R125" i="35"/>
  <c r="CO125" i="35" s="1"/>
  <c r="BI124" i="35"/>
  <c r="S49" i="48"/>
  <c r="R50" i="48"/>
  <c r="D69" i="65" s="1"/>
  <c r="Q50" i="48"/>
  <c r="E125" i="35"/>
  <c r="C124" i="35"/>
  <c r="A124" i="35"/>
  <c r="O154" i="47"/>
  <c r="M154" i="47"/>
  <c r="L154" i="47"/>
  <c r="G153" i="47"/>
  <c r="Q153" i="47" s="1"/>
  <c r="O132" i="48" s="1"/>
  <c r="H154" i="47"/>
  <c r="F154" i="47"/>
  <c r="R154" i="47"/>
  <c r="E154" i="47"/>
  <c r="N153" i="47"/>
  <c r="D155" i="47"/>
  <c r="C155" i="47"/>
  <c r="K155" i="47"/>
  <c r="I203" i="52"/>
  <c r="L204" i="52"/>
  <c r="O31" i="63" l="1"/>
  <c r="BB125" i="35"/>
  <c r="CK125" i="35" s="1"/>
  <c r="V156" i="47"/>
  <c r="AA156" i="47"/>
  <c r="Y154" i="47"/>
  <c r="DA124" i="35" s="1"/>
  <c r="X154" i="47"/>
  <c r="W154" i="47"/>
  <c r="AD154" i="47"/>
  <c r="DB124" i="35" s="1"/>
  <c r="AC154" i="47"/>
  <c r="AB154" i="47"/>
  <c r="BZ122" i="35"/>
  <c r="BX122" i="35" s="1"/>
  <c r="F122" i="35" s="1"/>
  <c r="J123" i="35"/>
  <c r="CM123" i="35" s="1"/>
  <c r="BY123" i="35" s="1"/>
  <c r="BG122" i="35"/>
  <c r="D338" i="52"/>
  <c r="H338" i="52"/>
  <c r="U194" i="74" s="1"/>
  <c r="D202" i="52"/>
  <c r="D339" i="52" a="1"/>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R125" i="35"/>
  <c r="CX125" i="35"/>
  <c r="S50" i="48"/>
  <c r="Q51" i="48"/>
  <c r="R51" i="48"/>
  <c r="D70" i="65" s="1"/>
  <c r="E126" i="35"/>
  <c r="C125" i="35"/>
  <c r="A125" i="35"/>
  <c r="O155" i="47"/>
  <c r="M155" i="47"/>
  <c r="L155" i="47"/>
  <c r="F155" i="47"/>
  <c r="R155" i="47"/>
  <c r="E155" i="47"/>
  <c r="H155" i="47"/>
  <c r="G154" i="47"/>
  <c r="Q154" i="47" s="1"/>
  <c r="O133" i="48" s="1"/>
  <c r="K156" i="47"/>
  <c r="D156" i="47"/>
  <c r="C156" i="47"/>
  <c r="N154" i="47"/>
  <c r="I204" i="52"/>
  <c r="L205" i="52"/>
  <c r="I205" i="52" s="1"/>
  <c r="O32" i="63" l="1"/>
  <c r="BB126" i="35"/>
  <c r="CK126" i="35" s="1"/>
  <c r="J124" i="35"/>
  <c r="CM124" i="35" s="1"/>
  <c r="BY124" i="35" s="1"/>
  <c r="V157" i="47"/>
  <c r="AA157" i="47"/>
  <c r="W155" i="47"/>
  <c r="Y155" i="47"/>
  <c r="DA125" i="35" s="1"/>
  <c r="X155" i="47"/>
  <c r="AB155" i="47"/>
  <c r="AD155" i="47"/>
  <c r="DB125" i="35" s="1"/>
  <c r="AC155" i="47"/>
  <c r="BG123" i="35"/>
  <c r="BZ123" i="35"/>
  <c r="BX123" i="35" s="1"/>
  <c r="F123" i="35" s="1"/>
  <c r="D339" i="52"/>
  <c r="H339" i="52"/>
  <c r="U195" i="74" s="1"/>
  <c r="D203" i="52"/>
  <c r="D340" i="52" a="1"/>
  <c r="CP125" i="35"/>
  <c r="CC125" i="35"/>
  <c r="AH126" i="35"/>
  <c r="CF126" i="35" s="1"/>
  <c r="BM125" i="35"/>
  <c r="AD125" i="35"/>
  <c r="CE125" i="35" s="1"/>
  <c r="BL124" i="35"/>
  <c r="Z125" i="35"/>
  <c r="CD125" i="35" s="1"/>
  <c r="BK124" i="35"/>
  <c r="V126" i="35"/>
  <c r="BJ125" i="35"/>
  <c r="AX126" i="35"/>
  <c r="BQ125" i="35"/>
  <c r="G365" i="86"/>
  <c r="BR126" i="35"/>
  <c r="BB127" i="35"/>
  <c r="CK127" i="35" s="1"/>
  <c r="CX126" i="35"/>
  <c r="CA124" i="35"/>
  <c r="BH124" i="35"/>
  <c r="N125" i="35"/>
  <c r="BI126" i="35"/>
  <c r="CB126" i="35"/>
  <c r="R127" i="35"/>
  <c r="CO127" i="35" s="1"/>
  <c r="S51" i="48"/>
  <c r="Q52" i="48"/>
  <c r="R52" i="48"/>
  <c r="D71" i="65" s="1"/>
  <c r="E127" i="35"/>
  <c r="C126" i="35"/>
  <c r="A126" i="35"/>
  <c r="G155" i="47"/>
  <c r="Q155" i="47" s="1"/>
  <c r="O134" i="48" s="1"/>
  <c r="D157" i="47"/>
  <c r="C157" i="47"/>
  <c r="K157" i="47"/>
  <c r="N155" i="47"/>
  <c r="H156" i="47"/>
  <c r="F156" i="47"/>
  <c r="R156" i="47"/>
  <c r="E156" i="47"/>
  <c r="M156" i="47"/>
  <c r="L156" i="47"/>
  <c r="O156" i="47"/>
  <c r="O33" i="63" l="1"/>
  <c r="BG124" i="35"/>
  <c r="BZ124" i="35"/>
  <c r="BX124" i="35" s="1"/>
  <c r="F124" i="35" s="1"/>
  <c r="J125" i="35"/>
  <c r="CM125" i="35" s="1"/>
  <c r="BY125" i="35" s="1"/>
  <c r="V158" i="47"/>
  <c r="AA158" i="47"/>
  <c r="Y156" i="47"/>
  <c r="DA126" i="35" s="1"/>
  <c r="X156" i="47"/>
  <c r="W156" i="47"/>
  <c r="AD156" i="47"/>
  <c r="DB126" i="35" s="1"/>
  <c r="AC156" i="47"/>
  <c r="AB156" i="47"/>
  <c r="D340" i="52"/>
  <c r="H340" i="52"/>
  <c r="U196" i="74" s="1"/>
  <c r="D204" i="52"/>
  <c r="D341" i="52" a="1"/>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R127" i="35"/>
  <c r="BB128" i="35"/>
  <c r="CK128" i="35" s="1"/>
  <c r="CX127" i="35"/>
  <c r="S52" i="48"/>
  <c r="R53" i="48"/>
  <c r="D72" i="65" s="1"/>
  <c r="Q53" i="48"/>
  <c r="E128" i="35"/>
  <c r="C127" i="35"/>
  <c r="A127" i="35"/>
  <c r="N156" i="47"/>
  <c r="R157" i="47"/>
  <c r="E157" i="47"/>
  <c r="H157" i="47"/>
  <c r="F157" i="47"/>
  <c r="G156" i="47"/>
  <c r="Q156" i="47" s="1"/>
  <c r="O135" i="48" s="1"/>
  <c r="O157" i="47"/>
  <c r="M157" i="47"/>
  <c r="L157" i="47"/>
  <c r="K158" i="47"/>
  <c r="D158" i="47"/>
  <c r="C158" i="47"/>
  <c r="O34" i="63" l="1"/>
  <c r="J126" i="35"/>
  <c r="CM126" i="35" s="1"/>
  <c r="BY126" i="35" s="1"/>
  <c r="BG125" i="35"/>
  <c r="BZ125" i="35"/>
  <c r="BX125" i="35" s="1"/>
  <c r="F125" i="35" s="1"/>
  <c r="V159" i="47"/>
  <c r="AA159" i="47"/>
  <c r="Y157" i="47"/>
  <c r="DA127" i="35" s="1"/>
  <c r="X157" i="47"/>
  <c r="W157" i="47"/>
  <c r="AD157" i="47"/>
  <c r="DB127" i="35" s="1"/>
  <c r="AC157" i="47"/>
  <c r="AB157" i="47"/>
  <c r="D341" i="52"/>
  <c r="H341" i="52"/>
  <c r="U197" i="74" s="1"/>
  <c r="D205" i="52"/>
  <c r="D343" i="52" s="1" a="1"/>
  <c r="D342" i="52" a="1"/>
  <c r="CP127" i="35"/>
  <c r="CC127" i="35"/>
  <c r="AH128" i="35"/>
  <c r="CF128" i="35" s="1"/>
  <c r="BM127" i="35"/>
  <c r="AD127" i="35"/>
  <c r="CE127" i="35" s="1"/>
  <c r="BL126" i="35"/>
  <c r="Z127" i="35"/>
  <c r="CD127" i="35" s="1"/>
  <c r="BK126" i="35"/>
  <c r="V128" i="35"/>
  <c r="BJ127" i="35"/>
  <c r="AX128" i="35"/>
  <c r="BQ127" i="35"/>
  <c r="L365" i="86"/>
  <c r="O365" i="86" s="1"/>
  <c r="I365" i="86"/>
  <c r="E366" i="86" s="1"/>
  <c r="CX128" i="35"/>
  <c r="BR128" i="35"/>
  <c r="BB129" i="35"/>
  <c r="CK129" i="35" s="1"/>
  <c r="BH126" i="35"/>
  <c r="N127" i="35"/>
  <c r="CA126" i="35"/>
  <c r="BZ126" i="35"/>
  <c r="BI128" i="35"/>
  <c r="R129" i="35"/>
  <c r="CO129" i="35" s="1"/>
  <c r="CB128" i="35"/>
  <c r="S53" i="48"/>
  <c r="Q54" i="48"/>
  <c r="R54" i="48"/>
  <c r="D73" i="65" s="1"/>
  <c r="C128" i="35"/>
  <c r="A128" i="35"/>
  <c r="E129" i="35"/>
  <c r="C159" i="47"/>
  <c r="K159" i="47"/>
  <c r="D159" i="47"/>
  <c r="H158" i="47"/>
  <c r="F158" i="47"/>
  <c r="R158" i="47"/>
  <c r="E158" i="47"/>
  <c r="O158" i="47"/>
  <c r="M158" i="47"/>
  <c r="L158" i="47"/>
  <c r="N157" i="47"/>
  <c r="G157" i="47"/>
  <c r="Q157" i="47" s="1"/>
  <c r="O136" i="48" s="1"/>
  <c r="O35" i="63" l="1"/>
  <c r="BG126" i="35"/>
  <c r="J127" i="35"/>
  <c r="CM127" i="35" s="1"/>
  <c r="V160" i="47"/>
  <c r="AA160" i="47"/>
  <c r="X158" i="47"/>
  <c r="W158" i="47"/>
  <c r="Y158" i="47"/>
  <c r="DA128" i="35" s="1"/>
  <c r="AC158" i="47"/>
  <c r="AB158" i="47"/>
  <c r="AD158" i="47"/>
  <c r="DB128" i="35" s="1"/>
  <c r="D343" i="52"/>
  <c r="D342" i="52"/>
  <c r="H342" i="52"/>
  <c r="BY127" i="35"/>
  <c r="CP128" i="35"/>
  <c r="CC128" i="35"/>
  <c r="AH129" i="35"/>
  <c r="CF129" i="35" s="1"/>
  <c r="BM128" i="35"/>
  <c r="AD128" i="35"/>
  <c r="CE128" i="35" s="1"/>
  <c r="BL127" i="35"/>
  <c r="Z128" i="35"/>
  <c r="CD128" i="35" s="1"/>
  <c r="BK127" i="35"/>
  <c r="V129" i="35"/>
  <c r="BJ128" i="35"/>
  <c r="AX129" i="35"/>
  <c r="BQ128" i="35"/>
  <c r="BX126" i="35"/>
  <c r="F126" i="35" s="1"/>
  <c r="G366" i="86"/>
  <c r="BG127" i="35"/>
  <c r="BZ127" i="35"/>
  <c r="N128" i="35"/>
  <c r="BH127" i="35"/>
  <c r="CA127" i="35"/>
  <c r="BR129" i="35"/>
  <c r="BB130" i="35"/>
  <c r="CK130" i="35" s="1"/>
  <c r="CX129" i="35"/>
  <c r="BI129" i="35"/>
  <c r="CB129" i="35"/>
  <c r="R130" i="35"/>
  <c r="CO130" i="35" s="1"/>
  <c r="S54" i="48"/>
  <c r="Q55" i="48"/>
  <c r="R55" i="48"/>
  <c r="D74" i="65" s="1"/>
  <c r="C129" i="35"/>
  <c r="A129" i="35"/>
  <c r="E130" i="35"/>
  <c r="O159" i="47"/>
  <c r="M159" i="47"/>
  <c r="L159" i="47"/>
  <c r="G158" i="47"/>
  <c r="Q158" i="47" s="1"/>
  <c r="O137" i="48" s="1"/>
  <c r="H159" i="47"/>
  <c r="F159" i="47"/>
  <c r="R159" i="47"/>
  <c r="E159" i="47"/>
  <c r="N158" i="47"/>
  <c r="D160" i="47"/>
  <c r="C160" i="47"/>
  <c r="K160" i="47"/>
  <c r="O36" i="63" l="1"/>
  <c r="J128" i="35"/>
  <c r="CM128" i="35" s="1"/>
  <c r="V161" i="47"/>
  <c r="AA161" i="47"/>
  <c r="Y159" i="47"/>
  <c r="DA129" i="35" s="1"/>
  <c r="X159" i="47"/>
  <c r="W159" i="47"/>
  <c r="AD159" i="47"/>
  <c r="DB129" i="35" s="1"/>
  <c r="AC159" i="47"/>
  <c r="AB159" i="47"/>
  <c r="H343" i="52"/>
  <c r="U199" i="74" s="1"/>
  <c r="U198" i="74"/>
  <c r="BY128" i="35"/>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O37" i="63" s="1"/>
  <c r="C130" i="35"/>
  <c r="A130" i="35"/>
  <c r="E131" i="35"/>
  <c r="D161" i="47"/>
  <c r="C161" i="47"/>
  <c r="K161" i="47"/>
  <c r="G159" i="47"/>
  <c r="Q159" i="47" s="1"/>
  <c r="O138" i="48" s="1"/>
  <c r="O160" i="47"/>
  <c r="M160" i="47"/>
  <c r="L160" i="47"/>
  <c r="F160" i="47"/>
  <c r="R160" i="47"/>
  <c r="E160" i="47"/>
  <c r="H160" i="47"/>
  <c r="N159" i="47"/>
  <c r="W160" i="47" l="1"/>
  <c r="Y160" i="47"/>
  <c r="DA130" i="35" s="1"/>
  <c r="X160" i="47"/>
  <c r="AB160" i="47"/>
  <c r="AD160" i="47"/>
  <c r="DB130" i="35" s="1"/>
  <c r="AC160" i="47"/>
  <c r="BY129" i="35"/>
  <c r="CP130" i="35"/>
  <c r="CC130" i="35"/>
  <c r="AH131" i="35"/>
  <c r="BM130" i="35"/>
  <c r="AD130" i="35"/>
  <c r="CE130" i="35" s="1"/>
  <c r="BL129" i="35"/>
  <c r="Z130" i="35"/>
  <c r="CD130" i="35" s="1"/>
  <c r="BK129" i="35"/>
  <c r="T75" i="65"/>
  <c r="J75" i="65" s="1"/>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O38" i="63" s="1"/>
  <c r="R57" i="48"/>
  <c r="D76" i="65" s="1"/>
  <c r="A131" i="35"/>
  <c r="C131" i="35"/>
  <c r="L161" i="47"/>
  <c r="M161" i="47"/>
  <c r="O161" i="47"/>
  <c r="F161" i="47"/>
  <c r="R161" i="47"/>
  <c r="E161" i="47"/>
  <c r="H161" i="47"/>
  <c r="G160" i="47"/>
  <c r="Q160" i="47" s="1"/>
  <c r="O139" i="48" s="1"/>
  <c r="N160" i="47"/>
  <c r="Y161" i="47" l="1"/>
  <c r="DA131" i="35" s="1"/>
  <c r="X161" i="47"/>
  <c r="W161" i="47"/>
  <c r="AD161" i="47"/>
  <c r="DB131" i="35" s="1"/>
  <c r="AC161" i="47"/>
  <c r="AB161" i="47"/>
  <c r="BY130" i="35"/>
  <c r="BM131" i="35"/>
  <c r="CF131" i="35"/>
  <c r="AD131" i="35"/>
  <c r="BL130" i="35"/>
  <c r="Z131" i="35"/>
  <c r="BK130" i="35"/>
  <c r="BJ131" i="35"/>
  <c r="CP131" i="35"/>
  <c r="T76" i="65"/>
  <c r="J76" i="65" s="1"/>
  <c r="G367" i="86"/>
  <c r="BX129" i="35"/>
  <c r="F129" i="35" s="1"/>
  <c r="BG130" i="35"/>
  <c r="BZ130" i="35"/>
  <c r="J131" i="35"/>
  <c r="CM131" i="35" s="1"/>
  <c r="N131" i="35"/>
  <c r="BH130" i="35"/>
  <c r="CA130" i="35"/>
  <c r="S57" i="48"/>
  <c r="Q58" i="48"/>
  <c r="O39" i="63" s="1"/>
  <c r="R58" i="48"/>
  <c r="D77" i="65" s="1"/>
  <c r="N161" i="47"/>
  <c r="G161" i="47"/>
  <c r="Q161" i="47" s="1"/>
  <c r="O140" i="48" s="1"/>
  <c r="BL131" i="35" l="1"/>
  <c r="CE131" i="35"/>
  <c r="BK131" i="35"/>
  <c r="CD131" i="35"/>
  <c r="BY131" i="35"/>
  <c r="T77" i="65"/>
  <c r="J77" i="65" s="1"/>
  <c r="H367" i="86"/>
  <c r="K367" i="86"/>
  <c r="BX130" i="35"/>
  <c r="F130" i="35" s="1"/>
  <c r="CA131" i="35"/>
  <c r="BH131" i="35"/>
  <c r="BG131" i="35"/>
  <c r="BZ131" i="35"/>
  <c r="S58" i="48"/>
  <c r="R59" i="48"/>
  <c r="D78" i="65" s="1"/>
  <c r="Q59" i="48"/>
  <c r="O40" i="63" s="1"/>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T78" i="65" l="1"/>
  <c r="J78" i="65" s="1"/>
  <c r="L367" i="86"/>
  <c r="O367" i="86" s="1"/>
  <c r="I367" i="86"/>
  <c r="E368" i="86" s="1"/>
  <c r="BX131" i="35"/>
  <c r="F131" i="35" s="1"/>
  <c r="S59" i="48"/>
  <c r="Q60" i="48"/>
  <c r="O41" i="63" s="1"/>
  <c r="R60" i="48"/>
  <c r="D79" i="65" s="1"/>
  <c r="T79" i="65" l="1"/>
  <c r="J79" i="65" s="1"/>
  <c r="G368" i="86"/>
  <c r="S60" i="48"/>
  <c r="Q61" i="48"/>
  <c r="O42" i="63" s="1"/>
  <c r="R61" i="48"/>
  <c r="D80" i="65" s="1"/>
  <c r="T80" i="65" l="1"/>
  <c r="J80" i="65" s="1"/>
  <c r="H368" i="86"/>
  <c r="K368" i="86"/>
  <c r="S61" i="48"/>
  <c r="Q62" i="48"/>
  <c r="O43" i="63" s="1"/>
  <c r="R62" i="48"/>
  <c r="D81" i="65" s="1"/>
  <c r="T81" i="65" l="1"/>
  <c r="J81" i="65" s="1"/>
  <c r="I368" i="86"/>
  <c r="E369" i="86" s="1"/>
  <c r="L368" i="86"/>
  <c r="O368" i="86" s="1"/>
  <c r="S62" i="48"/>
  <c r="R63" i="48"/>
  <c r="D82" i="65" s="1"/>
  <c r="Q63" i="48"/>
  <c r="O44" i="63" s="1"/>
  <c r="I22" i="56"/>
  <c r="T82" i="65" l="1"/>
  <c r="J82" i="65" s="1"/>
  <c r="G369" i="86"/>
  <c r="S63" i="48"/>
  <c r="R64" i="48"/>
  <c r="D83" i="65" s="1"/>
  <c r="Q64" i="48"/>
  <c r="O45" i="63" s="1"/>
  <c r="H22" i="56"/>
  <c r="E36" i="55"/>
  <c r="I36" i="55" s="1"/>
  <c r="T83" i="65" l="1"/>
  <c r="J83" i="65" s="1"/>
  <c r="H369" i="86"/>
  <c r="K369" i="86"/>
  <c r="S64" i="48"/>
  <c r="R65" i="48"/>
  <c r="D84" i="65" s="1"/>
  <c r="Q65" i="48"/>
  <c r="O46" i="63" s="1"/>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J84" i="65" s="1"/>
  <c r="L369" i="86"/>
  <c r="O369" i="86" s="1"/>
  <c r="I369" i="86"/>
  <c r="E370" i="86" s="1"/>
  <c r="S65" i="48"/>
  <c r="R66" i="48"/>
  <c r="D85" i="65" s="1"/>
  <c r="Q66" i="48"/>
  <c r="O47" i="63" s="1"/>
  <c r="L36" i="55"/>
  <c r="L47" i="55" s="1"/>
  <c r="L5" i="55" s="1"/>
  <c r="H38" i="56"/>
  <c r="I38" i="56"/>
  <c r="T85" i="65" l="1"/>
  <c r="J85" i="65" s="1"/>
  <c r="G370" i="86"/>
  <c r="S66" i="48"/>
  <c r="R67" i="48"/>
  <c r="D86" i="65" s="1"/>
  <c r="Q67" i="48"/>
  <c r="K36" i="55"/>
  <c r="K47" i="55" s="1"/>
  <c r="AE26" i="55" s="1"/>
  <c r="AB36" i="55"/>
  <c r="AB9" i="55" s="1"/>
  <c r="H5" i="55"/>
  <c r="V10" i="55"/>
  <c r="AH9" i="63" s="1"/>
  <c r="D11" i="63"/>
  <c r="K5" i="55"/>
  <c r="BK9" i="63" l="1" a="1"/>
  <c r="BK9" i="63" s="1"/>
  <c r="O48" i="63"/>
  <c r="T86" i="65"/>
  <c r="J86" i="65" s="1"/>
  <c r="H370" i="86"/>
  <c r="K370" i="86"/>
  <c r="S67" i="48"/>
  <c r="R68" i="48"/>
  <c r="D87" i="65" s="1"/>
  <c r="Q68" i="48"/>
  <c r="V11" i="55"/>
  <c r="AH10" i="63" s="1"/>
  <c r="T87" i="65" l="1"/>
  <c r="J87" i="65" s="1"/>
  <c r="I370" i="86"/>
  <c r="E371" i="86" s="1"/>
  <c r="L370" i="86"/>
  <c r="O370" i="86" s="1"/>
  <c r="S68" i="48"/>
  <c r="R69" i="48"/>
  <c r="D88" i="65" s="1"/>
  <c r="Q69" i="48"/>
  <c r="V12" i="55"/>
  <c r="AH11" i="63" s="1"/>
  <c r="T88" i="65" l="1"/>
  <c r="J88" i="65" s="1"/>
  <c r="G371" i="86"/>
  <c r="S69" i="48"/>
  <c r="R70" i="48"/>
  <c r="D89" i="65" s="1"/>
  <c r="Q70" i="48"/>
  <c r="V13" i="55"/>
  <c r="AH12" i="63" s="1"/>
  <c r="T89" i="65" l="1"/>
  <c r="J89" i="65" s="1"/>
  <c r="H371" i="86"/>
  <c r="K371" i="86"/>
  <c r="S70" i="48"/>
  <c r="R71" i="48"/>
  <c r="D90" i="65" s="1"/>
  <c r="Q71" i="48"/>
  <c r="V14" i="55"/>
  <c r="AH13" i="63" s="1"/>
  <c r="T90" i="65" l="1"/>
  <c r="J90" i="65" s="1"/>
  <c r="L371" i="86"/>
  <c r="O371" i="86" s="1"/>
  <c r="I371" i="86"/>
  <c r="E372" i="86" s="1"/>
  <c r="S71" i="48"/>
  <c r="R72" i="48"/>
  <c r="D91" i="65" s="1"/>
  <c r="Q72" i="48"/>
  <c r="V15" i="55"/>
  <c r="AH14" i="63" s="1"/>
  <c r="T91" i="65" l="1"/>
  <c r="J91" i="65" s="1"/>
  <c r="G372" i="86"/>
  <c r="S72" i="48"/>
  <c r="Q73" i="48"/>
  <c r="R73" i="48"/>
  <c r="D92" i="65" s="1"/>
  <c r="V16" i="55"/>
  <c r="AH15" i="63" s="1"/>
  <c r="T92" i="65" l="1"/>
  <c r="J92" i="65" s="1"/>
  <c r="H372" i="86"/>
  <c r="K372" i="86"/>
  <c r="S73" i="48"/>
  <c r="Q74" i="48"/>
  <c r="R74" i="48"/>
  <c r="D93" i="65" s="1"/>
  <c r="V17" i="55"/>
  <c r="AH16" i="63" s="1"/>
  <c r="T93" i="65" l="1"/>
  <c r="J93" i="65" s="1"/>
  <c r="I372" i="86"/>
  <c r="E373" i="86" s="1"/>
  <c r="L372" i="86"/>
  <c r="O372" i="86" s="1"/>
  <c r="S74" i="48"/>
  <c r="Q75" i="48"/>
  <c r="R75" i="48"/>
  <c r="D94" i="65" s="1"/>
  <c r="V18" i="55"/>
  <c r="AH17" i="63" s="1"/>
  <c r="T94" i="65" l="1"/>
  <c r="J94" i="65" s="1"/>
  <c r="G373" i="86"/>
  <c r="S75" i="48"/>
  <c r="Q76" i="48"/>
  <c r="R76" i="48"/>
  <c r="D95" i="65" s="1"/>
  <c r="V19" i="55"/>
  <c r="AH18" i="63" s="1"/>
  <c r="T95" i="65" l="1"/>
  <c r="J95" i="65" s="1"/>
  <c r="H373" i="86"/>
  <c r="K373" i="86"/>
  <c r="S76" i="48"/>
  <c r="R77" i="48"/>
  <c r="D96" i="65" s="1"/>
  <c r="Q77" i="48"/>
  <c r="V20" i="55"/>
  <c r="AH19" i="63" s="1"/>
  <c r="T96" i="65" l="1"/>
  <c r="J96" i="65" s="1"/>
  <c r="L373" i="86"/>
  <c r="O373" i="86" s="1"/>
  <c r="I373" i="86"/>
  <c r="E374" i="86" s="1"/>
  <c r="S77" i="48"/>
  <c r="R78" i="48"/>
  <c r="D97" i="65" s="1"/>
  <c r="Q78" i="48"/>
  <c r="V21" i="55"/>
  <c r="AH20" i="63" s="1"/>
  <c r="T97" i="65" l="1"/>
  <c r="J97" i="65" s="1"/>
  <c r="G374" i="86"/>
  <c r="S78" i="48"/>
  <c r="Q79" i="48"/>
  <c r="R79" i="48"/>
  <c r="D98" i="65" s="1"/>
  <c r="V22" i="55"/>
  <c r="AH21" i="63" s="1"/>
  <c r="T98" i="65" l="1"/>
  <c r="J98" i="65" s="1"/>
  <c r="H374" i="86"/>
  <c r="K374" i="86"/>
  <c r="S79" i="48"/>
  <c r="R80" i="48"/>
  <c r="D99" i="65" s="1"/>
  <c r="Q80" i="48"/>
  <c r="V23" i="55"/>
  <c r="AH22" i="63" s="1"/>
  <c r="T99" i="65" l="1"/>
  <c r="J99" i="65" s="1"/>
  <c r="I374" i="86"/>
  <c r="E375" i="86" s="1"/>
  <c r="L374" i="86"/>
  <c r="O374" i="86" s="1"/>
  <c r="S80" i="48"/>
  <c r="Q81" i="48"/>
  <c r="R81" i="48"/>
  <c r="D100" i="65" s="1"/>
  <c r="V24" i="55"/>
  <c r="AH23" i="63" s="1"/>
  <c r="T100" i="65" l="1"/>
  <c r="J100" i="65" s="1"/>
  <c r="G375" i="86"/>
  <c r="S81" i="48"/>
  <c r="Q82" i="48"/>
  <c r="R82" i="48"/>
  <c r="D101" i="65" s="1"/>
  <c r="V25" i="55"/>
  <c r="AH24" i="63" s="1"/>
  <c r="T101" i="65" l="1"/>
  <c r="J101" i="65" s="1"/>
  <c r="H375" i="86"/>
  <c r="K375" i="86"/>
  <c r="S82" i="48"/>
  <c r="R83" i="48"/>
  <c r="D102" i="65" s="1"/>
  <c r="Q83" i="48"/>
  <c r="V26" i="55"/>
  <c r="AH25" i="63" s="1"/>
  <c r="T102" i="65" l="1"/>
  <c r="J102" i="65" s="1"/>
  <c r="L375" i="86"/>
  <c r="O375" i="86" s="1"/>
  <c r="I375" i="86"/>
  <c r="E376" i="86" s="1"/>
  <c r="S83" i="48"/>
  <c r="R84" i="48"/>
  <c r="D103" i="65" s="1"/>
  <c r="Q84" i="48"/>
  <c r="V27" i="55"/>
  <c r="AH26" i="63" s="1"/>
  <c r="T103" i="65" l="1"/>
  <c r="J103" i="65" s="1"/>
  <c r="G376" i="86"/>
  <c r="S84" i="48"/>
  <c r="R85" i="48"/>
  <c r="D104" i="65" s="1"/>
  <c r="Q85" i="48"/>
  <c r="V28" i="55"/>
  <c r="AH27" i="63" s="1"/>
  <c r="T104" i="65" l="1"/>
  <c r="J104" i="65" s="1"/>
  <c r="H376" i="86"/>
  <c r="K376" i="86"/>
  <c r="S85" i="48"/>
  <c r="R86" i="48"/>
  <c r="D105" i="65" s="1"/>
  <c r="Q86" i="48"/>
  <c r="V29" i="55"/>
  <c r="AH28" i="63" s="1"/>
  <c r="T105" i="65" l="1"/>
  <c r="J105" i="65" s="1"/>
  <c r="U105" i="65"/>
  <c r="K105" i="65" s="1"/>
  <c r="I376" i="86"/>
  <c r="E377" i="86" s="1"/>
  <c r="L376" i="86"/>
  <c r="O376" i="86" s="1"/>
  <c r="S105" i="65"/>
  <c r="I105" i="65" s="1"/>
  <c r="R105" i="65"/>
  <c r="H105" i="65" s="1"/>
  <c r="S86" i="48"/>
  <c r="R87" i="48"/>
  <c r="D106" i="65" s="1"/>
  <c r="Q87" i="48"/>
  <c r="V30" i="55"/>
  <c r="AH29" i="63" s="1"/>
  <c r="T106" i="65" l="1"/>
  <c r="J106" i="65" s="1"/>
  <c r="U106" i="65"/>
  <c r="K106" i="65" s="1"/>
  <c r="G377" i="86"/>
  <c r="R106" i="65"/>
  <c r="H106" i="65" s="1"/>
  <c r="S106" i="65"/>
  <c r="I106" i="65" s="1"/>
  <c r="S87" i="48"/>
  <c r="R88" i="48"/>
  <c r="D107" i="65" s="1"/>
  <c r="Q88" i="48"/>
  <c r="V31" i="55"/>
  <c r="AH30" i="63" s="1"/>
  <c r="T107" i="65" l="1"/>
  <c r="J107" i="65" s="1"/>
  <c r="U107" i="65"/>
  <c r="K107" i="65" s="1"/>
  <c r="H377" i="86"/>
  <c r="K377" i="86"/>
  <c r="R107" i="65"/>
  <c r="H107" i="65" s="1"/>
  <c r="S107" i="65"/>
  <c r="I107" i="65" s="1"/>
  <c r="S88" i="48"/>
  <c r="R89" i="48"/>
  <c r="D108" i="65" s="1"/>
  <c r="Q89" i="48"/>
  <c r="V32" i="55"/>
  <c r="AH31" i="63" s="1"/>
  <c r="BM9" i="63" l="1"/>
  <c r="T108" i="65"/>
  <c r="J108" i="65" s="1"/>
  <c r="U108" i="65"/>
  <c r="K108" i="65" s="1"/>
  <c r="I377" i="86"/>
  <c r="E378" i="86" s="1"/>
  <c r="L377" i="86"/>
  <c r="O377" i="86" s="1"/>
  <c r="R108" i="65"/>
  <c r="H108" i="65" s="1"/>
  <c r="S108" i="65"/>
  <c r="I108" i="65" s="1"/>
  <c r="S89" i="48"/>
  <c r="R90" i="48"/>
  <c r="D109" i="65" s="1"/>
  <c r="Q90" i="48"/>
  <c r="V33" i="55"/>
  <c r="AH32" i="63" s="1"/>
  <c r="BM41" i="63" l="1"/>
  <c r="BM43" i="63"/>
  <c r="BM48" i="63"/>
  <c r="BM45" i="63"/>
  <c r="BM19" i="63"/>
  <c r="BM11" i="63"/>
  <c r="BM27" i="63"/>
  <c r="BM21" i="63"/>
  <c r="BM18" i="63"/>
  <c r="BM42" i="63"/>
  <c r="BM40" i="63"/>
  <c r="BM29" i="63"/>
  <c r="BM30" i="63"/>
  <c r="BM13" i="63"/>
  <c r="BM10" i="63"/>
  <c r="BM28" i="63"/>
  <c r="BM15" i="63"/>
  <c r="BM26" i="63"/>
  <c r="BM38" i="63"/>
  <c r="BM39" i="63"/>
  <c r="BM24" i="63"/>
  <c r="BM16" i="63"/>
  <c r="BM32" i="63"/>
  <c r="BM33" i="63"/>
  <c r="BM25" i="63"/>
  <c r="BM37" i="63"/>
  <c r="BM12" i="63"/>
  <c r="BM20" i="63"/>
  <c r="BM31" i="63"/>
  <c r="BM23" i="63"/>
  <c r="BM44" i="63"/>
  <c r="BM35" i="63"/>
  <c r="BM36" i="63"/>
  <c r="BM34" i="63"/>
  <c r="BM46" i="63"/>
  <c r="BM22" i="63"/>
  <c r="BM47" i="63"/>
  <c r="BM14" i="63"/>
  <c r="BM17" i="63"/>
  <c r="T109" i="65"/>
  <c r="J109" i="65" s="1"/>
  <c r="U109" i="65"/>
  <c r="K109" i="65" s="1"/>
  <c r="G378" i="86"/>
  <c r="S109" i="65"/>
  <c r="I109" i="65" s="1"/>
  <c r="R109" i="65"/>
  <c r="H109" i="65" s="1"/>
  <c r="S90" i="48"/>
  <c r="Q91" i="48"/>
  <c r="R91" i="48"/>
  <c r="D110" i="65" s="1"/>
  <c r="V34" i="55"/>
  <c r="AH33" i="63" s="1"/>
  <c r="T110" i="65" l="1"/>
  <c r="J110" i="65" s="1"/>
  <c r="U110" i="65"/>
  <c r="K110" i="65" s="1"/>
  <c r="H378" i="86"/>
  <c r="K378" i="86"/>
  <c r="S110" i="65"/>
  <c r="I110" i="65" s="1"/>
  <c r="R110" i="65"/>
  <c r="H110" i="65" s="1"/>
  <c r="S91" i="48"/>
  <c r="Q92" i="48"/>
  <c r="R92" i="48"/>
  <c r="D111" i="65" s="1"/>
  <c r="V35" i="55"/>
  <c r="AH34" i="63" s="1"/>
  <c r="T111" i="65" l="1"/>
  <c r="J111" i="65" s="1"/>
  <c r="U111" i="65"/>
  <c r="K111" i="65" s="1"/>
  <c r="L378" i="86"/>
  <c r="O378" i="86" s="1"/>
  <c r="I378" i="86"/>
  <c r="E379" i="86" s="1"/>
  <c r="S111" i="65"/>
  <c r="I111" i="65" s="1"/>
  <c r="R111" i="65"/>
  <c r="H111" i="65" s="1"/>
  <c r="Q93" i="48"/>
  <c r="R93" i="48"/>
  <c r="D112" i="65" s="1"/>
  <c r="S92" i="48"/>
  <c r="V36" i="55"/>
  <c r="AH35" i="63" s="1"/>
  <c r="T112" i="65" l="1"/>
  <c r="J112" i="65" s="1"/>
  <c r="U112" i="65"/>
  <c r="K112" i="65" s="1"/>
  <c r="G379" i="86"/>
  <c r="S112" i="65"/>
  <c r="I112" i="65" s="1"/>
  <c r="R112" i="65"/>
  <c r="H112" i="65" s="1"/>
  <c r="S93" i="48"/>
  <c r="R94" i="48"/>
  <c r="D113" i="65" s="1"/>
  <c r="Q94" i="48"/>
  <c r="V37" i="55"/>
  <c r="AH36" i="63" s="1"/>
  <c r="T113" i="65" l="1"/>
  <c r="J113" i="65" s="1"/>
  <c r="U113" i="65"/>
  <c r="K113" i="65" s="1"/>
  <c r="H379" i="86"/>
  <c r="K379" i="86"/>
  <c r="R113" i="65"/>
  <c r="H113" i="65" s="1"/>
  <c r="S113" i="65"/>
  <c r="I113" i="65" s="1"/>
  <c r="S94" i="48"/>
  <c r="R95" i="48"/>
  <c r="D114" i="65" s="1"/>
  <c r="Q95" i="48"/>
  <c r="V38" i="55"/>
  <c r="AH37" i="63" s="1"/>
  <c r="T114" i="65" l="1"/>
  <c r="J114" i="65" s="1"/>
  <c r="U114" i="65"/>
  <c r="K114" i="65" s="1"/>
  <c r="I379" i="86"/>
  <c r="E380" i="86" s="1"/>
  <c r="L379" i="86"/>
  <c r="O379" i="86" s="1"/>
  <c r="S114" i="65"/>
  <c r="I114" i="65" s="1"/>
  <c r="R114" i="65"/>
  <c r="H114" i="65" s="1"/>
  <c r="S95" i="48"/>
  <c r="Q96" i="48"/>
  <c r="R96" i="48"/>
  <c r="D115" i="65" s="1"/>
  <c r="V39" i="55"/>
  <c r="AH38" i="63" s="1"/>
  <c r="T115" i="65" l="1"/>
  <c r="J115" i="65" s="1"/>
  <c r="U115" i="65"/>
  <c r="K115" i="65" s="1"/>
  <c r="G380" i="86"/>
  <c r="S115" i="65"/>
  <c r="I115" i="65" s="1"/>
  <c r="R115" i="65"/>
  <c r="H115" i="65" s="1"/>
  <c r="S96" i="48"/>
  <c r="R97" i="48"/>
  <c r="D116" i="65" s="1"/>
  <c r="Q97" i="48"/>
  <c r="V40" i="55"/>
  <c r="AH39" i="63" s="1"/>
  <c r="T116" i="65" l="1"/>
  <c r="J116" i="65" s="1"/>
  <c r="U116" i="65"/>
  <c r="K116" i="65" s="1"/>
  <c r="H380" i="86"/>
  <c r="K380" i="86"/>
  <c r="R116" i="65"/>
  <c r="H116" i="65" s="1"/>
  <c r="S116" i="65"/>
  <c r="I116" i="65" s="1"/>
  <c r="S97" i="48"/>
  <c r="R98" i="48"/>
  <c r="D117" i="65" s="1"/>
  <c r="Q98" i="48"/>
  <c r="V41" i="55"/>
  <c r="AH40" i="63" s="1"/>
  <c r="T117" i="65" l="1"/>
  <c r="J117" i="65" s="1"/>
  <c r="U117" i="65"/>
  <c r="K117" i="65" s="1"/>
  <c r="L380" i="86"/>
  <c r="O380" i="86" s="1"/>
  <c r="I380" i="86"/>
  <c r="E381" i="86" s="1"/>
  <c r="R117" i="65"/>
  <c r="H117" i="65" s="1"/>
  <c r="S117" i="65"/>
  <c r="I117" i="65" s="1"/>
  <c r="S98" i="48"/>
  <c r="Q99" i="48"/>
  <c r="R99" i="48"/>
  <c r="D118" i="65" s="1"/>
  <c r="V42" i="55"/>
  <c r="AH41" i="63" s="1"/>
  <c r="T118" i="65" l="1"/>
  <c r="J118" i="65" s="1"/>
  <c r="U118" i="65"/>
  <c r="K118" i="65" s="1"/>
  <c r="G381" i="86"/>
  <c r="S118" i="65"/>
  <c r="I118" i="65" s="1"/>
  <c r="R118" i="65"/>
  <c r="H118" i="65" s="1"/>
  <c r="S99" i="48"/>
  <c r="R100" i="48"/>
  <c r="D119" i="65" s="1"/>
  <c r="Q100" i="48"/>
  <c r="V43" i="55"/>
  <c r="AH42" i="63" s="1"/>
  <c r="T119" i="65" l="1"/>
  <c r="J119" i="65" s="1"/>
  <c r="U119" i="65"/>
  <c r="K119" i="65" s="1"/>
  <c r="H381" i="86"/>
  <c r="K381" i="86"/>
  <c r="S119" i="65"/>
  <c r="I119" i="65" s="1"/>
  <c r="R119" i="65"/>
  <c r="H119" i="65" s="1"/>
  <c r="S100" i="48"/>
  <c r="R101" i="48"/>
  <c r="D120" i="65" s="1"/>
  <c r="Q101" i="48"/>
  <c r="V44" i="55"/>
  <c r="AH43" i="63" s="1"/>
  <c r="T120" i="65" l="1"/>
  <c r="J120" i="65" s="1"/>
  <c r="U120" i="65"/>
  <c r="K120" i="65" s="1"/>
  <c r="I381" i="86"/>
  <c r="E382" i="86" s="1"/>
  <c r="L381" i="86"/>
  <c r="O381" i="86" s="1"/>
  <c r="S120" i="65"/>
  <c r="I120" i="65" s="1"/>
  <c r="R120" i="65"/>
  <c r="H120" i="65" s="1"/>
  <c r="S101" i="48"/>
  <c r="Q102" i="48"/>
  <c r="R102" i="48"/>
  <c r="D121" i="65" s="1"/>
  <c r="V45" i="55"/>
  <c r="AH44" i="63" s="1"/>
  <c r="T121" i="65" l="1"/>
  <c r="J121" i="65" s="1"/>
  <c r="U121" i="65"/>
  <c r="K121" i="65" s="1"/>
  <c r="G382" i="86"/>
  <c r="S121" i="65"/>
  <c r="I121" i="65" s="1"/>
  <c r="R121" i="65"/>
  <c r="H121" i="65" s="1"/>
  <c r="Q103" i="48"/>
  <c r="R103" i="48"/>
  <c r="D122" i="65" s="1"/>
  <c r="S102" i="48"/>
  <c r="V46" i="55"/>
  <c r="AH45" i="63" s="1"/>
  <c r="T122" i="65" l="1"/>
  <c r="J122" i="65" s="1"/>
  <c r="U122" i="65"/>
  <c r="K122" i="65" s="1"/>
  <c r="H382" i="86"/>
  <c r="K382" i="86"/>
  <c r="S122" i="65"/>
  <c r="I122" i="65" s="1"/>
  <c r="R122" i="65"/>
  <c r="H122" i="65" s="1"/>
  <c r="S103" i="48"/>
  <c r="R104" i="48"/>
  <c r="D123" i="65" s="1"/>
  <c r="Q104" i="48"/>
  <c r="V47" i="55"/>
  <c r="AH46" i="63" s="1"/>
  <c r="T123" i="65" l="1"/>
  <c r="J123" i="65" s="1"/>
  <c r="U123" i="65"/>
  <c r="K123" i="65" s="1"/>
  <c r="L382" i="86"/>
  <c r="O382" i="86" s="1"/>
  <c r="I382" i="86"/>
  <c r="E383" i="86" s="1"/>
  <c r="S123" i="65"/>
  <c r="I123" i="65" s="1"/>
  <c r="R123" i="65"/>
  <c r="H123" i="65" s="1"/>
  <c r="S104" i="48"/>
  <c r="R105" i="48"/>
  <c r="D124" i="65" s="1"/>
  <c r="Q105" i="48"/>
  <c r="V48" i="55"/>
  <c r="AH47" i="63" s="1"/>
  <c r="T124" i="65" l="1"/>
  <c r="J124" i="65" s="1"/>
  <c r="U124" i="65"/>
  <c r="K124" i="65" s="1"/>
  <c r="G383" i="86"/>
  <c r="S124" i="65"/>
  <c r="I124" i="65" s="1"/>
  <c r="R124" i="65"/>
  <c r="H124" i="65" s="1"/>
  <c r="S105" i="48"/>
  <c r="R106" i="48"/>
  <c r="D125" i="65" s="1"/>
  <c r="Q106" i="48"/>
  <c r="V49" i="55"/>
  <c r="T125" i="65" l="1"/>
  <c r="J125" i="65" s="1"/>
  <c r="U125" i="65"/>
  <c r="K125" i="65" s="1"/>
  <c r="H383" i="86"/>
  <c r="K383" i="86"/>
  <c r="S125" i="65"/>
  <c r="I125" i="65" s="1"/>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J126" i="65" s="1"/>
  <c r="U126" i="65"/>
  <c r="K126" i="65" s="1"/>
  <c r="I383" i="86"/>
  <c r="E384" i="86" s="1"/>
  <c r="L383" i="86"/>
  <c r="O383" i="86" s="1"/>
  <c r="S126" i="65"/>
  <c r="I126" i="65" s="1"/>
  <c r="R126" i="65"/>
  <c r="H126" i="65" s="1"/>
  <c r="S107" i="48"/>
  <c r="R108" i="48"/>
  <c r="D127" i="65" s="1"/>
  <c r="Q108" i="48"/>
  <c r="T127" i="65" l="1"/>
  <c r="J127" i="65" s="1"/>
  <c r="U127" i="65"/>
  <c r="K127" i="65" s="1"/>
  <c r="G384" i="86"/>
  <c r="M126" i="65"/>
  <c r="S127" i="65"/>
  <c r="I127" i="65" s="1"/>
  <c r="R127" i="65"/>
  <c r="H127" i="65" s="1"/>
  <c r="S108" i="48"/>
  <c r="R109" i="48"/>
  <c r="D128" i="65" s="1"/>
  <c r="Q109" i="48"/>
  <c r="I34" i="52"/>
  <c r="I44" i="52" s="1"/>
  <c r="T128" i="65" l="1"/>
  <c r="J128" i="65" s="1"/>
  <c r="U128" i="65"/>
  <c r="K128" i="65" s="1"/>
  <c r="H384" i="86"/>
  <c r="K384" i="86"/>
  <c r="M127" i="65"/>
  <c r="R128" i="65"/>
  <c r="H128" i="65" s="1"/>
  <c r="S128" i="65"/>
  <c r="I128" i="65" s="1"/>
  <c r="H80" i="52"/>
  <c r="H81" i="52"/>
  <c r="S109" i="48"/>
  <c r="R110" i="48"/>
  <c r="D129" i="65" s="1"/>
  <c r="Q110" i="48"/>
  <c r="J81" i="52"/>
  <c r="J82" i="52" s="1"/>
  <c r="H82" i="52" s="1"/>
  <c r="T129" i="65" l="1"/>
  <c r="J129" i="65" s="1"/>
  <c r="U129" i="65"/>
  <c r="K129" i="65" s="1"/>
  <c r="L384" i="86"/>
  <c r="O384" i="86" s="1"/>
  <c r="I384" i="86"/>
  <c r="E385" i="86" s="1"/>
  <c r="S129" i="65"/>
  <c r="I129" i="65" s="1"/>
  <c r="R129" i="65"/>
  <c r="H129" i="65" s="1"/>
  <c r="M128" i="65"/>
  <c r="S110" i="48"/>
  <c r="Q111" i="48"/>
  <c r="R111" i="48"/>
  <c r="D130" i="65" s="1"/>
  <c r="J83" i="52"/>
  <c r="T130" i="65" l="1"/>
  <c r="J130" i="65" s="1"/>
  <c r="U130" i="65"/>
  <c r="K130" i="65" s="1"/>
  <c r="G385" i="86"/>
  <c r="M129" i="65"/>
  <c r="R130" i="65"/>
  <c r="H130" i="65" s="1"/>
  <c r="S130" i="65"/>
  <c r="I130" i="65" s="1"/>
  <c r="J84" i="52"/>
  <c r="H84" i="52" s="1"/>
  <c r="H83" i="52"/>
  <c r="S111" i="48"/>
  <c r="Q112" i="48"/>
  <c r="R112" i="48"/>
  <c r="D131" i="65" s="1"/>
  <c r="AL10" i="63"/>
  <c r="T131" i="65" l="1"/>
  <c r="J131" i="65" s="1"/>
  <c r="U131" i="65"/>
  <c r="K131" i="65" s="1"/>
  <c r="H385" i="86"/>
  <c r="K385" i="86"/>
  <c r="R131" i="65"/>
  <c r="H131" i="65" s="1"/>
  <c r="S131" i="65"/>
  <c r="I131" i="65" s="1"/>
  <c r="M130" i="65"/>
  <c r="J85" i="52"/>
  <c r="H85" i="52" s="1"/>
  <c r="S112" i="48"/>
  <c r="Q113" i="48"/>
  <c r="R113" i="48"/>
  <c r="D132" i="65" s="1"/>
  <c r="AL11" i="63"/>
  <c r="T132" i="65" l="1"/>
  <c r="J132" i="65" s="1"/>
  <c r="U132" i="65"/>
  <c r="K132" i="65" s="1"/>
  <c r="I385" i="86"/>
  <c r="E386" i="86" s="1"/>
  <c r="L385" i="86"/>
  <c r="O385" i="86" s="1"/>
  <c r="S132" i="65"/>
  <c r="I132" i="65" s="1"/>
  <c r="R132" i="65"/>
  <c r="H132" i="65" s="1"/>
  <c r="M131" i="65"/>
  <c r="J86" i="52"/>
  <c r="H86" i="52" s="1"/>
  <c r="S113" i="48"/>
  <c r="Q114" i="48"/>
  <c r="R114" i="48"/>
  <c r="D133" i="65" s="1"/>
  <c r="AL12" i="63"/>
  <c r="T133" i="65" l="1"/>
  <c r="J133" i="65" s="1"/>
  <c r="U133" i="65"/>
  <c r="K133" i="65" s="1"/>
  <c r="G386" i="86"/>
  <c r="M132" i="65"/>
  <c r="R133" i="65"/>
  <c r="H133" i="65" s="1"/>
  <c r="S133" i="65"/>
  <c r="I133" i="65" s="1"/>
  <c r="J87" i="52"/>
  <c r="H87" i="52" s="1"/>
  <c r="S114" i="48"/>
  <c r="Q115" i="48"/>
  <c r="R115" i="48"/>
  <c r="D134" i="65" s="1"/>
  <c r="AL13" i="63"/>
  <c r="T134" i="65" l="1"/>
  <c r="J134" i="65" s="1"/>
  <c r="U134" i="65"/>
  <c r="K134" i="65" s="1"/>
  <c r="H386" i="86"/>
  <c r="K386" i="86"/>
  <c r="M133" i="65"/>
  <c r="S134" i="65"/>
  <c r="I134" i="65" s="1"/>
  <c r="R134" i="65"/>
  <c r="H134" i="65" s="1"/>
  <c r="J88" i="52"/>
  <c r="H88" i="52" s="1"/>
  <c r="S115" i="48"/>
  <c r="Q116" i="48"/>
  <c r="R116" i="48"/>
  <c r="D135" i="65" s="1"/>
  <c r="AL14" i="63"/>
  <c r="T135" i="65" l="1"/>
  <c r="J135" i="65" s="1"/>
  <c r="U135" i="65"/>
  <c r="K135" i="65" s="1"/>
  <c r="I386" i="86"/>
  <c r="E387" i="86" s="1"/>
  <c r="L386" i="86"/>
  <c r="O386" i="86" s="1"/>
  <c r="M134" i="65"/>
  <c r="R135" i="65"/>
  <c r="H135" i="65" s="1"/>
  <c r="S135" i="65"/>
  <c r="I135" i="65" s="1"/>
  <c r="J89" i="52"/>
  <c r="H89" i="52" s="1"/>
  <c r="S116" i="48"/>
  <c r="Q117" i="48"/>
  <c r="R117" i="48"/>
  <c r="D136" i="65" s="1"/>
  <c r="AL15" i="63"/>
  <c r="T136" i="65" l="1"/>
  <c r="J136" i="65" s="1"/>
  <c r="U136" i="65"/>
  <c r="K136" i="65" s="1"/>
  <c r="G387" i="86"/>
  <c r="M135" i="65"/>
  <c r="S136" i="65"/>
  <c r="I136" i="65" s="1"/>
  <c r="R136" i="65"/>
  <c r="H136" i="65" s="1"/>
  <c r="J90" i="52"/>
  <c r="H90" i="52" s="1"/>
  <c r="Q118" i="48"/>
  <c r="R118" i="48"/>
  <c r="D137" i="65" s="1"/>
  <c r="S117" i="48"/>
  <c r="AL16" i="63"/>
  <c r="T137" i="65" l="1"/>
  <c r="J137" i="65" s="1"/>
  <c r="U137" i="65"/>
  <c r="K137" i="65" s="1"/>
  <c r="H387" i="86"/>
  <c r="K387" i="86"/>
  <c r="M136" i="65"/>
  <c r="S137" i="65"/>
  <c r="I137" i="65" s="1"/>
  <c r="R137" i="65"/>
  <c r="H137" i="65" s="1"/>
  <c r="J91" i="52"/>
  <c r="H91" i="52" s="1"/>
  <c r="S118" i="48"/>
  <c r="Q119" i="48"/>
  <c r="R119" i="48"/>
  <c r="D138" i="65" s="1"/>
  <c r="AL17" i="63"/>
  <c r="T138" i="65" l="1"/>
  <c r="J138" i="65" s="1"/>
  <c r="U138" i="65"/>
  <c r="K138" i="65" s="1"/>
  <c r="L387" i="86"/>
  <c r="O387" i="86" s="1"/>
  <c r="I387" i="86"/>
  <c r="E388" i="86" s="1"/>
  <c r="M137" i="65"/>
  <c r="S138" i="65"/>
  <c r="I138" i="65" s="1"/>
  <c r="R138" i="65"/>
  <c r="H138" i="65" s="1"/>
  <c r="J92" i="52"/>
  <c r="H92" i="52" s="1"/>
  <c r="S119" i="48"/>
  <c r="R120" i="48"/>
  <c r="D139" i="65" s="1"/>
  <c r="Q120" i="48"/>
  <c r="AL18" i="63"/>
  <c r="T139" i="65" l="1"/>
  <c r="J139" i="65" s="1"/>
  <c r="U139" i="65"/>
  <c r="K139" i="65" s="1"/>
  <c r="G388" i="86"/>
  <c r="M138" i="65"/>
  <c r="S139" i="65"/>
  <c r="I139" i="65" s="1"/>
  <c r="R139" i="65"/>
  <c r="H139" i="65" s="1"/>
  <c r="J93" i="52"/>
  <c r="H93" i="52" s="1"/>
  <c r="S120" i="48"/>
  <c r="Q121" i="48"/>
  <c r="R121" i="48"/>
  <c r="D140" i="65" s="1"/>
  <c r="AL19" i="63"/>
  <c r="T140" i="65" l="1"/>
  <c r="J140" i="65" s="1"/>
  <c r="U140" i="65"/>
  <c r="K140" i="65" s="1"/>
  <c r="H388" i="86"/>
  <c r="K388" i="86"/>
  <c r="M139" i="65"/>
  <c r="S140" i="65"/>
  <c r="I140" i="65" s="1"/>
  <c r="R140" i="65"/>
  <c r="H140" i="65" s="1"/>
  <c r="J94" i="52"/>
  <c r="H94" i="52" s="1"/>
  <c r="S121" i="48"/>
  <c r="R122" i="48"/>
  <c r="D141" i="65" s="1"/>
  <c r="Q122" i="48"/>
  <c r="AL20" i="63"/>
  <c r="T141" i="65" l="1"/>
  <c r="J141" i="65" s="1"/>
  <c r="U141" i="65"/>
  <c r="K141" i="65" s="1"/>
  <c r="I388" i="86"/>
  <c r="E389" i="86" s="1"/>
  <c r="L388" i="86"/>
  <c r="O388" i="86" s="1"/>
  <c r="M140" i="65"/>
  <c r="R141" i="65"/>
  <c r="H141" i="65" s="1"/>
  <c r="S141" i="65"/>
  <c r="I141" i="65" s="1"/>
  <c r="J95" i="52"/>
  <c r="H95" i="52" s="1"/>
  <c r="S122" i="48"/>
  <c r="R123" i="48"/>
  <c r="D142" i="65" s="1"/>
  <c r="Q123" i="48"/>
  <c r="AL21" i="63"/>
  <c r="T142" i="65" l="1"/>
  <c r="J142" i="65" s="1"/>
  <c r="U142" i="65"/>
  <c r="K142" i="65" s="1"/>
  <c r="G389" i="86"/>
  <c r="M141" i="65"/>
  <c r="S142" i="65"/>
  <c r="I142" i="65" s="1"/>
  <c r="R142" i="65"/>
  <c r="H142" i="65" s="1"/>
  <c r="J96" i="52"/>
  <c r="H96" i="52" s="1"/>
  <c r="S123" i="48"/>
  <c r="R124" i="48"/>
  <c r="D143" i="65" s="1"/>
  <c r="Q124" i="48"/>
  <c r="AL22" i="63"/>
  <c r="T143" i="65" l="1"/>
  <c r="J143" i="65" s="1"/>
  <c r="U143" i="65"/>
  <c r="K143" i="65" s="1"/>
  <c r="H389" i="86"/>
  <c r="K389" i="86"/>
  <c r="M142" i="65"/>
  <c r="R143" i="65"/>
  <c r="H143" i="65" s="1"/>
  <c r="S143" i="65"/>
  <c r="I143" i="65" s="1"/>
  <c r="J97" i="52"/>
  <c r="H97" i="52" s="1"/>
  <c r="S124" i="48"/>
  <c r="R125" i="48"/>
  <c r="D144" i="65" s="1"/>
  <c r="Q125" i="48"/>
  <c r="AL23" i="63"/>
  <c r="T144" i="65" l="1"/>
  <c r="J144" i="65" s="1"/>
  <c r="U144" i="65"/>
  <c r="K144" i="65" s="1"/>
  <c r="L389" i="86"/>
  <c r="O389" i="86" s="1"/>
  <c r="I389" i="86"/>
  <c r="E390" i="86" s="1"/>
  <c r="M143" i="65"/>
  <c r="S144" i="65"/>
  <c r="I144" i="65" s="1"/>
  <c r="R144" i="65"/>
  <c r="H144" i="65" s="1"/>
  <c r="J98" i="52"/>
  <c r="H98" i="52" s="1"/>
  <c r="S125" i="48"/>
  <c r="R126" i="48"/>
  <c r="D145" i="65" s="1"/>
  <c r="Q126" i="48"/>
  <c r="AL24" i="63"/>
  <c r="T145" i="65" l="1"/>
  <c r="J145" i="65" s="1"/>
  <c r="U145" i="65"/>
  <c r="K145" i="65" s="1"/>
  <c r="G390" i="86"/>
  <c r="R145" i="65"/>
  <c r="H145" i="65" s="1"/>
  <c r="S145" i="65"/>
  <c r="I145" i="65" s="1"/>
  <c r="J99" i="52"/>
  <c r="H99" i="52" s="1"/>
  <c r="S126" i="48"/>
  <c r="R127" i="48"/>
  <c r="D146" i="65" s="1"/>
  <c r="Q127" i="48"/>
  <c r="AL25" i="63"/>
  <c r="T146" i="65" l="1"/>
  <c r="J146" i="65" s="1"/>
  <c r="U146" i="65"/>
  <c r="K146" i="65" s="1"/>
  <c r="H390" i="86"/>
  <c r="K390" i="86"/>
  <c r="S146" i="65"/>
  <c r="I146" i="65" s="1"/>
  <c r="R146" i="65"/>
  <c r="H146" i="65" s="1"/>
  <c r="J100" i="52"/>
  <c r="H100" i="52" s="1"/>
  <c r="S127" i="48"/>
  <c r="R128" i="48"/>
  <c r="D147" i="65" s="1"/>
  <c r="Q128" i="48"/>
  <c r="AL26" i="63"/>
  <c r="T147" i="65" l="1"/>
  <c r="J147" i="65" s="1"/>
  <c r="U147" i="65"/>
  <c r="K147" i="65" s="1"/>
  <c r="I390" i="86"/>
  <c r="E391" i="86" s="1"/>
  <c r="L390" i="86"/>
  <c r="O390" i="86" s="1"/>
  <c r="S147" i="65"/>
  <c r="I147" i="65" s="1"/>
  <c r="R147" i="65"/>
  <c r="H147" i="65" s="1"/>
  <c r="J101" i="52"/>
  <c r="H101" i="52" s="1"/>
  <c r="S128" i="48"/>
  <c r="R129" i="48"/>
  <c r="D148" i="65" s="1"/>
  <c r="Q129" i="48"/>
  <c r="AL27" i="63"/>
  <c r="T148" i="65" l="1"/>
  <c r="J148" i="65" s="1"/>
  <c r="U148" i="65"/>
  <c r="K148" i="65" s="1"/>
  <c r="G391" i="86"/>
  <c r="S148" i="65"/>
  <c r="I148" i="65" s="1"/>
  <c r="R148" i="65"/>
  <c r="H148" i="65" s="1"/>
  <c r="J102" i="52"/>
  <c r="J103" i="52" s="1"/>
  <c r="S129" i="48"/>
  <c r="R130" i="48"/>
  <c r="D149" i="65" s="1"/>
  <c r="Q130" i="48"/>
  <c r="AL28" i="63"/>
  <c r="T149" i="65" l="1"/>
  <c r="J149" i="65" s="1"/>
  <c r="U149" i="65"/>
  <c r="K149" i="65" s="1"/>
  <c r="H391" i="86"/>
  <c r="K391" i="86"/>
  <c r="M148" i="65"/>
  <c r="S149" i="65"/>
  <c r="I149" i="65" s="1"/>
  <c r="R149" i="65"/>
  <c r="H149" i="65" s="1"/>
  <c r="H102" i="52"/>
  <c r="J104" i="52"/>
  <c r="H103" i="52"/>
  <c r="S130" i="48"/>
  <c r="R131" i="48"/>
  <c r="D150" i="65" s="1"/>
  <c r="Q131" i="48"/>
  <c r="AL29" i="63"/>
  <c r="T150" i="65" l="1"/>
  <c r="J150" i="65" s="1"/>
  <c r="U150" i="65"/>
  <c r="K150" i="65" s="1"/>
  <c r="L391" i="86"/>
  <c r="O391" i="86" s="1"/>
  <c r="I391" i="86"/>
  <c r="E392" i="86" s="1"/>
  <c r="M149" i="65"/>
  <c r="S150" i="65"/>
  <c r="I150" i="65" s="1"/>
  <c r="R150" i="65"/>
  <c r="H150" i="65" s="1"/>
  <c r="J105" i="52"/>
  <c r="H104" i="52"/>
  <c r="S131" i="48"/>
  <c r="R132" i="48"/>
  <c r="D151" i="65" s="1"/>
  <c r="Q132" i="48"/>
  <c r="AL30" i="63"/>
  <c r="T151" i="65" l="1"/>
  <c r="J151" i="65" s="1"/>
  <c r="U151" i="65"/>
  <c r="K151" i="65" s="1"/>
  <c r="G392" i="86"/>
  <c r="R151" i="65"/>
  <c r="H151" i="65" s="1"/>
  <c r="S151" i="65"/>
  <c r="I151" i="65" s="1"/>
  <c r="J106" i="52"/>
  <c r="H105" i="52"/>
  <c r="S132" i="48"/>
  <c r="R133" i="48"/>
  <c r="D152" i="65" s="1"/>
  <c r="Q133" i="48"/>
  <c r="AL31" i="63"/>
  <c r="T152" i="65" l="1"/>
  <c r="J152" i="65" s="1"/>
  <c r="U152" i="65"/>
  <c r="K152" i="65" s="1"/>
  <c r="H392" i="86"/>
  <c r="K392" i="86"/>
  <c r="S152" i="65"/>
  <c r="I152" i="65" s="1"/>
  <c r="R152" i="65"/>
  <c r="H152" i="65" s="1"/>
  <c r="J107" i="52"/>
  <c r="H106" i="52"/>
  <c r="S133" i="48"/>
  <c r="R134" i="48"/>
  <c r="D153" i="65" s="1"/>
  <c r="Q134" i="48"/>
  <c r="AL32" i="63"/>
  <c r="T153" i="65" l="1"/>
  <c r="J153" i="65" s="1"/>
  <c r="U153" i="65"/>
  <c r="K153" i="65" s="1"/>
  <c r="I392" i="86"/>
  <c r="E393" i="86" s="1"/>
  <c r="L392" i="86"/>
  <c r="O392" i="86" s="1"/>
  <c r="S153" i="65"/>
  <c r="I153" i="65" s="1"/>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J154" i="65" s="1"/>
  <c r="U154" i="65"/>
  <c r="K154" i="65" s="1"/>
  <c r="G393" i="86"/>
  <c r="S154" i="65"/>
  <c r="I154" i="65" s="1"/>
  <c r="R154" i="65"/>
  <c r="H154" i="65" s="1"/>
  <c r="J109" i="52"/>
  <c r="H108" i="52"/>
  <c r="S135" i="48"/>
  <c r="R136" i="48"/>
  <c r="D155" i="65" s="1"/>
  <c r="Q136" i="48"/>
  <c r="M9" i="63"/>
  <c r="AL34" i="63"/>
  <c r="T155" i="65" l="1"/>
  <c r="J155" i="65" s="1"/>
  <c r="U155" i="65"/>
  <c r="K155" i="65" s="1"/>
  <c r="H393" i="86"/>
  <c r="K393" i="86"/>
  <c r="R155" i="65"/>
  <c r="H155" i="65" s="1"/>
  <c r="S155" i="65"/>
  <c r="I155" i="65" s="1"/>
  <c r="J110" i="52"/>
  <c r="H109" i="52"/>
  <c r="AV9" i="63"/>
  <c r="BA9" i="63"/>
  <c r="BD10" i="63" s="1"/>
  <c r="S136" i="48"/>
  <c r="R137" i="48"/>
  <c r="D156" i="65" s="1"/>
  <c r="Q137" i="48"/>
  <c r="C5" i="74"/>
  <c r="AL35" i="63"/>
  <c r="T156" i="65" l="1"/>
  <c r="J156" i="65" s="1"/>
  <c r="U156" i="65"/>
  <c r="K156" i="65" s="1"/>
  <c r="L393" i="86"/>
  <c r="O393" i="86" s="1"/>
  <c r="I393" i="86"/>
  <c r="E394" i="86" s="1"/>
  <c r="S156" i="65"/>
  <c r="I156" i="65" s="1"/>
  <c r="R156" i="65"/>
  <c r="H156" i="65" s="1"/>
  <c r="R35" i="65"/>
  <c r="H35" i="65" s="1"/>
  <c r="S35" i="65"/>
  <c r="I35" i="65" s="1"/>
  <c r="AU9" i="63"/>
  <c r="L9" i="63" s="1"/>
  <c r="BG9" i="63"/>
  <c r="O7" i="46" s="1"/>
  <c r="J111" i="52"/>
  <c r="H110" i="52"/>
  <c r="BN9" i="63"/>
  <c r="BO9" i="63" s="1"/>
  <c r="BP9" i="63" s="1"/>
  <c r="S137" i="48"/>
  <c r="R138" i="48"/>
  <c r="D157" i="65" s="1"/>
  <c r="Q138" i="48"/>
  <c r="AL36" i="63"/>
  <c r="J112" i="52" l="1"/>
  <c r="H111" i="52"/>
  <c r="C8" i="74" s="1"/>
  <c r="T157" i="65"/>
  <c r="J157" i="65" s="1"/>
  <c r="U157" i="65"/>
  <c r="K157" i="65" s="1"/>
  <c r="G394" i="86"/>
  <c r="S157" i="65"/>
  <c r="I157" i="65" s="1"/>
  <c r="R157" i="65"/>
  <c r="H157" i="65" s="1"/>
  <c r="C4" i="74"/>
  <c r="S138" i="48"/>
  <c r="R139" i="48"/>
  <c r="D158" i="65" s="1"/>
  <c r="Q139" i="48"/>
  <c r="AL37" i="63"/>
  <c r="C12" i="74" l="1"/>
  <c r="J113" i="52"/>
  <c r="H112" i="52"/>
  <c r="T158" i="65"/>
  <c r="J158" i="65" s="1"/>
  <c r="U158" i="65"/>
  <c r="K158" i="65" s="1"/>
  <c r="H394" i="86"/>
  <c r="K394" i="86"/>
  <c r="M35" i="65"/>
  <c r="R158" i="65"/>
  <c r="H158" i="65" s="1"/>
  <c r="S158" i="65"/>
  <c r="I158" i="65" s="1"/>
  <c r="S139" i="48"/>
  <c r="R140" i="48"/>
  <c r="D159" i="65" s="1"/>
  <c r="Q140" i="48"/>
  <c r="AL38" i="63"/>
  <c r="J114" i="52" l="1"/>
  <c r="H113" i="52"/>
  <c r="T159" i="65"/>
  <c r="J159" i="65" s="1"/>
  <c r="U159" i="65"/>
  <c r="K159" i="65" s="1"/>
  <c r="I394" i="86"/>
  <c r="E395" i="86" s="1"/>
  <c r="L394" i="86"/>
  <c r="O394" i="86" s="1"/>
  <c r="M145" i="65"/>
  <c r="M144" i="65"/>
  <c r="S159" i="65"/>
  <c r="I159" i="65" s="1"/>
  <c r="R159" i="65"/>
  <c r="H159" i="65" s="1"/>
  <c r="R75" i="74" a="1"/>
  <c r="R75" i="74" s="1"/>
  <c r="S140" i="48"/>
  <c r="AL39" i="63"/>
  <c r="J115" i="52" l="1"/>
  <c r="H114" i="52"/>
  <c r="AX16" i="63"/>
  <c r="M16" i="63" s="1"/>
  <c r="G395" i="86"/>
  <c r="AL40" i="63"/>
  <c r="J116" i="52" l="1"/>
  <c r="H115" i="52"/>
  <c r="H395" i="86"/>
  <c r="K395" i="86"/>
  <c r="AL41" i="63"/>
  <c r="J117" i="52" l="1"/>
  <c r="H116" i="52"/>
  <c r="L395" i="86"/>
  <c r="O395" i="86" s="1"/>
  <c r="I395" i="86"/>
  <c r="E396" i="86" s="1"/>
  <c r="AL42" i="63"/>
  <c r="J118" i="52" l="1"/>
  <c r="H117" i="52"/>
  <c r="G396" i="86"/>
  <c r="AL43" i="63"/>
  <c r="J119" i="52" l="1"/>
  <c r="H118" i="52"/>
  <c r="H396" i="86"/>
  <c r="K396" i="86"/>
  <c r="AL44" i="63"/>
  <c r="J120" i="52" l="1"/>
  <c r="H119" i="52"/>
  <c r="I396" i="86"/>
  <c r="E397" i="86" s="1"/>
  <c r="L396" i="86"/>
  <c r="O396" i="86" s="1"/>
  <c r="AL45" i="63"/>
  <c r="J121" i="52" l="1"/>
  <c r="H120" i="52"/>
  <c r="AK8" i="74" s="1"/>
  <c r="AK12" i="74" s="1"/>
  <c r="G397" i="86"/>
  <c r="AL46" i="63"/>
  <c r="AG8" i="74" l="1"/>
  <c r="AG12" i="74" s="1"/>
  <c r="AH8" i="74"/>
  <c r="AH12" i="74" s="1"/>
  <c r="AI8" i="74"/>
  <c r="AI12" i="74" s="1"/>
  <c r="AJ8" i="74"/>
  <c r="AJ12" i="74" s="1"/>
  <c r="AL8" i="74"/>
  <c r="AL12" i="74" s="1"/>
  <c r="L8" i="74"/>
  <c r="I45" i="52"/>
  <c r="D8" i="74"/>
  <c r="E8" i="74"/>
  <c r="F8" i="74"/>
  <c r="G8" i="74"/>
  <c r="H8" i="74"/>
  <c r="I8" i="74"/>
  <c r="J8" i="74"/>
  <c r="K8" i="74"/>
  <c r="M8" i="74"/>
  <c r="Z8" i="74"/>
  <c r="Q8" i="74"/>
  <c r="N8" i="74"/>
  <c r="R8" i="74"/>
  <c r="X8" i="74"/>
  <c r="AE8" i="74"/>
  <c r="U8" i="74"/>
  <c r="AF8" i="74"/>
  <c r="V8" i="74"/>
  <c r="AA8" i="74"/>
  <c r="O8" i="74"/>
  <c r="Y8" i="74"/>
  <c r="P8" i="74"/>
  <c r="W8" i="74"/>
  <c r="AC8" i="74"/>
  <c r="AD8" i="74"/>
  <c r="T8" i="74"/>
  <c r="S8" i="74"/>
  <c r="AB8" i="74"/>
  <c r="J122" i="52"/>
  <c r="H121" i="52"/>
  <c r="H397" i="86"/>
  <c r="K397" i="86"/>
  <c r="AL47" i="63"/>
  <c r="AN17" i="74" l="1"/>
  <c r="J123" i="52"/>
  <c r="H122" i="52"/>
  <c r="I66" i="52"/>
  <c r="I67" i="52" s="1"/>
  <c r="I54" i="52"/>
  <c r="L397" i="86"/>
  <c r="O397" i="86" s="1"/>
  <c r="I397" i="86"/>
  <c r="E398" i="86" s="1"/>
  <c r="AL48" i="63"/>
  <c r="I48" i="52" l="1"/>
  <c r="AX15" i="63" s="1"/>
  <c r="M15" i="63" s="1"/>
  <c r="J124" i="52"/>
  <c r="H123" i="52"/>
  <c r="G398" i="86"/>
  <c r="D4" i="74"/>
  <c r="D12" i="74" s="1"/>
  <c r="N8" i="46"/>
  <c r="P8" i="46" s="1"/>
  <c r="AX18" i="63" l="1"/>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H398" i="86"/>
  <c r="K398" i="86"/>
  <c r="Q8" i="46"/>
  <c r="T8" i="46" s="1"/>
  <c r="E4" i="74"/>
  <c r="E12" i="74" s="1"/>
  <c r="N9" i="46"/>
  <c r="P9" i="46" s="1"/>
  <c r="J126" i="52" l="1"/>
  <c r="H125" i="52"/>
  <c r="I398" i="86"/>
  <c r="E399" i="86" s="1"/>
  <c r="L398" i="86"/>
  <c r="O398" i="86" s="1"/>
  <c r="S8" i="46"/>
  <c r="U8" i="46" s="1"/>
  <c r="Q9" i="46"/>
  <c r="T9" i="46" s="1"/>
  <c r="N10" i="46"/>
  <c r="P10" i="46" s="1"/>
  <c r="F4" i="74"/>
  <c r="F12" i="74" s="1"/>
  <c r="Z8" i="46" l="1"/>
  <c r="V8" i="46"/>
  <c r="Y8" i="46" s="1"/>
  <c r="J127" i="52"/>
  <c r="H126" i="52"/>
  <c r="G399" i="86"/>
  <c r="S9" i="46"/>
  <c r="U9" i="46" s="1"/>
  <c r="G4" i="74"/>
  <c r="G12" i="74" s="1"/>
  <c r="N11" i="46"/>
  <c r="P11" i="46" s="1"/>
  <c r="S10" i="46"/>
  <c r="Z9" i="46" l="1"/>
  <c r="V9" i="46"/>
  <c r="Y9" i="46" s="1"/>
  <c r="J128" i="52"/>
  <c r="H127" i="52"/>
  <c r="H399" i="86"/>
  <c r="K399" i="86"/>
  <c r="Q10" i="46"/>
  <c r="T10" i="46" s="1"/>
  <c r="U10" i="46" s="1"/>
  <c r="AM10" i="63"/>
  <c r="N12" i="46"/>
  <c r="P12" i="46" s="1"/>
  <c r="H4" i="74"/>
  <c r="H12" i="74" s="1"/>
  <c r="Q11" i="46"/>
  <c r="T11" i="46" s="1"/>
  <c r="Z10" i="46" l="1"/>
  <c r="V10" i="46"/>
  <c r="Y10" i="46" s="1"/>
  <c r="J129" i="52"/>
  <c r="H128" i="52"/>
  <c r="L399" i="86"/>
  <c r="O399" i="86" s="1"/>
  <c r="I399" i="86"/>
  <c r="E400" i="86" s="1"/>
  <c r="S11" i="46"/>
  <c r="U11" i="46" s="1"/>
  <c r="I4" i="74"/>
  <c r="I12" i="74" s="1"/>
  <c r="N13" i="46"/>
  <c r="P13" i="46" s="1"/>
  <c r="S12" i="46"/>
  <c r="AM11" i="63"/>
  <c r="Z11" i="46" l="1"/>
  <c r="V11" i="46"/>
  <c r="Y11" i="46" s="1"/>
  <c r="J130" i="52"/>
  <c r="H129" i="52"/>
  <c r="G400" i="86"/>
  <c r="AM12" i="63"/>
  <c r="Q12" i="46"/>
  <c r="T12" i="46" s="1"/>
  <c r="U12" i="46" s="1"/>
  <c r="J4" i="74"/>
  <c r="J12" i="74" s="1"/>
  <c r="N14" i="46"/>
  <c r="P14" i="46" s="1"/>
  <c r="S13" i="46"/>
  <c r="Z12" i="46" l="1"/>
  <c r="V12" i="46"/>
  <c r="Y12" i="46" s="1"/>
  <c r="J131" i="52"/>
  <c r="H130" i="52"/>
  <c r="H400" i="86"/>
  <c r="K400" i="86"/>
  <c r="Q13" i="46"/>
  <c r="T13" i="46" s="1"/>
  <c r="U13" i="46" s="1"/>
  <c r="S14" i="46"/>
  <c r="AM13" i="63"/>
  <c r="K4" i="74"/>
  <c r="K12" i="74" s="1"/>
  <c r="N15" i="46"/>
  <c r="P15" i="46" s="1"/>
  <c r="Z13" i="46" l="1"/>
  <c r="V13" i="46"/>
  <c r="Y13" i="46" s="1"/>
  <c r="J132" i="52"/>
  <c r="H131" i="52"/>
  <c r="I400" i="86"/>
  <c r="E401" i="86" s="1"/>
  <c r="L400" i="86"/>
  <c r="O400" i="86" s="1"/>
  <c r="Q14" i="46"/>
  <c r="T14" i="46" s="1"/>
  <c r="U14" i="46" s="1"/>
  <c r="Q15" i="46"/>
  <c r="T15" i="46" s="1"/>
  <c r="N16" i="46"/>
  <c r="P16" i="46" s="1"/>
  <c r="L4" i="74"/>
  <c r="L12" i="74" s="1"/>
  <c r="AM14" i="63"/>
  <c r="AM15" i="63" l="1"/>
  <c r="Z14" i="46"/>
  <c r="V14" i="46"/>
  <c r="Y14" i="46" s="1"/>
  <c r="J133" i="52"/>
  <c r="H132" i="52"/>
  <c r="G401" i="86"/>
  <c r="S15" i="46"/>
  <c r="U15" i="46" s="1"/>
  <c r="N17" i="46"/>
  <c r="P17" i="46" s="1"/>
  <c r="M4" i="74"/>
  <c r="M12" i="74" s="1"/>
  <c r="Q16" i="46"/>
  <c r="T16" i="46" s="1"/>
  <c r="Z15" i="46" l="1"/>
  <c r="V15" i="46"/>
  <c r="Y15" i="46" s="1"/>
  <c r="J134" i="52"/>
  <c r="H133" i="52"/>
  <c r="H401" i="86"/>
  <c r="K401" i="86"/>
  <c r="S16" i="46"/>
  <c r="U16" i="46" s="1"/>
  <c r="N4" i="74"/>
  <c r="N12" i="74" s="1"/>
  <c r="N18" i="46"/>
  <c r="P18" i="46" s="1"/>
  <c r="AM16" i="63"/>
  <c r="Q17" i="46"/>
  <c r="T17" i="46" s="1"/>
  <c r="Z16" i="46" l="1"/>
  <c r="V16" i="46"/>
  <c r="Y16" i="46" s="1"/>
  <c r="J135" i="52"/>
  <c r="H134" i="52"/>
  <c r="L401" i="86"/>
  <c r="O401" i="86" s="1"/>
  <c r="I401" i="86"/>
  <c r="E402" i="86" s="1"/>
  <c r="S17" i="46"/>
  <c r="U17" i="46" s="1"/>
  <c r="Q18" i="46"/>
  <c r="T18" i="46" s="1"/>
  <c r="O4" i="74"/>
  <c r="O12" i="74" s="1"/>
  <c r="N19" i="46"/>
  <c r="P19" i="46" s="1"/>
  <c r="AM17" i="63"/>
  <c r="Z17" i="46" l="1"/>
  <c r="V17" i="46"/>
  <c r="Y17" i="46" s="1"/>
  <c r="J136" i="52"/>
  <c r="H135" i="52"/>
  <c r="G402" i="86"/>
  <c r="AM18" i="63"/>
  <c r="S19" i="46"/>
  <c r="S18" i="46"/>
  <c r="U18" i="46" s="1"/>
  <c r="P4" i="74"/>
  <c r="P12" i="74" s="1"/>
  <c r="N20" i="46"/>
  <c r="P20" i="46" s="1"/>
  <c r="Z18" i="46" l="1"/>
  <c r="V18" i="46"/>
  <c r="Y18" i="46" s="1"/>
  <c r="J137" i="52"/>
  <c r="H136" i="52"/>
  <c r="H402" i="86"/>
  <c r="K402" i="86"/>
  <c r="Q19" i="46"/>
  <c r="T19" i="46" s="1"/>
  <c r="U19" i="46" s="1"/>
  <c r="AM19" i="63"/>
  <c r="Q4" i="74"/>
  <c r="Q12" i="74" s="1"/>
  <c r="N21" i="46"/>
  <c r="P21" i="46" s="1"/>
  <c r="Q20" i="46"/>
  <c r="T20" i="46" s="1"/>
  <c r="Z19" i="46" l="1"/>
  <c r="V19" i="46"/>
  <c r="Y19" i="46" s="1"/>
  <c r="J138" i="52"/>
  <c r="H137" i="52"/>
  <c r="I402" i="86"/>
  <c r="E403" i="86" s="1"/>
  <c r="L402" i="86"/>
  <c r="O402" i="86" s="1"/>
  <c r="S20" i="46"/>
  <c r="R4" i="74"/>
  <c r="R12" i="74" s="1"/>
  <c r="N22" i="46"/>
  <c r="P22" i="46" s="1"/>
  <c r="AM20" i="63"/>
  <c r="Q21" i="46"/>
  <c r="T21" i="46" s="1"/>
  <c r="J139" i="52" l="1"/>
  <c r="H138" i="52"/>
  <c r="G403" i="86"/>
  <c r="U20" i="46"/>
  <c r="S21" i="46"/>
  <c r="U21" i="46" s="1"/>
  <c r="Q22" i="46"/>
  <c r="T22" i="46" s="1"/>
  <c r="N23" i="46"/>
  <c r="P23" i="46" s="1"/>
  <c r="S4" i="74"/>
  <c r="S12" i="74" s="1"/>
  <c r="AM21" i="63"/>
  <c r="Z21" i="46" l="1"/>
  <c r="V21" i="46"/>
  <c r="Y21" i="46" s="1"/>
  <c r="Z20" i="46"/>
  <c r="V20" i="46"/>
  <c r="Y20" i="46" s="1"/>
  <c r="J140" i="52"/>
  <c r="H139" i="52"/>
  <c r="H403" i="86"/>
  <c r="K403" i="86"/>
  <c r="S22" i="46"/>
  <c r="U22" i="46" s="1"/>
  <c r="T4" i="74"/>
  <c r="T12" i="74" s="1"/>
  <c r="N24" i="46"/>
  <c r="P24" i="46" s="1"/>
  <c r="S23" i="46"/>
  <c r="Z22" i="46" l="1"/>
  <c r="V22" i="46"/>
  <c r="Y22" i="46" s="1"/>
  <c r="J141" i="52"/>
  <c r="H140" i="52"/>
  <c r="L403" i="86"/>
  <c r="O403" i="86" s="1"/>
  <c r="I403" i="86"/>
  <c r="E404" i="86" s="1"/>
  <c r="AM22" i="63"/>
  <c r="Q23" i="46"/>
  <c r="T23" i="46" s="1"/>
  <c r="U23" i="46" s="1"/>
  <c r="Q24" i="46"/>
  <c r="T24" i="46" s="1"/>
  <c r="U4" i="74"/>
  <c r="U12" i="74" s="1"/>
  <c r="N25" i="46"/>
  <c r="P25" i="46" s="1"/>
  <c r="AM23" i="63"/>
  <c r="Z23" i="46" l="1"/>
  <c r="V23" i="46"/>
  <c r="Y23" i="46" s="1"/>
  <c r="J142" i="52"/>
  <c r="H141" i="52"/>
  <c r="G404" i="86"/>
  <c r="S24" i="46"/>
  <c r="U24" i="46" s="1"/>
  <c r="V4" i="74"/>
  <c r="V12" i="74" s="1"/>
  <c r="N26" i="46"/>
  <c r="P26" i="46" s="1"/>
  <c r="AM24" i="63"/>
  <c r="Q25" i="46"/>
  <c r="T25" i="46" s="1"/>
  <c r="Z24" i="46" l="1"/>
  <c r="V24" i="46"/>
  <c r="Y24" i="46" s="1"/>
  <c r="J143" i="52"/>
  <c r="H142" i="52"/>
  <c r="H404" i="86"/>
  <c r="K404" i="86"/>
  <c r="N27" i="46"/>
  <c r="P27" i="46" s="1"/>
  <c r="W4" i="74"/>
  <c r="W12" i="74" s="1"/>
  <c r="Q26" i="46"/>
  <c r="T26" i="46" s="1"/>
  <c r="S25" i="46"/>
  <c r="U25" i="46" s="1"/>
  <c r="AM25" i="63"/>
  <c r="Z25" i="46" l="1"/>
  <c r="V25" i="46"/>
  <c r="Y25" i="46" s="1"/>
  <c r="J144" i="52"/>
  <c r="H143" i="52"/>
  <c r="I404" i="86"/>
  <c r="E405" i="86" s="1"/>
  <c r="L404" i="86"/>
  <c r="O404" i="86" s="1"/>
  <c r="S26" i="46"/>
  <c r="AM26" i="63"/>
  <c r="Q27" i="46"/>
  <c r="T27" i="46" s="1"/>
  <c r="X4" i="74"/>
  <c r="X12" i="74" s="1"/>
  <c r="N28" i="46"/>
  <c r="P28" i="46" s="1"/>
  <c r="J145" i="52" l="1"/>
  <c r="H144" i="52"/>
  <c r="G405" i="86"/>
  <c r="U26" i="46"/>
  <c r="S27" i="46"/>
  <c r="Q28" i="46"/>
  <c r="T28" i="46" s="1"/>
  <c r="AM27" i="63"/>
  <c r="Y4" i="74"/>
  <c r="Y12" i="74" s="1"/>
  <c r="N29" i="46"/>
  <c r="P29" i="46" s="1"/>
  <c r="Z26" i="46" l="1"/>
  <c r="V26" i="46"/>
  <c r="Y26" i="46" s="1"/>
  <c r="J146" i="52"/>
  <c r="H145" i="52"/>
  <c r="H405" i="86"/>
  <c r="K405" i="86"/>
  <c r="U27" i="46"/>
  <c r="S28" i="46"/>
  <c r="Q29" i="46"/>
  <c r="T29" i="46" s="1"/>
  <c r="Z4" i="74"/>
  <c r="Z12" i="74" s="1"/>
  <c r="N30" i="46"/>
  <c r="P30" i="46" s="1"/>
  <c r="AM28" i="63" l="1"/>
  <c r="Z27" i="46"/>
  <c r="V27" i="46"/>
  <c r="Y27" i="46" s="1"/>
  <c r="J147" i="52"/>
  <c r="H146" i="52"/>
  <c r="L405" i="86"/>
  <c r="O405" i="86" s="1"/>
  <c r="I405" i="86"/>
  <c r="E406" i="86" s="1"/>
  <c r="U28" i="46"/>
  <c r="S29" i="46"/>
  <c r="Q30" i="46"/>
  <c r="T30" i="46" s="1"/>
  <c r="N31" i="46"/>
  <c r="P31" i="46" s="1"/>
  <c r="AA4" i="74"/>
  <c r="AA12" i="74" s="1"/>
  <c r="AM29" i="63" l="1"/>
  <c r="Z28" i="46"/>
  <c r="V28" i="46"/>
  <c r="Y28" i="46" s="1"/>
  <c r="J148" i="52"/>
  <c r="H147" i="52"/>
  <c r="AM8" i="74" s="1"/>
  <c r="G406" i="86"/>
  <c r="U29" i="46"/>
  <c r="S30" i="46"/>
  <c r="AB4" i="74"/>
  <c r="AB12" i="74" s="1"/>
  <c r="N32" i="46"/>
  <c r="P32" i="46" s="1"/>
  <c r="Q31" i="46"/>
  <c r="T31" i="46" s="1"/>
  <c r="AM12" i="74" l="1"/>
  <c r="Z29" i="46"/>
  <c r="V29" i="46"/>
  <c r="Y29" i="46" s="1"/>
  <c r="J149" i="52"/>
  <c r="H148" i="52"/>
  <c r="AN8" i="74" s="1"/>
  <c r="AN12" i="74" s="1"/>
  <c r="H406" i="86"/>
  <c r="K406" i="86"/>
  <c r="AM30" i="63"/>
  <c r="U30" i="46"/>
  <c r="S31" i="46"/>
  <c r="AC4" i="74"/>
  <c r="AC12" i="74" s="1"/>
  <c r="N33" i="46"/>
  <c r="P33" i="46" s="1"/>
  <c r="Q32" i="46"/>
  <c r="T32" i="46" s="1"/>
  <c r="AM31" i="63" l="1"/>
  <c r="Z30" i="46"/>
  <c r="V30" i="46"/>
  <c r="Y30" i="46" s="1"/>
  <c r="J150" i="52"/>
  <c r="H149" i="52"/>
  <c r="AO8" i="74" s="1"/>
  <c r="AO12" i="74" s="1"/>
  <c r="I406" i="86"/>
  <c r="E407" i="86" s="1"/>
  <c r="L406" i="86"/>
  <c r="O406" i="86" s="1"/>
  <c r="U31" i="46"/>
  <c r="S32" i="46"/>
  <c r="U32" i="46" s="1"/>
  <c r="N34" i="46"/>
  <c r="P34" i="46" s="1"/>
  <c r="AD4" i="74"/>
  <c r="AD12" i="74" s="1"/>
  <c r="Q33" i="46"/>
  <c r="T33" i="46" s="1"/>
  <c r="Z32" i="46" l="1"/>
  <c r="V32" i="46"/>
  <c r="Y32" i="46" s="1"/>
  <c r="Z31" i="46"/>
  <c r="V31" i="46"/>
  <c r="Y31" i="46" s="1"/>
  <c r="J151" i="52"/>
  <c r="H150" i="52"/>
  <c r="AP8" i="74" s="1"/>
  <c r="G407" i="86"/>
  <c r="AM32" i="63"/>
  <c r="S33" i="46"/>
  <c r="AE4" i="74"/>
  <c r="AE12" i="74" s="1"/>
  <c r="N35" i="46"/>
  <c r="P35" i="46" s="1"/>
  <c r="Q34" i="46"/>
  <c r="T34" i="46" s="1"/>
  <c r="AP12" i="74" l="1"/>
  <c r="AQ8" i="74"/>
  <c r="A8" i="74"/>
  <c r="AM33" i="63"/>
  <c r="J152" i="52"/>
  <c r="H151" i="52"/>
  <c r="H407" i="86"/>
  <c r="K407" i="86"/>
  <c r="U33" i="46"/>
  <c r="S34" i="46"/>
  <c r="U34" i="46" s="1"/>
  <c r="AM34" i="63"/>
  <c r="Q35" i="46"/>
  <c r="T35" i="46" s="1"/>
  <c r="N36" i="46"/>
  <c r="P36" i="46" s="1"/>
  <c r="AF4" i="74"/>
  <c r="AF12" i="74" s="1"/>
  <c r="A12" i="74" l="1"/>
  <c r="B8" i="74"/>
  <c r="Z34" i="46"/>
  <c r="V34" i="46"/>
  <c r="Y34" i="46" s="1"/>
  <c r="Z33" i="46"/>
  <c r="V33" i="46"/>
  <c r="Y33" i="46" s="1"/>
  <c r="J153" i="52"/>
  <c r="H152" i="52"/>
  <c r="L407" i="86"/>
  <c r="O407" i="86" s="1"/>
  <c r="I407" i="86"/>
  <c r="E408" i="86" s="1"/>
  <c r="S35" i="46"/>
  <c r="N37" i="46"/>
  <c r="P37" i="46" s="1"/>
  <c r="Q36" i="46"/>
  <c r="T36" i="46" s="1"/>
  <c r="J154" i="52" l="1"/>
  <c r="H153" i="52"/>
  <c r="G408" i="86"/>
  <c r="AM35" i="63"/>
  <c r="U35" i="46"/>
  <c r="S36" i="46"/>
  <c r="N38" i="46"/>
  <c r="P38" i="46" s="1"/>
  <c r="Q37" i="46"/>
  <c r="T37" i="46" s="1"/>
  <c r="AM36" i="63"/>
  <c r="Z35" i="46" l="1"/>
  <c r="V35" i="46"/>
  <c r="Y35" i="46" s="1"/>
  <c r="J155" i="52"/>
  <c r="H154" i="52"/>
  <c r="H408" i="86"/>
  <c r="K408" i="86"/>
  <c r="U36" i="46"/>
  <c r="S37" i="46"/>
  <c r="U37" i="46" s="1"/>
  <c r="Q38" i="46"/>
  <c r="T38" i="46" s="1"/>
  <c r="N39" i="46"/>
  <c r="P39" i="46" s="1"/>
  <c r="Z37" i="46" l="1"/>
  <c r="V37" i="46"/>
  <c r="Y37" i="46" s="1"/>
  <c r="Z36" i="46"/>
  <c r="V36" i="46"/>
  <c r="Y36" i="46" s="1"/>
  <c r="J156" i="52"/>
  <c r="H155" i="52"/>
  <c r="I408" i="86"/>
  <c r="E409" i="86" s="1"/>
  <c r="L408" i="86"/>
  <c r="O408" i="86" s="1"/>
  <c r="AM37" i="63"/>
  <c r="S38" i="46"/>
  <c r="U38" i="46" s="1"/>
  <c r="N40" i="46"/>
  <c r="P40" i="46" s="1"/>
  <c r="Q39" i="46"/>
  <c r="T39" i="46" s="1"/>
  <c r="Z38" i="46" l="1"/>
  <c r="V38" i="46"/>
  <c r="Y38" i="46" s="1"/>
  <c r="J157" i="52"/>
  <c r="H156" i="52"/>
  <c r="G409" i="86"/>
  <c r="AM38" i="63"/>
  <c r="S39" i="46"/>
  <c r="U39" i="46" s="1"/>
  <c r="Q40" i="46"/>
  <c r="T40" i="46" s="1"/>
  <c r="AM39" i="63"/>
  <c r="N41" i="46"/>
  <c r="P41" i="46" s="1"/>
  <c r="Z39" i="46" l="1"/>
  <c r="V39" i="46"/>
  <c r="Y39" i="46" s="1"/>
  <c r="J158" i="52"/>
  <c r="H157" i="52"/>
  <c r="H409" i="86"/>
  <c r="K409" i="86"/>
  <c r="S40" i="46"/>
  <c r="Q41" i="46"/>
  <c r="T41" i="46" s="1"/>
  <c r="N42" i="46"/>
  <c r="P42" i="46" s="1"/>
  <c r="AM40" i="63"/>
  <c r="J159" i="52" l="1"/>
  <c r="H158" i="52"/>
  <c r="L409" i="86"/>
  <c r="O409" i="86" s="1"/>
  <c r="I409" i="86"/>
  <c r="E410" i="86" s="1"/>
  <c r="U40" i="46"/>
  <c r="S41" i="46"/>
  <c r="AM41" i="63"/>
  <c r="N43" i="46"/>
  <c r="P43" i="46" s="1"/>
  <c r="Q42" i="46"/>
  <c r="T42" i="46" s="1"/>
  <c r="Z40" i="46" l="1"/>
  <c r="V40" i="46"/>
  <c r="Y40" i="46" s="1"/>
  <c r="J160" i="52"/>
  <c r="H159" i="52"/>
  <c r="G410" i="86"/>
  <c r="U41" i="46"/>
  <c r="S42" i="46"/>
  <c r="U42" i="46" s="1"/>
  <c r="Q43" i="46"/>
  <c r="T43" i="46" s="1"/>
  <c r="N44" i="46"/>
  <c r="P44" i="46" s="1"/>
  <c r="Z41" i="46" l="1"/>
  <c r="V41" i="46"/>
  <c r="Y41" i="46" s="1"/>
  <c r="Z42" i="46"/>
  <c r="V42" i="46"/>
  <c r="Y42" i="46" s="1"/>
  <c r="J161" i="52"/>
  <c r="H160" i="52"/>
  <c r="H410" i="86"/>
  <c r="K410" i="86"/>
  <c r="AM42" i="63"/>
  <c r="S43" i="46"/>
  <c r="U43" i="46" s="1"/>
  <c r="N45" i="46"/>
  <c r="P45" i="46" s="1"/>
  <c r="Q44" i="46"/>
  <c r="T44" i="46" s="1"/>
  <c r="Z43" i="46" l="1"/>
  <c r="V43" i="46"/>
  <c r="Y43" i="46" s="1"/>
  <c r="J162" i="52"/>
  <c r="H161" i="52"/>
  <c r="I410" i="86"/>
  <c r="E411" i="86" s="1"/>
  <c r="L410" i="86"/>
  <c r="O410" i="86" s="1"/>
  <c r="AM43" i="63"/>
  <c r="S44" i="46"/>
  <c r="AM44" i="63"/>
  <c r="N46" i="46"/>
  <c r="P46" i="46" s="1"/>
  <c r="Q45" i="46"/>
  <c r="T45" i="46" s="1"/>
  <c r="J163" i="52" l="1"/>
  <c r="H162" i="52"/>
  <c r="G411" i="86"/>
  <c r="U44" i="46"/>
  <c r="S45" i="46"/>
  <c r="U45" i="46" s="1"/>
  <c r="Q46" i="46"/>
  <c r="T46" i="46" s="1"/>
  <c r="AM45" i="63"/>
  <c r="Z45" i="46" l="1"/>
  <c r="V45" i="46"/>
  <c r="Y45" i="46" s="1"/>
  <c r="Z44" i="46"/>
  <c r="V44" i="46"/>
  <c r="Y44" i="46" s="1"/>
  <c r="J164" i="52"/>
  <c r="H163" i="52"/>
  <c r="H411" i="86"/>
  <c r="K411" i="86"/>
  <c r="S46" i="46"/>
  <c r="AM46" i="63" l="1"/>
  <c r="J165" i="52"/>
  <c r="H164" i="52"/>
  <c r="L411" i="86"/>
  <c r="O411" i="86" s="1"/>
  <c r="I411" i="86"/>
  <c r="E412" i="86" s="1"/>
  <c r="U46" i="46"/>
  <c r="AM47" i="63"/>
  <c r="Z46" i="46" l="1"/>
  <c r="V46" i="46"/>
  <c r="Y46" i="46" s="1"/>
  <c r="J166" i="52"/>
  <c r="H165" i="52"/>
  <c r="G412" i="86"/>
  <c r="D5" i="74"/>
  <c r="AV10" i="63"/>
  <c r="K10" i="63" s="1"/>
  <c r="BA10" i="63"/>
  <c r="BD11" i="63" s="1"/>
  <c r="AM48" i="63" l="1"/>
  <c r="J167" i="52"/>
  <c r="H166" i="52"/>
  <c r="H412" i="86"/>
  <c r="K412" i="86"/>
  <c r="BG10" i="63"/>
  <c r="O8" i="46" s="1"/>
  <c r="BN10" i="63"/>
  <c r="BO10" i="63" s="1"/>
  <c r="BP10" i="63" s="1"/>
  <c r="BC10" i="63"/>
  <c r="E48" i="65" s="1"/>
  <c r="AU10" i="63"/>
  <c r="L10" i="63" s="1"/>
  <c r="J168" i="52" l="1"/>
  <c r="H167" i="52"/>
  <c r="T36" i="65"/>
  <c r="J36" i="65" s="1"/>
  <c r="U36" i="65"/>
  <c r="K36" i="65" s="1"/>
  <c r="I412" i="86"/>
  <c r="E413" i="86" s="1"/>
  <c r="L412" i="86"/>
  <c r="O412" i="86" s="1"/>
  <c r="R36" i="65"/>
  <c r="H36" i="65" s="1"/>
  <c r="S36" i="65"/>
  <c r="I36" i="65" s="1"/>
  <c r="BA11" i="63"/>
  <c r="BD12" i="63" s="1"/>
  <c r="AV11" i="63"/>
  <c r="E5" i="74"/>
  <c r="J169" i="52" l="1"/>
  <c r="H168" i="52"/>
  <c r="G413" i="86"/>
  <c r="BG11" i="63"/>
  <c r="O9" i="46" s="1"/>
  <c r="K11" i="63"/>
  <c r="M36" i="65"/>
  <c r="BC11" i="63"/>
  <c r="E49" i="65" s="1"/>
  <c r="BN11" i="63"/>
  <c r="BO11" i="63" s="1"/>
  <c r="BP11" i="63" s="1"/>
  <c r="AV12" i="63"/>
  <c r="AU11" i="63"/>
  <c r="L11" i="63" s="1"/>
  <c r="J170" i="52" l="1"/>
  <c r="H169" i="52"/>
  <c r="T37" i="65"/>
  <c r="J37" i="65" s="1"/>
  <c r="U37" i="65"/>
  <c r="K37" i="65" s="1"/>
  <c r="H413" i="86"/>
  <c r="K413" i="86"/>
  <c r="BG12" i="63"/>
  <c r="O10" i="46" s="1"/>
  <c r="K12" i="63"/>
  <c r="R37" i="65"/>
  <c r="H37" i="65" s="1"/>
  <c r="S37" i="65"/>
  <c r="I37" i="65" s="1"/>
  <c r="AU12" i="63"/>
  <c r="L12" i="63" s="1"/>
  <c r="BA12" i="63"/>
  <c r="BD13" i="63" s="1"/>
  <c r="BC12" i="63"/>
  <c r="E50" i="65" s="1"/>
  <c r="F5" i="74"/>
  <c r="J171" i="52" l="1"/>
  <c r="H170" i="52"/>
  <c r="T38" i="65"/>
  <c r="J38" i="65" s="1"/>
  <c r="U38" i="65"/>
  <c r="K38" i="65" s="1"/>
  <c r="I413" i="86"/>
  <c r="E414" i="86" s="1"/>
  <c r="L413" i="86"/>
  <c r="O413" i="86" s="1"/>
  <c r="M37" i="65"/>
  <c r="R38" i="65"/>
  <c r="H38" i="65" s="1"/>
  <c r="S38" i="65"/>
  <c r="I38" i="65" s="1"/>
  <c r="G5" i="74"/>
  <c r="BN12" i="63"/>
  <c r="BO12" i="63" s="1"/>
  <c r="BP12" i="63" s="1"/>
  <c r="J172" i="52" l="1"/>
  <c r="H171" i="52"/>
  <c r="G414" i="86"/>
  <c r="BA13" i="63"/>
  <c r="BD14" i="63" s="1"/>
  <c r="AV13" i="63"/>
  <c r="J173" i="52" l="1"/>
  <c r="H172" i="52"/>
  <c r="H414" i="86"/>
  <c r="K414" i="86"/>
  <c r="BG13" i="63"/>
  <c r="O11" i="46" s="1"/>
  <c r="K13" i="63"/>
  <c r="M38" i="65"/>
  <c r="BN13" i="63"/>
  <c r="BO13" i="63" s="1"/>
  <c r="BP13" i="63" s="1"/>
  <c r="H5" i="74"/>
  <c r="BA14" i="63"/>
  <c r="BN14" i="63" s="1"/>
  <c r="BO14" i="63" s="1"/>
  <c r="BP14" i="63" s="1"/>
  <c r="BC13" i="63"/>
  <c r="E51" i="65" s="1"/>
  <c r="AU13" i="63"/>
  <c r="L13" i="63" s="1"/>
  <c r="AV14" i="63"/>
  <c r="BD15" i="63" l="1"/>
  <c r="I5" i="74" s="1"/>
  <c r="J174" i="52"/>
  <c r="H173" i="52"/>
  <c r="T39" i="65"/>
  <c r="J39" i="65" s="1"/>
  <c r="U39" i="65"/>
  <c r="K39" i="65" s="1"/>
  <c r="L414" i="86"/>
  <c r="O414" i="86" s="1"/>
  <c r="I414" i="86"/>
  <c r="E415" i="86" s="1"/>
  <c r="BG14" i="63"/>
  <c r="O12" i="46" s="1"/>
  <c r="K14" i="63"/>
  <c r="R39" i="65"/>
  <c r="H39" i="65" s="1"/>
  <c r="S39" i="65"/>
  <c r="I39" i="65" s="1"/>
  <c r="AU14" i="63"/>
  <c r="L14" i="63" s="1"/>
  <c r="BC14" i="63"/>
  <c r="E52" i="65" s="1"/>
  <c r="J175" i="52" l="1"/>
  <c r="H174" i="52"/>
  <c r="T40" i="65"/>
  <c r="J40" i="65" s="1"/>
  <c r="U40" i="65"/>
  <c r="K40" i="65" s="1"/>
  <c r="G415" i="86"/>
  <c r="M39" i="65"/>
  <c r="AV15" i="63"/>
  <c r="BA15" i="63"/>
  <c r="BN15" i="63" s="1"/>
  <c r="BO15" i="63" s="1"/>
  <c r="BP15" i="63" s="1"/>
  <c r="BD16" i="63" l="1"/>
  <c r="BA16" i="63" s="1"/>
  <c r="BN16" i="63" s="1"/>
  <c r="BO16" i="63" s="1"/>
  <c r="BP16" i="63" s="1"/>
  <c r="J176" i="52"/>
  <c r="H175" i="52"/>
  <c r="H415" i="86"/>
  <c r="K415" i="86"/>
  <c r="BG15" i="63"/>
  <c r="O13" i="46" s="1"/>
  <c r="K15" i="63"/>
  <c r="M147" i="65"/>
  <c r="M146" i="65"/>
  <c r="R40" i="65"/>
  <c r="H40" i="65" s="1"/>
  <c r="S40" i="65"/>
  <c r="I40" i="65" s="1"/>
  <c r="AU15" i="63"/>
  <c r="L15" i="63" s="1"/>
  <c r="BC15" i="63"/>
  <c r="E53" i="65" s="1"/>
  <c r="BD17" i="63" l="1"/>
  <c r="AV17" i="63" s="1"/>
  <c r="J177" i="52"/>
  <c r="H176" i="52"/>
  <c r="T41" i="65"/>
  <c r="J41" i="65" s="1"/>
  <c r="U41" i="65"/>
  <c r="K41" i="65" s="1"/>
  <c r="I415" i="86"/>
  <c r="E416" i="86" s="1"/>
  <c r="L415" i="86"/>
  <c r="O415" i="86" s="1"/>
  <c r="M40" i="65"/>
  <c r="AV16" i="63"/>
  <c r="J5" i="74"/>
  <c r="J178" i="52" l="1"/>
  <c r="H177" i="52"/>
  <c r="G416" i="86"/>
  <c r="BG17" i="63"/>
  <c r="O15" i="46" s="1"/>
  <c r="K17" i="63"/>
  <c r="BG16" i="63"/>
  <c r="O14" i="46" s="1"/>
  <c r="K16" i="63"/>
  <c r="R41" i="65"/>
  <c r="H41" i="65" s="1"/>
  <c r="S41" i="65"/>
  <c r="I41" i="65" s="1"/>
  <c r="K5" i="74"/>
  <c r="AU16" i="63"/>
  <c r="L16" i="63" s="1"/>
  <c r="BC16" i="63"/>
  <c r="E54" i="65" s="1"/>
  <c r="BA17" i="63"/>
  <c r="BD18" i="63" s="1"/>
  <c r="BC17" i="63"/>
  <c r="E55" i="65" s="1"/>
  <c r="AU17" i="63"/>
  <c r="L17" i="63" s="1"/>
  <c r="J179" i="52" l="1"/>
  <c r="H178" i="52"/>
  <c r="T42" i="65"/>
  <c r="J42" i="65" s="1"/>
  <c r="U42" i="65"/>
  <c r="K42" i="65" s="1"/>
  <c r="T43" i="65"/>
  <c r="J43" i="65" s="1"/>
  <c r="U43" i="65"/>
  <c r="K43" i="65" s="1"/>
  <c r="H416" i="86"/>
  <c r="K416" i="86"/>
  <c r="M41" i="65"/>
  <c r="L5" i="74"/>
  <c r="BN17" i="63"/>
  <c r="BO17" i="63" s="1"/>
  <c r="BP17" i="63" s="1"/>
  <c r="AV18" i="63"/>
  <c r="BA18" i="63" l="1"/>
  <c r="BD19" i="63" s="1"/>
  <c r="J180" i="52"/>
  <c r="H179" i="52"/>
  <c r="L416" i="86"/>
  <c r="O416" i="86" s="1"/>
  <c r="I416" i="86"/>
  <c r="E417" i="86" s="1"/>
  <c r="BG18" i="63"/>
  <c r="O16" i="46" s="1"/>
  <c r="K18" i="63"/>
  <c r="R43" i="65"/>
  <c r="H43" i="65" s="1"/>
  <c r="S43" i="65"/>
  <c r="I43" i="65" s="1"/>
  <c r="R42" i="65"/>
  <c r="H42" i="65" s="1"/>
  <c r="S42" i="65"/>
  <c r="I42" i="65" s="1"/>
  <c r="AU18" i="63"/>
  <c r="L18" i="63" s="1"/>
  <c r="BC18" i="63"/>
  <c r="E56" i="65" s="1"/>
  <c r="BN18" i="63" l="1"/>
  <c r="BO18" i="63" s="1"/>
  <c r="BP18" i="63" s="1"/>
  <c r="J181" i="52"/>
  <c r="H180" i="52"/>
  <c r="T45" i="65"/>
  <c r="J45" i="65" s="1"/>
  <c r="U45" i="65"/>
  <c r="K45" i="65" s="1"/>
  <c r="T44" i="65"/>
  <c r="J44" i="65" s="1"/>
  <c r="U44" i="65"/>
  <c r="K44" i="65" s="1"/>
  <c r="G417" i="86"/>
  <c r="M42" i="65"/>
  <c r="AV19" i="63" l="1"/>
  <c r="M5" i="74"/>
  <c r="BA19" i="63"/>
  <c r="J182" i="52"/>
  <c r="H181" i="52"/>
  <c r="H417" i="86"/>
  <c r="K417" i="86"/>
  <c r="M43" i="65"/>
  <c r="R44" i="65"/>
  <c r="H44" i="65" s="1"/>
  <c r="S44" i="65"/>
  <c r="I44" i="65" s="1"/>
  <c r="BN19" i="63" l="1"/>
  <c r="BO19" i="63" s="1"/>
  <c r="BP19" i="63" s="1"/>
  <c r="BD20" i="63"/>
  <c r="BG19" i="63"/>
  <c r="O17" i="46" s="1"/>
  <c r="K19" i="63"/>
  <c r="BC19" i="63"/>
  <c r="E57" i="65" s="1"/>
  <c r="AU19" i="63"/>
  <c r="L19" i="63" s="1"/>
  <c r="J183" i="52"/>
  <c r="H182" i="52"/>
  <c r="I417" i="86"/>
  <c r="E418" i="86" s="1"/>
  <c r="L417" i="86"/>
  <c r="O417" i="86" s="1"/>
  <c r="M150" i="65"/>
  <c r="M151" i="65"/>
  <c r="M44" i="65"/>
  <c r="S45" i="65" l="1"/>
  <c r="I45" i="65" s="1"/>
  <c r="BA20" i="63"/>
  <c r="BN20" i="63" s="1"/>
  <c r="BO20" i="63" s="1"/>
  <c r="BP20" i="63" s="1"/>
  <c r="N5" i="74"/>
  <c r="AV20" i="63"/>
  <c r="J184" i="52"/>
  <c r="H183" i="52"/>
  <c r="U75" i="65"/>
  <c r="K75" i="65" s="1"/>
  <c r="T46" i="65"/>
  <c r="J46" i="65" s="1"/>
  <c r="U46" i="65"/>
  <c r="K46" i="65" s="1"/>
  <c r="G418" i="86"/>
  <c r="M152" i="65"/>
  <c r="R45" i="65" l="1"/>
  <c r="BD21" i="63"/>
  <c r="K20" i="63"/>
  <c r="BC20" i="63"/>
  <c r="E58" i="65" s="1"/>
  <c r="AU20" i="63"/>
  <c r="L20" i="63" s="1"/>
  <c r="BG20" i="63"/>
  <c r="O18" i="46" s="1"/>
  <c r="J185" i="52"/>
  <c r="H184" i="52"/>
  <c r="T47" i="65"/>
  <c r="J47" i="65" s="1"/>
  <c r="U47" i="65"/>
  <c r="K47" i="65" s="1"/>
  <c r="H418" i="86"/>
  <c r="K418" i="86"/>
  <c r="M153" i="65"/>
  <c r="H45" i="65" l="1"/>
  <c r="M45" i="65" s="1"/>
  <c r="S46" i="65"/>
  <c r="I46" i="65" s="1"/>
  <c r="U76" i="65"/>
  <c r="K76" i="65" s="1"/>
  <c r="O5" i="74"/>
  <c r="AV21" i="63"/>
  <c r="BA21" i="63"/>
  <c r="BN21" i="63" s="1"/>
  <c r="BO21" i="63" s="1"/>
  <c r="BP21" i="63" s="1"/>
  <c r="J186" i="52"/>
  <c r="H185" i="52"/>
  <c r="L418" i="86"/>
  <c r="O418" i="86" s="1"/>
  <c r="I418" i="86"/>
  <c r="E419" i="86" s="1"/>
  <c r="R46" i="65" l="1"/>
  <c r="BD22" i="63"/>
  <c r="BG21" i="63"/>
  <c r="O19" i="46" s="1"/>
  <c r="K21" i="63"/>
  <c r="AU21" i="63"/>
  <c r="L21" i="63" s="1"/>
  <c r="BC21" i="63"/>
  <c r="E59" i="65" s="1"/>
  <c r="J187" i="52"/>
  <c r="H186" i="52"/>
  <c r="T48" i="65"/>
  <c r="J48" i="65" s="1"/>
  <c r="U48" i="65"/>
  <c r="K48" i="65" s="1"/>
  <c r="G419" i="86"/>
  <c r="H46" i="65" l="1"/>
  <c r="M46" i="65" s="1"/>
  <c r="S47" i="65"/>
  <c r="I47" i="65" s="1"/>
  <c r="U77" i="65"/>
  <c r="K77" i="65" s="1"/>
  <c r="BA22" i="63"/>
  <c r="BN22" i="63" s="1"/>
  <c r="BO22" i="63" s="1"/>
  <c r="BP22" i="63" s="1"/>
  <c r="AV22" i="63"/>
  <c r="J188" i="52"/>
  <c r="H187" i="52"/>
  <c r="T49" i="65"/>
  <c r="J49" i="65" s="1"/>
  <c r="U49" i="65"/>
  <c r="K49" i="65" s="1"/>
  <c r="H419" i="86"/>
  <c r="K419" i="86"/>
  <c r="R47" i="65" l="1"/>
  <c r="BD23" i="63"/>
  <c r="K22" i="63"/>
  <c r="AU22" i="63"/>
  <c r="L22" i="63" s="1"/>
  <c r="BC22" i="63"/>
  <c r="E60" i="65" s="1"/>
  <c r="BG22" i="63"/>
  <c r="O20" i="46" s="1"/>
  <c r="J189" i="52"/>
  <c r="H188" i="52"/>
  <c r="T50" i="65"/>
  <c r="J50" i="65" s="1"/>
  <c r="U50" i="65"/>
  <c r="K50" i="65" s="1"/>
  <c r="I419" i="86"/>
  <c r="E420" i="86" s="1"/>
  <c r="L419" i="86"/>
  <c r="O419" i="86" s="1"/>
  <c r="M155" i="65"/>
  <c r="M154" i="65"/>
  <c r="H47" i="65" l="1"/>
  <c r="M47" i="65" s="1"/>
  <c r="S48" i="65"/>
  <c r="I48" i="65" s="1"/>
  <c r="U78" i="65"/>
  <c r="K78" i="65" s="1"/>
  <c r="Q5" i="74"/>
  <c r="P5" i="74"/>
  <c r="BA23" i="63"/>
  <c r="BN23" i="63" s="1"/>
  <c r="BO23" i="63" s="1"/>
  <c r="BP23" i="63" s="1"/>
  <c r="AV23" i="63"/>
  <c r="J190" i="52"/>
  <c r="H189" i="52"/>
  <c r="G420" i="86"/>
  <c r="P9" i="63" l="1"/>
  <c r="R48" i="65"/>
  <c r="BD24" i="63"/>
  <c r="BG23" i="63"/>
  <c r="O21" i="46" s="1"/>
  <c r="K23" i="63"/>
  <c r="BC23" i="63"/>
  <c r="E61" i="65" s="1"/>
  <c r="AU23" i="63"/>
  <c r="L23" i="63" s="1"/>
  <c r="J191" i="52"/>
  <c r="H190" i="52"/>
  <c r="U80" i="65"/>
  <c r="K80" i="65" s="1"/>
  <c r="T51" i="65"/>
  <c r="J51" i="65" s="1"/>
  <c r="U51" i="65"/>
  <c r="K51" i="65" s="1"/>
  <c r="H420" i="86"/>
  <c r="K420" i="86"/>
  <c r="M105" i="65"/>
  <c r="H48" i="65" l="1"/>
  <c r="M48" i="65" s="1"/>
  <c r="S49" i="65"/>
  <c r="I49" i="65" s="1"/>
  <c r="U79" i="65"/>
  <c r="K79" i="65" s="1"/>
  <c r="AV24" i="63"/>
  <c r="R5" i="74"/>
  <c r="BA24" i="63"/>
  <c r="BN24" i="63" s="1"/>
  <c r="BO24" i="63" s="1"/>
  <c r="BP24" i="63" s="1"/>
  <c r="J192" i="52"/>
  <c r="H191" i="52"/>
  <c r="L420" i="86"/>
  <c r="O420" i="86" s="1"/>
  <c r="I420" i="86"/>
  <c r="E421" i="86" s="1"/>
  <c r="M157" i="65"/>
  <c r="M156" i="65"/>
  <c r="M106" i="65"/>
  <c r="P10" i="63" l="1"/>
  <c r="R49" i="65"/>
  <c r="BD25" i="63"/>
  <c r="BG24" i="63"/>
  <c r="O22" i="46" s="1"/>
  <c r="K24" i="63"/>
  <c r="BC24" i="63"/>
  <c r="E62" i="65" s="1"/>
  <c r="AU24" i="63"/>
  <c r="L24" i="63" s="1"/>
  <c r="J193" i="52"/>
  <c r="H192" i="52"/>
  <c r="U81" i="65"/>
  <c r="K81" i="65" s="1"/>
  <c r="T52" i="65"/>
  <c r="J52" i="65" s="1"/>
  <c r="U52" i="65"/>
  <c r="K52" i="65" s="1"/>
  <c r="G421" i="86"/>
  <c r="M107" i="65"/>
  <c r="H49" i="65" l="1"/>
  <c r="M49" i="65" s="1"/>
  <c r="S50" i="65"/>
  <c r="I50" i="65" s="1"/>
  <c r="AV25" i="63"/>
  <c r="S5" i="74"/>
  <c r="BA25" i="63"/>
  <c r="BN25" i="63" s="1"/>
  <c r="BO25" i="63" s="1"/>
  <c r="BP25" i="63" s="1"/>
  <c r="J194" i="52"/>
  <c r="H193" i="52"/>
  <c r="U82" i="65"/>
  <c r="K82" i="65" s="1"/>
  <c r="T53" i="65"/>
  <c r="J53" i="65" s="1"/>
  <c r="U53" i="65"/>
  <c r="K53" i="65" s="1"/>
  <c r="H421" i="86"/>
  <c r="K421" i="86"/>
  <c r="P11" i="63" l="1"/>
  <c r="R50" i="65"/>
  <c r="BD26" i="63"/>
  <c r="K25" i="63"/>
  <c r="AU25" i="63"/>
  <c r="L25" i="63" s="1"/>
  <c r="BC25" i="63"/>
  <c r="E63" i="65" s="1"/>
  <c r="BG25" i="63"/>
  <c r="O23" i="46" s="1"/>
  <c r="J195" i="52"/>
  <c r="H194" i="52"/>
  <c r="I421" i="86"/>
  <c r="E422" i="86" s="1"/>
  <c r="L421" i="86"/>
  <c r="O421" i="86" s="1"/>
  <c r="M158" i="65"/>
  <c r="M159" i="65"/>
  <c r="M108" i="65"/>
  <c r="H50" i="65" l="1"/>
  <c r="M50" i="65" s="1"/>
  <c r="S51" i="65"/>
  <c r="I51" i="65" s="1"/>
  <c r="T5" i="74"/>
  <c r="AV26" i="63"/>
  <c r="BA26" i="63"/>
  <c r="BN26" i="63" s="1"/>
  <c r="BO26" i="63" s="1"/>
  <c r="BP26" i="63" s="1"/>
  <c r="J196" i="52"/>
  <c r="H195" i="52"/>
  <c r="U83" i="65"/>
  <c r="K83" i="65" s="1"/>
  <c r="T54" i="65"/>
  <c r="J54" i="65" s="1"/>
  <c r="U54" i="65"/>
  <c r="K54" i="65" s="1"/>
  <c r="G422" i="86"/>
  <c r="P12" i="63" l="1"/>
  <c r="R51" i="65"/>
  <c r="BD27" i="63"/>
  <c r="BG26" i="63"/>
  <c r="O24" i="46" s="1"/>
  <c r="K26" i="63"/>
  <c r="BC26" i="63"/>
  <c r="E64" i="65" s="1"/>
  <c r="AU26" i="63"/>
  <c r="L26" i="63" s="1"/>
  <c r="J197" i="52"/>
  <c r="H196" i="52"/>
  <c r="U84" i="65"/>
  <c r="K84" i="65" s="1"/>
  <c r="T55" i="65"/>
  <c r="J55" i="65" s="1"/>
  <c r="U55" i="65"/>
  <c r="K55" i="65" s="1"/>
  <c r="H422" i="86"/>
  <c r="K422" i="86"/>
  <c r="M109" i="65"/>
  <c r="H51" i="65" l="1"/>
  <c r="M51" i="65" s="1"/>
  <c r="S52" i="65"/>
  <c r="I52" i="65" s="1"/>
  <c r="BA27" i="63"/>
  <c r="BN27" i="63" s="1"/>
  <c r="BO27" i="63" s="1"/>
  <c r="BP27" i="63" s="1"/>
  <c r="AV27" i="63"/>
  <c r="U5" i="74"/>
  <c r="J198" i="52"/>
  <c r="H197" i="52"/>
  <c r="L422" i="86"/>
  <c r="O422" i="86" s="1"/>
  <c r="I422" i="86"/>
  <c r="E423" i="86" s="1"/>
  <c r="M110" i="65"/>
  <c r="P13" i="63" l="1"/>
  <c r="R52" i="65"/>
  <c r="BD28" i="63"/>
  <c r="BG27" i="63"/>
  <c r="O25" i="46" s="1"/>
  <c r="K27" i="63"/>
  <c r="BC27" i="63"/>
  <c r="E65" i="65" s="1"/>
  <c r="AU27" i="63"/>
  <c r="L27" i="63" s="1"/>
  <c r="J199" i="52"/>
  <c r="H198" i="52"/>
  <c r="G423" i="86"/>
  <c r="M111" i="65"/>
  <c r="H52" i="65" l="1"/>
  <c r="M52" i="65" s="1"/>
  <c r="S53" i="65"/>
  <c r="I53" i="65" s="1"/>
  <c r="V5" i="74"/>
  <c r="AV28" i="63"/>
  <c r="BA28" i="63"/>
  <c r="BN28" i="63" s="1"/>
  <c r="BO28" i="63" s="1"/>
  <c r="BP28" i="63" s="1"/>
  <c r="J200" i="52"/>
  <c r="H199" i="52"/>
  <c r="U85" i="65"/>
  <c r="K85" i="65" s="1"/>
  <c r="T56" i="65"/>
  <c r="J56" i="65" s="1"/>
  <c r="U56" i="65"/>
  <c r="K56" i="65" s="1"/>
  <c r="H423" i="86"/>
  <c r="K423" i="86"/>
  <c r="P14" i="63" l="1"/>
  <c r="R53" i="65"/>
  <c r="BD29" i="63"/>
  <c r="BC28" i="63"/>
  <c r="E66" i="65" s="1"/>
  <c r="AU28" i="63"/>
  <c r="L28" i="63" s="1"/>
  <c r="BG28" i="63"/>
  <c r="O26" i="46" s="1"/>
  <c r="K28" i="63"/>
  <c r="J201" i="52"/>
  <c r="H200" i="52"/>
  <c r="I423" i="86"/>
  <c r="E424" i="86" s="1"/>
  <c r="L423" i="86"/>
  <c r="O423" i="86" s="1"/>
  <c r="M112" i="65"/>
  <c r="H53" i="65" l="1"/>
  <c r="M53" i="65" s="1"/>
  <c r="S54" i="65"/>
  <c r="I54" i="65" s="1"/>
  <c r="AV29" i="63"/>
  <c r="W5" i="74"/>
  <c r="BA29" i="63"/>
  <c r="BN29" i="63" s="1"/>
  <c r="BO29" i="63" s="1"/>
  <c r="BP29" i="63" s="1"/>
  <c r="J202" i="52"/>
  <c r="H201" i="52"/>
  <c r="U86" i="65"/>
  <c r="K86" i="65" s="1"/>
  <c r="T57" i="65"/>
  <c r="J57" i="65" s="1"/>
  <c r="U57" i="65"/>
  <c r="K57" i="65" s="1"/>
  <c r="G424" i="86"/>
  <c r="P15" i="63" l="1"/>
  <c r="R54" i="65"/>
  <c r="BD30" i="63"/>
  <c r="BG29" i="63"/>
  <c r="O27" i="46" s="1"/>
  <c r="K29" i="63"/>
  <c r="BC29" i="63"/>
  <c r="E67" i="65" s="1"/>
  <c r="AU29" i="63"/>
  <c r="L29" i="63" s="1"/>
  <c r="J203" i="52"/>
  <c r="H202" i="52"/>
  <c r="H424" i="86"/>
  <c r="K424" i="86"/>
  <c r="M113" i="65"/>
  <c r="H54" i="65" l="1"/>
  <c r="M54" i="65" s="1"/>
  <c r="S55" i="65"/>
  <c r="I55" i="65" s="1"/>
  <c r="X5" i="74"/>
  <c r="BA30" i="63"/>
  <c r="BN30" i="63" s="1"/>
  <c r="BO30" i="63" s="1"/>
  <c r="BP30" i="63" s="1"/>
  <c r="AV30" i="63"/>
  <c r="J204" i="52"/>
  <c r="H203" i="52"/>
  <c r="U87" i="65"/>
  <c r="K87" i="65" s="1"/>
  <c r="T58" i="65"/>
  <c r="J58" i="65" s="1"/>
  <c r="U58" i="65"/>
  <c r="K58" i="65" s="1"/>
  <c r="L424" i="86"/>
  <c r="O424" i="86" s="1"/>
  <c r="I424" i="86"/>
  <c r="E425" i="86" s="1"/>
  <c r="P16" i="63" l="1"/>
  <c r="R55" i="65"/>
  <c r="BD31" i="63"/>
  <c r="BC30" i="63"/>
  <c r="E68" i="65" s="1"/>
  <c r="BG30" i="63"/>
  <c r="O28" i="46" s="1"/>
  <c r="K30" i="63"/>
  <c r="AU30" i="63"/>
  <c r="L30" i="63" s="1"/>
  <c r="J205" i="52"/>
  <c r="H205" i="52" s="1"/>
  <c r="H204" i="52"/>
  <c r="U88" i="65"/>
  <c r="K88" i="65" s="1"/>
  <c r="T59" i="65"/>
  <c r="J59" i="65" s="1"/>
  <c r="U59" i="65"/>
  <c r="K59" i="65" s="1"/>
  <c r="G425" i="86"/>
  <c r="M114" i="65"/>
  <c r="H55" i="65" l="1"/>
  <c r="M55" i="65" s="1"/>
  <c r="S56" i="65"/>
  <c r="I56" i="65" s="1"/>
  <c r="Y5" i="74"/>
  <c r="BA31" i="63"/>
  <c r="BN31" i="63" s="1"/>
  <c r="BO31" i="63" s="1"/>
  <c r="BP31" i="63" s="1"/>
  <c r="AV31" i="63"/>
  <c r="M75" i="74" a="1"/>
  <c r="M75" i="74" s="1"/>
  <c r="H206" i="74" s="1" a="1"/>
  <c r="H206" i="74" s="1"/>
  <c r="U89" i="65"/>
  <c r="K89" i="65" s="1"/>
  <c r="T60" i="65"/>
  <c r="J60" i="65" s="1"/>
  <c r="U60" i="65"/>
  <c r="K60" i="65" s="1"/>
  <c r="H425" i="86"/>
  <c r="K425" i="86"/>
  <c r="P17" i="63" l="1"/>
  <c r="R56" i="65"/>
  <c r="BD32" i="63"/>
  <c r="K31" i="63"/>
  <c r="AU31" i="63"/>
  <c r="L31" i="63" s="1"/>
  <c r="BC31" i="63"/>
  <c r="BG31" i="63"/>
  <c r="O29" i="46" s="1"/>
  <c r="K332" i="74"/>
  <c r="H332" i="74"/>
  <c r="I425" i="86"/>
  <c r="E426" i="86" s="1"/>
  <c r="L425" i="86"/>
  <c r="O425" i="86" s="1"/>
  <c r="S57" i="65" l="1"/>
  <c r="I57" i="65" s="1"/>
  <c r="E69" i="65"/>
  <c r="H56" i="65"/>
  <c r="M56" i="65" s="1"/>
  <c r="R57" i="65"/>
  <c r="H57" i="65" s="1"/>
  <c r="BA32" i="63"/>
  <c r="BN32" i="63" s="1"/>
  <c r="BO32" i="63" s="1"/>
  <c r="BP32" i="63" s="1"/>
  <c r="Z5" i="74"/>
  <c r="AV32" i="63"/>
  <c r="I332" i="74"/>
  <c r="J332" i="74"/>
  <c r="G426" i="86"/>
  <c r="M115" i="65"/>
  <c r="P18" i="63" l="1"/>
  <c r="M57" i="65"/>
  <c r="BD33" i="63"/>
  <c r="BG32" i="63"/>
  <c r="O30" i="46" s="1"/>
  <c r="K32" i="63"/>
  <c r="AU32" i="63"/>
  <c r="L32" i="63" s="1"/>
  <c r="BC32" i="63"/>
  <c r="U90" i="65"/>
  <c r="K90" i="65" s="1"/>
  <c r="T61" i="65"/>
  <c r="J61" i="65" s="1"/>
  <c r="U61" i="65"/>
  <c r="K61" i="65" s="1"/>
  <c r="H426" i="86"/>
  <c r="K426" i="86"/>
  <c r="M116" i="65"/>
  <c r="S58" i="65" l="1"/>
  <c r="I58" i="65" s="1"/>
  <c r="E70" i="65"/>
  <c r="P19" i="63"/>
  <c r="R58" i="65"/>
  <c r="H58" i="65" s="1"/>
  <c r="AV33" i="63"/>
  <c r="BA33" i="63"/>
  <c r="BN33" i="63" s="1"/>
  <c r="BO33" i="63" s="1"/>
  <c r="BP33" i="63" s="1"/>
  <c r="AA5" i="74"/>
  <c r="U91" i="65"/>
  <c r="K91" i="65" s="1"/>
  <c r="T62" i="65"/>
  <c r="J62" i="65" s="1"/>
  <c r="U62" i="65"/>
  <c r="K62" i="65" s="1"/>
  <c r="L426" i="86"/>
  <c r="O426" i="86" s="1"/>
  <c r="I426" i="86"/>
  <c r="E427" i="86" s="1"/>
  <c r="M117" i="65"/>
  <c r="M58" i="65" l="1"/>
  <c r="BD34" i="63"/>
  <c r="BG33" i="63"/>
  <c r="O31" i="46" s="1"/>
  <c r="K33" i="63"/>
  <c r="AU33" i="63"/>
  <c r="L33" i="63" s="1"/>
  <c r="BC33" i="63"/>
  <c r="G427" i="86"/>
  <c r="S59" i="65" l="1"/>
  <c r="I59" i="65" s="1"/>
  <c r="E71" i="65"/>
  <c r="P20" i="63"/>
  <c r="R59" i="65"/>
  <c r="H59" i="65" s="1"/>
  <c r="AV34" i="63"/>
  <c r="BA34" i="63"/>
  <c r="BN34" i="63" s="1"/>
  <c r="BO34" i="63" s="1"/>
  <c r="BP34" i="63" s="1"/>
  <c r="AB5" i="74"/>
  <c r="U92" i="65"/>
  <c r="K92" i="65" s="1"/>
  <c r="T63" i="65"/>
  <c r="J63" i="65" s="1"/>
  <c r="U63" i="65"/>
  <c r="K63" i="65" s="1"/>
  <c r="H427" i="86"/>
  <c r="K427" i="86"/>
  <c r="M118" i="65"/>
  <c r="M59" i="65" l="1"/>
  <c r="BD35" i="63"/>
  <c r="BG34" i="63"/>
  <c r="O32" i="46" s="1"/>
  <c r="K34" i="63"/>
  <c r="BC34" i="63"/>
  <c r="S60" i="65" s="1"/>
  <c r="I60" i="65" s="1"/>
  <c r="AU34" i="63"/>
  <c r="L34" i="63" s="1"/>
  <c r="I427" i="86"/>
  <c r="E428" i="86" s="1"/>
  <c r="L427" i="86"/>
  <c r="O427" i="86" s="1"/>
  <c r="P21" i="63" l="1"/>
  <c r="R60" i="65"/>
  <c r="H60" i="65" s="1"/>
  <c r="BA35" i="63"/>
  <c r="BN35" i="63" s="1"/>
  <c r="BO35" i="63" s="1"/>
  <c r="BP35" i="63" s="1"/>
  <c r="AV35" i="63"/>
  <c r="AC5" i="74"/>
  <c r="U93" i="65"/>
  <c r="K93" i="65" s="1"/>
  <c r="T64" i="65"/>
  <c r="J64" i="65" s="1"/>
  <c r="U64" i="65"/>
  <c r="K64" i="65" s="1"/>
  <c r="R88" i="65"/>
  <c r="H88" i="65" s="1"/>
  <c r="S88" i="65"/>
  <c r="I88" i="65" s="1"/>
  <c r="G428" i="86"/>
  <c r="M119" i="65"/>
  <c r="M60" i="65" l="1"/>
  <c r="BD36" i="63"/>
  <c r="BC35" i="63"/>
  <c r="S61" i="65" s="1"/>
  <c r="I61" i="65" s="1"/>
  <c r="AU35" i="63"/>
  <c r="L35" i="63" s="1"/>
  <c r="BG35" i="63"/>
  <c r="O33" i="46" s="1"/>
  <c r="K35" i="63"/>
  <c r="M88" i="65"/>
  <c r="H428" i="86"/>
  <c r="K428" i="86"/>
  <c r="P22" i="63" l="1"/>
  <c r="R61" i="65"/>
  <c r="H61" i="65" s="1"/>
  <c r="AV36" i="63"/>
  <c r="AD5" i="74"/>
  <c r="BA36" i="63"/>
  <c r="BN36" i="63" s="1"/>
  <c r="BO36" i="63" s="1"/>
  <c r="BP36" i="63" s="1"/>
  <c r="U94" i="65"/>
  <c r="K94" i="65" s="1"/>
  <c r="T65" i="65"/>
  <c r="J65" i="65" s="1"/>
  <c r="U65" i="65"/>
  <c r="K65" i="65" s="1"/>
  <c r="S89" i="65"/>
  <c r="I89" i="65" s="1"/>
  <c r="R89" i="65"/>
  <c r="H89" i="65" s="1"/>
  <c r="L428" i="86"/>
  <c r="O428" i="86" s="1"/>
  <c r="I428" i="86"/>
  <c r="E429" i="86" s="1"/>
  <c r="M120" i="65"/>
  <c r="M61" i="65" l="1"/>
  <c r="BD37" i="63"/>
  <c r="BG36" i="63"/>
  <c r="O34" i="46" s="1"/>
  <c r="K36" i="63"/>
  <c r="AU36" i="63"/>
  <c r="L36" i="63" s="1"/>
  <c r="BC36" i="63"/>
  <c r="S62" i="65" s="1"/>
  <c r="I62" i="65" s="1"/>
  <c r="U95" i="65"/>
  <c r="K95" i="65" s="1"/>
  <c r="T66" i="65"/>
  <c r="J66" i="65" s="1"/>
  <c r="U66" i="65"/>
  <c r="K66" i="65" s="1"/>
  <c r="M89" i="65"/>
  <c r="S90" i="65"/>
  <c r="I90" i="65" s="1"/>
  <c r="R90" i="65"/>
  <c r="H90" i="65" s="1"/>
  <c r="G429" i="86"/>
  <c r="M121" i="65"/>
  <c r="P23" i="63" l="1"/>
  <c r="R62" i="65"/>
  <c r="H62" i="65" s="1"/>
  <c r="AV37" i="63"/>
  <c r="AE5" i="74"/>
  <c r="BA37" i="63"/>
  <c r="BN37" i="63" s="1"/>
  <c r="BO37" i="63" s="1"/>
  <c r="BP37" i="63" s="1"/>
  <c r="M90" i="65"/>
  <c r="H429" i="86"/>
  <c r="K429" i="86"/>
  <c r="M62" i="65" l="1"/>
  <c r="BD38" i="63"/>
  <c r="AU37" i="63"/>
  <c r="L37" i="63" s="1"/>
  <c r="BG37" i="63"/>
  <c r="O35" i="46" s="1"/>
  <c r="K37" i="63"/>
  <c r="BC37" i="63"/>
  <c r="S63" i="65" s="1"/>
  <c r="I63" i="65" s="1"/>
  <c r="I429" i="86"/>
  <c r="E430" i="86" s="1"/>
  <c r="L429" i="86"/>
  <c r="O429" i="86" s="1"/>
  <c r="P24" i="63" l="1"/>
  <c r="R63" i="65"/>
  <c r="H63" i="65" s="1"/>
  <c r="BA38" i="63"/>
  <c r="BD39" i="63" s="1"/>
  <c r="AV38" i="63"/>
  <c r="AF5" i="74"/>
  <c r="U96" i="65"/>
  <c r="K96" i="65" s="1"/>
  <c r="T67" i="65"/>
  <c r="J67" i="65" s="1"/>
  <c r="U67" i="65"/>
  <c r="K67" i="65" s="1"/>
  <c r="S91" i="65"/>
  <c r="I91" i="65" s="1"/>
  <c r="R91" i="65"/>
  <c r="H91" i="65" s="1"/>
  <c r="G430" i="86"/>
  <c r="M123" i="65"/>
  <c r="M122" i="65"/>
  <c r="M63" i="65" l="1"/>
  <c r="K38" i="63"/>
  <c r="AU38" i="63"/>
  <c r="L38" i="63" s="1"/>
  <c r="BC38" i="63"/>
  <c r="S64" i="65" s="1"/>
  <c r="I64" i="65" s="1"/>
  <c r="BG38" i="63"/>
  <c r="O36" i="46" s="1"/>
  <c r="BN38" i="63"/>
  <c r="BO38" i="63" s="1"/>
  <c r="BP38" i="63" s="1"/>
  <c r="M91" i="65"/>
  <c r="H430" i="86"/>
  <c r="K430" i="86"/>
  <c r="P25" i="63" l="1"/>
  <c r="R64" i="65"/>
  <c r="H64" i="65" s="1"/>
  <c r="AV39" i="63"/>
  <c r="BA39" i="63"/>
  <c r="BD40" i="63" s="1"/>
  <c r="AG5" i="74"/>
  <c r="U97" i="65"/>
  <c r="K97" i="65" s="1"/>
  <c r="T68" i="65"/>
  <c r="J68" i="65" s="1"/>
  <c r="U68" i="65"/>
  <c r="K68" i="65" s="1"/>
  <c r="S92" i="65"/>
  <c r="I92" i="65" s="1"/>
  <c r="R92" i="65"/>
  <c r="H92" i="65" s="1"/>
  <c r="L430" i="86"/>
  <c r="O430" i="86" s="1"/>
  <c r="I430" i="86"/>
  <c r="E431" i="86" s="1"/>
  <c r="M64" i="65" l="1"/>
  <c r="BN39" i="63"/>
  <c r="BO39" i="63" s="1"/>
  <c r="BP39" i="63" s="1"/>
  <c r="K39" i="63"/>
  <c r="AU39" i="63"/>
  <c r="L39" i="63" s="1"/>
  <c r="BC39" i="63"/>
  <c r="S65" i="65" s="1"/>
  <c r="I65" i="65" s="1"/>
  <c r="BG39" i="63"/>
  <c r="O37" i="46" s="1"/>
  <c r="U98" i="65"/>
  <c r="K98" i="65" s="1"/>
  <c r="T69" i="65"/>
  <c r="J69" i="65" s="1"/>
  <c r="U69" i="65"/>
  <c r="K69" i="65" s="1"/>
  <c r="M92" i="65"/>
  <c r="R93" i="65"/>
  <c r="H93" i="65" s="1"/>
  <c r="S93" i="65"/>
  <c r="I93" i="65" s="1"/>
  <c r="G431" i="86"/>
  <c r="P26" i="63" l="1"/>
  <c r="R65" i="65"/>
  <c r="H65" i="65" s="1"/>
  <c r="S77" i="65"/>
  <c r="I77" i="65" s="1"/>
  <c r="AV40" i="63"/>
  <c r="AH5" i="74"/>
  <c r="BA40" i="63"/>
  <c r="M93" i="65"/>
  <c r="H431" i="86"/>
  <c r="K431" i="86"/>
  <c r="M124" i="65"/>
  <c r="M65" i="65" l="1"/>
  <c r="BN40" i="63"/>
  <c r="BO40" i="63" s="1"/>
  <c r="BP40" i="63" s="1"/>
  <c r="BD41" i="63"/>
  <c r="AU40" i="63"/>
  <c r="L40" i="63" s="1"/>
  <c r="BG40" i="63"/>
  <c r="O38" i="46" s="1"/>
  <c r="K40" i="63"/>
  <c r="BC40" i="63"/>
  <c r="S66" i="65" s="1"/>
  <c r="I66" i="65" s="1"/>
  <c r="I431" i="86"/>
  <c r="E432" i="86" s="1"/>
  <c r="L431" i="86"/>
  <c r="O431" i="86" s="1"/>
  <c r="M125" i="65"/>
  <c r="P27" i="63" l="1"/>
  <c r="R66" i="65"/>
  <c r="H66" i="65" s="1"/>
  <c r="S78" i="65"/>
  <c r="I78" i="65" s="1"/>
  <c r="AI5" i="74"/>
  <c r="AV41" i="63"/>
  <c r="BA41" i="63"/>
  <c r="BD42" i="63" s="1"/>
  <c r="U104" i="65"/>
  <c r="K104" i="65" s="1"/>
  <c r="S104" i="65"/>
  <c r="I104" i="65" s="1"/>
  <c r="R104" i="65"/>
  <c r="H104" i="65" s="1"/>
  <c r="R77" i="65"/>
  <c r="H77" i="65" s="1"/>
  <c r="U100" i="65"/>
  <c r="K100" i="65" s="1"/>
  <c r="S100" i="65"/>
  <c r="I100" i="65" s="1"/>
  <c r="R100" i="65"/>
  <c r="H100" i="65" s="1"/>
  <c r="U99" i="65"/>
  <c r="K99" i="65" s="1"/>
  <c r="S99" i="65"/>
  <c r="I99" i="65" s="1"/>
  <c r="R99" i="65"/>
  <c r="H99" i="65" s="1"/>
  <c r="T70" i="65"/>
  <c r="J70" i="65" s="1"/>
  <c r="U70" i="65"/>
  <c r="K70" i="65" s="1"/>
  <c r="T71" i="65"/>
  <c r="J71" i="65" s="1"/>
  <c r="U71" i="65"/>
  <c r="K71" i="65" s="1"/>
  <c r="R95" i="65"/>
  <c r="H95" i="65" s="1"/>
  <c r="S95" i="65"/>
  <c r="I95" i="65" s="1"/>
  <c r="R94" i="65"/>
  <c r="H94" i="65" s="1"/>
  <c r="S94" i="65"/>
  <c r="I94" i="65" s="1"/>
  <c r="G432" i="86"/>
  <c r="M66" i="65" l="1"/>
  <c r="BN41" i="63"/>
  <c r="BO41" i="63" s="1"/>
  <c r="BP41" i="63" s="1"/>
  <c r="BC41" i="63"/>
  <c r="S67" i="65" s="1"/>
  <c r="I67" i="65" s="1"/>
  <c r="AU41" i="63"/>
  <c r="L41" i="63" s="1"/>
  <c r="BG41" i="63"/>
  <c r="O39" i="46" s="1"/>
  <c r="K41" i="63"/>
  <c r="M104" i="65"/>
  <c r="M77" i="65"/>
  <c r="P39" i="63" s="1"/>
  <c r="M99" i="65"/>
  <c r="M100" i="65"/>
  <c r="M95" i="65"/>
  <c r="M94" i="65"/>
  <c r="H432" i="86"/>
  <c r="K432" i="86"/>
  <c r="P28" i="63" l="1"/>
  <c r="R67" i="65"/>
  <c r="H67" i="65" s="1"/>
  <c r="S79" i="65"/>
  <c r="I79" i="65" s="1"/>
  <c r="AV42" i="63"/>
  <c r="BA42" i="63"/>
  <c r="BD43" i="63" s="1"/>
  <c r="AJ5" i="74"/>
  <c r="R78" i="65"/>
  <c r="H78" i="65" s="1"/>
  <c r="U101" i="65"/>
  <c r="K101" i="65" s="1"/>
  <c r="R101" i="65"/>
  <c r="H101" i="65" s="1"/>
  <c r="S101" i="65"/>
  <c r="I101" i="65" s="1"/>
  <c r="T72" i="65"/>
  <c r="J72" i="65" s="1"/>
  <c r="U72" i="65"/>
  <c r="K72" i="65" s="1"/>
  <c r="R96" i="65"/>
  <c r="H96" i="65" s="1"/>
  <c r="S96" i="65"/>
  <c r="I96" i="65" s="1"/>
  <c r="L432" i="86"/>
  <c r="O432" i="86" s="1"/>
  <c r="I432" i="86"/>
  <c r="E433" i="86" s="1"/>
  <c r="M67" i="65" l="1"/>
  <c r="BN42" i="63"/>
  <c r="BO42" i="63" s="1"/>
  <c r="BP42" i="63" s="1"/>
  <c r="BG42" i="63"/>
  <c r="O40" i="46" s="1"/>
  <c r="K42" i="63"/>
  <c r="AU42" i="63"/>
  <c r="L42" i="63" s="1"/>
  <c r="BC42" i="63"/>
  <c r="S68" i="65" s="1"/>
  <c r="I68" i="65" s="1"/>
  <c r="M78" i="65"/>
  <c r="P40" i="63" s="1"/>
  <c r="M101" i="65"/>
  <c r="M96" i="65"/>
  <c r="G433" i="86"/>
  <c r="P29" i="63" l="1"/>
  <c r="R68" i="65"/>
  <c r="H68" i="65" s="1"/>
  <c r="S80" i="65"/>
  <c r="I80" i="65" s="1"/>
  <c r="AV43" i="63"/>
  <c r="BA43" i="63"/>
  <c r="AK5" i="74"/>
  <c r="S85" i="65"/>
  <c r="I85" i="65" s="1"/>
  <c r="R85" i="65"/>
  <c r="H85" i="65" s="1"/>
  <c r="R79" i="65"/>
  <c r="H79" i="65" s="1"/>
  <c r="U102" i="65"/>
  <c r="K102" i="65" s="1"/>
  <c r="S102" i="65"/>
  <c r="I102" i="65" s="1"/>
  <c r="R102" i="65"/>
  <c r="H102" i="65" s="1"/>
  <c r="T73" i="65"/>
  <c r="J73" i="65" s="1"/>
  <c r="U73" i="65"/>
  <c r="K73" i="65" s="1"/>
  <c r="R97" i="65"/>
  <c r="H97" i="65" s="1"/>
  <c r="S97" i="65"/>
  <c r="I97" i="65" s="1"/>
  <c r="H433" i="86"/>
  <c r="K433" i="86"/>
  <c r="M68" i="65" l="1"/>
  <c r="S9" i="63"/>
  <c r="R9" i="63" s="1"/>
  <c r="Q9" i="63"/>
  <c r="AN9" i="63"/>
  <c r="AG9" i="63" s="1"/>
  <c r="BN43" i="63"/>
  <c r="BO43" i="63" s="1"/>
  <c r="BP43" i="63" s="1"/>
  <c r="BD44" i="63"/>
  <c r="AU43" i="63"/>
  <c r="L43" i="63" s="1"/>
  <c r="BG43" i="63"/>
  <c r="O41" i="46" s="1"/>
  <c r="K43" i="63"/>
  <c r="BC43" i="63"/>
  <c r="S69" i="65" s="1"/>
  <c r="I69" i="65" s="1"/>
  <c r="M85" i="65"/>
  <c r="P47" i="63" s="1"/>
  <c r="M79" i="65"/>
  <c r="P41" i="63" s="1"/>
  <c r="M102" i="65"/>
  <c r="M97" i="65"/>
  <c r="I433" i="86"/>
  <c r="E434" i="86" s="1"/>
  <c r="L433" i="86"/>
  <c r="O433" i="86" s="1"/>
  <c r="P30" i="63" l="1"/>
  <c r="R69" i="65"/>
  <c r="H69" i="65" s="1"/>
  <c r="X9" i="63"/>
  <c r="W9" i="63" s="1"/>
  <c r="AF9" i="63"/>
  <c r="S81" i="65"/>
  <c r="I81" i="65" s="1"/>
  <c r="AL5" i="74"/>
  <c r="AV44" i="63"/>
  <c r="BA44" i="63"/>
  <c r="BN44" i="63" s="1"/>
  <c r="BO44" i="63" s="1"/>
  <c r="BP44" i="63" s="1"/>
  <c r="G434" i="86"/>
  <c r="M69" i="65" l="1"/>
  <c r="Y9" i="63"/>
  <c r="AN10" i="63"/>
  <c r="AG10" i="63" s="1"/>
  <c r="Q10" i="63"/>
  <c r="S10" i="63"/>
  <c r="R10" i="63" s="1"/>
  <c r="AQ9" i="63"/>
  <c r="C7" i="74"/>
  <c r="Q29" i="63"/>
  <c r="AN29" i="63"/>
  <c r="AG29" i="63" s="1"/>
  <c r="S29" i="63"/>
  <c r="R29" i="63" s="1"/>
  <c r="BD45" i="63"/>
  <c r="AU44" i="63"/>
  <c r="L44" i="63" s="1"/>
  <c r="BC44" i="63"/>
  <c r="S70" i="65" s="1"/>
  <c r="I70" i="65" s="1"/>
  <c r="BG44" i="63"/>
  <c r="O42" i="46" s="1"/>
  <c r="K44" i="63"/>
  <c r="S86" i="65"/>
  <c r="I86" i="65" s="1"/>
  <c r="R86" i="65"/>
  <c r="H86" i="65" s="1"/>
  <c r="R80" i="65"/>
  <c r="H80" i="65" s="1"/>
  <c r="R103" i="65"/>
  <c r="H103" i="65" s="1"/>
  <c r="U103" i="65"/>
  <c r="K103" i="65" s="1"/>
  <c r="S103" i="65"/>
  <c r="I103" i="65" s="1"/>
  <c r="T74" i="65"/>
  <c r="J74" i="65" s="1"/>
  <c r="U74" i="65"/>
  <c r="K74" i="65" s="1"/>
  <c r="R87" i="65"/>
  <c r="H87" i="65" s="1"/>
  <c r="S87" i="65"/>
  <c r="I87" i="65" s="1"/>
  <c r="R98" i="65"/>
  <c r="H98" i="65" s="1"/>
  <c r="S98" i="65"/>
  <c r="I98" i="65" s="1"/>
  <c r="H434" i="86"/>
  <c r="K434" i="86"/>
  <c r="P31" i="63" l="1"/>
  <c r="R70" i="65"/>
  <c r="H70" i="65" s="1"/>
  <c r="AF10" i="63"/>
  <c r="X10" i="63"/>
  <c r="W10" i="63" s="1"/>
  <c r="D7" i="74" s="1"/>
  <c r="AS9" i="63"/>
  <c r="AQ10" i="63"/>
  <c r="X29" i="63"/>
  <c r="AF29" i="63"/>
  <c r="S82" i="65"/>
  <c r="I82" i="65" s="1"/>
  <c r="AV45" i="63"/>
  <c r="AM5" i="74"/>
  <c r="BA45" i="63"/>
  <c r="BN45" i="63" s="1"/>
  <c r="BO45" i="63" s="1"/>
  <c r="BP45" i="63" s="1"/>
  <c r="S76" i="65"/>
  <c r="I76" i="65" s="1"/>
  <c r="S75" i="65"/>
  <c r="I75" i="65" s="1"/>
  <c r="R81" i="65"/>
  <c r="H81" i="65" s="1"/>
  <c r="M86" i="65"/>
  <c r="P48" i="63" s="1"/>
  <c r="M80" i="65"/>
  <c r="P42" i="63" s="1"/>
  <c r="M103" i="65"/>
  <c r="M87" i="65"/>
  <c r="M98" i="65"/>
  <c r="L434" i="86"/>
  <c r="O434" i="86" s="1"/>
  <c r="I434" i="86"/>
  <c r="E435" i="86" s="1"/>
  <c r="M70" i="65" l="1"/>
  <c r="Q11" i="63"/>
  <c r="AN11" i="63"/>
  <c r="AG11" i="63" s="1"/>
  <c r="S11" i="63"/>
  <c r="R11" i="63" s="1"/>
  <c r="Y10" i="63"/>
  <c r="AQ11" i="63"/>
  <c r="AS10" i="63"/>
  <c r="W29" i="63"/>
  <c r="W7" i="74" s="1"/>
  <c r="Y29" i="63"/>
  <c r="R82" i="65"/>
  <c r="H82" i="65" s="1"/>
  <c r="BD46" i="63"/>
  <c r="BG45" i="63"/>
  <c r="O43" i="46" s="1"/>
  <c r="AU45" i="63"/>
  <c r="L45" i="63" s="1"/>
  <c r="BC45" i="63"/>
  <c r="S71" i="65" s="1"/>
  <c r="I71" i="65" s="1"/>
  <c r="K45" i="63"/>
  <c r="M81" i="65"/>
  <c r="P43" i="63" s="1"/>
  <c r="S31" i="63"/>
  <c r="R31" i="63" s="1"/>
  <c r="Q31" i="63"/>
  <c r="AN31" i="63"/>
  <c r="AG31" i="63" s="1"/>
  <c r="G435" i="86"/>
  <c r="P32" i="63" l="1"/>
  <c r="R71" i="65"/>
  <c r="H71" i="65" s="1"/>
  <c r="AN21" i="63"/>
  <c r="AG21" i="63" s="1"/>
  <c r="X11" i="63"/>
  <c r="W11" i="63" s="1"/>
  <c r="E7" i="74" s="1"/>
  <c r="AF11" i="63"/>
  <c r="AS11" i="63"/>
  <c r="AQ12" i="63"/>
  <c r="AN30" i="63"/>
  <c r="AG30" i="63" s="1"/>
  <c r="Q30" i="63"/>
  <c r="S30" i="63"/>
  <c r="R30" i="63" s="1"/>
  <c r="M82" i="65"/>
  <c r="P44" i="63" s="1"/>
  <c r="AN5" i="74"/>
  <c r="AV46" i="63"/>
  <c r="BA46" i="63"/>
  <c r="BN46" i="63" s="1"/>
  <c r="BO46" i="63" s="1"/>
  <c r="BP46" i="63" s="1"/>
  <c r="AF31" i="63"/>
  <c r="X31" i="63"/>
  <c r="H435" i="86"/>
  <c r="K435" i="86"/>
  <c r="Q32" i="63" l="1"/>
  <c r="AN32" i="63"/>
  <c r="AG32" i="63" s="1"/>
  <c r="S32" i="63"/>
  <c r="R32" i="63" s="1"/>
  <c r="M71" i="65"/>
  <c r="S21" i="63"/>
  <c r="R21" i="63" s="1"/>
  <c r="Y11" i="63"/>
  <c r="Q21" i="63"/>
  <c r="AN12" i="63"/>
  <c r="AG12" i="63" s="1"/>
  <c r="Q12" i="63"/>
  <c r="S12" i="63"/>
  <c r="R12" i="63" s="1"/>
  <c r="AS12" i="63"/>
  <c r="AQ13" i="63"/>
  <c r="AF30" i="63"/>
  <c r="X30" i="63"/>
  <c r="W30" i="63" s="1"/>
  <c r="X7" i="74" s="1"/>
  <c r="AN26" i="63"/>
  <c r="AG26" i="63" s="1"/>
  <c r="S26" i="63"/>
  <c r="R26" i="63" s="1"/>
  <c r="Q26" i="63"/>
  <c r="S25" i="63"/>
  <c r="R25" i="63" s="1"/>
  <c r="Q25" i="63"/>
  <c r="AN25" i="63"/>
  <c r="AG25" i="63" s="1"/>
  <c r="AN44" i="63"/>
  <c r="AG44" i="63" s="1"/>
  <c r="R83" i="65"/>
  <c r="H83" i="65" s="1"/>
  <c r="S83" i="65"/>
  <c r="I83" i="65" s="1"/>
  <c r="AN43" i="63"/>
  <c r="AG43" i="63" s="1"/>
  <c r="S43" i="63"/>
  <c r="R43" i="63" s="1"/>
  <c r="Q43" i="63"/>
  <c r="BD47" i="63"/>
  <c r="BG46" i="63"/>
  <c r="O44" i="46" s="1"/>
  <c r="BC46" i="63"/>
  <c r="S72" i="65" s="1"/>
  <c r="I72" i="65" s="1"/>
  <c r="K46" i="63"/>
  <c r="AU46" i="63"/>
  <c r="L46" i="63" s="1"/>
  <c r="W31" i="63"/>
  <c r="Y7" i="74" s="1"/>
  <c r="Y31" i="63"/>
  <c r="Q41" i="63"/>
  <c r="S41" i="63"/>
  <c r="R41" i="63" s="1"/>
  <c r="AN41" i="63"/>
  <c r="AG41" i="63" s="1"/>
  <c r="AF21" i="63"/>
  <c r="X21" i="63"/>
  <c r="W21" i="63" s="1"/>
  <c r="O7" i="74" s="1"/>
  <c r="Q42" i="63"/>
  <c r="S42" i="63"/>
  <c r="R42" i="63" s="1"/>
  <c r="AN42" i="63"/>
  <c r="AG42" i="63" s="1"/>
  <c r="I435" i="86"/>
  <c r="E436" i="86" s="1"/>
  <c r="L435" i="86"/>
  <c r="O435" i="86" s="1"/>
  <c r="P33" i="63" l="1"/>
  <c r="X32" i="63"/>
  <c r="AF32" i="63"/>
  <c r="R72" i="65"/>
  <c r="H72" i="65" s="1"/>
  <c r="Q22" i="63"/>
  <c r="AN22" i="63"/>
  <c r="AG22" i="63" s="1"/>
  <c r="S22" i="63"/>
  <c r="R22" i="63" s="1"/>
  <c r="AF12" i="63"/>
  <c r="X12" i="63"/>
  <c r="W12" i="63" s="1"/>
  <c r="F7" i="74" s="1"/>
  <c r="AQ14" i="63"/>
  <c r="AS13" i="63"/>
  <c r="Y30" i="63"/>
  <c r="AF26" i="63"/>
  <c r="X26" i="63"/>
  <c r="W26" i="63" s="1"/>
  <c r="T7" i="74" s="1"/>
  <c r="AF25" i="63"/>
  <c r="X25" i="63"/>
  <c r="Q17" i="63"/>
  <c r="AN17" i="63"/>
  <c r="AG17" i="63" s="1"/>
  <c r="S17" i="63"/>
  <c r="R17" i="63" s="1"/>
  <c r="S44" i="63"/>
  <c r="R44" i="63" s="1"/>
  <c r="Q44" i="63"/>
  <c r="X44" i="63"/>
  <c r="W44" i="63" s="1"/>
  <c r="AL7" i="74" s="1"/>
  <c r="AF44" i="63"/>
  <c r="M83" i="65"/>
  <c r="P45" i="63" s="1"/>
  <c r="X43" i="63"/>
  <c r="AF43" i="63"/>
  <c r="AV47" i="63"/>
  <c r="AO5" i="74"/>
  <c r="BA47" i="63"/>
  <c r="BN47" i="63" s="1"/>
  <c r="BO47" i="63" s="1"/>
  <c r="BP47" i="63" s="1"/>
  <c r="AF41" i="63"/>
  <c r="X41" i="63"/>
  <c r="W41" i="63" s="1"/>
  <c r="AI7" i="74" s="1"/>
  <c r="Y21" i="63"/>
  <c r="AF42" i="63"/>
  <c r="X42" i="63"/>
  <c r="W42" i="63" s="1"/>
  <c r="AJ7" i="74" s="1"/>
  <c r="G436" i="86"/>
  <c r="AN33" i="63" l="1"/>
  <c r="AG33" i="63" s="1"/>
  <c r="S33" i="63"/>
  <c r="R33" i="63" s="1"/>
  <c r="Q33" i="63"/>
  <c r="W32" i="63"/>
  <c r="Z7" i="74" s="1"/>
  <c r="Y32" i="63"/>
  <c r="M72" i="65"/>
  <c r="X22" i="63"/>
  <c r="W22" i="63" s="1"/>
  <c r="P7" i="74" s="1"/>
  <c r="AF22" i="63"/>
  <c r="S13" i="63"/>
  <c r="R13" i="63" s="1"/>
  <c r="AN13" i="63"/>
  <c r="AG13" i="63" s="1"/>
  <c r="Q13" i="63"/>
  <c r="Y12" i="63"/>
  <c r="AQ15" i="63"/>
  <c r="AS14" i="63"/>
  <c r="Y26" i="63"/>
  <c r="W25" i="63"/>
  <c r="S7" i="74" s="1"/>
  <c r="Y25" i="63"/>
  <c r="AF17" i="63"/>
  <c r="X17" i="63"/>
  <c r="W17" i="63" s="1"/>
  <c r="K7" i="74" s="1"/>
  <c r="Y44" i="63"/>
  <c r="S84" i="65"/>
  <c r="I84" i="65" s="1"/>
  <c r="R84" i="65"/>
  <c r="H84" i="65" s="1"/>
  <c r="S45" i="63"/>
  <c r="R45" i="63" s="1"/>
  <c r="Q45" i="63"/>
  <c r="AN45" i="63"/>
  <c r="AG45" i="63" s="1"/>
  <c r="W43" i="63"/>
  <c r="AK7" i="74" s="1"/>
  <c r="Y43" i="63"/>
  <c r="BD48" i="63"/>
  <c r="AU47" i="63"/>
  <c r="L47" i="63" s="1"/>
  <c r="K47" i="63"/>
  <c r="BG47" i="63"/>
  <c r="O45" i="46" s="1"/>
  <c r="BC47" i="63"/>
  <c r="S73" i="65" s="1"/>
  <c r="I73" i="65" s="1"/>
  <c r="Y41" i="63"/>
  <c r="Y42" i="63"/>
  <c r="H436" i="86"/>
  <c r="K436" i="86"/>
  <c r="J87" i="74" l="1" a="1"/>
  <c r="J87" i="74" s="1"/>
  <c r="G218" i="74" s="1" a="1"/>
  <c r="G218" i="74" s="1"/>
  <c r="P34" i="63"/>
  <c r="AF33" i="63"/>
  <c r="X33" i="63"/>
  <c r="W33" i="63" s="1"/>
  <c r="AA7" i="74" s="1"/>
  <c r="R75" i="65"/>
  <c r="H75" i="65" s="1"/>
  <c r="R73" i="65"/>
  <c r="H73" i="65" s="1"/>
  <c r="S23" i="63"/>
  <c r="R23" i="63" s="1"/>
  <c r="AN23" i="63"/>
  <c r="AG23" i="63" s="1"/>
  <c r="Q23" i="63"/>
  <c r="Y22" i="63"/>
  <c r="AF13" i="63"/>
  <c r="X13" i="63"/>
  <c r="W13" i="63" s="1"/>
  <c r="G7" i="74" s="1"/>
  <c r="AQ16" i="63"/>
  <c r="AS15" i="63"/>
  <c r="S27" i="63"/>
  <c r="R27" i="63" s="1"/>
  <c r="AN27" i="63"/>
  <c r="AG27" i="63" s="1"/>
  <c r="Q27" i="63"/>
  <c r="Y17" i="63"/>
  <c r="M84" i="65"/>
  <c r="P46" i="63" s="1"/>
  <c r="AF45" i="63"/>
  <c r="X45" i="63"/>
  <c r="W45" i="63" s="1"/>
  <c r="AM7" i="74" s="1"/>
  <c r="BA48" i="63"/>
  <c r="BN48" i="63" s="1"/>
  <c r="BO48" i="63" s="1"/>
  <c r="BP48" i="63" s="1"/>
  <c r="AP5" i="74"/>
  <c r="AV48" i="63"/>
  <c r="L436" i="86"/>
  <c r="O436" i="86" s="1"/>
  <c r="I436" i="86"/>
  <c r="E437" i="86" s="1"/>
  <c r="Q34" i="63" l="1"/>
  <c r="S34" i="63"/>
  <c r="R34" i="63" s="1"/>
  <c r="AN34" i="63"/>
  <c r="AG34" i="63" s="1"/>
  <c r="Y33" i="63"/>
  <c r="M75" i="65"/>
  <c r="P37" i="63" s="1"/>
  <c r="M73" i="65"/>
  <c r="Y13" i="63"/>
  <c r="X23" i="63"/>
  <c r="W23" i="63" s="1"/>
  <c r="Q7" i="74" s="1"/>
  <c r="AF23" i="63"/>
  <c r="S14" i="63"/>
  <c r="R14" i="63" s="1"/>
  <c r="AN14" i="63"/>
  <c r="AG14" i="63" s="1"/>
  <c r="Q14" i="63"/>
  <c r="AQ17" i="63"/>
  <c r="AS16" i="63"/>
  <c r="X27" i="63"/>
  <c r="W27" i="63" s="1"/>
  <c r="U7" i="74" s="1"/>
  <c r="AF27" i="63"/>
  <c r="AN18" i="63"/>
  <c r="AG18" i="63" s="1"/>
  <c r="S18" i="63"/>
  <c r="R18" i="63" s="1"/>
  <c r="Q18" i="63"/>
  <c r="S46" i="63"/>
  <c r="R46" i="63" s="1"/>
  <c r="AN46" i="63"/>
  <c r="AG46" i="63" s="1"/>
  <c r="AF46" i="63" s="1"/>
  <c r="Q46" i="63"/>
  <c r="Y45" i="63"/>
  <c r="S39" i="63"/>
  <c r="R39" i="63" s="1"/>
  <c r="Q39" i="63"/>
  <c r="AN39" i="63"/>
  <c r="AG39" i="63" s="1"/>
  <c r="G332" i="74"/>
  <c r="K48" i="63"/>
  <c r="K49" i="63" s="1"/>
  <c r="BG48" i="63"/>
  <c r="O46" i="46" s="1"/>
  <c r="BC48" i="63"/>
  <c r="S74" i="65" s="1"/>
  <c r="I74" i="65" s="1"/>
  <c r="AU48" i="63"/>
  <c r="L48" i="63" s="1"/>
  <c r="G437" i="86"/>
  <c r="P35" i="63" l="1"/>
  <c r="AF34" i="63"/>
  <c r="X34" i="63"/>
  <c r="W34" i="63" s="1"/>
  <c r="AB7" i="74" s="1"/>
  <c r="AN47" i="63"/>
  <c r="AG47" i="63" s="1"/>
  <c r="R76" i="65"/>
  <c r="H76" i="65" s="1"/>
  <c r="R74" i="65"/>
  <c r="H74" i="65" s="1"/>
  <c r="Y23" i="63"/>
  <c r="AN24" i="63"/>
  <c r="AG24" i="63" s="1"/>
  <c r="Q24" i="63"/>
  <c r="S24" i="63"/>
  <c r="R24" i="63" s="1"/>
  <c r="S15" i="63"/>
  <c r="R15" i="63" s="1"/>
  <c r="AN15" i="63"/>
  <c r="AG15" i="63" s="1"/>
  <c r="Q15" i="63"/>
  <c r="X14" i="63"/>
  <c r="W14" i="63" s="1"/>
  <c r="H7" i="74" s="1"/>
  <c r="AF14" i="63"/>
  <c r="AS17" i="63"/>
  <c r="AQ18" i="63"/>
  <c r="Y27" i="63"/>
  <c r="AN28" i="63"/>
  <c r="AG28" i="63" s="1"/>
  <c r="Q28" i="63"/>
  <c r="S28" i="63"/>
  <c r="R28" i="63" s="1"/>
  <c r="AN19" i="63"/>
  <c r="AG19" i="63" s="1"/>
  <c r="Q19" i="63"/>
  <c r="S19" i="63"/>
  <c r="R19" i="63" s="1"/>
  <c r="AF18" i="63"/>
  <c r="X18" i="63"/>
  <c r="W18" i="63" s="1"/>
  <c r="L7" i="74" s="1"/>
  <c r="X46" i="63"/>
  <c r="W46" i="63" s="1"/>
  <c r="AN7" i="74" s="1"/>
  <c r="AN37" i="63"/>
  <c r="AG37" i="63" s="1"/>
  <c r="S37" i="63"/>
  <c r="R37" i="63" s="1"/>
  <c r="Q37" i="63"/>
  <c r="X39" i="63"/>
  <c r="W39" i="63" s="1"/>
  <c r="AG7" i="74" s="1"/>
  <c r="AF39" i="63"/>
  <c r="H437" i="86"/>
  <c r="K437" i="86"/>
  <c r="Y34" i="63" l="1"/>
  <c r="Q35" i="63"/>
  <c r="AN35" i="63"/>
  <c r="AG35" i="63" s="1"/>
  <c r="S35" i="63"/>
  <c r="R35" i="63" s="1"/>
  <c r="Q47" i="63"/>
  <c r="S47" i="63"/>
  <c r="R47" i="63" s="1"/>
  <c r="AF47" i="63"/>
  <c r="X47" i="63"/>
  <c r="W47" i="63" s="1"/>
  <c r="AO7" i="74" s="1"/>
  <c r="M76" i="65"/>
  <c r="P38" i="63" s="1"/>
  <c r="M74" i="65"/>
  <c r="Y14" i="63"/>
  <c r="X24" i="63"/>
  <c r="W24" i="63" s="1"/>
  <c r="R7" i="74" s="1"/>
  <c r="AF24" i="63"/>
  <c r="AF15" i="63"/>
  <c r="X15" i="63"/>
  <c r="W15" i="63" s="1"/>
  <c r="I7" i="74" s="1"/>
  <c r="AQ19" i="63"/>
  <c r="AS18" i="63"/>
  <c r="X28" i="63"/>
  <c r="W28" i="63" s="1"/>
  <c r="V7" i="74" s="1"/>
  <c r="AF28" i="63"/>
  <c r="X19" i="63"/>
  <c r="W19" i="63" s="1"/>
  <c r="M7" i="74" s="1"/>
  <c r="AF19" i="63"/>
  <c r="Y18" i="63"/>
  <c r="Y46" i="63"/>
  <c r="AF37" i="63"/>
  <c r="X37" i="63"/>
  <c r="W37" i="63" s="1"/>
  <c r="AE7" i="74" s="1"/>
  <c r="AN40" i="63"/>
  <c r="AG40" i="63" s="1"/>
  <c r="S40" i="63"/>
  <c r="R40" i="63" s="1"/>
  <c r="Q40" i="63"/>
  <c r="Y39" i="63"/>
  <c r="I437" i="86"/>
  <c r="E438" i="86" s="1"/>
  <c r="L437" i="86"/>
  <c r="O437" i="86" s="1"/>
  <c r="P36" i="63" l="1"/>
  <c r="AF35" i="63"/>
  <c r="X35" i="63"/>
  <c r="W35" i="63" s="1"/>
  <c r="AC7" i="74" s="1"/>
  <c r="Y47" i="63"/>
  <c r="Q48" i="63"/>
  <c r="Y15" i="63"/>
  <c r="Y24" i="63"/>
  <c r="S16" i="63"/>
  <c r="R16" i="63" s="1"/>
  <c r="AN16" i="63"/>
  <c r="AG16" i="63" s="1"/>
  <c r="Q16" i="63"/>
  <c r="AQ20" i="63"/>
  <c r="AS19" i="63"/>
  <c r="Y28" i="63"/>
  <c r="S20" i="63"/>
  <c r="R20" i="63" s="1"/>
  <c r="AN20" i="63"/>
  <c r="AG20" i="63" s="1"/>
  <c r="Q20" i="63"/>
  <c r="Y19" i="63"/>
  <c r="S38" i="63"/>
  <c r="R38" i="63" s="1"/>
  <c r="Q38" i="63"/>
  <c r="AN38" i="63"/>
  <c r="AG38" i="63" s="1"/>
  <c r="Y37" i="63"/>
  <c r="AF40" i="63"/>
  <c r="X40" i="63"/>
  <c r="W40" i="63" s="1"/>
  <c r="AH7" i="74" s="1"/>
  <c r="G438" i="86"/>
  <c r="AN36" i="63" l="1"/>
  <c r="AG36" i="63" s="1"/>
  <c r="S36" i="63"/>
  <c r="R36" i="63" s="1"/>
  <c r="Q36" i="63"/>
  <c r="Y35" i="63"/>
  <c r="AN48" i="63"/>
  <c r="AG48" i="63" s="1"/>
  <c r="AF48" i="63" s="1"/>
  <c r="S48" i="63"/>
  <c r="R48" i="63" s="1"/>
  <c r="AF16" i="63"/>
  <c r="X16" i="63"/>
  <c r="W16" i="63" s="1"/>
  <c r="J7" i="74" s="1"/>
  <c r="AS20" i="63"/>
  <c r="AQ21" i="63"/>
  <c r="AF20" i="63"/>
  <c r="X20" i="63"/>
  <c r="W20" i="63" s="1"/>
  <c r="N7" i="74" s="1"/>
  <c r="X38" i="63"/>
  <c r="W38" i="63" s="1"/>
  <c r="AF7" i="74" s="1"/>
  <c r="AF38" i="63"/>
  <c r="Y40" i="63"/>
  <c r="H438" i="86"/>
  <c r="K438" i="86"/>
  <c r="X36" i="63" l="1"/>
  <c r="W36" i="63" s="1"/>
  <c r="AD7" i="74" s="1"/>
  <c r="AF36" i="63"/>
  <c r="X48" i="63"/>
  <c r="Y48" i="63" s="1"/>
  <c r="Y16" i="63"/>
  <c r="AS21" i="63"/>
  <c r="AQ22" i="63"/>
  <c r="Y20" i="63"/>
  <c r="Y38" i="63"/>
  <c r="L438" i="86"/>
  <c r="O438" i="86" s="1"/>
  <c r="I438" i="86"/>
  <c r="E439" i="86" s="1"/>
  <c r="Y36" i="63" l="1"/>
  <c r="W48" i="63"/>
  <c r="AP7" i="74" s="1"/>
  <c r="AS22" i="63"/>
  <c r="AQ23" i="63"/>
  <c r="G439" i="86"/>
  <c r="AQ24" i="63" l="1"/>
  <c r="AS23" i="63"/>
  <c r="H439" i="86"/>
  <c r="K439" i="86"/>
  <c r="AQ25" i="63" l="1"/>
  <c r="AS24" i="63"/>
  <c r="I439" i="86"/>
  <c r="E440" i="86" s="1"/>
  <c r="L439" i="86"/>
  <c r="O439" i="86" s="1"/>
  <c r="AQ26" i="63" l="1"/>
  <c r="AS25" i="63"/>
  <c r="G440" i="86"/>
  <c r="AQ27" i="63" l="1"/>
  <c r="AS26" i="63"/>
  <c r="H440" i="86"/>
  <c r="K440" i="86"/>
  <c r="AS27" i="63" l="1"/>
  <c r="AQ28" i="63"/>
  <c r="L440" i="86"/>
  <c r="O440" i="86" s="1"/>
  <c r="I440" i="86"/>
  <c r="E441" i="86" s="1"/>
  <c r="AS28" i="63" l="1"/>
  <c r="AQ29" i="63"/>
  <c r="G441" i="86"/>
  <c r="AQ30" i="63" l="1"/>
  <c r="AS29" i="63"/>
  <c r="H441" i="86"/>
  <c r="K441" i="86"/>
  <c r="AQ31" i="63" l="1"/>
  <c r="AS30" i="63"/>
  <c r="I441" i="86"/>
  <c r="E442" i="86" s="1"/>
  <c r="L441" i="86"/>
  <c r="O441" i="86" s="1"/>
  <c r="AQ32" i="63" l="1"/>
  <c r="AS31" i="63"/>
  <c r="G442" i="86"/>
  <c r="AS32" i="63" l="1"/>
  <c r="AQ33" i="63"/>
  <c r="H442" i="86"/>
  <c r="K442" i="86"/>
  <c r="AQ34" i="63" l="1"/>
  <c r="AS33" i="63"/>
  <c r="L442" i="86"/>
  <c r="O442" i="86" s="1"/>
  <c r="I442" i="86"/>
  <c r="E443" i="86" s="1"/>
  <c r="AS34" i="63" l="1"/>
  <c r="AQ35" i="63"/>
  <c r="G443" i="86"/>
  <c r="AS35" i="63" l="1"/>
  <c r="AQ36" i="63"/>
  <c r="H443" i="86"/>
  <c r="K443" i="86"/>
  <c r="AS36" i="63" l="1"/>
  <c r="AQ37" i="63"/>
  <c r="I443" i="86"/>
  <c r="E444" i="86" s="1"/>
  <c r="L443" i="86"/>
  <c r="O443" i="86" s="1"/>
  <c r="AQ38" i="63" l="1"/>
  <c r="AS37" i="63"/>
  <c r="G444" i="86"/>
  <c r="AQ39" i="63" l="1"/>
  <c r="AS38" i="63"/>
  <c r="H444" i="86"/>
  <c r="K444" i="86"/>
  <c r="AS39" i="63" l="1"/>
  <c r="AQ40" i="63"/>
  <c r="L444" i="86"/>
  <c r="O444" i="86" s="1"/>
  <c r="I444" i="86"/>
  <c r="E445" i="86" s="1"/>
  <c r="AQ41" i="63" l="1"/>
  <c r="AS40" i="63"/>
  <c r="G445" i="86"/>
  <c r="AS41" i="63" l="1"/>
  <c r="AQ42" i="63"/>
  <c r="H445" i="86"/>
  <c r="K445" i="86"/>
  <c r="AS42" i="63" l="1"/>
  <c r="AQ43" i="63"/>
  <c r="I445" i="86"/>
  <c r="E446" i="86" s="1"/>
  <c r="L445" i="86"/>
  <c r="O445" i="86" s="1"/>
  <c r="AS43" i="63" l="1"/>
  <c r="AQ44" i="63"/>
  <c r="G446" i="86"/>
  <c r="AQ45" i="63" l="1"/>
  <c r="AS44" i="63"/>
  <c r="H446" i="86"/>
  <c r="K446" i="86"/>
  <c r="AS45" i="63" l="1"/>
  <c r="AQ46" i="63"/>
  <c r="L446" i="86"/>
  <c r="O446" i="86" s="1"/>
  <c r="I446" i="86"/>
  <c r="E447" i="86" s="1"/>
  <c r="AQ47" i="63" l="1"/>
  <c r="AS46" i="63"/>
  <c r="G447" i="86"/>
  <c r="AQ48" i="63" l="1"/>
  <c r="AS48" i="63" s="1"/>
  <c r="AS47" i="63"/>
  <c r="H447" i="86"/>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G20" authorId="0" shapeId="0" xr:uid="{46CB2573-9C60-2043-A1F5-75F7964AA918}">
      <text>
        <r>
          <rPr>
            <sz val="14"/>
            <color rgb="FF000000"/>
            <rFont val="Arial"/>
            <family val="34"/>
          </rPr>
          <t xml:space="preserve">
</t>
        </r>
        <r>
          <rPr>
            <sz val="14"/>
            <color rgb="FF000000"/>
            <rFont val="Arial"/>
            <family val="34"/>
          </rPr>
          <t xml:space="preserve">The year retirement is to start.  
</t>
        </r>
        <r>
          <rPr>
            <sz val="14"/>
            <color rgb="FF000000"/>
            <rFont val="Arial"/>
            <family val="34"/>
          </rPr>
          <t xml:space="preserve">
</t>
        </r>
        <r>
          <rPr>
            <sz val="14"/>
            <color rgb="FF000000"/>
            <rFont val="Arial"/>
            <family val="34"/>
          </rPr>
          <t xml:space="preserve">This year can be in the future or the current year and never in the past.
</t>
        </r>
        <r>
          <rPr>
            <sz val="14"/>
            <color rgb="FF000000"/>
            <rFont val="Arial"/>
            <family val="34"/>
          </rPr>
          <t xml:space="preserve">
</t>
        </r>
        <r>
          <rPr>
            <sz val="14"/>
            <color rgb="FF000000"/>
            <rFont val="Arial"/>
            <family val="34"/>
          </rPr>
          <t xml:space="preserve">When this program is started if the retirement year is in the past the year is automatically adjusted to be the current year.  </t>
        </r>
        <r>
          <rPr>
            <sz val="14"/>
            <color rgb="FF000000"/>
            <rFont val="Arial"/>
            <family val="34"/>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for the year shown.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the net from the sale will also be added to the balance.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This is an optional amount of money to to adjust the associated years budget amount for this year only.  
</t>
        </r>
        <r>
          <rPr>
            <sz val="14"/>
            <color rgb="FF000000"/>
            <rFont val="Arial"/>
            <family val="34"/>
          </rPr>
          <t xml:space="preserve">
</t>
        </r>
        <r>
          <rPr>
            <sz val="14"/>
            <color rgb="FF000000"/>
            <rFont val="Arial"/>
            <family val="34"/>
          </rPr>
          <t xml:space="preserve">The adjustment amount can be a positive or negative dollar amount.
</t>
        </r>
        <r>
          <rPr>
            <sz val="14"/>
            <color rgb="FF000000"/>
            <rFont val="Arial"/>
            <family val="34"/>
          </rPr>
          <t xml:space="preserve">
</t>
        </r>
        <r>
          <rPr>
            <sz val="14"/>
            <color rgb="FF000000"/>
            <rFont val="Arial"/>
            <family val="34"/>
          </rPr>
          <t xml:space="preserve">This is a monthly adjustment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b/>
            <sz val="14"/>
            <color rgb="FF000000"/>
            <rFont val="Arial"/>
            <family val="34"/>
          </rPr>
          <t>This amount only adjusts the budget for the year where amount is entered.</t>
        </r>
        <r>
          <rPr>
            <b/>
            <sz val="14"/>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This is and optional amount that adjusts the budget starting in the year entered and all following years.
</t>
        </r>
        <r>
          <rPr>
            <sz val="14"/>
            <color rgb="FF000000"/>
            <rFont val="Arial"/>
            <family val="34"/>
          </rPr>
          <t xml:space="preserve">
</t>
        </r>
        <r>
          <rPr>
            <sz val="14"/>
            <color rgb="FF000000"/>
            <rFont val="Arial"/>
            <family val="34"/>
          </rPr>
          <t xml:space="preserve">Adjustments can reflect changes that are either negative or positive dollar amounts.  
</t>
        </r>
        <r>
          <rPr>
            <sz val="14"/>
            <color rgb="FF000000"/>
            <rFont val="Arial"/>
            <family val="34"/>
          </rPr>
          <t xml:space="preserve">
</t>
        </r>
        <r>
          <rPr>
            <sz val="14"/>
            <color rgb="FF000000"/>
            <rFont val="Arial"/>
            <family val="34"/>
          </rPr>
          <t xml:space="preserve">This is a monthly adjustment amount.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r>
          <rPr>
            <sz val="14"/>
            <color rgb="FF000000"/>
            <rFont val="Arial"/>
            <family val="34"/>
          </rPr>
          <t xml:space="preserve">
</t>
        </r>
        <r>
          <rPr>
            <b/>
            <sz val="14"/>
            <color rgb="FF000000"/>
            <rFont val="Arial"/>
            <family val="34"/>
          </rPr>
          <t>This adjusment amount will be applied to this year and all following years.</t>
        </r>
      </text>
    </comment>
    <comment ref="AC7" authorId="0" shapeId="0" xr:uid="{8C8FE3DD-882B-D54D-A600-D45142753216}">
      <text>
        <r>
          <rPr>
            <sz val="14"/>
            <color rgb="FF000000"/>
            <rFont val="Arial"/>
            <family val="34"/>
          </rPr>
          <t xml:space="preserve">
</t>
        </r>
        <r>
          <rPr>
            <sz val="14"/>
            <color rgb="FF000000"/>
            <rFont val="Arial"/>
            <family val="34"/>
          </rPr>
          <t xml:space="preserve">An adjustment to the budget for the associated year has occured.  This adjustment is performed to meet the IRS required minimum distribution (RMD) of before tax monies.  
</t>
        </r>
        <r>
          <rPr>
            <sz val="14"/>
            <color rgb="FF000000"/>
            <rFont val="Arial"/>
            <family val="34"/>
          </rPr>
          <t xml:space="preserve">
</t>
        </r>
        <r>
          <rPr>
            <sz val="14"/>
            <color rgb="FF000000"/>
            <rFont val="Arial"/>
            <family val="34"/>
          </rPr>
          <t xml:space="preserve">Press the eyeball icon to view detail dollar amount of the adjusted amount.  
</t>
        </r>
        <r>
          <rPr>
            <sz val="14"/>
            <color rgb="FF000000"/>
            <rFont val="Arial"/>
            <family val="34"/>
          </rPr>
          <t xml:space="preserve">
</t>
        </r>
        <r>
          <rPr>
            <sz val="14"/>
            <color rgb="FF000000"/>
            <rFont val="Arial"/>
            <family val="34"/>
          </rPr>
          <t>The annual budget was adjusted to cover the required RMD withdrawal. This adjusted amount is then taxed and the remaining amount is then deposited in the After Tax balance.</t>
        </r>
        <r>
          <rPr>
            <sz val="10"/>
            <color rgb="FF000000"/>
            <rFont val="+mn-lt"/>
            <charset val="1"/>
          </rPr>
          <t xml:space="preserve">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
        </r>
      </text>
    </comment>
    <comment ref="C11" authorId="0" shapeId="0" xr:uid="{DFD5D544-24D9-3847-A9FC-D59D14833357}">
      <text>
        <r>
          <rPr>
            <sz val="14"/>
            <color rgb="FF000000"/>
            <rFont val="Arial"/>
            <family val="34"/>
          </rPr>
          <t xml:space="preserve">
</t>
        </r>
        <r>
          <rPr>
            <sz val="14"/>
            <color rgb="FF000000"/>
            <rFont val="Arial"/>
            <family val="34"/>
          </rPr>
          <t xml:space="preserve">The budget amount for the year retirements starts.  </t>
        </r>
      </text>
    </comment>
    <comment ref="C12" authorId="0" shapeId="0" xr:uid="{552B12F1-0BF0-0243-A150-8C38C47C770D}">
      <text>
        <r>
          <rPr>
            <sz val="14"/>
            <color rgb="FF000000"/>
            <rFont val="Arial"/>
            <family val="34"/>
          </rPr>
          <t xml:space="preserve">
</t>
        </r>
        <r>
          <rPr>
            <sz val="14"/>
            <color rgb="FF000000"/>
            <rFont val="Arial"/>
            <family val="34"/>
          </rPr>
          <t xml:space="preserve">The year retirement is to start.  This year can be in the future or the current year and never in the past.
</t>
        </r>
        <r>
          <rPr>
            <sz val="14"/>
            <color rgb="FF000000"/>
            <rFont val="Arial"/>
            <family val="34"/>
          </rPr>
          <t xml:space="preserve">
</t>
        </r>
        <r>
          <rPr>
            <sz val="14"/>
            <color rgb="FF000000"/>
            <rFont val="Arial"/>
            <family val="34"/>
          </rPr>
          <t xml:space="preserve">When this program is started if the retirement year is in the past </t>
        </r>
        <r>
          <rPr>
            <sz val="14"/>
            <color rgb="FF000000"/>
            <rFont val="Arial"/>
            <family val="2"/>
          </rPr>
          <t>the year is automatically adjusted to be the current year</t>
        </r>
        <r>
          <rPr>
            <sz val="14"/>
            <color rgb="FF000000"/>
            <rFont val="Arial"/>
            <family val="34"/>
          </rPr>
          <t xml:space="preserve">.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<sst xmlns="http://schemas.openxmlformats.org/spreadsheetml/2006/main" count="40400" uniqueCount="2692">
  <si>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</si>
  <si>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</si>
  <si>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</si>
  <si>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</si>
  <si>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</si>
  <si>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</si>
  <si>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</si>
  <si>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</si>
  <si>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</si>
  <si>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</si>
  <si>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</si>
  <si>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</si>
  <si>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</si>
  <si>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</si>
  <si>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</si>
  <si>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</si>
  <si>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</si>
  <si>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</si>
  <si>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Groceries</t>
  </si>
  <si>
    <t>Eating Out</t>
  </si>
  <si>
    <t>Coffee &amp; Bar</t>
  </si>
  <si>
    <t>Toiletries &amp; Care Products</t>
  </si>
  <si>
    <t>Haircuts</t>
  </si>
  <si>
    <t>Doctor &amp; Dentist Visits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</si>
  <si>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</si>
  <si>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</si>
  <si>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</si>
  <si>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</si>
  <si>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</si>
  <si>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</si>
  <si>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</si>
  <si>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</si>
  <si>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</si>
  <si>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</si>
  <si>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</si>
  <si>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</si>
  <si>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</si>
  <si>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</si>
  <si>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</si>
  <si>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</si>
  <si>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</si>
  <si>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</si>
  <si>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</si>
  <si>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</si>
  <si>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</si>
  <si>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</si>
  <si>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</si>
  <si>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</si>
  <si>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</si>
  <si>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</si>
  <si>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</si>
  <si>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</si>
  <si>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</si>
  <si>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</si>
  <si>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</si>
  <si>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</si>
  <si>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</si>
  <si>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</si>
  <si>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</si>
  <si>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</si>
  <si>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</si>
  <si>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</si>
  <si>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</si>
  <si>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</si>
  <si>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</si>
  <si>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</si>
  <si>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</si>
  <si>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</si>
  <si>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</si>
  <si>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</si>
  <si>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</si>
  <si>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</si>
  <si>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</si>
  <si>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</si>
  <si>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</si>
  <si>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</si>
  <si>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</si>
  <si>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</si>
  <si>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</si>
  <si>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</si>
  <si>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</si>
  <si>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</si>
  <si>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</si>
  <si>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</si>
  <si>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</si>
  <si>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</si>
  <si>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</si>
  <si>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</si>
  <si>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</si>
  <si>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</si>
  <si>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</si>
  <si>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</si>
  <si>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</si>
  <si>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</si>
  <si>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</si>
  <si>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</si>
  <si>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</si>
  <si>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</si>
  <si>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</si>
  <si>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</si>
  <si>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</si>
  <si>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</si>
  <si>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</si>
  <si>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</si>
  <si>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</si>
  <si>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</si>
  <si>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</si>
  <si>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</si>
  <si>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</si>
  <si>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</si>
  <si>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</si>
  <si>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</si>
  <si>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</si>
  <si>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</si>
  <si>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</si>
  <si>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</si>
  <si>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</si>
  <si>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</si>
  <si>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</si>
  <si>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</si>
  <si>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</si>
  <si>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</si>
  <si>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</si>
  <si>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</si>
  <si>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</si>
  <si>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</si>
  <si>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</si>
  <si>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</si>
  <si>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</si>
  <si>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</si>
  <si>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</si>
  <si>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</si>
  <si>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</si>
  <si>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</si>
  <si>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</si>
  <si>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</si>
  <si>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</si>
  <si>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</si>
  <si>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</si>
  <si>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</si>
  <si>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</si>
  <si>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</si>
  <si>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</si>
  <si>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</si>
  <si>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</si>
  <si>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</si>
  <si>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</si>
  <si>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</si>
  <si>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</si>
  <si>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</si>
  <si>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</si>
  <si>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</si>
  <si>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</si>
  <si>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</si>
  <si>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</si>
  <si>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</si>
  <si>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</si>
  <si>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</si>
  <si>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</si>
  <si>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</si>
  <si>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</si>
  <si>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</si>
  <si>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</si>
  <si>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</si>
  <si>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</si>
  <si>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</si>
  <si>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</si>
  <si>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</si>
  <si>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</si>
  <si>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</si>
  <si>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</si>
  <si>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</si>
  <si>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</si>
  <si>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</si>
  <si>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</si>
  <si>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</si>
  <si>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</si>
  <si>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</si>
  <si>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</si>
  <si>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</si>
  <si>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</si>
  <si>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</si>
  <si>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</si>
  <si>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</si>
  <si>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</si>
  <si>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</si>
  <si>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</si>
  <si>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</si>
  <si>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</si>
  <si>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</si>
  <si>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</si>
  <si>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</si>
  <si>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</si>
  <si>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</si>
  <si>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</si>
  <si>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</si>
  <si>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</si>
  <si>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</si>
  <si>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</si>
  <si>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</si>
  <si>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</si>
  <si>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</si>
  <si>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</si>
  <si>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</si>
  <si>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</si>
  <si>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</si>
  <si>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</si>
  <si>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</si>
  <si>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</si>
  <si>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</si>
  <si>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</si>
  <si>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</si>
  <si>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</si>
  <si>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</si>
  <si>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</si>
  <si>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</si>
  <si>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</si>
  <si>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</si>
  <si>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</si>
  <si>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</si>
  <si>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</si>
  <si>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</si>
  <si>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</si>
  <si>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</si>
  <si>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</si>
  <si>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</si>
  <si>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</si>
  <si>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</si>
  <si>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</si>
  <si>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</si>
  <si>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</si>
  <si>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</si>
  <si>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</si>
  <si>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</si>
  <si>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</si>
  <si>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</si>
  <si>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</si>
  <si>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</si>
  <si>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</si>
  <si>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</si>
  <si>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</si>
  <si>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</si>
  <si>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</si>
  <si>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</si>
  <si>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</si>
  <si>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</si>
  <si>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</si>
  <si>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</si>
  <si>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</si>
  <si>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</si>
  <si>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</si>
  <si>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</si>
  <si>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</si>
  <si>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</si>
  <si>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</si>
  <si>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</si>
  <si>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</si>
  <si>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</si>
  <si>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</si>
  <si>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</si>
  <si>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</si>
  <si>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</si>
  <si>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</si>
  <si>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</si>
  <si>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</si>
  <si>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</si>
  <si>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</si>
  <si>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</si>
  <si>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</si>
  <si>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</si>
  <si>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</si>
  <si>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</si>
  <si>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</si>
  <si>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</si>
  <si>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</si>
  <si>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</si>
  <si>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 xml:space="preserve">Info from:  </t>
  </si>
  <si>
    <t>Bugs / Insects / Rodents</t>
  </si>
  <si>
    <t>Age in</t>
  </si>
  <si>
    <t>months</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</si>
  <si>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</si>
  <si>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</si>
  <si>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</si>
  <si>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</si>
  <si>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</si>
  <si>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</si>
  <si>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</si>
  <si>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</si>
  <si>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</si>
  <si>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</si>
  <si>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</si>
  <si>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</si>
  <si>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</si>
  <si>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</si>
  <si>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</si>
  <si>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</si>
  <si>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</si>
  <si>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</si>
  <si>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</si>
  <si>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</si>
  <si>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</si>
  <si>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</si>
  <si>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</si>
  <si>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</si>
  <si>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</si>
  <si>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</si>
  <si>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</si>
  <si>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</si>
  <si>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</si>
  <si>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</si>
  <si>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</si>
  <si>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</si>
  <si>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</si>
  <si>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</si>
  <si>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</si>
  <si>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</si>
  <si>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</si>
  <si>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</si>
  <si>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</si>
  <si>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</si>
  <si>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</si>
  <si>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</si>
  <si>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</si>
  <si>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</si>
  <si>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</si>
  <si>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</si>
  <si>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</si>
  <si>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</si>
  <si>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</si>
  <si>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</si>
  <si>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</si>
  <si>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</si>
  <si>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</si>
  <si>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</si>
  <si>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</si>
  <si>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</si>
  <si>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</si>
  <si>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</si>
  <si>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</si>
  <si>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</si>
  <si>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</si>
  <si>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</si>
  <si>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</si>
  <si>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</si>
  <si>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</si>
  <si>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</si>
  <si>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</si>
  <si>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</si>
  <si>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</si>
  <si>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</si>
  <si>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</si>
  <si>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</si>
  <si>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</si>
  <si>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</si>
  <si>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</si>
  <si>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</si>
  <si>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</si>
  <si>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</si>
  <si>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</si>
  <si>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</si>
  <si>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</si>
  <si>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</si>
  <si>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</si>
  <si>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</si>
  <si>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</si>
  <si>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</si>
  <si>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</si>
  <si>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</si>
  <si>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</si>
  <si>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</si>
  <si>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</si>
  <si>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</si>
  <si>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</si>
  <si>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</si>
  <si>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</si>
  <si>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</si>
  <si>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</si>
  <si>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</si>
  <si>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</si>
  <si>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</si>
  <si>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</si>
  <si>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</si>
  <si>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</si>
  <si>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</si>
  <si>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</si>
  <si>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</si>
  <si>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</si>
  <si>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</si>
  <si>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</si>
  <si>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</si>
  <si>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</si>
  <si>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</si>
  <si>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</si>
  <si>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</si>
  <si>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</si>
  <si>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</si>
  <si>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</si>
  <si>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</si>
  <si>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</si>
  <si>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</si>
  <si>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</si>
  <si>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</si>
  <si>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</si>
  <si>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</si>
  <si>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</si>
  <si>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</si>
  <si>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</si>
  <si>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</si>
  <si>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</si>
  <si>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</si>
  <si>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</si>
  <si>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</si>
  <si>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</si>
  <si>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</si>
  <si>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</si>
  <si>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</si>
  <si>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HOUSING</t>
  </si>
  <si>
    <t>MED-INSUR</t>
  </si>
  <si>
    <t>UTILITIES</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</si>
  <si>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</si>
  <si>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</si>
  <si>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</si>
  <si>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</si>
  <si>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</si>
  <si>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</si>
  <si>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</si>
  <si>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</si>
  <si>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</si>
  <si>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</si>
  <si>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</si>
  <si>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</si>
  <si>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</si>
  <si>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</si>
  <si>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</si>
  <si>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Retire</t>
  </si>
  <si>
    <t>Useful Info</t>
  </si>
  <si>
    <t>AA</t>
  </si>
  <si>
    <t>AH</t>
  </si>
  <si>
    <t>Page / Tab Name</t>
  </si>
  <si>
    <t>Hide Tab</t>
  </si>
  <si>
    <t>Config</t>
  </si>
  <si>
    <t>Adjustment Factors</t>
  </si>
  <si>
    <t>Protect</t>
  </si>
  <si>
    <t>This will become the password to un-protect tabs</t>
  </si>
  <si>
    <t>Password</t>
  </si>
  <si>
    <t xml:space="preserve">Tab Hide &amp; Protect </t>
  </si>
  <si>
    <t>TaxTables</t>
  </si>
  <si>
    <t>Rule #</t>
  </si>
  <si>
    <t>W</t>
  </si>
  <si>
    <t>I</t>
  </si>
  <si>
    <t>L</t>
  </si>
  <si>
    <t>HomeChart</t>
  </si>
  <si>
    <t>Before tax</t>
  </si>
  <si>
    <t>Messages for Checklist report</t>
  </si>
  <si>
    <t>Slot #</t>
  </si>
  <si>
    <t>E</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</si>
  <si>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</si>
  <si>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</si>
  <si>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</si>
  <si>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</si>
  <si>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</si>
  <si>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</si>
  <si>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</si>
  <si>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</si>
  <si>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</si>
  <si>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</si>
  <si>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</si>
  <si>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</si>
  <si>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</si>
  <si>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</si>
  <si>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</si>
  <si>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</si>
  <si>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</si>
  <si>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</si>
  <si>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</si>
  <si>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</si>
  <si>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</si>
  <si>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</si>
  <si>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</si>
  <si>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</si>
  <si>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</si>
  <si>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</si>
  <si>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</si>
  <si>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</si>
  <si>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</si>
  <si>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</si>
  <si>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</si>
  <si>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</si>
  <si>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</si>
  <si>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</si>
  <si>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</si>
  <si>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</si>
  <si>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</si>
  <si>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</si>
  <si>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</si>
  <si>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</si>
  <si>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</si>
  <si>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</si>
  <si>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</si>
  <si>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</si>
  <si>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</si>
  <si>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</si>
  <si>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Starting annual budget</t>
  </si>
  <si>
    <t>Starting Balance</t>
  </si>
  <si>
    <t>SS-Id1</t>
  </si>
  <si>
    <t>SS-Id2</t>
  </si>
  <si>
    <t>beforeCol</t>
  </si>
  <si>
    <t>afterCol</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</si>
  <si>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</si>
  <si>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</si>
  <si>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</si>
  <si>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</si>
  <si>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</si>
  <si>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</si>
  <si>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</si>
  <si>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</si>
  <si>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</si>
  <si>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</si>
  <si>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</si>
  <si>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</si>
  <si>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</si>
  <si>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</si>
  <si>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</si>
  <si>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</si>
  <si>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</si>
  <si>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</si>
  <si>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</si>
  <si>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</si>
  <si>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</si>
  <si>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</si>
  <si>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</si>
  <si>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</si>
  <si>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</si>
  <si>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</si>
  <si>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</si>
  <si>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</si>
  <si>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</si>
  <si>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</si>
  <si>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</si>
  <si>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</si>
  <si>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</si>
  <si>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</si>
  <si>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</si>
  <si>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</si>
  <si>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</si>
  <si>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</si>
  <si>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</si>
  <si>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</si>
  <si>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</si>
  <si>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</si>
  <si>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</si>
  <si>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</si>
  <si>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</si>
  <si>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</si>
  <si>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</si>
  <si>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</si>
  <si>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</si>
  <si>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</si>
  <si>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</si>
  <si>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</si>
  <si>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County Rate</t>
  </si>
  <si>
    <t>Count Grater</t>
  </si>
  <si>
    <t>County Less</t>
  </si>
  <si>
    <t>County Std. Deduction</t>
  </si>
  <si>
    <t>City Rate</t>
  </si>
  <si>
    <t>City Greater</t>
  </si>
  <si>
    <t>City Less</t>
  </si>
  <si>
    <t>City Std Deduction</t>
  </si>
  <si>
    <t>P</t>
  </si>
  <si>
    <t>String</t>
  </si>
  <si>
    <t>&lt;EMPTY&gt;</t>
  </si>
  <si>
    <t>Dollar</t>
  </si>
  <si>
    <t>Number</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</si>
  <si>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</si>
  <si>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</si>
  <si>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</si>
  <si>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</si>
  <si>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</si>
  <si>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</si>
  <si>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</si>
  <si>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</si>
  <si>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</si>
  <si>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</si>
  <si>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</si>
  <si>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</si>
  <si>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</si>
  <si>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</si>
  <si>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</si>
  <si>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</si>
  <si>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</si>
  <si>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</si>
  <si>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</si>
  <si>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</si>
  <si>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</si>
  <si>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</si>
  <si>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</si>
  <si>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</si>
  <si>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</si>
  <si>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</si>
  <si>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</si>
  <si>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</si>
  <si>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</si>
  <si>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</si>
  <si>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</si>
  <si>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</si>
  <si>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</si>
  <si>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</si>
  <si>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</si>
  <si>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</si>
  <si>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</si>
  <si>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</si>
  <si>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</si>
  <si>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</si>
  <si>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</si>
  <si>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</si>
  <si>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</si>
  <si>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</si>
  <si>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</si>
  <si>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</si>
  <si>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</si>
  <si>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</si>
  <si>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</si>
  <si>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</si>
  <si>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</si>
  <si>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</si>
  <si>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</si>
  <si>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</si>
  <si>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</si>
  <si>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</si>
  <si>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</si>
  <si>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</si>
  <si>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</si>
  <si>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</si>
  <si>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</si>
  <si>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</si>
  <si>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</si>
  <si>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</si>
  <si>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</si>
  <si>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</si>
  <si>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</si>
  <si>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</si>
  <si>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</si>
  <si>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</si>
  <si>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</si>
  <si>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</si>
  <si>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</si>
  <si>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</si>
  <si>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</si>
  <si>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</si>
  <si>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</si>
  <si>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</si>
  <si>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</si>
  <si>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</si>
  <si>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</si>
  <si>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</si>
  <si>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</si>
  <si>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</si>
  <si>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</si>
  <si>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</si>
  <si>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</si>
  <si>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</si>
  <si>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</si>
  <si>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</si>
  <si>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</si>
  <si>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</si>
  <si>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</si>
  <si>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</si>
  <si>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</si>
  <si>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</si>
  <si>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</si>
  <si>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</si>
  <si>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</si>
  <si>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</si>
  <si>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</si>
  <si>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</si>
  <si>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</si>
  <si>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</si>
  <si>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</si>
  <si>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</si>
  <si>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</si>
  <si>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</si>
  <si>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</si>
  <si>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</si>
  <si>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</si>
  <si>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</si>
  <si>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</si>
  <si>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</si>
  <si>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</si>
  <si>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</si>
  <si>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</si>
  <si>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</si>
  <si>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</si>
  <si>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</si>
  <si>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</si>
  <si>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</si>
  <si>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</si>
  <si>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</si>
  <si>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</si>
  <si>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</si>
  <si>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</si>
  <si>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</si>
  <si>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</si>
  <si>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</si>
  <si>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</si>
  <si>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</si>
  <si>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</si>
  <si>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</si>
  <si>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</si>
  <si>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</si>
  <si>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</si>
  <si>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</si>
  <si>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</si>
  <si>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</si>
  <si>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</si>
  <si>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</si>
  <si>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</si>
  <si>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</si>
  <si>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</si>
  <si>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</si>
  <si>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</si>
  <si>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</si>
  <si>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</si>
  <si>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</si>
  <si>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</si>
  <si>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</si>
  <si>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</si>
  <si>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</si>
  <si>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</si>
  <si>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</si>
  <si>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</si>
  <si>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</si>
  <si>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</si>
  <si>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</si>
  <si>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</si>
  <si>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</si>
  <si>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</si>
  <si>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</si>
  <si>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</si>
  <si>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</si>
  <si>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</si>
  <si>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</si>
  <si>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</si>
  <si>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</si>
  <si>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</si>
  <si>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</si>
  <si>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</si>
  <si>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</si>
  <si>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</si>
  <si>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</si>
  <si>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</si>
  <si>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</si>
  <si>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</si>
  <si>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</si>
  <si>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</si>
  <si>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</si>
  <si>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</si>
  <si>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</si>
  <si>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</si>
  <si>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</si>
  <si>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</si>
  <si>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</si>
  <si>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</si>
  <si>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</si>
  <si>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</si>
  <si>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</si>
  <si>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</si>
  <si>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</si>
  <si>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</si>
  <si>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</si>
  <si>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</si>
  <si>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</si>
  <si>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</si>
  <si>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</si>
  <si>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</si>
  <si>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</si>
  <si>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</si>
  <si>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</si>
  <si>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</si>
  <si>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</si>
  <si>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</si>
  <si>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</si>
  <si>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</si>
  <si>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</si>
  <si>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</si>
  <si>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</si>
  <si>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</si>
  <si>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</si>
  <si>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</si>
  <si>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</si>
  <si>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</si>
  <si>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</si>
  <si>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</si>
  <si>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</si>
  <si>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</si>
  <si>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</si>
  <si>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</si>
  <si>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</si>
  <si>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</si>
  <si>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</si>
  <si>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</si>
  <si>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</si>
  <si>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</si>
  <si>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</si>
  <si>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</si>
  <si>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</si>
  <si>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</si>
  <si>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</si>
  <si>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</si>
  <si>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</si>
  <si>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</si>
  <si>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</si>
  <si>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</si>
  <si>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</si>
  <si>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</si>
  <si>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</si>
  <si>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</si>
  <si>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</si>
  <si>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</si>
  <si>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</si>
  <si>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</si>
  <si>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</si>
  <si>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</si>
  <si>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</si>
  <si>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</si>
  <si>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</si>
  <si>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</si>
  <si>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</si>
  <si>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</si>
  <si>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</si>
  <si>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</si>
  <si>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</si>
  <si>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</si>
  <si>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</si>
  <si>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</si>
  <si>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</si>
  <si>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</si>
  <si>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</si>
  <si>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</si>
  <si>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</si>
  <si>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</si>
  <si>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</si>
  <si>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</si>
  <si>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</si>
  <si>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</si>
  <si>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</si>
  <si>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</si>
  <si>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</si>
  <si>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</si>
  <si>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</si>
  <si>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</si>
  <si>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</si>
  <si>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</si>
  <si>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</si>
  <si>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</si>
  <si>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</si>
  <si>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</si>
  <si>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</si>
  <si>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</si>
  <si>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</si>
  <si>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</si>
  <si>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</si>
  <si>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</si>
  <si>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</si>
  <si>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</si>
  <si>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</si>
  <si>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</si>
  <si>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</si>
  <si>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</si>
  <si>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</si>
  <si>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</si>
  <si>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</si>
  <si>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</si>
  <si>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</si>
  <si>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</si>
  <si>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</si>
  <si>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</si>
  <si>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</si>
  <si>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</si>
  <si>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</si>
  <si>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</si>
  <si>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</si>
  <si>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</si>
  <si>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</si>
  <si>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</si>
  <si>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</si>
  <si>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</si>
  <si>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</si>
  <si>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</si>
  <si>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</si>
  <si>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</si>
  <si>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</si>
  <si>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</si>
  <si>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</si>
  <si>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</si>
  <si>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</si>
  <si>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</si>
  <si>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</si>
  <si>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</si>
  <si>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</si>
  <si>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</si>
  <si>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</si>
  <si>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</si>
  <si>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</si>
  <si>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</si>
  <si>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</si>
  <si>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</si>
  <si>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</si>
  <si>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</si>
  <si>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</si>
  <si>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</si>
  <si>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</si>
  <si>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</si>
  <si>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</si>
  <si>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</si>
  <si>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</si>
  <si>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</si>
  <si>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</si>
  <si>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</si>
  <si>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</si>
  <si>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</si>
  <si>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</si>
  <si>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</si>
  <si>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</si>
  <si>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</si>
  <si>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</si>
  <si>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</si>
  <si>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</si>
  <si>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</si>
  <si>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</si>
  <si>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</si>
  <si>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</si>
  <si>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</si>
  <si>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</si>
  <si>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</si>
  <si>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</si>
  <si>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</si>
  <si>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</si>
  <si>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</si>
  <si>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</si>
  <si>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</si>
  <si>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</si>
  <si>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</si>
  <si>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</si>
  <si>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</si>
  <si>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</si>
  <si>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</si>
  <si>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</si>
  <si>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</si>
  <si>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</si>
  <si>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</si>
  <si>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</si>
  <si>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</si>
  <si>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</si>
  <si>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</si>
  <si>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</si>
  <si>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</si>
  <si>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</si>
  <si>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</si>
  <si>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</si>
  <si>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</si>
  <si>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</si>
  <si>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</si>
  <si>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</si>
  <si>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</si>
  <si>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</si>
  <si>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</si>
  <si>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</si>
  <si>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</si>
  <si>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</si>
  <si>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</si>
  <si>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</si>
  <si>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</si>
  <si>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</si>
  <si>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</si>
  <si>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</si>
  <si>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</si>
  <si>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</si>
  <si>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</si>
  <si>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</si>
  <si>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</si>
  <si>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</si>
  <si>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</si>
  <si>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</si>
  <si>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</si>
  <si>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</si>
  <si>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</si>
  <si>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</si>
  <si>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</si>
  <si>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</si>
  <si>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</si>
  <si>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</si>
  <si>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</si>
  <si>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</si>
  <si>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</si>
  <si>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</si>
  <si>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</si>
  <si>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</si>
  <si>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</si>
  <si>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</si>
  <si>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</si>
  <si>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</si>
  <si>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</si>
  <si>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</si>
  <si>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</si>
  <si>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</si>
  <si>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</si>
  <si>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</si>
  <si>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</si>
  <si>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</si>
  <si>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</si>
  <si>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</si>
  <si>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</si>
  <si>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</si>
  <si>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</si>
  <si>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</si>
  <si>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</si>
  <si>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</si>
  <si>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</si>
  <si>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</si>
  <si>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</si>
  <si>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</si>
  <si>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</si>
  <si>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</si>
  <si>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</si>
  <si>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</si>
  <si>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</si>
  <si>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</si>
  <si>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</si>
  <si>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</si>
  <si>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</si>
  <si>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</si>
  <si>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</si>
  <si>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</si>
  <si>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</si>
  <si>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</si>
  <si>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</si>
  <si>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</si>
  <si>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</si>
  <si>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</si>
  <si>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</si>
  <si>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</si>
  <si>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</si>
  <si>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</si>
  <si>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</si>
  <si>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</si>
  <si>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</si>
  <si>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</si>
  <si>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</si>
  <si>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</si>
  <si>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</si>
  <si>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</si>
  <si>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</si>
  <si>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</si>
  <si>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</si>
  <si>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</si>
  <si>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</si>
  <si>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</si>
  <si>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</si>
  <si>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</si>
  <si>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</si>
  <si>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</si>
  <si>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</si>
  <si>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</si>
  <si>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</si>
  <si>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</si>
  <si>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</si>
  <si>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</si>
  <si>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</si>
  <si>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</si>
  <si>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</si>
  <si>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</si>
  <si>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</si>
  <si>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</si>
  <si>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</si>
  <si>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</si>
  <si>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</si>
  <si>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</si>
  <si>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</si>
  <si>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</si>
  <si>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</si>
  <si>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</si>
  <si>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</si>
  <si>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</si>
  <si>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</si>
  <si>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</si>
  <si>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</si>
  <si>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</si>
  <si>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</si>
  <si>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</si>
  <si>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</si>
  <si>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</si>
  <si>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</si>
  <si>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</si>
  <si>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</si>
  <si>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</si>
  <si>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</si>
  <si>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</si>
  <si>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</si>
  <si>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</si>
  <si>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</si>
  <si>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</si>
  <si>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</si>
  <si>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</si>
  <si>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</si>
  <si>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</si>
  <si>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</si>
  <si>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</si>
  <si>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</si>
  <si>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</si>
  <si>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</si>
  <si>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</si>
  <si>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</si>
  <si>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</si>
  <si>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</si>
  <si>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</si>
  <si>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</si>
  <si>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</si>
  <si>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</si>
  <si>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</si>
  <si>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</si>
  <si>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</si>
  <si>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</si>
  <si>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</si>
  <si>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</si>
  <si>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</si>
  <si>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</si>
  <si>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</si>
  <si>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</si>
  <si>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</si>
  <si>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</si>
  <si>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</si>
  <si>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</si>
  <si>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</si>
  <si>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</si>
  <si>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</si>
  <si>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</si>
  <si>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</si>
  <si>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</si>
  <si>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</si>
  <si>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</si>
  <si>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</si>
  <si>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</si>
  <si>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</si>
  <si>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</si>
  <si>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</si>
  <si>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</si>
  <si>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</si>
  <si>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</si>
  <si>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</si>
  <si>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</si>
  <si>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</si>
  <si>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</si>
  <si>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</si>
  <si>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</si>
  <si>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</si>
  <si>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</si>
  <si>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</si>
  <si>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</si>
  <si>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</si>
  <si>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</si>
  <si>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</si>
  <si>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</si>
  <si>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</si>
  <si>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</si>
  <si>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</si>
  <si>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</si>
  <si>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</si>
  <si>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</si>
  <si>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</si>
  <si>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</si>
  <si>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</si>
  <si>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</si>
  <si>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</si>
  <si>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</si>
  <si>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</si>
  <si>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</si>
  <si>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</si>
  <si>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</si>
  <si>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</si>
  <si>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</si>
  <si>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</si>
  <si>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</si>
  <si>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</si>
  <si>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</si>
  <si>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</si>
  <si>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</si>
  <si>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</si>
  <si>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</si>
  <si>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</si>
  <si>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</si>
  <si>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</si>
  <si>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</si>
  <si>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</si>
  <si>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</si>
  <si>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</si>
  <si>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</si>
  <si>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</si>
  <si>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</si>
  <si>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</si>
  <si>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</si>
  <si>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</si>
  <si>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</si>
  <si>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</si>
  <si>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</si>
  <si>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</si>
  <si>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</si>
  <si>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</si>
  <si>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</si>
  <si>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</si>
  <si>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</si>
  <si>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</si>
  <si>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</si>
  <si>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</si>
  <si>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</si>
  <si>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</si>
  <si>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</si>
  <si>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</si>
  <si>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</si>
  <si>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</si>
  <si>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</si>
  <si>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</si>
  <si>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</si>
  <si>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</si>
  <si>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</si>
  <si>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</si>
  <si>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</si>
  <si>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</si>
  <si>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</si>
  <si>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</si>
  <si>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</si>
  <si>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</si>
  <si>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</si>
  <si>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</si>
  <si>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</si>
  <si>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</si>
  <si>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</si>
  <si>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</si>
  <si>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</si>
  <si>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</si>
  <si>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</si>
  <si>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</si>
  <si>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</si>
  <si>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</si>
  <si>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</si>
  <si>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</si>
  <si>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</si>
  <si>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</si>
  <si>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</si>
  <si>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</si>
  <si>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</si>
  <si>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</si>
  <si>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</si>
  <si>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</si>
  <si>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</si>
  <si>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</si>
  <si>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</si>
  <si>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</si>
  <si>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</si>
  <si>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</si>
  <si>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</si>
  <si>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</si>
  <si>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</si>
  <si>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</si>
  <si>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</si>
  <si>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</si>
  <si>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</si>
  <si>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</si>
  <si>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</si>
  <si>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</si>
  <si>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</si>
  <si>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</si>
  <si>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</si>
  <si>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</si>
  <si>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</si>
  <si>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</si>
  <si>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</si>
  <si>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</si>
  <si>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</si>
  <si>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</si>
  <si>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</si>
  <si>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</si>
  <si>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</si>
  <si>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</si>
  <si>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</si>
  <si>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</si>
  <si>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</si>
  <si>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</si>
  <si>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</si>
  <si>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</si>
  <si>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</si>
  <si>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</si>
  <si>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</si>
  <si>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</si>
  <si>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</si>
  <si>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</si>
  <si>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</si>
  <si>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</si>
  <si>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</si>
  <si>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</si>
  <si>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</si>
  <si>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</si>
  <si>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</si>
  <si>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</si>
  <si>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</si>
  <si>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</si>
  <si>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</si>
  <si>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</si>
  <si>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</si>
  <si>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</si>
  <si>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</si>
  <si>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</si>
  <si>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</si>
  <si>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</si>
  <si>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</si>
  <si>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</si>
  <si>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</si>
  <si>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</si>
  <si>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</si>
  <si>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</si>
  <si>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</si>
  <si>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</si>
  <si>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</si>
  <si>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</si>
  <si>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</si>
  <si>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</si>
  <si>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</si>
  <si>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</si>
  <si>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</si>
  <si>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</si>
  <si>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</si>
  <si>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</si>
  <si>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</si>
  <si>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</si>
  <si>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</si>
  <si>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Monthly RMD Needed</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</si>
  <si>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</si>
  <si>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</si>
  <si>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</si>
  <si>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</si>
  <si>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</si>
  <si>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</si>
  <si>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</si>
  <si>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</si>
  <si>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</si>
  <si>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</si>
  <si>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</si>
  <si>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</si>
  <si>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</si>
  <si>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</si>
  <si>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</si>
  <si>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</si>
  <si>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</si>
  <si>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</si>
  <si>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</si>
  <si>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</si>
  <si>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</si>
  <si>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</si>
  <si>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</si>
  <si>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</si>
  <si>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</si>
  <si>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</si>
  <si>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</si>
  <si>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</si>
  <si>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</si>
  <si>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</si>
  <si>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</si>
  <si>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Annual Net Income</t>
  </si>
  <si>
    <t>Annual Gross Income</t>
  </si>
  <si>
    <t>Monthly Net Income</t>
  </si>
  <si>
    <t>Calculated Monthly Budget</t>
  </si>
  <si>
    <t>Annual withdrawal from Investments</t>
  </si>
  <si>
    <t>Difference Withdrawal vs RMD</t>
  </si>
  <si>
    <t>Amount
Non-taxable</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</si>
  <si>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</si>
  <si>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</si>
  <si>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</si>
  <si>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</si>
  <si>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</si>
  <si>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</si>
  <si>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</si>
  <si>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</si>
  <si>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</si>
  <si>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</si>
  <si>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</si>
  <si>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</si>
  <si>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</si>
  <si>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</si>
  <si>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</si>
  <si>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</si>
  <si>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</si>
  <si>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</si>
  <si>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</si>
  <si>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</si>
  <si>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</si>
  <si>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</si>
  <si>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</si>
  <si>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</si>
  <si>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</si>
  <si>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</si>
  <si>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</si>
  <si>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</si>
  <si>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</si>
  <si>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</si>
  <si>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</si>
  <si>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</si>
  <si>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</si>
  <si>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</si>
  <si>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</si>
  <si>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</si>
  <si>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</si>
  <si>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</si>
  <si>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</si>
  <si>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</si>
  <si>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</si>
  <si>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</si>
  <si>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</si>
  <si>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</si>
  <si>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</si>
  <si>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</si>
  <si>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</si>
  <si>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</si>
  <si>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</si>
  <si>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</si>
  <si>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</si>
  <si>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</si>
  <si>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</si>
  <si>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</si>
  <si>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</si>
  <si>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</si>
  <si>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</si>
  <si>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</si>
  <si>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</si>
  <si>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</si>
  <si>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</si>
  <si>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</si>
  <si>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</si>
  <si>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</si>
  <si>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</si>
  <si>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</si>
  <si>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</si>
  <si>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</si>
  <si>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</si>
  <si>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</si>
  <si>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</si>
  <si>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</si>
  <si>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</si>
  <si>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</si>
  <si>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</si>
  <si>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</si>
  <si>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</si>
  <si>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</si>
  <si>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</si>
  <si>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</si>
  <si>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</si>
  <si>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</si>
  <si>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</si>
  <si>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</si>
  <si>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</si>
  <si>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</si>
  <si>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</si>
  <si>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</si>
  <si>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</si>
  <si>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</si>
  <si>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</si>
  <si>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</si>
  <si>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</si>
  <si>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</si>
  <si>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</si>
  <si>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</si>
  <si>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</si>
  <si>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</si>
  <si>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</si>
  <si>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</si>
  <si>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</si>
  <si>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</si>
  <si>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</si>
  <si>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</si>
  <si>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</si>
  <si>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</si>
  <si>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</si>
  <si>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</si>
  <si>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</si>
  <si>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</si>
  <si>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</si>
  <si>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</si>
  <si>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</si>
  <si>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</si>
  <si>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</si>
  <si>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</si>
  <si>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</si>
  <si>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</si>
  <si>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</si>
  <si>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</si>
  <si>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</si>
  <si>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</si>
  <si>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</si>
  <si>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</si>
  <si>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</si>
  <si>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</si>
  <si>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</si>
  <si>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</si>
  <si>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</si>
  <si>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</si>
  <si>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</si>
  <si>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</si>
  <si>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</si>
  <si>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</si>
  <si>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</si>
  <si>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</si>
  <si>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</si>
  <si>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</si>
  <si>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</si>
  <si>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</si>
  <si>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</si>
  <si>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</si>
  <si>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</si>
  <si>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</si>
  <si>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</si>
  <si>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</si>
  <si>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</si>
  <si>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</si>
  <si>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</si>
  <si>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</si>
  <si>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</si>
  <si>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</si>
  <si>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</si>
  <si>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</si>
  <si>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</si>
  <si>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</si>
  <si>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</si>
  <si>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</si>
  <si>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</si>
  <si>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</si>
  <si>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</si>
  <si>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</si>
  <si>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</si>
  <si>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</si>
  <si>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</si>
  <si>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</si>
  <si>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</si>
  <si>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</si>
  <si>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</si>
  <si>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</si>
  <si>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</si>
  <si>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</si>
  <si>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</si>
  <si>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</si>
  <si>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</si>
  <si>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</si>
  <si>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</si>
  <si>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</si>
  <si>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</si>
  <si>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</si>
  <si>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</si>
  <si>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</si>
  <si>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</si>
  <si>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</si>
  <si>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</si>
  <si>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</si>
  <si>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</si>
  <si>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</si>
  <si>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</si>
  <si>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</si>
  <si>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</si>
  <si>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</si>
  <si>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</si>
  <si>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</si>
  <si>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</si>
  <si>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</si>
  <si>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</si>
  <si>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</si>
  <si>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</si>
  <si>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</si>
  <si>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</si>
  <si>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</si>
  <si>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</si>
  <si>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</si>
  <si>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</si>
  <si>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</si>
  <si>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</si>
  <si>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</si>
  <si>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</si>
  <si>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</si>
  <si>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</si>
  <si>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</si>
  <si>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</si>
  <si>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</si>
  <si>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</si>
  <si>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</si>
  <si>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</si>
  <si>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</si>
  <si>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</si>
  <si>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</si>
  <si>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</si>
  <si>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</si>
  <si>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</si>
  <si>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</si>
  <si>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</si>
  <si>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</si>
  <si>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</si>
  <si>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</si>
  <si>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</si>
  <si>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</si>
  <si>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</si>
  <si>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</si>
  <si>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</si>
  <si>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</si>
  <si>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</si>
  <si>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</si>
  <si>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</si>
  <si>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</si>
  <si>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</si>
  <si>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</si>
  <si>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</si>
  <si>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</si>
  <si>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</si>
  <si>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</si>
  <si>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</si>
  <si>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</si>
  <si>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</si>
  <si>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</si>
  <si>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</si>
  <si>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</si>
  <si>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</si>
  <si>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</si>
  <si>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</si>
  <si>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</si>
  <si>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</si>
  <si>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</si>
  <si>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</si>
  <si>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</si>
  <si>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</si>
  <si>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</si>
  <si>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</si>
  <si>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</si>
  <si>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</si>
  <si>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</si>
  <si>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</si>
  <si>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</si>
  <si>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</si>
  <si>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</si>
  <si>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</si>
  <si>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</si>
  <si>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</si>
  <si>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</si>
  <si>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</si>
  <si>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</si>
  <si>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</si>
  <si>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</si>
  <si>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</si>
  <si>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</si>
  <si>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</si>
  <si>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</si>
  <si>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</si>
  <si>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</si>
  <si>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</si>
  <si>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</si>
  <si>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</si>
  <si>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</si>
  <si>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</si>
  <si>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</si>
  <si>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</si>
  <si>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</si>
  <si>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</si>
  <si>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</si>
  <si>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</si>
  <si>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</si>
  <si>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</si>
  <si>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</si>
  <si>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</si>
  <si>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</si>
  <si>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</si>
  <si>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</si>
  <si>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</si>
  <si>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</si>
  <si>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</si>
  <si>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</si>
  <si>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</si>
  <si>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</si>
  <si>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</si>
  <si>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</si>
  <si>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</si>
  <si>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</si>
  <si>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</si>
  <si>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</si>
  <si>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</si>
  <si>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</si>
  <si>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</si>
  <si>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</si>
  <si>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</si>
  <si>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</si>
  <si>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</si>
  <si>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</si>
  <si>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</si>
  <si>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</si>
  <si>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</si>
  <si>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</si>
  <si>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</si>
  <si>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</si>
  <si>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</si>
  <si>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</si>
  <si>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</si>
  <si>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</si>
  <si>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</si>
  <si>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</si>
  <si>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</si>
  <si>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</si>
  <si>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</si>
  <si>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</si>
  <si>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</si>
  <si>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</si>
  <si>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</si>
  <si>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</si>
  <si>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</si>
  <si>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</si>
  <si>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</si>
  <si>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</si>
  <si>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</si>
  <si>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</si>
  <si>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</si>
  <si>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</si>
  <si>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</si>
  <si>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</si>
  <si>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</si>
  <si>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</si>
  <si>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</si>
  <si>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</si>
  <si>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</si>
  <si>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</si>
  <si>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</si>
  <si>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</si>
  <si>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</si>
  <si>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</si>
  <si>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</si>
  <si>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</si>
  <si>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</si>
  <si>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</si>
  <si>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</si>
  <si>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</si>
  <si>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</si>
  <si>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</si>
  <si>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</si>
  <si>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</si>
  <si>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</si>
  <si>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</si>
  <si>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</si>
  <si>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</si>
  <si>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</si>
  <si>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</si>
  <si>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</si>
  <si>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</si>
  <si>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</si>
  <si>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</si>
  <si>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</si>
  <si>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</si>
  <si>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</si>
  <si>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</si>
  <si>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</si>
  <si>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</si>
  <si>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</si>
  <si>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</si>
  <si>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</si>
  <si>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</si>
  <si>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</si>
  <si>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</si>
  <si>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</si>
  <si>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</si>
  <si>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</si>
  <si>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</si>
  <si>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</si>
  <si>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</si>
  <si>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</si>
  <si>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</si>
  <si>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</si>
  <si>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</si>
  <si>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</si>
  <si>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</si>
  <si>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</si>
  <si>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</si>
  <si>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</si>
  <si>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</si>
  <si>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</si>
  <si>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</si>
  <si>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</si>
  <si>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</si>
  <si>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</si>
  <si>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</si>
  <si>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</si>
  <si>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</si>
  <si>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</si>
  <si>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</si>
  <si>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</si>
  <si>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</si>
  <si>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</si>
  <si>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</si>
  <si>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</si>
  <si>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</si>
  <si>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</si>
  <si>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</si>
  <si>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</si>
  <si>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</si>
  <si>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</si>
  <si>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</si>
  <si>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</si>
  <si>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</si>
  <si>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</si>
  <si>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</si>
  <si>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</si>
  <si>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</si>
  <si>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</si>
  <si>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</si>
  <si>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</si>
  <si>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</si>
  <si>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</si>
  <si>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</si>
  <si>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</si>
  <si>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</si>
  <si>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</si>
  <si>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</si>
  <si>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</si>
  <si>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</si>
  <si>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</si>
  <si>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</si>
  <si>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</si>
  <si>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</si>
  <si>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</si>
  <si>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</si>
  <si>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</si>
  <si>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</si>
  <si>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</si>
  <si>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</si>
  <si>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</si>
  <si>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</si>
  <si>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</si>
  <si>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</si>
  <si>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</si>
  <si>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</si>
  <si>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</si>
  <si>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</si>
  <si>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</si>
  <si>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</si>
  <si>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</si>
  <si>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</si>
  <si>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</si>
  <si>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</si>
  <si>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</si>
  <si>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</si>
  <si>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</si>
  <si>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</si>
  <si>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</si>
  <si>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</si>
  <si>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</si>
  <si>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</si>
  <si>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</si>
  <si>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</si>
  <si>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</si>
  <si>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</si>
  <si>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</si>
  <si>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</si>
  <si>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</si>
  <si>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</si>
  <si>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</si>
  <si>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</si>
  <si>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</si>
  <si>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</si>
  <si>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</si>
  <si>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</si>
  <si>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</si>
  <si>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</si>
  <si>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</si>
  <si>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</si>
  <si>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</si>
  <si>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</si>
  <si>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</si>
  <si>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</si>
  <si>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</si>
  <si>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</si>
  <si>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</si>
  <si>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</si>
  <si>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</si>
  <si>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</si>
  <si>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</si>
  <si>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</si>
  <si>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</si>
  <si>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</si>
  <si>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</si>
  <si>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</si>
  <si>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</si>
  <si>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</si>
  <si>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</si>
  <si>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</si>
  <si>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</si>
  <si>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</si>
  <si>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</si>
  <si>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</si>
  <si>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</si>
  <si>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</si>
  <si>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</si>
  <si>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</si>
  <si>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</si>
  <si>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</si>
  <si>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</si>
  <si>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</si>
  <si>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</si>
  <si>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</si>
  <si>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</si>
  <si>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</si>
  <si>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</si>
  <si>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</si>
  <si>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</si>
  <si>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</si>
  <si>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</si>
  <si>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</si>
  <si>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</si>
  <si>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</si>
  <si>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</si>
  <si>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</si>
  <si>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</si>
  <si>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</si>
  <si>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</si>
  <si>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</si>
  <si>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</si>
  <si>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</si>
  <si>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</si>
  <si>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</si>
  <si>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</si>
  <si>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</si>
  <si>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</si>
  <si>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</si>
  <si>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</si>
  <si>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</si>
  <si>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</si>
  <si>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</si>
  <si>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</si>
  <si>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</si>
  <si>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</si>
  <si>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</si>
  <si>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</si>
  <si>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</si>
  <si>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</si>
  <si>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</si>
  <si>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</si>
  <si>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</si>
  <si>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</si>
  <si>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</si>
  <si>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</si>
  <si>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</si>
  <si>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</si>
  <si>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</si>
  <si>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</si>
  <si>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</si>
  <si>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</si>
  <si>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</si>
  <si>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</si>
  <si>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</si>
  <si>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</si>
  <si>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</si>
  <si>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</si>
  <si>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</si>
  <si>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</si>
  <si>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</si>
  <si>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</si>
  <si>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</si>
  <si>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</si>
  <si>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</si>
  <si>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</si>
  <si>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</si>
  <si>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</si>
  <si>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</si>
  <si>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</si>
  <si>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</si>
  <si>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</si>
  <si>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</si>
  <si>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</si>
  <si>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</si>
  <si>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</si>
  <si>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</si>
  <si>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</si>
  <si>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</si>
  <si>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</si>
  <si>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</si>
  <si>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</si>
  <si>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</si>
  <si>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</si>
  <si>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</si>
  <si>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</si>
  <si>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</si>
  <si>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</si>
  <si>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</si>
  <si>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</si>
  <si>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</si>
  <si>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</si>
  <si>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</si>
  <si>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</si>
  <si>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</si>
  <si>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</si>
  <si>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</si>
  <si>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</si>
  <si>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</si>
  <si>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</si>
  <si>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</si>
  <si>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</si>
  <si>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</si>
  <si>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</si>
  <si>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</si>
  <si>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</si>
  <si>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</si>
  <si>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</si>
  <si>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</si>
  <si>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</si>
  <si>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</si>
  <si>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</si>
  <si>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</si>
  <si>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</si>
  <si>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</si>
  <si>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</si>
  <si>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</si>
  <si>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</si>
  <si>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</si>
  <si>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</si>
  <si>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</si>
  <si>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</si>
  <si>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</si>
  <si>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</si>
  <si>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</si>
  <si>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</si>
  <si>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</si>
  <si>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</si>
  <si>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</si>
  <si>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</si>
  <si>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</si>
  <si>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</si>
  <si>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</si>
  <si>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</si>
  <si>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</si>
  <si>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</si>
  <si>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</si>
  <si>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</si>
  <si>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</si>
  <si>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</si>
  <si>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</si>
  <si>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</si>
  <si>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</si>
  <si>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</si>
  <si>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</si>
  <si>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</si>
  <si>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</si>
  <si>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</si>
  <si>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</si>
  <si>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</si>
  <si>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</si>
  <si>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</si>
  <si>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</si>
  <si>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</si>
  <si>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</si>
  <si>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</si>
  <si>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</si>
  <si>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</si>
  <si>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</si>
  <si>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</si>
  <si>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</si>
  <si>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</si>
  <si>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</si>
  <si>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</si>
  <si>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</si>
  <si>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</si>
  <si>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</si>
  <si>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</si>
  <si>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</si>
  <si>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</si>
  <si>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</si>
  <si>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</si>
  <si>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</si>
  <si>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</si>
  <si>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</si>
  <si>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</si>
  <si>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</si>
  <si>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</si>
  <si>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</si>
  <si>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</si>
  <si>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</si>
  <si>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</si>
  <si>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</si>
  <si>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</si>
  <si>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</si>
  <si>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</si>
  <si>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</si>
  <si>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</si>
  <si>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</si>
  <si>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</si>
  <si>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</si>
  <si>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</si>
  <si>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</si>
  <si>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</si>
  <si>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</si>
  <si>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</si>
  <si>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</si>
  <si>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</si>
  <si>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</si>
  <si>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</si>
  <si>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</si>
  <si>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</si>
  <si>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</si>
  <si>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</si>
  <si>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</si>
  <si>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</si>
  <si>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</si>
  <si>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</si>
  <si>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</si>
  <si>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</si>
  <si>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</si>
  <si>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</si>
  <si>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</si>
  <si>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</si>
  <si>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</si>
  <si>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</si>
  <si>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</si>
  <si>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</si>
  <si>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</si>
  <si>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</si>
  <si>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</si>
  <si>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</si>
  <si>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</si>
  <si>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</si>
  <si>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</si>
  <si>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</si>
  <si>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Toggle  detail view</t>
  </si>
  <si>
    <t>Growth from Interest</t>
  </si>
  <si>
    <t>Combined Balance</t>
  </si>
  <si>
    <t>After Tax %</t>
  </si>
  <si>
    <t>Before Tax %</t>
  </si>
  <si>
    <t>Base Int.</t>
  </si>
  <si>
    <t>Combined After/Before</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</si>
  <si>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</si>
  <si>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</si>
  <si>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</si>
  <si>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</si>
  <si>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</si>
  <si>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</si>
  <si>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</si>
  <si>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</si>
  <si>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</si>
  <si>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</si>
  <si>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</si>
  <si>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</si>
  <si>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</si>
  <si>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</si>
  <si>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</si>
  <si>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Unlock toggle</t>
  </si>
  <si>
    <t>Unlock Toggle</t>
  </si>
  <si>
    <t>RMD Factor</t>
  </si>
  <si>
    <t>Investments &amp; Assets</t>
  </si>
  <si>
    <t>Current Chart:</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</si>
  <si>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</si>
  <si>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</si>
  <si>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</si>
  <si>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</si>
  <si>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</si>
  <si>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</si>
  <si>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</si>
  <si>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</si>
  <si>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</si>
  <si>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</si>
  <si>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</si>
  <si>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</si>
  <si>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</si>
  <si>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</si>
  <si>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</si>
  <si>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</si>
  <si>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</si>
  <si>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</si>
  <si>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</si>
  <si>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</si>
  <si>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</si>
  <si>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</si>
  <si>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</si>
  <si>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</si>
  <si>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</si>
  <si>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</si>
  <si>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</si>
  <si>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</si>
  <si>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</si>
  <si>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</si>
  <si>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</si>
  <si>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</si>
  <si>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</si>
  <si>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</si>
  <si>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</si>
  <si>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</si>
  <si>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</si>
  <si>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</si>
  <si>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</si>
  <si>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</si>
  <si>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</si>
  <si>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</si>
  <si>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</si>
  <si>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</si>
  <si>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</si>
  <si>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</si>
  <si>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</si>
  <si>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</si>
  <si>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</si>
  <si>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</si>
  <si>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</si>
  <si>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</si>
  <si>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</si>
  <si>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</si>
  <si>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</si>
  <si>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</si>
  <si>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</si>
  <si>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</si>
  <si>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</si>
  <si>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</si>
  <si>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</si>
  <si>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</si>
  <si>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</si>
  <si>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</si>
  <si>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</si>
  <si>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</si>
  <si>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</si>
  <si>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</si>
  <si>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</si>
  <si>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</si>
  <si>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</si>
  <si>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</si>
  <si>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</si>
  <si>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</si>
  <si>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</si>
  <si>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</si>
  <si>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</si>
  <si>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</si>
  <si>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</si>
  <si>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</si>
  <si>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</si>
  <si>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</si>
  <si>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</si>
  <si>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</si>
  <si>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</si>
  <si>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</si>
  <si>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</si>
  <si>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</si>
  <si>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</si>
  <si>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</si>
  <si>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</si>
  <si>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</si>
  <si>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</si>
  <si>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</si>
  <si>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</si>
  <si>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</si>
  <si>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</si>
  <si>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</si>
  <si>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</si>
  <si>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</si>
  <si>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</si>
  <si>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</si>
  <si>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</si>
  <si>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</si>
  <si>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</si>
  <si>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</si>
  <si>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</si>
  <si>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</si>
  <si>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</si>
  <si>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</si>
  <si>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</si>
  <si>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</si>
  <si>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</si>
  <si>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</si>
  <si>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</si>
  <si>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</si>
  <si>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</si>
  <si>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</si>
  <si>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</si>
  <si>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</si>
  <si>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</si>
  <si>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</si>
  <si>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</si>
  <si>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</si>
  <si>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</si>
  <si>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Overall rate of return %</t>
  </si>
  <si>
    <t>House value</t>
  </si>
  <si>
    <t>Living expenses after sale of home</t>
  </si>
  <si>
    <t>Mortgage (from Assets)</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</si>
  <si>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</si>
  <si>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</si>
  <si>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</si>
  <si>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</si>
  <si>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</si>
  <si>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</si>
  <si>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</si>
  <si>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</si>
  <si>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</si>
  <si>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</si>
  <si>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</si>
  <si>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</si>
  <si>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</si>
  <si>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</si>
  <si>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</si>
  <si>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</si>
  <si>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</si>
  <si>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</si>
  <si>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</si>
  <si>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</si>
  <si>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</si>
  <si>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</si>
  <si>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</si>
  <si>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</si>
  <si>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</si>
  <si>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</si>
  <si>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</si>
  <si>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</si>
  <si>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</si>
  <si>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</si>
  <si>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</si>
  <si>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</si>
  <si>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</si>
  <si>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</si>
  <si>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</si>
  <si>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</si>
  <si>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</si>
  <si>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</si>
  <si>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</si>
  <si>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</si>
  <si>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</si>
  <si>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</si>
  <si>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</si>
  <si>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</si>
  <si>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</si>
  <si>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</si>
  <si>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</si>
  <si>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</si>
  <si>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</si>
  <si>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</si>
  <si>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</si>
  <si>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</si>
  <si>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</si>
  <si>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</si>
  <si>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</si>
  <si>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</si>
  <si>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</si>
  <si>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</si>
  <si>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</si>
  <si>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</si>
  <si>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</si>
  <si>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</si>
  <si>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</si>
  <si>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</si>
  <si>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</si>
  <si>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</si>
  <si>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</si>
  <si>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</si>
  <si>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</si>
  <si>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</si>
  <si>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</si>
  <si>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</si>
  <si>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</si>
  <si>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</si>
  <si>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</si>
  <si>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</si>
  <si>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</si>
  <si>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</si>
  <si>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</si>
  <si>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</si>
  <si>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</si>
  <si>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</si>
  <si>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</si>
  <si>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</si>
  <si>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</si>
  <si>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</si>
  <si>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</si>
  <si>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</si>
  <si>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</si>
  <si>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</si>
  <si>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</si>
  <si>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</si>
  <si>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</si>
  <si>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Toyota</t>
  </si>
  <si>
    <t>Roth IRA</t>
  </si>
  <si>
    <t>Leander, TX., 78641</t>
  </si>
  <si>
    <t>4503 West Rim</t>
  </si>
  <si>
    <t>Wine club</t>
  </si>
  <si>
    <t>Molly</t>
  </si>
  <si>
    <t>KIA</t>
  </si>
  <si>
    <t>Rio</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</si>
  <si>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</si>
  <si>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</si>
  <si>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</si>
  <si>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</si>
  <si>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</si>
  <si>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</si>
  <si>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</si>
  <si>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</si>
  <si>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</si>
  <si>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Notes</t>
  </si>
  <si>
    <t xml:space="preserve">Enter notes or information to save </t>
  </si>
  <si>
    <t>R.16 - Medicare IRMAA will impact your Medicare medical costs. Be sure to review your Med-Insur budget values in accordance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</si>
  <si>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</si>
  <si>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</si>
  <si>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</si>
  <si>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</si>
  <si>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</si>
  <si>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</si>
  <si>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</si>
  <si>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</si>
  <si>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</si>
  <si>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</si>
  <si>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</si>
  <si>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</si>
  <si>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</si>
  <si>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The data in this tab has been obtained from user entered data in this spread sheet, "Retirement Planner".  The data can be imported to a newer version of "Retirement Planner".  Copy the data in rows 5 to the last row containing data.  Open the newest version of "Retirement Planner", select "Welcome", scroll to the bottom of the tab and press the button "Open EData".  Remove the existing data if any, and paste the copied data into the  spreadsheet.  Close the EData tab in the latest version of "Retirement Planner" by pressing the return arrow.  Once closed you should be in the "Welcome" tab again, press the "Import Data" button.  It will take several seconds to multiple minutes import the data.</t>
  </si>
  <si>
    <t>Status report</t>
  </si>
  <si>
    <t>ImportMsg</t>
  </si>
  <si>
    <t>Used to determine if the Press the Calculator message should be shown.</t>
  </si>
  <si>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</si>
  <si>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</si>
  <si>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</si>
  <si>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</si>
  <si>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</si>
  <si>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</si>
  <si>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</si>
  <si>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</si>
  <si>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</si>
  <si>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</si>
  <si>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</si>
  <si>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</si>
  <si>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</si>
  <si>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</si>
  <si>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</si>
  <si>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</si>
  <si>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</si>
  <si>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</si>
  <si>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</si>
  <si>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</si>
  <si>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</si>
  <si>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</si>
  <si>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</si>
  <si>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</si>
  <si>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</si>
  <si>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</si>
  <si>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</si>
  <si>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</si>
  <si>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</si>
  <si>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</si>
  <si>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</si>
  <si>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</si>
  <si>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</si>
  <si>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</si>
  <si>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</si>
  <si>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</si>
  <si>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</si>
  <si>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</si>
  <si>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</si>
  <si>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RAV-4 4</t>
  </si>
  <si>
    <t xml:space="preserve">YouTube-TV &amp; HBO </t>
  </si>
  <si>
    <t>Medicare B &amp; D</t>
  </si>
  <si>
    <t>COLA
&amp; CPI</t>
  </si>
  <si>
    <t>Federal &amp; State tax tables</t>
  </si>
  <si>
    <t>Medicare IRMMA</t>
  </si>
  <si>
    <t>RMD Tables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</si>
  <si>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</si>
  <si>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t>View yearly data</t>
  </si>
  <si>
    <t>Toggle yearly data</t>
  </si>
  <si>
    <t>Detail
Tax
Data</t>
  </si>
  <si>
    <t>Detail
Rental
Data</t>
  </si>
  <si>
    <t>Detail Tax Data</t>
  </si>
  <si>
    <t>Toggle viewing retirement adjustment columns</t>
  </si>
  <si>
    <t>Overview</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</si>
  <si>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</si>
  <si>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</si>
  <si>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</si>
  <si>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</si>
  <si>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</si>
  <si>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</si>
  <si>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</si>
  <si>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</si>
  <si>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</si>
  <si>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t>Current house value</t>
  </si>
  <si>
    <t>Annual appreciation rate %</t>
  </si>
  <si>
    <t xml:space="preserve">Cost of replacement house if buying another house after sale of existing </t>
  </si>
  <si>
    <t>If you own your home enter the information below. If the house has no mortgage ensure the 'Payment' and 'Payment Frequency' are zero.  The 'Current Value' will be used to calculate future value of your home in conjunction with the 'Annual Appreciation Rate'.  Additional data regarding the house is entered in the 'Housing' tab.  Acess the tab by clicking the pencil icon for this category.</t>
  </si>
  <si>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</si>
  <si>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</si>
  <si>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</si>
  <si>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</si>
  <si>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</si>
  <si>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</si>
  <si>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</si>
  <si>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</si>
  <si>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</si>
  <si>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t xml:space="preserve">The loading of data can take several minutes.  While loading a message is displayed showing the current tab and cell being loaded.  Once the tab has completed the information will be shown in a table below the processing message.  When loading of data is complete the loading of tax table when be performed.  Once this is complete this screen will close and return to the Overview tab.
To complete the loading of data be sure to update the financial information by pressing the green calculator on either the Home or Retire tabs.   </t>
  </si>
  <si>
    <t>Column pairs both must be 1 for dollar amounts to show in colums D - M</t>
  </si>
  <si>
    <t>https://www.ssa.gov/benefits/retirement/planner/taxes.html</t>
  </si>
  <si>
    <t>Payoff amount if house currently has a mortgage</t>
  </si>
  <si>
    <t>R.14 - Income my cause IRMAA adjustments on Medicare costs. Review future year adjusted incomes with the most current IRMAA rates.  Information regarding IRMAA can be found in the Useful Info tab.</t>
  </si>
  <si>
    <t xml:space="preserve">R.13 - No Individual 2 defined but one or more investments are defined as Individual 2 assets.  Review Assets tab, field "Investment Owner".															</t>
  </si>
  <si>
    <t>R.15 - Income my cause IRMAA adjustments on Medicare costs. Review current year adjusted incomes with the most current IRMAA rates.  Information regarding IRMAA can be found in the Useful Info tab.</t>
  </si>
  <si>
    <t xml:space="preserve">Enter monthly incomes from all sources.  The Monthly Amount provided for a source can be Gross or Net.  If using Gross and withdrawals are taken out to pay for items, e.g. medical insurance, be sure to include the amount withdrawn in the budget. Any income can be removed at a specified year.  Two categories Rental and Supplemental do not have monthly amounts defined.  Rental income is calculated from information defined in the Rental tab.  Supplemental income provides the ability to add a one time income such as the sale of a car, and inheritance, etc.  
Most common income tax is at 100% if the income is taxed.  Yet Social Security benefits are taxable at either 0%, 50%, or 85% based on income.  For more information visit the Social Security web site:  </t>
  </si>
  <si>
    <t xml:space="preserve">R.25 - Second year withdrawal amount is significantly different from year one.  Does start income have correct dates. Does Budget have defined adjustements. Ensure income and budget variances are correct.  </t>
  </si>
  <si>
    <t>Settings</t>
  </si>
  <si>
    <t>Update software</t>
  </si>
  <si>
    <r>
      <rPr>
        <sz val="28"/>
        <color theme="1"/>
        <rFont val="Calibri (Body)"/>
      </rPr>
      <t>Retirement Planner</t>
    </r>
    <r>
      <rPr>
        <b/>
        <sz val="28"/>
        <color theme="1"/>
        <rFont val="Calibri"/>
        <family val="2"/>
        <scheme val="minor"/>
      </rPr>
      <t xml:space="preserve">   </t>
    </r>
  </si>
  <si>
    <t>Detailed information for Retirement Planner is available at the following web site and not provided in this spreadsheet.  Clicking the link will open the documentation web site.</t>
  </si>
  <si>
    <r>
      <rPr>
        <sz val="14"/>
        <color theme="1" tint="0.34998626667073579"/>
        <rFont val="Calibri"/>
        <family val="2"/>
        <scheme val="minor"/>
      </rPr>
      <t xml:space="preserve">To aid in upgrading to a new version of the software follow the below defined steps.  This process is the exporting of data from the existing spreadsheet and copying and importing the data into the new spreadsheet.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Settings tab (press green gear in upper right-hand side of Home) and scroll to the bottom.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Settings tab (press green gear in upper right-hand side of Home) and scroll to the bottom.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from the above steps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</si>
  <si>
    <t>retire</t>
  </si>
  <si>
    <t xml:space="preserve">Settings for Retirement Planner and upgrading to a new version of the software.  </t>
  </si>
  <si>
    <t xml:space="preserve">Retirement Planner </t>
  </si>
  <si>
    <t>Version</t>
  </si>
  <si>
    <t>1.1.0</t>
  </si>
  <si>
    <t>First screen</t>
  </si>
  <si>
    <t>Select the first screen to be shown when opening the software.</t>
  </si>
  <si>
    <t>Home screen</t>
  </si>
  <si>
    <t>Display Green Calculator message at startup.</t>
  </si>
  <si>
    <t>Select Y or N to display messsage.</t>
  </si>
  <si>
    <t>You've got to plan for retirement?</t>
  </si>
  <si>
    <t>Plan for the future not the past</t>
  </si>
  <si>
    <t>This software is designed to plan for the future and not track the past. The plan is always created with a current or going forward timeframe. When using this software and entering the target retirement year it must either be the current year or a future year. A target retirement start year prior to this year is not supported and cannot be entered. Even if you retired one or more years in the past the software uses the current year as the starting year for planning purposes.</t>
  </si>
  <si>
    <t>Retirement Planner does not provide any investment strategies or track historical performance of investments.
This software is not intended to replace the value of professional financial advice.</t>
  </si>
  <si>
    <t>Points of control</t>
  </si>
  <si>
    <t xml:space="preserve">Retirement Planner provides three points of control and adjustment along with the financial data entered to create a plan. These points of control are 1) Retirement Year, 2) Average Rate of Return, and 3) Annual Inflation Rate. 
These controls are associated with Individuals, Income, and Expenses. Retirement Planner allows increasing or decreasing these points of control to understand the effects on the retirement plan. In real life some of these factors can be controlled. At other times these factors are out of our control.
</t>
  </si>
  <si>
    <t>Next steps</t>
  </si>
  <si>
    <t>Go to the Overview tab to access the documentation link and sample data and scenarios.   It is recommended to view the documentation web site for information in understanding and using Retirement Planner.</t>
  </si>
  <si>
    <r>
      <t xml:space="preserve">Done by DaveW </t>
    </r>
    <r>
      <rPr>
        <b/>
        <i/>
        <sz val="11"/>
        <color theme="1" tint="0.34998626667073579"/>
        <rFont val="Calibri"/>
        <family val="2"/>
        <scheme val="minor"/>
      </rPr>
      <t>(DbyDW)</t>
    </r>
  </si>
  <si>
    <r>
      <t>Done by DaveW</t>
    </r>
    <r>
      <rPr>
        <b/>
        <i/>
        <sz val="11"/>
        <color theme="1" tint="0.34998626667073579"/>
        <rFont val="Calibri"/>
        <family val="2"/>
        <scheme val="minor"/>
      </rPr>
      <t xml:space="preserve"> (DbyDW)</t>
    </r>
  </si>
  <si>
    <t>Current year</t>
  </si>
  <si>
    <t>Default zoom percent</t>
  </si>
  <si>
    <t>Zoom %</t>
  </si>
  <si>
    <t>Enter the default percent to zoom (100 - 300).</t>
  </si>
  <si>
    <t>Following category titles can be edited</t>
  </si>
  <si>
    <t>Category title</t>
  </si>
  <si>
    <t xml:space="preserve">If you have rental property provide the data below.  The Category Item Id is shown in graphs on the 'Home' tab to and to help identify the property.  
Select the pencil icon to open the 'Rental' tab and to view and enter additional data regarding the property. </t>
  </si>
  <si>
    <t>Source</t>
  </si>
  <si>
    <t>Start year</t>
  </si>
  <si>
    <t>Stop year</t>
  </si>
  <si>
    <t>COLA</t>
  </si>
  <si>
    <t>Percent taxable</t>
  </si>
  <si>
    <r>
      <rPr>
        <sz val="22"/>
        <color theme="1" tint="0.34998626667073579"/>
        <rFont val="Calibri (Body)"/>
      </rPr>
      <t>Planning for retirement shouldn't be dreaded and avoided.</t>
    </r>
    <r>
      <rPr>
        <sz val="18"/>
        <color theme="1" tint="0.34998626667073579"/>
        <rFont val="Calibri"/>
        <family val="2"/>
        <scheme val="minor"/>
      </rPr>
      <t xml:space="preserve">
The most often asked question regarding retirement is "will the money last". Retirement Planner software helps to answer that and other questions. Whether you are early or late in the planning process it needs to be done. The statement "failing to plan is planning to fail" is just as applicable to retirement as it is to other aspects of life. This software can be used to create a forty-year retirement plan.
Many events and aspects of life will impact the quality of retirement. What the future holds for one in retirement is unknown. Yet, one can be prepared and educated about the challenges and opportunities of retirement. A knowledgeable and sound retirement plan will help now and in the future.
Though this software is titled Retirement Planner it can and has been used to assist with making financial decisions for decades before retirement.</t>
    </r>
  </si>
  <si>
    <t>Tax information has changed, press the green button labeled 'Update tax tables' to update tax formula.</t>
  </si>
  <si>
    <t>Annual house appreciation rate %</t>
  </si>
  <si>
    <t>Year purchased (defaults to the same year as the sale year of first house)</t>
  </si>
  <si>
    <t>Replacement House Value (if sale year is defined in Selling Home section above)</t>
  </si>
  <si>
    <t>Year purchased</t>
  </si>
  <si>
    <t>The following is information for the estimated value of a replacement house if purchased when the house is sold.</t>
  </si>
  <si>
    <t>Replacement Hosue</t>
  </si>
  <si>
    <t>This tab provides information regarding the IRS required distribution that must be taken from "BEFORE TAX" investments based on an individuals age.  If monies are not taken there is a significant penalty.  There may be a 50 percent excise tax on the amount not distributed as required﻿, according to the IRS.</t>
  </si>
  <si>
    <t>Start age</t>
  </si>
  <si>
    <t>Id 1</t>
  </si>
  <si>
    <t>Id 2</t>
  </si>
  <si>
    <t>Info for year</t>
  </si>
  <si>
    <t>Retire tab Effective Tax Rate</t>
  </si>
  <si>
    <t>Retire tab Reinvested RMD</t>
  </si>
  <si>
    <t>Retire column Before tax withdrawal</t>
  </si>
  <si>
    <t>Retire column After tax withdrawal</t>
  </si>
  <si>
    <t>Retire column Before tax balance</t>
  </si>
  <si>
    <t>Retire column After tax balance</t>
  </si>
  <si>
    <t>Tab Retire column mapping to VB module CalcualateDiff field name</t>
  </si>
  <si>
    <t>Additional Budget withdrawal needed to meet RMD $</t>
  </si>
  <si>
    <t>Amount Reinvested in After Tax</t>
  </si>
  <si>
    <t>Combined Before Tax Investment Balance</t>
  </si>
  <si>
    <t>Id-1 %</t>
  </si>
  <si>
    <t>Id-2 %</t>
  </si>
  <si>
    <t>Id-1 Required RMD $ Withdrawal</t>
  </si>
  <si>
    <t>Id-2 Required RMD $ Withdrawal</t>
  </si>
  <si>
    <t>Combined RMD $ Withdrawal</t>
  </si>
  <si>
    <t>Amount Added to Adjusted Budget</t>
  </si>
  <si>
    <t>IRS RMD Information</t>
  </si>
  <si>
    <t>RMD % of Bal.</t>
  </si>
  <si>
    <t>RMD Adj.</t>
  </si>
  <si>
    <t xml:space="preserve"> Retirement plan for 40 years beginning with retirement start year.</t>
  </si>
  <si>
    <t>After Tax Related</t>
  </si>
  <si>
    <t>Before Tax Related</t>
  </si>
  <si>
    <t>Age 100</t>
  </si>
  <si>
    <t>Retirement Financials</t>
  </si>
  <si>
    <t>Start plus 40 years</t>
  </si>
  <si>
    <t>Budget Trends</t>
  </si>
  <si>
    <t>Checklist Report</t>
  </si>
  <si>
    <t>House &amp; Rental</t>
  </si>
  <si>
    <t>Start year:</t>
  </si>
  <si>
    <t>End year:</t>
  </si>
  <si>
    <t>First Year Adjustments</t>
  </si>
  <si>
    <t>Click above buttons to switch to the tab</t>
  </si>
  <si>
    <t xml:space="preserve"> Documentation</t>
  </si>
  <si>
    <t xml:space="preserve"> Home</t>
  </si>
  <si>
    <t>Version 1.1.3</t>
  </si>
  <si>
    <r>
      <t xml:space="preserve">Done by DaveW </t>
    </r>
    <r>
      <rPr>
        <b/>
        <i/>
        <sz val="12"/>
        <color theme="1" tint="0.499984740745262"/>
        <rFont val="Calibri"/>
        <family val="2"/>
        <scheme val="minor"/>
      </rPr>
      <t>(DbyDW)</t>
    </r>
  </si>
  <si>
    <r>
      <rPr>
        <b/>
        <sz val="12"/>
        <color theme="1" tint="0.34998626667073579"/>
        <rFont val="Arial"/>
        <family val="2"/>
      </rPr>
      <t>NOTE:</t>
    </r>
    <r>
      <rPr>
        <sz val="12"/>
        <color theme="1" tint="0.34998626667073579"/>
        <rFont val="Arial"/>
        <family val="2"/>
      </rPr>
      <t xml:space="preserve"> If you have added any information in the Notes feature of the Useful Info tab you must copy the Notes data to the new spreadsheet.  The Notes data is not exported and must be copied manually.</t>
    </r>
  </si>
  <si>
    <t>Comments or notes regarding anything can be entered here and saved.</t>
  </si>
  <si>
    <t xml:space="preserve">Enter information that will be saved </t>
  </si>
  <si>
    <t>VEHICLE</t>
  </si>
  <si>
    <t>PERSONAL</t>
  </si>
  <si>
    <t>Vehicle Expenses</t>
  </si>
  <si>
    <t>HOME PAGE GRAPH &amp; REPORT INFO</t>
  </si>
  <si>
    <t>Message Number</t>
  </si>
  <si>
    <t>Slot #1 must start at row 20. Message number is then shown in the Checklist report on the Home tab.</t>
  </si>
  <si>
    <t>Retire tab row #</t>
  </si>
  <si>
    <t>DO NOT MOVE ANY CELL VALUES OR INSERT ROES OR COLUMNS</t>
  </si>
  <si>
    <t>DO NOT MOVE ANY CELL VALUES OR INSERT ANY ROWS OR COLUMNS</t>
  </si>
  <si>
    <t>Checklist report messages</t>
  </si>
  <si>
    <t>Lvl</t>
  </si>
  <si>
    <t>Lvl =</t>
  </si>
  <si>
    <r>
      <t xml:space="preserve">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</si>
  <si>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Property 1 Sale Price</t>
  </si>
  <si>
    <t>Property 2 Sale Price</t>
  </si>
  <si>
    <t>Property 1 Realtor Fees</t>
  </si>
  <si>
    <t>Property 2 Realtor Fees</t>
  </si>
  <si>
    <t>Rental 1 Net Sales</t>
  </si>
  <si>
    <t>Rental 2 Net Sales</t>
  </si>
  <si>
    <t>Balance + Rental Sales</t>
  </si>
  <si>
    <t>Rental 2 
Net Sales $ 
Add to After Tax</t>
  </si>
  <si>
    <t>Rental 1 
Net Sales $ 
Add to After Tax</t>
  </si>
  <si>
    <t>Stopped</t>
  </si>
  <si>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In the Investments section if 'Category Item ID' is blank the line item will </t>
    </r>
    <r>
      <rPr>
        <b/>
        <sz val="14"/>
        <color rgb="FFFF0000"/>
        <rFont val="Calibri (Body)"/>
      </rPr>
      <t>not</t>
    </r>
    <r>
      <rPr>
        <sz val="12"/>
        <color theme="1"/>
        <rFont val="Calibri"/>
        <family val="2"/>
        <scheme val="minor"/>
      </rPr>
      <t xml:space="preserve"> be included.  </t>
    </r>
  </si>
  <si>
    <t>Property 1 
Net Sales $</t>
  </si>
  <si>
    <t>Property 1 
Tax</t>
  </si>
  <si>
    <t>Property 2 
Tax</t>
  </si>
  <si>
    <t>Property 2 Net Sales $</t>
  </si>
  <si>
    <t>Press the Apply zoom button once value is provided.</t>
  </si>
  <si>
    <t xml:space="preserve"> (data imported from Vehicle tab, select pencil to edit)</t>
  </si>
  <si>
    <t xml:space="preserve"> (data imported from Housing tab, select pencil to edit)</t>
  </si>
  <si>
    <t xml:space="preserve"> (data imported from Med-Insur tab, select pencil to edit)</t>
  </si>
  <si>
    <t>Press red and green 
buttons to change values</t>
  </si>
  <si>
    <t>Click icon to view  chart</t>
  </si>
  <si>
    <t>Retirement start year</t>
  </si>
  <si>
    <t>B48</t>
  </si>
  <si>
    <t>B61</t>
  </si>
  <si>
    <t>B73</t>
  </si>
  <si>
    <t>B86</t>
  </si>
  <si>
    <t>B99</t>
  </si>
  <si>
    <t>B113</t>
  </si>
  <si>
    <t>B127</t>
  </si>
  <si>
    <t>B141</t>
  </si>
  <si>
    <t>B155</t>
  </si>
  <si>
    <t>I213</t>
  </si>
  <si>
    <t>R29</t>
  </si>
  <si>
    <t>R30</t>
  </si>
  <si>
    <t>Fun times</t>
  </si>
  <si>
    <t>SUBSCRIPTIONS</t>
  </si>
  <si>
    <t>Audible books</t>
  </si>
  <si>
    <t xml:space="preserve">Video </t>
  </si>
  <si>
    <t>FOOD &amp; DRINK</t>
  </si>
  <si>
    <t>HEALTH</t>
  </si>
  <si>
    <t>Prescription Drugs</t>
  </si>
  <si>
    <t>OTC Drugs</t>
  </si>
  <si>
    <t>Doctor Visits</t>
  </si>
  <si>
    <t>Dentist Visits</t>
  </si>
  <si>
    <t>Streaming TV</t>
  </si>
  <si>
    <t>Zoom factor</t>
  </si>
  <si>
    <t>Show green calc message</t>
  </si>
  <si>
    <t>H6</t>
  </si>
  <si>
    <t>R.18 - Individual 2 is defined but tax status of Single is defined.  Review Individuals tab Income Tax  field "Status".</t>
  </si>
  <si>
    <r>
      <rPr>
        <sz val="14"/>
        <color rgb="FF00B050"/>
        <rFont val="Calibri (Body)"/>
      </rPr>
      <t>Action:</t>
    </r>
    <r>
      <rPr>
        <sz val="14"/>
        <color theme="1" tint="0.34998626667073579"/>
        <rFont val="Calibri"/>
        <family val="2"/>
        <scheme val="minor"/>
      </rPr>
      <t xml:space="preserve">
Review the Selling House seciton of the Housing tab. The Housing tab is accessed from Housing sections of the Assets or Budget tabs. 
The house is planned to be sold in 2050.  Try changing the year sold and generating a new plan to review the impact of this change.  
</t>
    </r>
  </si>
  <si>
    <r>
      <rPr>
        <sz val="14"/>
        <color rgb="FF00B100"/>
        <rFont val="Calibri (Body)"/>
      </rPr>
      <t>Action:</t>
    </r>
    <r>
      <rPr>
        <sz val="14"/>
        <color theme="1" tint="0.34998626667073579"/>
        <rFont val="Calibri"/>
        <family val="2"/>
        <scheme val="minor"/>
      </rPr>
      <t xml:space="preserve">
</t>
    </r>
    <r>
      <rPr>
        <sz val="14"/>
        <color theme="1" tint="0.34998626667073579"/>
        <rFont val="Calibri (Body)"/>
      </rPr>
      <t xml:space="preserve">Review Investment Balance column on the Retire tab.  In the 2062 timeframe monies are not large enough to cover withdrawal needs.
When generating the plan a message is displayed that calculations are stopped once this condition occurs.
</t>
    </r>
  </si>
  <si>
    <r>
      <rPr>
        <sz val="14"/>
        <color rgb="FF00B050"/>
        <rFont val="Calibri (Body)"/>
      </rPr>
      <t>Action:</t>
    </r>
    <r>
      <rPr>
        <sz val="14"/>
        <color theme="1" tint="0.34998626667073579"/>
        <rFont val="Calibri"/>
        <family val="2"/>
        <scheme val="minor"/>
      </rPr>
      <t xml:space="preserve">
Generate the Checklist Report from the Home tab.   Issue R.18 is identified on the report.  On the Individuals tab note the tax filing status of SINGLE is used.  Change this to MARRIED on the Individual tab and create an updated plan.  It is important to ensure the proper tax information is selected.</t>
    </r>
  </si>
  <si>
    <r>
      <rPr>
        <sz val="14"/>
        <color rgb="FF00B050"/>
        <rFont val="Calibri (Body)"/>
      </rPr>
      <t>Action:</t>
    </r>
    <r>
      <rPr>
        <sz val="14"/>
        <color theme="1" tint="0.34998626667073579"/>
        <rFont val="Calibri"/>
        <family val="2"/>
        <scheme val="minor"/>
      </rPr>
      <t xml:space="preserve">
From the Home tab or Retire tab change the Annual Rate-of-Return and/or the Annual Inflation Rate.  Generate an updated plan and notice that small changes in either of these values can have significant impact over multiple years.</t>
    </r>
  </si>
  <si>
    <r>
      <rPr>
        <sz val="14"/>
        <color rgb="FF00B050"/>
        <rFont val="Calibri (Body)"/>
      </rPr>
      <t>Action:</t>
    </r>
    <r>
      <rPr>
        <sz val="14"/>
        <color theme="1" tint="0.34998626667073579"/>
        <rFont val="Calibri"/>
        <family val="2"/>
        <scheme val="minor"/>
      </rPr>
      <t xml:space="preserve">
From the Budget tab notice that the column labeled: (+/-) Monthly Adjust at Retirement has multiple entries. 
At retirement start the expense of house payments and car payments are removed and Med-Insur is increased to cover the Medicare costs.</t>
    </r>
  </si>
  <si>
    <r>
      <rPr>
        <sz val="14"/>
        <color rgb="FF00B050"/>
        <rFont val="Calibri (Body)"/>
      </rPr>
      <t>Action:</t>
    </r>
    <r>
      <rPr>
        <sz val="14"/>
        <color theme="1" tint="0.34998626667073579"/>
        <rFont val="Calibri"/>
        <family val="2"/>
        <scheme val="minor"/>
      </rPr>
      <t xml:space="preserve">
From the Income tab review that two incomes are defined with end years in 2032 and 2034. 
These incomes define the individuals' work income.  Once an individual retires from work the associated income must be stopped.
Use the Year to Start and Year to Stop provide the ability to define a period of time that income is expected. 
</t>
    </r>
  </si>
  <si>
    <r>
      <t xml:space="preserve">Action:
</t>
    </r>
    <r>
      <rPr>
        <sz val="14"/>
        <color theme="1" tint="0.34998626667073579"/>
        <rFont val="Calibri (Body)"/>
      </rPr>
      <t>Molly lives in a city where there is a 1% city tax on all income.  
From either the Individuals tab or the Income tab  click the pencil icon to open the TaxRates tab.  In the upper right-hand portion of the tab is where this City tax is defined.</t>
    </r>
  </si>
  <si>
    <r>
      <rPr>
        <sz val="14"/>
        <color rgb="FF00B100"/>
        <rFont val="Calibri (Body)"/>
      </rPr>
      <t xml:space="preserve">Action:
</t>
    </r>
    <r>
      <rPr>
        <sz val="14"/>
        <color theme="1" tint="0.34998626667073579"/>
        <rFont val="Calibri (Body)"/>
      </rPr>
      <t xml:space="preserve">The current Rate of return is 7%. 
From the Home tab or Retire tab change the Annual Rate-of-Return and/or the Annual Inflation Rate. 
What reduction in monies will happen if the Rate of Return is reduced to 5%?
</t>
    </r>
  </si>
  <si>
    <t>Rent Insurance</t>
  </si>
  <si>
    <t>Source 4</t>
  </si>
  <si>
    <t>Insurance from emp.</t>
  </si>
  <si>
    <t>Books</t>
  </si>
  <si>
    <t>Misc</t>
  </si>
  <si>
    <t>Gifts</t>
  </si>
  <si>
    <t>Health</t>
  </si>
  <si>
    <t>Perscriptions</t>
  </si>
  <si>
    <r>
      <rPr>
        <sz val="14"/>
        <color rgb="FF00B100"/>
        <rFont val="Calibri (Body)"/>
      </rPr>
      <t xml:space="preserve">Molly, single and in her 30's. </t>
    </r>
    <r>
      <rPr>
        <sz val="14"/>
        <color theme="1" tint="0.34998626667073579"/>
        <rFont val="Calibri"/>
        <family val="2"/>
        <scheme val="minor"/>
      </rPr>
      <t xml:space="preserve">
Molly has a small saving account and contributes to a tax deferred saving.  
She rents and has a car payment.   
Molly lives in a city where there is a 1% city tax on all income.</t>
    </r>
  </si>
  <si>
    <r>
      <rPr>
        <sz val="14"/>
        <color rgb="FF00AE56"/>
        <rFont val="Calibri (Body)"/>
      </rPr>
      <t>Action:</t>
    </r>
    <r>
      <rPr>
        <sz val="14"/>
        <color theme="1" tint="0.34998626667073579"/>
        <rFont val="Calibri"/>
        <family val="2"/>
        <scheme val="minor"/>
      </rPr>
      <t xml:space="preserve">
From the Investments section of the Assets tab increase the monthly contribution by $800 per month. Generate an updated plan review the impact of increased savings."	</t>
    </r>
  </si>
  <si>
    <r>
      <rPr>
        <sz val="14"/>
        <color rgb="FF00AE56"/>
        <rFont val="Calibri (Body)"/>
      </rPr>
      <t>Action:</t>
    </r>
    <r>
      <rPr>
        <sz val="14"/>
        <color theme="1" tint="0.34998626667073579"/>
        <rFont val="Calibri"/>
        <family val="2"/>
        <scheme val="minor"/>
      </rPr>
      <t xml:space="preserve">
The current target year to retire is 2052. How much longer will monies be extended if retirement is delayed four years?
From the Home tab or Retire tab change the Retirement Year and create an updated plan. </t>
    </r>
  </si>
  <si>
    <t>TSX</t>
  </si>
  <si>
    <t>Dental Visits</t>
  </si>
  <si>
    <t xml:space="preserve">Prescription </t>
  </si>
  <si>
    <t>Travel</t>
  </si>
  <si>
    <t>Phone Cell 2</t>
  </si>
  <si>
    <t>Rental 1</t>
  </si>
  <si>
    <r>
      <rPr>
        <sz val="14"/>
        <color rgb="FF00B100"/>
        <rFont val="Calibri (Body)"/>
      </rPr>
      <t>Action:</t>
    </r>
    <r>
      <rPr>
        <sz val="14"/>
        <color theme="1" tint="0.34998626667073579"/>
        <rFont val="Calibri"/>
        <family val="2"/>
        <scheme val="minor"/>
      </rPr>
      <t xml:space="preserve">
IRS Required Minimum Distribution (RMD) supplemental withdrawals have occured in multiple years.  
Review the RMD Adj. column of the Retire tab. Notice the cells with dark grey background with an upper-case Y.  These are the years that RMD supplemental monies were withdrawn. Click the 'eye' icon in the heading of the column to view details.</t>
    </r>
  </si>
  <si>
    <r>
      <rPr>
        <sz val="14"/>
        <color rgb="FF00AE56"/>
        <rFont val="Calibri (Body)"/>
      </rPr>
      <t>Action:</t>
    </r>
    <r>
      <rPr>
        <sz val="14"/>
        <color theme="1" tint="0.34998626667073579"/>
        <rFont val="Calibri"/>
        <family val="2"/>
        <scheme val="minor"/>
      </rPr>
      <t xml:space="preserve">
From the Home tab select and view the Retirement Financials chart.  Note the 2030 and 2035 years when the house and rental properties are sold. Lines on the chart for the properties drop and the line for After tax is increased for each year. </t>
    </r>
  </si>
  <si>
    <r>
      <rPr>
        <sz val="14"/>
        <color rgb="FF00AE56"/>
        <rFont val="Calibri (Body)"/>
      </rPr>
      <t>Action:</t>
    </r>
    <r>
      <rPr>
        <sz val="14"/>
        <color theme="1" tint="0.34998626667073579"/>
        <rFont val="Calibri"/>
        <family val="2"/>
        <scheme val="minor"/>
      </rPr>
      <t xml:space="preserve">
From the Home tab select and view the Budget Trends chart.  The chart on the right, Monthly Adjustments, shows the planned adjustments in future years.
These adjustments are entered on the Retire tab in the Single and Multi-year adjustment columns.  The reason for the adjustment is provided in the comments column.</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</si>
  <si>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 xml:space="preserve">They have moderate investments, both are working and contribute to 401Ks.  
They have a mortgage on their home along with two car payments.  
They are planning to retire in the next 10-15 years.  
</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</si>
  <si>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savings with income from Social Security,  pensions, and rental income.  
They are planning to down-size and sell their house in 2030 and sell the rental property in 2035.
</t>
    </r>
  </si>
  <si>
    <r>
      <rPr>
        <sz val="14"/>
        <color rgb="FF00AE56"/>
        <rFont val="Calibri (Body)"/>
      </rPr>
      <t>Action:</t>
    </r>
    <r>
      <rPr>
        <sz val="14"/>
        <color theme="1" tint="0.34998626667073579"/>
        <rFont val="Calibri"/>
        <family val="2"/>
        <scheme val="minor"/>
      </rPr>
      <t xml:space="preserve">
From the Home tab select and view the Checklist report. Issue R.14 has occurred indicating the IRMAA (Income Related Monthly Adjustment Amount) will apply to the Medicare premiums.  
IRMAA is an additional amount that must be paid for Medicare because taxable income is high.  Review the IRMAA report in the Useful Info tab. 
The Budget for Med-Insur has been adjusted for the increase.</t>
    </r>
  </si>
  <si>
    <r>
      <rPr>
        <sz val="14"/>
        <color rgb="FF00AE56"/>
        <rFont val="Calibri (Body)"/>
      </rPr>
      <t>Action:</t>
    </r>
    <r>
      <rPr>
        <sz val="14"/>
        <color theme="1" tint="0.34998626667073579"/>
        <rFont val="Calibri"/>
        <family val="2"/>
        <scheme val="minor"/>
      </rPr>
      <t xml:space="preserve">
From the Home tab select and view the Checklist report. Issue R.25 has occurred.  This message does not require any actions.  It is information to suggest a review of data to ensure it is correct.  
The additional monies withdrawn to meet the RMD has caused the withdrawal amount to increase in year two.  
The second individual has reached the age when the withdrawals must be taken.   </t>
    </r>
  </si>
  <si>
    <r>
      <rPr>
        <b/>
        <sz val="18"/>
        <color theme="1" tint="0.14999847407452621"/>
        <rFont val="Calibri (Body)"/>
      </rPr>
      <t xml:space="preserve"> Learning to use</t>
    </r>
    <r>
      <rPr>
        <b/>
        <i/>
        <sz val="18"/>
        <color theme="1" tint="0.499984740745262"/>
        <rFont val="Calibri"/>
        <family val="2"/>
        <scheme val="minor"/>
      </rPr>
      <t xml:space="preserve">
</t>
    </r>
    <r>
      <rPr>
        <sz val="14"/>
        <color theme="1" tint="0.499984740745262"/>
        <rFont val="Calibri"/>
        <family val="2"/>
        <scheme val="minor"/>
      </rPr>
      <t>The four following scenarios are provided with sample data that can be loaded by pressing the associated Scenario button.  When loading a scenario all existing data will be over-written.  
The data can be modified as desired to evaluate, experiment, and learn how to use Retirement Planner.</t>
    </r>
    <r>
      <rPr>
        <b/>
        <sz val="14"/>
        <color theme="1" tint="0.499984740745262"/>
        <rFont val="Calibri"/>
        <family val="2"/>
        <scheme val="minor"/>
      </rPr>
      <t xml:space="preserve">  </t>
    </r>
    <r>
      <rPr>
        <sz val="14"/>
        <color theme="1" tint="0.499984740745262"/>
        <rFont val="Calibri"/>
        <family val="2"/>
        <scheme val="minor"/>
      </rPr>
      <t xml:space="preserve">By exploring these scenarios and reviewing the suggested actions you will gain familiarity with the software to aid in creating a retirement plan.  
</t>
    </r>
    <r>
      <rPr>
        <b/>
        <sz val="14"/>
        <color theme="1" tint="0.499984740745262"/>
        <rFont val="Calibri"/>
        <family val="2"/>
        <scheme val="minor"/>
      </rPr>
      <t xml:space="preserve">
Click the scenario button to load the associated data.</t>
    </r>
  </si>
  <si>
    <t>Civic</t>
  </si>
  <si>
    <t>Registration</t>
  </si>
  <si>
    <t>EVERYTHING</t>
  </si>
  <si>
    <t>All</t>
  </si>
  <si>
    <r>
      <rPr>
        <sz val="14"/>
        <color rgb="FF00B100"/>
        <rFont val="Calibri (Body)"/>
      </rPr>
      <t>Jason, single in his early 60's.</t>
    </r>
    <r>
      <rPr>
        <sz val="14"/>
        <color theme="1" tint="0.34998626667073579"/>
        <rFont val="Calibri"/>
        <family val="2"/>
        <scheme val="minor"/>
      </rPr>
      <t xml:space="preserve"> 
Jason has small savings with income from Social Security and disability benefits
He rents and has no vehicle payment.  He plans on buying a vehicle in the next two years.
A single line-item amount is used all of the budget.</t>
    </r>
  </si>
  <si>
    <r>
      <rPr>
        <sz val="14"/>
        <color rgb="FF00B100"/>
        <rFont val="Calibri (Body)"/>
      </rPr>
      <t xml:space="preserve">Action:
</t>
    </r>
    <r>
      <rPr>
        <sz val="14"/>
        <color theme="1" tint="0.34998626667073579"/>
        <rFont val="Calibri (Body)"/>
      </rPr>
      <t xml:space="preserve">Review the Income tab, click the eyeball icon to view the detail data. Note the $25,000 of supplemental income in the second year.  This is an expected inheiritance.
</t>
    </r>
    <r>
      <rPr>
        <sz val="14"/>
        <color theme="1" tint="0.34998626667073579"/>
        <rFont val="Calibri"/>
        <family val="2"/>
        <scheme val="minor"/>
      </rPr>
      <t xml:space="preserve">
</t>
    </r>
  </si>
  <si>
    <r>
      <rPr>
        <sz val="14"/>
        <color rgb="FF00B100"/>
        <rFont val="Calibri (Body)"/>
      </rPr>
      <t xml:space="preserve">Action:
</t>
    </r>
    <r>
      <rPr>
        <sz val="14"/>
        <color theme="1" tint="0.34998626667073579"/>
        <rFont val="Calibri (Body)"/>
      </rPr>
      <t xml:space="preserve">Review the Retire tab, and notice the message indicating income exceeded budget needs in one or more years.  This is the result of the $25,000 of supplemental income in the second year.
</t>
    </r>
    <r>
      <rPr>
        <sz val="14"/>
        <color theme="1" tint="0.34998626667073579"/>
        <rFont val="Calibri"/>
        <family val="2"/>
        <scheme val="minor"/>
      </rPr>
      <t xml:space="preserve">
</t>
    </r>
  </si>
  <si>
    <r>
      <rPr>
        <sz val="14"/>
        <color rgb="FF00B100"/>
        <rFont val="Calibri (Body)"/>
      </rPr>
      <t xml:space="preserve">Action:
</t>
    </r>
    <r>
      <rPr>
        <sz val="14"/>
        <color theme="1" tint="0.34998626667073579"/>
        <rFont val="Calibri (Body)"/>
      </rPr>
      <t xml:space="preserve">Review the Retire tab, and notice the Single year adjustments of $400 for four years.  This increase in budget is for a car payment.
</t>
    </r>
    <r>
      <rPr>
        <sz val="14"/>
        <color theme="1" tint="0.34998626667073579"/>
        <rFont val="Calibri"/>
        <family val="2"/>
        <scheme val="minor"/>
      </rPr>
      <t xml:space="preserve">
</t>
    </r>
  </si>
  <si>
    <r>
      <rPr>
        <sz val="14"/>
        <color rgb="FF00B100"/>
        <rFont val="Calibri (Body)"/>
      </rPr>
      <t xml:space="preserve">Action:
</t>
    </r>
    <r>
      <rPr>
        <sz val="14"/>
        <color theme="1" tint="0.34998626667073579"/>
        <rFont val="Calibri (Body)"/>
      </rPr>
      <t>Review the Budget tab, and notice a singleline item is used for the entire monthly budget.  Consider creating additional line-items to breakout rent, food, utilities, etc., to provide better information to for the budget.</t>
    </r>
    <r>
      <rPr>
        <sz val="14"/>
        <color theme="1" tint="0.34998626667073579"/>
        <rFont val="Calibri"/>
        <family val="2"/>
        <scheme val="minor"/>
      </rPr>
      <t xml:space="preserve">
</t>
    </r>
  </si>
  <si>
    <t>Status: Load Scenario 1</t>
  </si>
  <si>
    <t>SingleLouisiana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</si>
</sst>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 numFmtId="178" formatCode="m/d/yyyy;@"/>
  </numFmts>
  <fonts count="204">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name val="Arial"/>
      <family val="2"/>
    </font>
    <font>
      <sz val="22"/>
      <color theme="1"/>
      <name val="Calibri"/>
      <family val="2"/>
      <scheme val="minor"/>
    </font>
    <font>
      <sz val="20"/>
      <name val="Calibri (Body)"/>
    </font>
    <font>
      <sz val="12"/>
      <color rgb="FF9C5700"/>
      <name val="Calibri"/>
      <family val="2"/>
      <scheme val="minor"/>
    </font>
    <font>
      <sz val="16"/>
      <name val="Calibri"/>
      <family val="2"/>
      <scheme val="minor"/>
    </font>
    <font>
      <sz val="10"/>
      <name val="Calibri"/>
      <family val="2"/>
      <scheme val="minor"/>
    </font>
    <font>
      <sz val="28"/>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sz val="18"/>
      <color theme="1" tint="0.34998626667073579"/>
      <name val="Calibri"/>
      <family val="2"/>
      <scheme val="minor"/>
    </font>
    <font>
      <b/>
      <i/>
      <sz val="10"/>
      <name val="Calibri"/>
      <family val="2"/>
      <scheme val="minor"/>
    </font>
    <font>
      <sz val="9"/>
      <color theme="0" tint="-0.499984740745262"/>
      <name val="Calibri"/>
      <family val="2"/>
      <scheme val="minor"/>
    </font>
    <font>
      <sz val="16"/>
      <color theme="1" tint="0.499984740745262"/>
      <name val="Calibri"/>
      <family val="2"/>
      <scheme val="minor"/>
    </font>
    <font>
      <b/>
      <sz val="14"/>
      <color theme="1" tint="0.499984740745262"/>
      <name val="Calibri"/>
      <family val="2"/>
      <scheme val="minor"/>
    </font>
    <font>
      <b/>
      <i/>
      <sz val="18"/>
      <color theme="1" tint="0.499984740745262"/>
      <name val="Calibri"/>
      <family val="2"/>
      <scheme val="minor"/>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sz val="18"/>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sz val="10"/>
      <color rgb="FFFF0000"/>
      <name val="Calibri"/>
      <family val="2"/>
      <scheme val="minor"/>
    </font>
    <font>
      <sz val="12"/>
      <color rgb="FFC00000"/>
      <name val="Calibri"/>
      <family val="2"/>
      <scheme val="minor"/>
    </font>
    <font>
      <sz val="14"/>
      <color theme="1" tint="0.14999847407452621"/>
      <name val="Calibri"/>
      <family val="2"/>
      <scheme val="minor"/>
    </font>
    <font>
      <u/>
      <sz val="18"/>
      <color indexed="12"/>
      <name val="Calibri"/>
      <family val="2"/>
      <scheme val="minor"/>
    </font>
    <font>
      <sz val="12"/>
      <color theme="1" tint="0.34998626667073579"/>
      <name val="Arial"/>
      <family val="2"/>
    </font>
    <font>
      <sz val="24"/>
      <color theme="1" tint="0.34998626667073579"/>
      <name val="Calibri"/>
      <family val="2"/>
      <scheme val="minor"/>
    </font>
    <font>
      <sz val="16"/>
      <color theme="1" tint="0.14999847407452621"/>
      <name val="Calibri"/>
      <family val="2"/>
      <scheme val="minor"/>
    </font>
    <font>
      <b/>
      <sz val="16"/>
      <color theme="1" tint="0.499984740745262"/>
      <name val="Calibri"/>
      <family val="2"/>
      <scheme val="minor"/>
    </font>
    <font>
      <sz val="18"/>
      <name val="Calibri"/>
      <family val="2"/>
      <scheme val="minor"/>
    </font>
    <font>
      <sz val="26"/>
      <name val="Calibri"/>
      <family val="2"/>
      <scheme val="minor"/>
    </font>
    <font>
      <sz val="20"/>
      <name val="Calibri"/>
      <family val="2"/>
      <scheme val="minor"/>
    </font>
    <font>
      <b/>
      <i/>
      <sz val="11"/>
      <color theme="1" tint="0.34998626667073579"/>
      <name val="Calibri"/>
      <family val="2"/>
      <scheme val="minor"/>
    </font>
    <font>
      <sz val="11"/>
      <name val="Arial"/>
      <family val="2"/>
    </font>
    <font>
      <sz val="22"/>
      <color theme="1" tint="0.34998626667073579"/>
      <name val="Calibri (Body)"/>
    </font>
    <font>
      <sz val="26"/>
      <color theme="1" tint="0.34998626667073579"/>
      <name val="Calibri"/>
      <family val="2"/>
      <scheme val="minor"/>
    </font>
    <font>
      <i/>
      <sz val="12"/>
      <color rgb="FFFF0000"/>
      <name val="Calibri"/>
      <family val="2"/>
      <scheme val="minor"/>
    </font>
    <font>
      <sz val="10"/>
      <color rgb="FF000000"/>
      <name val="+mn-lt"/>
      <charset val="1"/>
    </font>
    <font>
      <b/>
      <sz val="14"/>
      <color rgb="FF000000"/>
      <name val="Arial"/>
      <family val="2"/>
    </font>
    <font>
      <b/>
      <i/>
      <sz val="10"/>
      <color theme="0" tint="-0.499984740745262"/>
      <name val="Calibri"/>
      <family val="2"/>
      <scheme val="minor"/>
    </font>
    <font>
      <b/>
      <sz val="18"/>
      <color theme="1" tint="0.14999847407452621"/>
      <name val="Calibri"/>
      <family val="2"/>
    </font>
    <font>
      <b/>
      <sz val="18"/>
      <color theme="1" tint="0.14999847407452621"/>
      <name val="Calibri (Body)"/>
    </font>
    <font>
      <sz val="15"/>
      <color theme="1" tint="0.34998626667073579"/>
      <name val="Calibri"/>
      <family val="2"/>
      <scheme val="minor"/>
    </font>
    <font>
      <b/>
      <sz val="14"/>
      <color rgb="FFFF0000"/>
      <name val="Calibri (Body)"/>
    </font>
    <font>
      <b/>
      <sz val="12"/>
      <color theme="1" tint="0.34998626667073579"/>
      <name val="Arial"/>
      <family val="2"/>
    </font>
    <font>
      <sz val="18"/>
      <color theme="1"/>
      <name val="Calibri"/>
      <family val="2"/>
      <scheme val="minor"/>
    </font>
    <font>
      <b/>
      <sz val="22"/>
      <color rgb="FFFF0000"/>
      <name val="Calibri"/>
      <family val="2"/>
      <scheme val="minor"/>
    </font>
    <font>
      <sz val="11"/>
      <color theme="0" tint="-0.34998626667073579"/>
      <name val="Calibri"/>
      <family val="2"/>
      <scheme val="minor"/>
    </font>
    <font>
      <sz val="14"/>
      <color rgb="FF00B050"/>
      <name val="Calibri (Body)"/>
    </font>
  </fonts>
  <fills count="31">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
      <patternFill patternType="solid">
        <fgColor rgb="FFFFFF00"/>
        <bgColor indexed="64"/>
      </patternFill>
    </fill>
    <fill>
      <patternFill patternType="solid">
        <fgColor theme="9" tint="0.59999389629810485"/>
        <bgColor indexed="64"/>
      </patternFill>
    </fill>
  </fills>
  <borders count="16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diagonal/>
    </border>
    <border>
      <left/>
      <right/>
      <top/>
      <bottom style="dotted">
        <color rgb="FF00B100"/>
      </bottom>
      <diagonal/>
    </border>
    <border>
      <left style="thin">
        <color rgb="FFBFBFBF"/>
      </left>
      <right style="thin">
        <color rgb="FFBFBFBF"/>
      </right>
      <top style="thin">
        <color rgb="FFBFBFBF"/>
      </top>
      <bottom style="thin">
        <color theme="0" tint="-0.249977111117893"/>
      </bottom>
      <diagonal/>
    </border>
    <border>
      <left/>
      <right/>
      <top/>
      <bottom style="double">
        <color theme="0" tint="-0.249977111117893"/>
      </bottom>
      <diagonal/>
    </border>
    <border>
      <left style="thin">
        <color theme="0" tint="-0.249977111117893"/>
      </left>
      <right/>
      <top/>
      <bottom style="thin">
        <color theme="0" tint="-0.34998626667073579"/>
      </bottom>
      <diagonal/>
    </border>
    <border>
      <left style="thick">
        <color rgb="FF01B693"/>
      </left>
      <right style="thick">
        <color rgb="FF01B693"/>
      </right>
      <top/>
      <bottom style="thick">
        <color rgb="FF01B693"/>
      </bottom>
      <diagonal/>
    </border>
    <border>
      <left style="thick">
        <color rgb="FF00B100"/>
      </left>
      <right style="thick">
        <color rgb="FF00B100"/>
      </right>
      <top/>
      <bottom style="thick">
        <color rgb="FF00B100"/>
      </bottom>
      <diagonal/>
    </border>
    <border>
      <left style="thick">
        <color rgb="FFFFC000"/>
      </left>
      <right style="thick">
        <color rgb="FFFFC000"/>
      </right>
      <top/>
      <bottom style="thick">
        <color rgb="FFFFC000"/>
      </bottom>
      <diagonal/>
    </border>
    <border>
      <left style="thick">
        <color rgb="FF00B0F0"/>
      </left>
      <right style="thick">
        <color rgb="FF00B0F0"/>
      </right>
      <top/>
      <bottom style="thick">
        <color rgb="FF00B0F0"/>
      </bottom>
      <diagonal/>
    </border>
    <border>
      <left style="medium">
        <color theme="9" tint="-0.499984740745262"/>
      </left>
      <right style="medium">
        <color theme="9" tint="-0.499984740745262"/>
      </right>
      <top/>
      <bottom style="medium">
        <color theme="9" tint="-0.499984740745262"/>
      </bottom>
      <diagonal/>
    </border>
    <border>
      <left style="thick">
        <color rgb="FFAD49F9"/>
      </left>
      <right style="thick">
        <color rgb="FFAD49F9"/>
      </right>
      <top/>
      <bottom style="thick">
        <color rgb="FFAD49F9"/>
      </bottom>
      <diagonal/>
    </border>
    <border>
      <left style="thin">
        <color theme="0" tint="-0.34998626667073579"/>
      </left>
      <right style="thin">
        <color theme="0" tint="-0.249977111117893"/>
      </right>
      <top style="thin">
        <color theme="0" tint="-0.249977111117893"/>
      </top>
      <bottom/>
      <diagonal/>
    </border>
    <border>
      <left style="thin">
        <color theme="0" tint="-0.34998626667073579"/>
      </left>
      <right style="thin">
        <color theme="0" tint="-0.249977111117893"/>
      </right>
      <top/>
      <bottom/>
      <diagonal/>
    </border>
    <border>
      <left style="thin">
        <color theme="0" tint="-0.34998626667073579"/>
      </left>
      <right style="thin">
        <color theme="0" tint="-0.249977111117893"/>
      </right>
      <top/>
      <bottom style="thin">
        <color theme="0" tint="-0.249977111117893"/>
      </bottom>
      <diagonal/>
    </border>
    <border>
      <left/>
      <right style="medium">
        <color rgb="FFFF5481"/>
      </right>
      <top/>
      <bottom/>
      <diagonal/>
    </border>
    <border>
      <left style="double">
        <color rgb="FF00B100"/>
      </left>
      <right/>
      <top style="thin">
        <color theme="0" tint="-0.34998626667073579"/>
      </top>
      <bottom/>
      <diagonal/>
    </border>
    <border>
      <left/>
      <right style="double">
        <color rgb="FF00B100"/>
      </right>
      <top style="thin">
        <color theme="0" tint="-0.34998626667073579"/>
      </top>
      <bottom/>
      <diagonal/>
    </border>
    <border>
      <left style="double">
        <color rgb="FF00B100"/>
      </left>
      <right/>
      <top style="thin">
        <color theme="0" tint="-0.34998626667073579"/>
      </top>
      <bottom style="thin">
        <color theme="0" tint="-0.34998626667073579"/>
      </bottom>
      <diagonal/>
    </border>
    <border>
      <left/>
      <right style="double">
        <color rgb="FF00B100"/>
      </right>
      <top style="thin">
        <color theme="0" tint="-0.34998626667073579"/>
      </top>
      <bottom style="thin">
        <color theme="0" tint="-0.34998626667073579"/>
      </bottom>
      <diagonal/>
    </border>
    <border>
      <left style="double">
        <color rgb="FF00AE56"/>
      </left>
      <right/>
      <top style="thin">
        <color theme="0" tint="-0.34998626667073579"/>
      </top>
      <bottom style="thin">
        <color theme="0" tint="-0.34998626667073579"/>
      </bottom>
      <diagonal/>
    </border>
  </borders>
  <cellStyleXfs count="308">
    <xf numFmtId="0" fontId="0" fillId="0" borderId="0"/>
    <xf numFmtId="166" fontId="58" fillId="0" borderId="0">
      <alignment horizontal="right"/>
    </xf>
    <xf numFmtId="0" fontId="57" fillId="0" borderId="0" applyNumberFormat="0" applyFill="0" applyBorder="0" applyAlignment="0" applyProtection="0">
      <alignment vertical="top"/>
      <protection locked="0"/>
    </xf>
    <xf numFmtId="9" fontId="59" fillId="0" borderId="0" applyFon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1" fillId="6" borderId="0" applyNumberFormat="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2" fillId="8" borderId="0" applyNumberFormat="0" applyBorder="0" applyAlignment="0" applyProtection="0"/>
    <xf numFmtId="0" fontId="68" fillId="11" borderId="14" applyNumberFormat="0" applyFont="0" applyAlignment="0" applyProtection="0"/>
    <xf numFmtId="0" fontId="56" fillId="12" borderId="0" applyNumberFormat="0" applyBorder="0" applyAlignment="0" applyProtection="0"/>
    <xf numFmtId="0" fontId="135" fillId="21" borderId="115" applyNumberFormat="0" applyAlignment="0" applyProtection="0"/>
    <xf numFmtId="0" fontId="143" fillId="28" borderId="0" applyNumberFormat="0" applyBorder="0" applyAlignment="0" applyProtection="0"/>
  </cellStyleXfs>
  <cellXfs count="2585">
    <xf numFmtId="0" fontId="0" fillId="0" borderId="0" xfId="0"/>
    <xf numFmtId="0" fontId="74" fillId="3" borderId="0" xfId="0" applyFont="1" applyFill="1" applyBorder="1" applyProtection="1"/>
    <xf numFmtId="166" fontId="55" fillId="3" borderId="0" xfId="0" applyNumberFormat="1" applyFont="1" applyFill="1" applyBorder="1" applyAlignment="1">
      <alignment horizontal="center"/>
    </xf>
    <xf numFmtId="0" fontId="55" fillId="3" borderId="0" xfId="0" applyFont="1" applyFill="1" applyBorder="1" applyAlignment="1">
      <alignment vertical="center"/>
    </xf>
    <xf numFmtId="0" fontId="55" fillId="3" borderId="0" xfId="0" applyFont="1" applyFill="1" applyBorder="1"/>
    <xf numFmtId="0" fontId="55" fillId="3" borderId="0" xfId="0" applyFont="1" applyFill="1" applyBorder="1" applyAlignment="1">
      <alignment vertical="top"/>
    </xf>
    <xf numFmtId="0" fontId="55" fillId="3" borderId="0" xfId="0" applyFont="1" applyFill="1" applyBorder="1" applyAlignment="1">
      <alignment horizontal="center" vertical="center"/>
    </xf>
    <xf numFmtId="0" fontId="80" fillId="3" borderId="0" xfId="0" applyFont="1" applyFill="1" applyBorder="1" applyAlignment="1">
      <alignment vertical="center"/>
    </xf>
    <xf numFmtId="172" fontId="55" fillId="3" borderId="0" xfId="0" applyNumberFormat="1" applyFont="1" applyFill="1" applyBorder="1" applyAlignment="1" applyProtection="1">
      <alignment horizontal="center"/>
    </xf>
    <xf numFmtId="165" fontId="55" fillId="3" borderId="0" xfId="1" applyNumberFormat="1" applyFont="1" applyFill="1" applyBorder="1" applyAlignment="1" applyProtection="1">
      <alignment horizontal="center"/>
    </xf>
    <xf numFmtId="0" fontId="55" fillId="3" borderId="0" xfId="0" applyFont="1" applyFill="1" applyBorder="1" applyProtection="1"/>
    <xf numFmtId="165" fontId="55" fillId="3" borderId="0" xfId="1" applyNumberFormat="1" applyFont="1" applyFill="1" applyBorder="1" applyAlignment="1">
      <alignment horizontal="center"/>
    </xf>
    <xf numFmtId="0" fontId="55" fillId="3" borderId="0" xfId="0" applyFont="1" applyFill="1" applyBorder="1" applyAlignment="1">
      <alignment horizontal="center"/>
    </xf>
    <xf numFmtId="0" fontId="55" fillId="3" borderId="0" xfId="0" applyFont="1" applyFill="1" applyBorder="1" applyProtection="1">
      <protection locked="0"/>
    </xf>
    <xf numFmtId="165" fontId="55" fillId="3" borderId="0" xfId="1" applyNumberFormat="1" applyFont="1" applyFill="1" applyBorder="1" applyAlignment="1" applyProtection="1">
      <alignment horizontal="center"/>
      <protection locked="0"/>
    </xf>
    <xf numFmtId="0" fontId="55" fillId="3" borderId="0" xfId="0" applyFont="1" applyFill="1" applyBorder="1" applyAlignment="1"/>
    <xf numFmtId="165" fontId="55" fillId="3" borderId="0" xfId="0" applyNumberFormat="1" applyFont="1" applyFill="1" applyBorder="1" applyAlignment="1">
      <alignment horizontal="center" vertical="center"/>
    </xf>
    <xf numFmtId="0" fontId="55"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55" fillId="16" borderId="0" xfId="0" applyFont="1" applyFill="1" applyBorder="1" applyAlignment="1">
      <alignment vertical="top" wrapText="1"/>
    </xf>
    <xf numFmtId="0" fontId="55" fillId="16" borderId="0" xfId="0" applyFont="1" applyFill="1" applyBorder="1" applyAlignment="1">
      <alignment vertical="top"/>
    </xf>
    <xf numFmtId="0" fontId="55" fillId="16" borderId="0" xfId="0" applyFont="1" applyFill="1" applyBorder="1"/>
    <xf numFmtId="0" fontId="55" fillId="3" borderId="0" xfId="0" applyFont="1" applyFill="1" applyBorder="1" applyAlignment="1">
      <alignment horizontal="left" vertical="center"/>
    </xf>
    <xf numFmtId="0" fontId="82" fillId="3" borderId="0" xfId="0" applyFont="1" applyFill="1" applyBorder="1" applyAlignment="1">
      <alignment horizontal="left"/>
    </xf>
    <xf numFmtId="0" fontId="55" fillId="14" borderId="0" xfId="0" applyFont="1" applyFill="1" applyBorder="1" applyProtection="1">
      <protection locked="0"/>
    </xf>
    <xf numFmtId="0" fontId="55" fillId="3" borderId="35" xfId="0" applyFont="1" applyFill="1" applyBorder="1"/>
    <xf numFmtId="0" fontId="55" fillId="4" borderId="0" xfId="0" applyFont="1" applyFill="1" applyBorder="1" applyAlignment="1">
      <alignment horizontal="center" vertical="center"/>
    </xf>
    <xf numFmtId="0" fontId="55" fillId="14" borderId="0" xfId="0" applyFont="1" applyFill="1" applyBorder="1"/>
    <xf numFmtId="0" fontId="55" fillId="3" borderId="38" xfId="0" applyFont="1" applyFill="1" applyBorder="1" applyAlignment="1" applyProtection="1">
      <alignment horizontal="center"/>
      <protection locked="0"/>
    </xf>
    <xf numFmtId="0" fontId="55" fillId="4" borderId="0" xfId="0" applyFont="1" applyFill="1" applyBorder="1"/>
    <xf numFmtId="165" fontId="55" fillId="14" borderId="0" xfId="0" applyNumberFormat="1" applyFont="1" applyFill="1" applyBorder="1" applyAlignment="1">
      <alignment horizontal="center" vertical="center"/>
    </xf>
    <xf numFmtId="165" fontId="55" fillId="14" borderId="35" xfId="0" applyNumberFormat="1" applyFont="1" applyFill="1" applyBorder="1" applyAlignment="1">
      <alignment horizontal="center" vertical="center"/>
    </xf>
    <xf numFmtId="0" fontId="55" fillId="3" borderId="0" xfId="0" applyFont="1" applyFill="1" applyBorder="1" applyAlignment="1" applyProtection="1">
      <alignment horizontal="left" vertical="center"/>
    </xf>
    <xf numFmtId="165" fontId="55" fillId="3" borderId="0" xfId="0" applyNumberFormat="1" applyFont="1" applyFill="1" applyBorder="1" applyProtection="1"/>
    <xf numFmtId="0" fontId="55" fillId="3" borderId="0" xfId="0" applyFont="1" applyFill="1" applyBorder="1" applyAlignment="1">
      <alignment vertical="center"/>
    </xf>
    <xf numFmtId="0" fontId="55" fillId="17" borderId="0" xfId="0" applyFont="1" applyFill="1" applyBorder="1" applyAlignment="1">
      <alignment vertical="center" wrapText="1"/>
    </xf>
    <xf numFmtId="0" fontId="55" fillId="3" borderId="0" xfId="0" applyFont="1" applyFill="1" applyBorder="1" applyAlignment="1">
      <alignment vertical="center" wrapText="1"/>
    </xf>
    <xf numFmtId="0" fontId="85" fillId="3" borderId="0" xfId="0" applyFont="1" applyFill="1" applyBorder="1"/>
    <xf numFmtId="166" fontId="86" fillId="3" borderId="38" xfId="1" applyFont="1" applyFill="1" applyBorder="1" applyAlignment="1">
      <alignment horizontal="right" indent="1"/>
    </xf>
    <xf numFmtId="166" fontId="86" fillId="3" borderId="0" xfId="0" applyNumberFormat="1" applyFont="1" applyFill="1" applyBorder="1" applyAlignment="1">
      <alignment horizontal="right" indent="1"/>
    </xf>
    <xf numFmtId="166" fontId="86" fillId="14" borderId="38" xfId="1" applyFont="1" applyFill="1" applyBorder="1" applyAlignment="1">
      <alignment horizontal="right" indent="1"/>
    </xf>
    <xf numFmtId="166" fontId="86" fillId="14" borderId="0" xfId="0" applyNumberFormat="1" applyFont="1" applyFill="1" applyBorder="1" applyAlignment="1">
      <alignment horizontal="right" indent="1"/>
    </xf>
    <xf numFmtId="0" fontId="85" fillId="3" borderId="28" xfId="0" applyFont="1" applyFill="1" applyBorder="1" applyAlignment="1">
      <alignment horizontal="right"/>
    </xf>
    <xf numFmtId="0" fontId="55" fillId="3" borderId="28" xfId="0" applyFont="1" applyFill="1" applyBorder="1"/>
    <xf numFmtId="166" fontId="86" fillId="3" borderId="28" xfId="0" applyNumberFormat="1" applyFont="1" applyFill="1" applyBorder="1" applyAlignment="1">
      <alignment horizontal="right" indent="1"/>
    </xf>
    <xf numFmtId="166" fontId="86" fillId="3" borderId="28" xfId="0" applyNumberFormat="1" applyFont="1" applyFill="1" applyBorder="1" applyAlignment="1">
      <alignment horizontal="right" vertical="center" indent="1"/>
    </xf>
    <xf numFmtId="166" fontId="55" fillId="14" borderId="42" xfId="1" applyFont="1" applyFill="1" applyBorder="1" applyAlignment="1" applyProtection="1">
      <alignment horizontal="right" indent="1"/>
      <protection locked="0"/>
    </xf>
    <xf numFmtId="166" fontId="55" fillId="3" borderId="42" xfId="1" applyFont="1" applyFill="1" applyBorder="1" applyAlignment="1" applyProtection="1">
      <alignment horizontal="right" indent="1"/>
      <protection locked="0"/>
    </xf>
    <xf numFmtId="0" fontId="85" fillId="3" borderId="0" xfId="0" applyFont="1" applyFill="1" applyBorder="1" applyAlignment="1">
      <alignment horizontal="left" vertical="center"/>
    </xf>
    <xf numFmtId="0" fontId="86" fillId="3" borderId="37" xfId="0" applyFont="1" applyFill="1" applyBorder="1" applyAlignment="1">
      <alignment horizontal="center" vertical="center"/>
    </xf>
    <xf numFmtId="165" fontId="86" fillId="3" borderId="41" xfId="0" applyNumberFormat="1" applyFont="1" applyFill="1" applyBorder="1" applyAlignment="1">
      <alignment horizontal="center"/>
    </xf>
    <xf numFmtId="0" fontId="86" fillId="17" borderId="37" xfId="0" applyFont="1" applyFill="1" applyBorder="1" applyAlignment="1">
      <alignment horizontal="center" vertical="center"/>
    </xf>
    <xf numFmtId="165" fontId="86" fillId="17" borderId="41" xfId="0" applyNumberFormat="1" applyFont="1" applyFill="1" applyBorder="1" applyAlignment="1">
      <alignment horizontal="center"/>
    </xf>
    <xf numFmtId="0" fontId="86" fillId="17" borderId="36" xfId="0" applyFont="1" applyFill="1" applyBorder="1" applyAlignment="1">
      <alignment horizontal="center" vertical="center"/>
    </xf>
    <xf numFmtId="165" fontId="86" fillId="17" borderId="40" xfId="0" applyNumberFormat="1" applyFont="1" applyFill="1" applyBorder="1" applyAlignment="1">
      <alignment horizontal="center"/>
    </xf>
    <xf numFmtId="0" fontId="86" fillId="3" borderId="45" xfId="0" applyFont="1" applyFill="1" applyBorder="1" applyAlignment="1">
      <alignment horizontal="center"/>
    </xf>
    <xf numFmtId="0" fontId="86" fillId="17" borderId="45" xfId="0" applyFont="1" applyFill="1" applyBorder="1" applyAlignment="1">
      <alignment horizontal="center"/>
    </xf>
    <xf numFmtId="0" fontId="86" fillId="17" borderId="44" xfId="0" applyFont="1" applyFill="1" applyBorder="1" applyAlignment="1">
      <alignment horizontal="center"/>
    </xf>
    <xf numFmtId="1" fontId="86" fillId="3" borderId="46" xfId="0" applyNumberFormat="1" applyFont="1" applyFill="1" applyBorder="1" applyAlignment="1">
      <alignment horizontal="center"/>
    </xf>
    <xf numFmtId="1" fontId="86" fillId="17" borderId="46" xfId="0" applyNumberFormat="1" applyFont="1" applyFill="1" applyBorder="1" applyAlignment="1">
      <alignment horizontal="center"/>
    </xf>
    <xf numFmtId="1" fontId="86" fillId="17" borderId="47" xfId="0" applyNumberFormat="1" applyFont="1" applyFill="1" applyBorder="1" applyAlignment="1">
      <alignment horizontal="center"/>
    </xf>
    <xf numFmtId="165" fontId="86" fillId="3" borderId="46" xfId="0" applyNumberFormat="1" applyFont="1" applyFill="1" applyBorder="1" applyAlignment="1">
      <alignment horizontal="center"/>
    </xf>
    <xf numFmtId="165" fontId="86" fillId="17" borderId="46" xfId="0" applyNumberFormat="1" applyFont="1" applyFill="1" applyBorder="1" applyAlignment="1">
      <alignment horizontal="center"/>
    </xf>
    <xf numFmtId="165" fontId="86" fillId="17" borderId="47" xfId="0" applyNumberFormat="1" applyFont="1" applyFill="1" applyBorder="1" applyAlignment="1">
      <alignment horizontal="center"/>
    </xf>
    <xf numFmtId="0" fontId="74" fillId="3" borderId="0" xfId="0" applyNumberFormat="1" applyFont="1" applyFill="1" applyBorder="1" applyAlignment="1" applyProtection="1"/>
    <xf numFmtId="166" fontId="74" fillId="3" borderId="0" xfId="0" applyNumberFormat="1" applyFont="1" applyFill="1" applyBorder="1" applyAlignment="1" applyProtection="1"/>
    <xf numFmtId="166" fontId="74" fillId="3" borderId="0" xfId="0" applyNumberFormat="1" applyFont="1" applyFill="1" applyBorder="1" applyProtection="1"/>
    <xf numFmtId="0" fontId="55" fillId="3" borderId="0" xfId="0" applyNumberFormat="1" applyFont="1" applyFill="1" applyBorder="1" applyAlignment="1" applyProtection="1">
      <alignment horizontal="right"/>
    </xf>
    <xf numFmtId="0" fontId="74" fillId="3" borderId="0" xfId="0" applyNumberFormat="1" applyFont="1" applyFill="1" applyBorder="1" applyAlignment="1" applyProtection="1">
      <alignment horizontal="right"/>
    </xf>
    <xf numFmtId="0" fontId="79" fillId="3" borderId="0" xfId="0" applyNumberFormat="1" applyFont="1" applyFill="1" applyBorder="1" applyAlignment="1" applyProtection="1"/>
    <xf numFmtId="166" fontId="55" fillId="3" borderId="0" xfId="0" applyNumberFormat="1" applyFont="1" applyFill="1" applyBorder="1" applyProtection="1"/>
    <xf numFmtId="0" fontId="79" fillId="3" borderId="0" xfId="0" applyNumberFormat="1" applyFont="1" applyFill="1" applyBorder="1" applyAlignment="1" applyProtection="1">
      <alignment wrapText="1"/>
    </xf>
    <xf numFmtId="166" fontId="79" fillId="3" borderId="0" xfId="0" applyNumberFormat="1" applyFont="1" applyFill="1" applyBorder="1" applyAlignment="1" applyProtection="1">
      <alignment horizontal="center" wrapText="1"/>
    </xf>
    <xf numFmtId="1" fontId="79" fillId="3" borderId="0" xfId="0" applyNumberFormat="1" applyFont="1" applyFill="1" applyBorder="1" applyAlignment="1" applyProtection="1">
      <alignment horizontal="center" vertical="center" wrapText="1"/>
    </xf>
    <xf numFmtId="0" fontId="79" fillId="3" borderId="0" xfId="0" applyNumberFormat="1" applyFont="1" applyFill="1" applyBorder="1" applyAlignment="1" applyProtection="1">
      <alignment horizontal="center" vertical="center" wrapText="1"/>
    </xf>
    <xf numFmtId="1" fontId="79" fillId="3" borderId="0" xfId="0" applyNumberFormat="1" applyFont="1" applyFill="1" applyBorder="1" applyAlignment="1" applyProtection="1">
      <alignment horizontal="right" vertical="center" wrapText="1"/>
    </xf>
    <xf numFmtId="0" fontId="79" fillId="3" borderId="0" xfId="0" applyNumberFormat="1" applyFont="1" applyFill="1" applyBorder="1" applyAlignment="1" applyProtection="1">
      <alignment vertical="center"/>
    </xf>
    <xf numFmtId="166" fontId="79" fillId="3" borderId="0" xfId="0" applyNumberFormat="1" applyFont="1" applyFill="1" applyBorder="1" applyAlignment="1" applyProtection="1"/>
    <xf numFmtId="166" fontId="90" fillId="3" borderId="0" xfId="0" applyNumberFormat="1" applyFont="1" applyFill="1" applyBorder="1" applyAlignment="1" applyProtection="1">
      <alignment horizontal="right"/>
    </xf>
    <xf numFmtId="0" fontId="79" fillId="3" borderId="0" xfId="0" applyNumberFormat="1" applyFont="1" applyFill="1" applyBorder="1" applyAlignment="1" applyProtection="1">
      <alignment horizontal="right"/>
    </xf>
    <xf numFmtId="0" fontId="79" fillId="3" borderId="0" xfId="0" applyFont="1" applyFill="1" applyBorder="1" applyProtection="1"/>
    <xf numFmtId="1" fontId="79" fillId="3" borderId="0" xfId="0" applyNumberFormat="1" applyFont="1" applyFill="1" applyBorder="1" applyAlignment="1" applyProtection="1">
      <alignment horizontal="center"/>
    </xf>
    <xf numFmtId="166" fontId="79" fillId="3" borderId="0" xfId="0" applyNumberFormat="1" applyFont="1" applyFill="1" applyBorder="1" applyProtection="1"/>
    <xf numFmtId="0" fontId="79" fillId="3" borderId="0" xfId="0" applyNumberFormat="1" applyFont="1" applyFill="1" applyBorder="1" applyAlignment="1" applyProtection="1">
      <alignment horizontal="center" vertical="center"/>
    </xf>
    <xf numFmtId="1" fontId="79" fillId="3" borderId="0" xfId="0" applyNumberFormat="1" applyFont="1" applyFill="1" applyBorder="1" applyAlignment="1" applyProtection="1">
      <alignment horizontal="right" vertical="center"/>
    </xf>
    <xf numFmtId="165" fontId="79" fillId="3" borderId="0" xfId="1" applyNumberFormat="1" applyFont="1" applyFill="1" applyBorder="1">
      <alignment horizontal="right"/>
    </xf>
    <xf numFmtId="165" fontId="79" fillId="3" borderId="0" xfId="0" applyNumberFormat="1" applyFont="1" applyFill="1" applyBorder="1" applyAlignment="1" applyProtection="1">
      <alignment horizontal="right" vertical="center"/>
    </xf>
    <xf numFmtId="166" fontId="79" fillId="7" borderId="0" xfId="0" applyNumberFormat="1" applyFont="1" applyFill="1" applyBorder="1" applyProtection="1"/>
    <xf numFmtId="1" fontId="79" fillId="3" borderId="0" xfId="0" applyNumberFormat="1" applyFont="1" applyFill="1" applyBorder="1" applyAlignment="1" applyProtection="1"/>
    <xf numFmtId="166" fontId="79" fillId="3" borderId="0" xfId="0" applyNumberFormat="1" applyFont="1" applyFill="1" applyBorder="1" applyAlignment="1" applyProtection="1">
      <alignment horizontal="right"/>
    </xf>
    <xf numFmtId="165" fontId="79" fillId="3" borderId="0" xfId="0" applyNumberFormat="1" applyFont="1" applyFill="1" applyBorder="1" applyAlignment="1" applyProtection="1">
      <alignment horizontal="center"/>
    </xf>
    <xf numFmtId="10" fontId="79" fillId="3" borderId="0" xfId="0" applyNumberFormat="1" applyFont="1" applyFill="1" applyBorder="1" applyAlignment="1" applyProtection="1">
      <alignment horizontal="center"/>
    </xf>
    <xf numFmtId="0" fontId="82" fillId="3" borderId="0" xfId="0" applyNumberFormat="1" applyFont="1" applyFill="1" applyBorder="1" applyAlignment="1" applyProtection="1"/>
    <xf numFmtId="0" fontId="86" fillId="7" borderId="0" xfId="0" applyFont="1" applyFill="1" applyBorder="1" applyProtection="1"/>
    <xf numFmtId="0" fontId="86" fillId="7" borderId="0" xfId="0" applyFont="1" applyFill="1" applyBorder="1" applyAlignment="1" applyProtection="1">
      <alignment horizontal="center"/>
    </xf>
    <xf numFmtId="0" fontId="86" fillId="18" borderId="0" xfId="0" applyFont="1" applyFill="1" applyBorder="1" applyProtection="1"/>
    <xf numFmtId="0" fontId="86" fillId="18" borderId="0" xfId="0" applyFont="1" applyFill="1" applyBorder="1" applyAlignment="1" applyProtection="1">
      <alignment horizontal="center"/>
    </xf>
    <xf numFmtId="166" fontId="76" fillId="17" borderId="0" xfId="0" applyNumberFormat="1" applyFont="1" applyFill="1" applyBorder="1" applyProtection="1"/>
    <xf numFmtId="0" fontId="86" fillId="7" borderId="31" xfId="0" applyFont="1" applyFill="1" applyBorder="1" applyProtection="1"/>
    <xf numFmtId="0" fontId="86" fillId="7" borderId="31" xfId="0" applyFont="1" applyFill="1" applyBorder="1" applyAlignment="1" applyProtection="1">
      <alignment horizontal="center"/>
    </xf>
    <xf numFmtId="0" fontId="86" fillId="7" borderId="45" xfId="0" applyFont="1" applyFill="1" applyBorder="1" applyAlignment="1" applyProtection="1">
      <alignment horizontal="center"/>
    </xf>
    <xf numFmtId="0" fontId="86" fillId="18" borderId="45" xfId="0" applyFont="1" applyFill="1" applyBorder="1" applyAlignment="1" applyProtection="1">
      <alignment horizontal="center"/>
    </xf>
    <xf numFmtId="0" fontId="86" fillId="7" borderId="34" xfId="0" applyFont="1" applyFill="1" applyBorder="1" applyAlignment="1" applyProtection="1">
      <alignment horizontal="center"/>
    </xf>
    <xf numFmtId="166" fontId="86" fillId="3" borderId="46" xfId="0" applyNumberFormat="1" applyFont="1" applyFill="1" applyBorder="1" applyAlignment="1" applyProtection="1">
      <alignment horizontal="center"/>
      <protection locked="0"/>
    </xf>
    <xf numFmtId="166" fontId="86" fillId="14" borderId="46" xfId="0" applyNumberFormat="1" applyFont="1" applyFill="1" applyBorder="1" applyAlignment="1" applyProtection="1">
      <alignment horizontal="center"/>
      <protection locked="0"/>
    </xf>
    <xf numFmtId="166" fontId="86" fillId="3" borderId="48" xfId="0" applyNumberFormat="1" applyFont="1" applyFill="1" applyBorder="1" applyAlignment="1" applyProtection="1">
      <alignment horizontal="center"/>
      <protection locked="0"/>
    </xf>
    <xf numFmtId="0" fontId="79" fillId="0" borderId="0" xfId="0" applyNumberFormat="1" applyFont="1" applyFill="1" applyBorder="1" applyAlignment="1" applyProtection="1">
      <alignment wrapText="1"/>
    </xf>
    <xf numFmtId="0" fontId="76" fillId="0" borderId="0" xfId="0" applyNumberFormat="1" applyFont="1" applyFill="1" applyBorder="1" applyAlignment="1" applyProtection="1">
      <alignment horizontal="center" vertical="center" wrapText="1"/>
    </xf>
    <xf numFmtId="166" fontId="76" fillId="0" borderId="0" xfId="0" applyNumberFormat="1" applyFont="1" applyFill="1" applyBorder="1" applyAlignment="1" applyProtection="1">
      <alignment horizontal="center" vertical="center" wrapText="1"/>
    </xf>
    <xf numFmtId="166" fontId="79" fillId="0" borderId="0" xfId="0" applyNumberFormat="1" applyFont="1" applyFill="1" applyBorder="1" applyAlignment="1" applyProtection="1">
      <alignment horizontal="center" wrapText="1"/>
    </xf>
    <xf numFmtId="1" fontId="79" fillId="0" borderId="0" xfId="0" applyNumberFormat="1" applyFont="1" applyFill="1" applyBorder="1" applyAlignment="1" applyProtection="1">
      <alignment horizontal="center" vertical="center" wrapText="1"/>
    </xf>
    <xf numFmtId="0" fontId="79" fillId="0" borderId="0" xfId="0" applyNumberFormat="1" applyFont="1" applyFill="1" applyBorder="1" applyAlignment="1" applyProtection="1">
      <alignment horizontal="center" vertical="center" wrapText="1"/>
    </xf>
    <xf numFmtId="1" fontId="79" fillId="0" borderId="0" xfId="0" applyNumberFormat="1" applyFont="1" applyFill="1" applyBorder="1" applyAlignment="1" applyProtection="1">
      <alignment horizontal="right" vertical="center" wrapText="1"/>
    </xf>
    <xf numFmtId="166" fontId="55" fillId="17" borderId="0" xfId="0" applyNumberFormat="1" applyFont="1" applyFill="1" applyBorder="1" applyAlignment="1" applyProtection="1"/>
    <xf numFmtId="1" fontId="55" fillId="17" borderId="0" xfId="0" applyNumberFormat="1" applyFont="1" applyFill="1" applyBorder="1" applyAlignment="1" applyProtection="1">
      <alignment horizontal="center"/>
    </xf>
    <xf numFmtId="166" fontId="55" fillId="17" borderId="0" xfId="0" applyNumberFormat="1" applyFont="1" applyFill="1" applyBorder="1" applyProtection="1"/>
    <xf numFmtId="0" fontId="92" fillId="7" borderId="0" xfId="0" applyFont="1" applyFill="1" applyBorder="1" applyProtection="1"/>
    <xf numFmtId="0" fontId="92" fillId="7" borderId="0" xfId="0" applyFont="1" applyFill="1" applyBorder="1" applyAlignment="1" applyProtection="1">
      <alignment horizontal="center"/>
    </xf>
    <xf numFmtId="166" fontId="92" fillId="7" borderId="46" xfId="0" applyNumberFormat="1" applyFont="1" applyFill="1" applyBorder="1" applyProtection="1"/>
    <xf numFmtId="166" fontId="92" fillId="18" borderId="46" xfId="0" applyNumberFormat="1" applyFont="1" applyFill="1" applyBorder="1" applyProtection="1"/>
    <xf numFmtId="166" fontId="92" fillId="7" borderId="48" xfId="0" applyNumberFormat="1" applyFont="1" applyFill="1" applyBorder="1" applyProtection="1"/>
    <xf numFmtId="166" fontId="92" fillId="3" borderId="0" xfId="0" applyNumberFormat="1" applyFont="1" applyFill="1" applyBorder="1" applyProtection="1"/>
    <xf numFmtId="166" fontId="79" fillId="3" borderId="0" xfId="0" applyNumberFormat="1" applyFont="1" applyFill="1" applyBorder="1" applyAlignment="1" applyProtection="1">
      <alignment vertical="top"/>
    </xf>
    <xf numFmtId="166" fontId="92" fillId="3" borderId="0" xfId="0" applyNumberFormat="1" applyFont="1" applyFill="1" applyBorder="1" applyAlignment="1" applyProtection="1">
      <alignment vertical="top"/>
    </xf>
    <xf numFmtId="0" fontId="92" fillId="18" borderId="0" xfId="0" applyFont="1" applyFill="1" applyBorder="1" applyProtection="1"/>
    <xf numFmtId="0" fontId="92" fillId="18" borderId="0" xfId="0" applyFont="1" applyFill="1" applyBorder="1" applyAlignment="1" applyProtection="1">
      <alignment horizontal="center"/>
    </xf>
    <xf numFmtId="0" fontId="92" fillId="7" borderId="31" xfId="0" applyFont="1" applyFill="1" applyBorder="1" applyProtection="1"/>
    <xf numFmtId="0" fontId="92" fillId="7" borderId="31" xfId="0" applyFont="1" applyFill="1" applyBorder="1" applyAlignment="1" applyProtection="1">
      <alignment horizontal="center"/>
    </xf>
    <xf numFmtId="0" fontId="92" fillId="7" borderId="45" xfId="0" applyFont="1" applyFill="1" applyBorder="1" applyAlignment="1" applyProtection="1">
      <alignment horizontal="center"/>
    </xf>
    <xf numFmtId="0" fontId="92" fillId="18" borderId="45" xfId="0" applyFont="1" applyFill="1" applyBorder="1" applyAlignment="1" applyProtection="1">
      <alignment horizontal="center"/>
    </xf>
    <xf numFmtId="0" fontId="92" fillId="7" borderId="34" xfId="0" applyFont="1" applyFill="1" applyBorder="1" applyAlignment="1" applyProtection="1">
      <alignment horizontal="center"/>
    </xf>
    <xf numFmtId="166" fontId="92" fillId="3" borderId="46" xfId="0" applyNumberFormat="1" applyFont="1" applyFill="1" applyBorder="1" applyAlignment="1" applyProtection="1">
      <alignment horizontal="center"/>
      <protection locked="0"/>
    </xf>
    <xf numFmtId="166" fontId="92" fillId="14" borderId="46" xfId="0" applyNumberFormat="1" applyFont="1" applyFill="1" applyBorder="1" applyAlignment="1" applyProtection="1">
      <alignment horizontal="center"/>
      <protection locked="0"/>
    </xf>
    <xf numFmtId="166" fontId="92" fillId="3" borderId="48" xfId="0" applyNumberFormat="1" applyFont="1" applyFill="1" applyBorder="1" applyAlignment="1" applyProtection="1">
      <alignment horizontal="center"/>
      <protection locked="0"/>
    </xf>
    <xf numFmtId="166" fontId="88" fillId="4" borderId="0" xfId="0" applyNumberFormat="1" applyFont="1" applyFill="1" applyBorder="1" applyAlignment="1" applyProtection="1">
      <alignment horizontal="center" vertical="center" wrapText="1"/>
    </xf>
    <xf numFmtId="166" fontId="55" fillId="7" borderId="0" xfId="0" applyNumberFormat="1" applyFont="1" applyFill="1" applyBorder="1" applyProtection="1"/>
    <xf numFmtId="166" fontId="55" fillId="3" borderId="0" xfId="0" applyNumberFormat="1" applyFont="1" applyFill="1" applyBorder="1" applyAlignment="1" applyProtection="1">
      <alignment horizontal="center"/>
      <protection locked="0"/>
    </xf>
    <xf numFmtId="0" fontId="55" fillId="3" borderId="31" xfId="0" applyFont="1" applyFill="1" applyBorder="1" applyProtection="1">
      <protection locked="0"/>
    </xf>
    <xf numFmtId="1" fontId="55" fillId="3" borderId="46" xfId="0" applyNumberFormat="1" applyFont="1" applyFill="1" applyBorder="1" applyAlignment="1" applyProtection="1">
      <alignment horizontal="center"/>
      <protection locked="0"/>
    </xf>
    <xf numFmtId="1" fontId="55" fillId="3" borderId="48" xfId="0" applyNumberFormat="1" applyFont="1" applyFill="1" applyBorder="1" applyAlignment="1" applyProtection="1">
      <alignment horizontal="center"/>
      <protection locked="0"/>
    </xf>
    <xf numFmtId="166" fontId="55" fillId="3" borderId="46" xfId="0" applyNumberFormat="1" applyFont="1" applyFill="1" applyBorder="1" applyProtection="1">
      <protection locked="0"/>
    </xf>
    <xf numFmtId="166" fontId="55" fillId="3" borderId="48" xfId="0" applyNumberFormat="1" applyFont="1" applyFill="1" applyBorder="1" applyProtection="1">
      <protection locked="0"/>
    </xf>
    <xf numFmtId="166" fontId="55" fillId="3" borderId="46" xfId="0" applyNumberFormat="1" applyFont="1" applyFill="1" applyBorder="1" applyAlignment="1" applyProtection="1">
      <alignment horizontal="center"/>
      <protection locked="0"/>
    </xf>
    <xf numFmtId="166" fontId="55" fillId="3" borderId="48" xfId="0" applyNumberFormat="1" applyFont="1" applyFill="1" applyBorder="1" applyAlignment="1" applyProtection="1">
      <alignment horizontal="center"/>
      <protection locked="0"/>
    </xf>
    <xf numFmtId="1" fontId="55" fillId="14" borderId="46" xfId="0" applyNumberFormat="1" applyFont="1" applyFill="1" applyBorder="1" applyAlignment="1" applyProtection="1">
      <alignment horizontal="center"/>
      <protection locked="0"/>
    </xf>
    <xf numFmtId="166" fontId="55" fillId="14" borderId="46" xfId="0" applyNumberFormat="1" applyFont="1" applyFill="1" applyBorder="1" applyProtection="1">
      <protection locked="0"/>
    </xf>
    <xf numFmtId="166" fontId="55" fillId="14" borderId="46" xfId="0" applyNumberFormat="1" applyFont="1" applyFill="1" applyBorder="1" applyAlignment="1" applyProtection="1">
      <alignment horizontal="center"/>
      <protection locked="0"/>
    </xf>
    <xf numFmtId="166" fontId="91" fillId="17" borderId="0" xfId="0" applyNumberFormat="1" applyFont="1" applyFill="1" applyBorder="1" applyProtection="1"/>
    <xf numFmtId="1" fontId="91" fillId="17" borderId="0" xfId="0" applyNumberFormat="1" applyFont="1" applyFill="1" applyBorder="1" applyAlignment="1" applyProtection="1">
      <alignment horizontal="left"/>
    </xf>
    <xf numFmtId="1" fontId="91" fillId="17" borderId="0" xfId="0" applyNumberFormat="1" applyFont="1" applyFill="1" applyBorder="1" applyAlignment="1" applyProtection="1">
      <alignment horizontal="left" vertical="center"/>
    </xf>
    <xf numFmtId="1" fontId="55" fillId="3" borderId="0" xfId="0" applyNumberFormat="1" applyFont="1" applyFill="1" applyBorder="1" applyAlignment="1" applyProtection="1">
      <alignment horizontal="center"/>
    </xf>
    <xf numFmtId="0" fontId="55" fillId="3" borderId="0" xfId="0" applyFont="1" applyFill="1" applyBorder="1" applyAlignment="1" applyProtection="1">
      <alignment horizontal="center"/>
    </xf>
    <xf numFmtId="166" fontId="55" fillId="14" borderId="0" xfId="0" applyNumberFormat="1" applyFont="1" applyFill="1" applyBorder="1" applyAlignment="1" applyProtection="1">
      <alignment horizontal="center"/>
      <protection locked="0"/>
    </xf>
    <xf numFmtId="0" fontId="55" fillId="14" borderId="31" xfId="0" applyFont="1" applyFill="1" applyBorder="1" applyProtection="1">
      <protection locked="0"/>
    </xf>
    <xf numFmtId="1" fontId="55" fillId="14" borderId="48" xfId="0" applyNumberFormat="1" applyFont="1" applyFill="1" applyBorder="1" applyAlignment="1" applyProtection="1">
      <alignment horizontal="center"/>
      <protection locked="0"/>
    </xf>
    <xf numFmtId="166" fontId="55" fillId="14" borderId="48" xfId="0" applyNumberFormat="1" applyFont="1" applyFill="1" applyBorder="1" applyProtection="1">
      <protection locked="0"/>
    </xf>
    <xf numFmtId="166" fontId="92" fillId="18" borderId="48" xfId="0" applyNumberFormat="1" applyFont="1" applyFill="1" applyBorder="1" applyProtection="1"/>
    <xf numFmtId="166" fontId="55" fillId="3" borderId="0" xfId="0" applyNumberFormat="1" applyFont="1" applyFill="1" applyBorder="1" applyAlignment="1" applyProtection="1">
      <alignment vertical="top"/>
    </xf>
    <xf numFmtId="166" fontId="92" fillId="3" borderId="0" xfId="0" applyNumberFormat="1" applyFont="1" applyFill="1" applyBorder="1" applyAlignment="1" applyProtection="1">
      <alignment horizontal="right" vertical="top"/>
    </xf>
    <xf numFmtId="1" fontId="55" fillId="3" borderId="46" xfId="0" applyNumberFormat="1" applyFont="1" applyFill="1" applyBorder="1" applyAlignment="1" applyProtection="1">
      <alignment horizontal="center" vertical="center"/>
      <protection locked="0"/>
    </xf>
    <xf numFmtId="166" fontId="55" fillId="3" borderId="46" xfId="0" applyNumberFormat="1" applyFont="1" applyFill="1" applyBorder="1" applyAlignment="1" applyProtection="1">
      <alignment vertical="center"/>
      <protection locked="0"/>
    </xf>
    <xf numFmtId="166" fontId="92" fillId="7" borderId="46" xfId="0" applyNumberFormat="1" applyFont="1" applyFill="1" applyBorder="1" applyAlignment="1" applyProtection="1">
      <alignment vertical="center"/>
    </xf>
    <xf numFmtId="0" fontId="55" fillId="14" borderId="0" xfId="0" applyFont="1" applyFill="1" applyBorder="1" applyAlignment="1" applyProtection="1">
      <alignment vertical="center"/>
      <protection locked="0"/>
    </xf>
    <xf numFmtId="1" fontId="55" fillId="14" borderId="46" xfId="0" applyNumberFormat="1" applyFont="1" applyFill="1" applyBorder="1" applyAlignment="1" applyProtection="1">
      <alignment horizontal="center" vertical="center"/>
      <protection locked="0"/>
    </xf>
    <xf numFmtId="166" fontId="55" fillId="14" borderId="46" xfId="0" applyNumberFormat="1" applyFont="1" applyFill="1" applyBorder="1" applyAlignment="1" applyProtection="1">
      <alignment vertical="center"/>
      <protection locked="0"/>
    </xf>
    <xf numFmtId="166" fontId="92" fillId="18" borderId="46" xfId="0" applyNumberFormat="1" applyFont="1" applyFill="1" applyBorder="1" applyAlignment="1" applyProtection="1">
      <alignment vertical="center"/>
    </xf>
    <xf numFmtId="166" fontId="55" fillId="14" borderId="46" xfId="0" applyNumberFormat="1" applyFont="1" applyFill="1" applyBorder="1" applyAlignment="1" applyProtection="1">
      <alignment horizontal="center" vertical="center"/>
      <protection locked="0"/>
    </xf>
    <xf numFmtId="0" fontId="55" fillId="3" borderId="31" xfId="0" applyFont="1" applyFill="1" applyBorder="1" applyAlignment="1" applyProtection="1">
      <alignment vertical="center"/>
      <protection locked="0"/>
    </xf>
    <xf numFmtId="1" fontId="55" fillId="3" borderId="48" xfId="0" applyNumberFormat="1" applyFont="1" applyFill="1" applyBorder="1" applyAlignment="1" applyProtection="1">
      <alignment horizontal="center" vertical="center"/>
      <protection locked="0"/>
    </xf>
    <xf numFmtId="166" fontId="55" fillId="3" borderId="48" xfId="0" applyNumberFormat="1" applyFont="1" applyFill="1" applyBorder="1" applyAlignment="1" applyProtection="1">
      <alignment vertical="center"/>
      <protection locked="0"/>
    </xf>
    <xf numFmtId="166" fontId="92" fillId="7" borderId="48" xfId="0" applyNumberFormat="1" applyFont="1" applyFill="1" applyBorder="1" applyAlignment="1" applyProtection="1">
      <alignment vertical="center"/>
    </xf>
    <xf numFmtId="166" fontId="55" fillId="3" borderId="48" xfId="0" applyNumberFormat="1" applyFont="1" applyFill="1" applyBorder="1" applyAlignment="1" applyProtection="1">
      <alignment horizontal="center" vertical="center"/>
      <protection locked="0"/>
    </xf>
    <xf numFmtId="0" fontId="92" fillId="7" borderId="46" xfId="0" applyFont="1" applyFill="1" applyBorder="1" applyAlignment="1" applyProtection="1">
      <alignment vertical="center"/>
    </xf>
    <xf numFmtId="0" fontId="92" fillId="7" borderId="46" xfId="0" applyFont="1" applyFill="1" applyBorder="1" applyAlignment="1" applyProtection="1">
      <alignment horizontal="center" vertical="center"/>
    </xf>
    <xf numFmtId="166" fontId="92" fillId="3" borderId="46" xfId="1" applyFont="1" applyFill="1" applyBorder="1" applyAlignment="1" applyProtection="1">
      <alignment horizontal="right" vertical="center"/>
    </xf>
    <xf numFmtId="166" fontId="92" fillId="3" borderId="46" xfId="0" applyNumberFormat="1" applyFont="1" applyFill="1" applyBorder="1" applyAlignment="1" applyProtection="1">
      <alignment horizontal="center" vertical="center"/>
      <protection locked="0"/>
    </xf>
    <xf numFmtId="0" fontId="92" fillId="18" borderId="46" xfId="0" applyFont="1" applyFill="1" applyBorder="1" applyAlignment="1" applyProtection="1">
      <alignment vertical="center"/>
    </xf>
    <xf numFmtId="0" fontId="92" fillId="18" borderId="46" xfId="0" applyFont="1" applyFill="1" applyBorder="1" applyAlignment="1" applyProtection="1">
      <alignment horizontal="center" vertical="center"/>
    </xf>
    <xf numFmtId="166" fontId="92" fillId="14" borderId="46" xfId="1" applyFont="1" applyFill="1" applyBorder="1" applyAlignment="1" applyProtection="1">
      <alignment horizontal="right" vertical="center"/>
    </xf>
    <xf numFmtId="166" fontId="92" fillId="14" borderId="46" xfId="0" applyNumberFormat="1" applyFont="1" applyFill="1" applyBorder="1" applyAlignment="1" applyProtection="1">
      <alignment horizontal="center" vertical="center"/>
      <protection locked="0"/>
    </xf>
    <xf numFmtId="0" fontId="92" fillId="7" borderId="48" xfId="0" applyFont="1" applyFill="1" applyBorder="1" applyAlignment="1" applyProtection="1">
      <alignment vertical="center"/>
    </xf>
    <xf numFmtId="0" fontId="92" fillId="7" borderId="48" xfId="0" applyFont="1" applyFill="1" applyBorder="1" applyAlignment="1" applyProtection="1">
      <alignment horizontal="center" vertical="center"/>
    </xf>
    <xf numFmtId="166" fontId="92" fillId="3" borderId="48" xfId="1" applyFont="1" applyFill="1" applyBorder="1" applyAlignment="1" applyProtection="1">
      <alignment horizontal="right" vertical="center"/>
    </xf>
    <xf numFmtId="166" fontId="92" fillId="3" borderId="48" xfId="0" applyNumberFormat="1" applyFont="1" applyFill="1" applyBorder="1" applyAlignment="1" applyProtection="1">
      <alignment horizontal="center" vertical="center"/>
      <protection locked="0"/>
    </xf>
    <xf numFmtId="166" fontId="92" fillId="7" borderId="45" xfId="0" applyNumberFormat="1" applyFont="1" applyFill="1" applyBorder="1" applyProtection="1"/>
    <xf numFmtId="166" fontId="92" fillId="18" borderId="45" xfId="0" applyNumberFormat="1" applyFont="1" applyFill="1" applyBorder="1" applyProtection="1"/>
    <xf numFmtId="166" fontId="92" fillId="7" borderId="34" xfId="0" applyNumberFormat="1" applyFont="1" applyFill="1" applyBorder="1" applyProtection="1"/>
    <xf numFmtId="0" fontId="79" fillId="3" borderId="0" xfId="0" applyNumberFormat="1" applyFont="1" applyFill="1" applyBorder="1" applyAlignment="1" applyProtection="1">
      <alignment vertical="top"/>
    </xf>
    <xf numFmtId="166" fontId="55" fillId="7" borderId="0" xfId="0" applyNumberFormat="1" applyFont="1" applyFill="1" applyBorder="1" applyAlignment="1" applyProtection="1">
      <alignment vertical="top"/>
    </xf>
    <xf numFmtId="1" fontId="55" fillId="3" borderId="0" xfId="0" applyNumberFormat="1" applyFont="1" applyFill="1" applyBorder="1" applyAlignment="1" applyProtection="1">
      <alignment horizontal="center" vertical="top"/>
    </xf>
    <xf numFmtId="165" fontId="79" fillId="3" borderId="0" xfId="1" applyNumberFormat="1" applyFont="1" applyFill="1" applyBorder="1" applyAlignment="1">
      <alignment horizontal="right" vertical="top"/>
    </xf>
    <xf numFmtId="0" fontId="79" fillId="3" borderId="0" xfId="0" applyNumberFormat="1" applyFont="1" applyFill="1" applyBorder="1" applyAlignment="1" applyProtection="1">
      <alignment horizontal="right" vertical="top"/>
    </xf>
    <xf numFmtId="166" fontId="92" fillId="17" borderId="0" xfId="0" applyNumberFormat="1" applyFont="1" applyFill="1" applyBorder="1" applyProtection="1"/>
    <xf numFmtId="166" fontId="92" fillId="17" borderId="0" xfId="0" applyNumberFormat="1" applyFont="1" applyFill="1" applyBorder="1" applyAlignment="1" applyProtection="1"/>
    <xf numFmtId="166" fontId="92" fillId="3" borderId="0" xfId="0" applyNumberFormat="1" applyFont="1" applyFill="1" applyBorder="1" applyAlignment="1" applyProtection="1"/>
    <xf numFmtId="165" fontId="92" fillId="3" borderId="34" xfId="0" applyNumberFormat="1" applyFont="1" applyFill="1" applyBorder="1" applyAlignment="1" applyProtection="1">
      <alignment horizontal="center"/>
    </xf>
    <xf numFmtId="165" fontId="92" fillId="3" borderId="48" xfId="0" applyNumberFormat="1" applyFont="1" applyFill="1" applyBorder="1" applyAlignment="1" applyProtection="1">
      <alignment horizontal="center"/>
    </xf>
    <xf numFmtId="0" fontId="69" fillId="3" borderId="0" xfId="0" applyNumberFormat="1" applyFont="1" applyFill="1" applyBorder="1" applyAlignment="1" applyProtection="1"/>
    <xf numFmtId="0" fontId="69" fillId="3" borderId="0" xfId="0" applyNumberFormat="1" applyFont="1" applyFill="1" applyBorder="1" applyAlignment="1" applyProtection="1">
      <alignment horizontal="center" vertical="top"/>
    </xf>
    <xf numFmtId="0" fontId="94" fillId="3" borderId="0" xfId="0" applyFont="1" applyFill="1" applyBorder="1" applyAlignment="1">
      <alignment vertical="top"/>
    </xf>
    <xf numFmtId="0" fontId="55" fillId="3" borderId="0" xfId="303" applyFont="1" applyFill="1" applyBorder="1" applyAlignment="1" applyProtection="1">
      <alignment horizontal="center" vertical="center"/>
    </xf>
    <xf numFmtId="0" fontId="82" fillId="3" borderId="0" xfId="0" applyFont="1" applyFill="1" applyBorder="1" applyProtection="1"/>
    <xf numFmtId="0" fontId="81" fillId="3" borderId="0" xfId="0" applyFont="1" applyFill="1" applyBorder="1" applyAlignment="1" applyProtection="1">
      <alignment vertical="top"/>
    </xf>
    <xf numFmtId="0" fontId="55" fillId="3" borderId="0" xfId="0" applyFont="1" applyFill="1" applyBorder="1" applyAlignment="1" applyProtection="1">
      <alignment horizontal="left" vertical="top" wrapText="1"/>
    </xf>
    <xf numFmtId="166" fontId="55" fillId="3" borderId="0" xfId="1" applyFont="1" applyFill="1" applyBorder="1" applyAlignment="1" applyProtection="1">
      <alignment horizontal="center" vertical="center"/>
    </xf>
    <xf numFmtId="0" fontId="55" fillId="17" borderId="0" xfId="0" applyFont="1" applyFill="1" applyBorder="1" applyAlignment="1" applyProtection="1">
      <alignment vertical="center"/>
    </xf>
    <xf numFmtId="0" fontId="88" fillId="4" borderId="0" xfId="0" applyFont="1" applyFill="1" applyBorder="1" applyAlignment="1" applyProtection="1">
      <alignment horizontal="center" vertical="center"/>
    </xf>
    <xf numFmtId="166" fontId="55" fillId="3" borderId="46" xfId="1" applyFont="1" applyFill="1" applyBorder="1" applyAlignment="1" applyProtection="1">
      <alignment horizontal="right" vertical="center"/>
      <protection locked="0"/>
    </xf>
    <xf numFmtId="0" fontId="86" fillId="3" borderId="46" xfId="0" applyFont="1" applyFill="1" applyBorder="1" applyAlignment="1" applyProtection="1">
      <alignment horizontal="center" vertical="center"/>
    </xf>
    <xf numFmtId="166" fontId="86" fillId="3" borderId="45" xfId="0" applyNumberFormat="1" applyFont="1" applyFill="1" applyBorder="1" applyAlignment="1" applyProtection="1">
      <alignment horizontal="right" vertical="center"/>
    </xf>
    <xf numFmtId="166" fontId="86" fillId="3" borderId="0" xfId="0" applyNumberFormat="1" applyFont="1" applyFill="1" applyBorder="1" applyAlignment="1" applyProtection="1">
      <alignment horizontal="right" vertical="center"/>
    </xf>
    <xf numFmtId="49" fontId="86" fillId="3" borderId="46" xfId="0" applyNumberFormat="1" applyFont="1" applyFill="1" applyBorder="1" applyAlignment="1" applyProtection="1">
      <alignment vertical="center"/>
    </xf>
    <xf numFmtId="166" fontId="55" fillId="3" borderId="0" xfId="0" applyNumberFormat="1" applyFont="1" applyFill="1" applyBorder="1" applyAlignment="1" applyProtection="1">
      <alignment horizontal="center" vertical="center"/>
    </xf>
    <xf numFmtId="166" fontId="55" fillId="14" borderId="46" xfId="1" applyFont="1" applyFill="1" applyBorder="1" applyAlignment="1" applyProtection="1">
      <alignment horizontal="right" vertical="center"/>
      <protection locked="0"/>
    </xf>
    <xf numFmtId="166" fontId="86" fillId="14" borderId="45" xfId="0" applyNumberFormat="1" applyFont="1" applyFill="1" applyBorder="1" applyAlignment="1" applyProtection="1">
      <alignment horizontal="right" vertical="center"/>
    </xf>
    <xf numFmtId="166" fontId="86" fillId="14" borderId="0" xfId="0" applyNumberFormat="1" applyFont="1" applyFill="1" applyBorder="1" applyAlignment="1" applyProtection="1">
      <alignment horizontal="right" vertical="center"/>
    </xf>
    <xf numFmtId="49" fontId="86" fillId="14" borderId="46" xfId="0" applyNumberFormat="1" applyFont="1" applyFill="1" applyBorder="1" applyAlignment="1" applyProtection="1">
      <alignment vertical="center"/>
    </xf>
    <xf numFmtId="0" fontId="86" fillId="14" borderId="46" xfId="0" applyFont="1" applyFill="1" applyBorder="1" applyAlignment="1" applyProtection="1">
      <alignment horizontal="center" vertical="center"/>
    </xf>
    <xf numFmtId="166" fontId="55" fillId="3" borderId="48" xfId="1" applyFont="1" applyFill="1" applyBorder="1" applyAlignment="1" applyProtection="1">
      <alignment horizontal="right" vertical="center"/>
      <protection locked="0"/>
    </xf>
    <xf numFmtId="166" fontId="86" fillId="3" borderId="34" xfId="0" applyNumberFormat="1" applyFont="1" applyFill="1" applyBorder="1" applyAlignment="1" applyProtection="1">
      <alignment horizontal="right" vertical="center"/>
    </xf>
    <xf numFmtId="166" fontId="86" fillId="3" borderId="31" xfId="0" applyNumberFormat="1" applyFont="1" applyFill="1" applyBorder="1" applyAlignment="1" applyProtection="1">
      <alignment horizontal="right" vertical="center"/>
    </xf>
    <xf numFmtId="49" fontId="86" fillId="3" borderId="48" xfId="0" applyNumberFormat="1" applyFont="1" applyFill="1" applyBorder="1" applyAlignment="1" applyProtection="1">
      <alignment vertical="center"/>
    </xf>
    <xf numFmtId="0" fontId="86" fillId="3" borderId="48" xfId="0" applyFont="1" applyFill="1" applyBorder="1" applyAlignment="1" applyProtection="1">
      <alignment horizontal="center" vertical="center"/>
    </xf>
    <xf numFmtId="0" fontId="86" fillId="3" borderId="0" xfId="0" applyFont="1" applyFill="1" applyBorder="1" applyAlignment="1" applyProtection="1">
      <alignment vertical="center"/>
    </xf>
    <xf numFmtId="166" fontId="86" fillId="3" borderId="0" xfId="0" applyNumberFormat="1" applyFont="1" applyFill="1" applyBorder="1" applyAlignment="1" applyProtection="1">
      <alignment vertical="center"/>
    </xf>
    <xf numFmtId="0" fontId="88" fillId="4" borderId="0" xfId="0" applyFont="1" applyFill="1" applyBorder="1" applyAlignment="1" applyProtection="1">
      <alignment vertical="center"/>
    </xf>
    <xf numFmtId="166" fontId="86" fillId="3" borderId="46" xfId="1" applyFont="1" applyFill="1" applyBorder="1" applyAlignment="1" applyProtection="1">
      <alignment horizontal="right" vertical="center"/>
    </xf>
    <xf numFmtId="0" fontId="55" fillId="3" borderId="46" xfId="0" applyFont="1" applyFill="1" applyBorder="1" applyAlignment="1" applyProtection="1">
      <alignment horizontal="center" vertical="center"/>
      <protection locked="0"/>
    </xf>
    <xf numFmtId="166" fontId="86" fillId="14" borderId="46" xfId="1" applyFont="1" applyFill="1" applyBorder="1" applyAlignment="1" applyProtection="1">
      <alignment horizontal="right" vertical="center"/>
    </xf>
    <xf numFmtId="0" fontId="55" fillId="14" borderId="46" xfId="0" applyFont="1" applyFill="1" applyBorder="1" applyAlignment="1" applyProtection="1">
      <alignment horizontal="center" vertical="center"/>
      <protection locked="0"/>
    </xf>
    <xf numFmtId="166" fontId="86" fillId="3" borderId="48" xfId="1" applyFont="1" applyFill="1" applyBorder="1" applyAlignment="1" applyProtection="1">
      <alignment horizontal="right" vertical="center"/>
    </xf>
    <xf numFmtId="166" fontId="55" fillId="3" borderId="0" xfId="1" applyFont="1" applyFill="1" applyBorder="1" applyAlignment="1" applyProtection="1">
      <alignment vertical="center"/>
    </xf>
    <xf numFmtId="166" fontId="55" fillId="3" borderId="0" xfId="1" applyFont="1" applyFill="1" applyBorder="1" applyAlignment="1" applyProtection="1">
      <alignment horizontal="center"/>
    </xf>
    <xf numFmtId="166" fontId="55" fillId="3" borderId="0" xfId="0" applyNumberFormat="1" applyFont="1" applyFill="1" applyBorder="1" applyAlignment="1" applyProtection="1">
      <alignment horizontal="center"/>
    </xf>
    <xf numFmtId="0" fontId="86" fillId="3" borderId="34" xfId="0" applyFont="1" applyFill="1" applyBorder="1" applyAlignment="1" applyProtection="1">
      <alignment horizontal="center" vertical="center"/>
    </xf>
    <xf numFmtId="166" fontId="89" fillId="14" borderId="0" xfId="0" applyNumberFormat="1" applyFont="1" applyFill="1" applyBorder="1" applyAlignment="1" applyProtection="1">
      <alignment horizontal="center"/>
      <protection locked="0"/>
    </xf>
    <xf numFmtId="166" fontId="89" fillId="0" borderId="0" xfId="0" applyNumberFormat="1" applyFont="1" applyBorder="1" applyAlignment="1" applyProtection="1">
      <alignment horizontal="center"/>
      <protection locked="0"/>
    </xf>
    <xf numFmtId="0" fontId="55" fillId="17" borderId="0" xfId="0" applyFont="1" applyFill="1" applyBorder="1" applyAlignment="1" applyProtection="1">
      <alignment horizontal="left" vertical="center" indent="1"/>
    </xf>
    <xf numFmtId="0" fontId="55" fillId="16" borderId="0" xfId="0" applyFont="1" applyFill="1" applyBorder="1" applyAlignment="1" applyProtection="1">
      <alignment vertical="top" wrapText="1"/>
    </xf>
    <xf numFmtId="0" fontId="86" fillId="3" borderId="46" xfId="0" applyFont="1" applyFill="1" applyBorder="1" applyAlignment="1" applyProtection="1">
      <alignment vertical="center"/>
    </xf>
    <xf numFmtId="0" fontId="86" fillId="14" borderId="46" xfId="0" applyFont="1" applyFill="1" applyBorder="1" applyAlignment="1" applyProtection="1">
      <alignment vertical="center"/>
    </xf>
    <xf numFmtId="0" fontId="86" fillId="3" borderId="48" xfId="0" applyFont="1" applyFill="1" applyBorder="1" applyAlignment="1" applyProtection="1">
      <alignment vertical="center"/>
    </xf>
    <xf numFmtId="0" fontId="55" fillId="3" borderId="0" xfId="0" applyFont="1" applyFill="1" applyBorder="1" applyAlignment="1" applyProtection="1">
      <alignment horizontal="center" vertical="center"/>
      <protection locked="0"/>
    </xf>
    <xf numFmtId="0" fontId="92" fillId="3" borderId="0" xfId="0" applyFont="1" applyFill="1" applyBorder="1" applyAlignment="1" applyProtection="1">
      <alignment vertical="center"/>
    </xf>
    <xf numFmtId="166" fontId="92" fillId="3" borderId="43" xfId="1" applyFont="1" applyFill="1" applyBorder="1" applyAlignment="1" applyProtection="1">
      <alignment horizontal="right" indent="1"/>
    </xf>
    <xf numFmtId="0" fontId="79" fillId="3" borderId="0" xfId="0" applyFont="1" applyFill="1" applyBorder="1"/>
    <xf numFmtId="0" fontId="82" fillId="3" borderId="0" xfId="0" applyFont="1" applyFill="1" applyBorder="1"/>
    <xf numFmtId="0" fontId="100" fillId="3" borderId="0" xfId="0" applyFont="1" applyFill="1" applyBorder="1" applyAlignment="1">
      <alignment vertical="top"/>
    </xf>
    <xf numFmtId="0" fontId="79" fillId="3" borderId="0" xfId="0" applyFont="1" applyFill="1" applyBorder="1" applyAlignment="1">
      <alignment horizontal="center"/>
    </xf>
    <xf numFmtId="0" fontId="79" fillId="3" borderId="0" xfId="0" applyFont="1" applyFill="1" applyBorder="1" applyAlignment="1" applyProtection="1"/>
    <xf numFmtId="0" fontId="79" fillId="3" borderId="0" xfId="0" applyFont="1" applyFill="1" applyBorder="1" applyAlignment="1">
      <alignment vertical="center"/>
    </xf>
    <xf numFmtId="0" fontId="90" fillId="3" borderId="0" xfId="0" applyFont="1" applyFill="1" applyBorder="1" applyAlignment="1">
      <alignment horizontal="center"/>
    </xf>
    <xf numFmtId="166" fontId="79" fillId="3" borderId="0" xfId="1" applyFont="1" applyFill="1" applyBorder="1" applyAlignment="1">
      <alignment horizontal="center"/>
    </xf>
    <xf numFmtId="166" fontId="79" fillId="3" borderId="0" xfId="0" applyNumberFormat="1" applyFont="1" applyFill="1" applyBorder="1" applyAlignment="1">
      <alignment horizontal="center"/>
    </xf>
    <xf numFmtId="166" fontId="92" fillId="18" borderId="34" xfId="0" applyNumberFormat="1" applyFont="1" applyFill="1" applyBorder="1" applyProtection="1"/>
    <xf numFmtId="0" fontId="54" fillId="17" borderId="0" xfId="0" applyNumberFormat="1" applyFont="1" applyFill="1" applyBorder="1" applyAlignment="1" applyProtection="1"/>
    <xf numFmtId="0" fontId="54" fillId="17" borderId="0" xfId="0" applyNumberFormat="1" applyFont="1" applyFill="1" applyBorder="1" applyAlignment="1" applyProtection="1">
      <alignment horizontal="left" vertical="center" indent="1"/>
    </xf>
    <xf numFmtId="0" fontId="54" fillId="3" borderId="0" xfId="0" applyNumberFormat="1" applyFont="1" applyFill="1" applyBorder="1" applyAlignment="1" applyProtection="1">
      <alignment vertical="center"/>
    </xf>
    <xf numFmtId="0" fontId="54" fillId="3" borderId="0" xfId="0" applyNumberFormat="1" applyFont="1" applyFill="1" applyBorder="1" applyAlignment="1" applyProtection="1"/>
    <xf numFmtId="0" fontId="54" fillId="16" borderId="0" xfId="0" applyFont="1" applyFill="1" applyBorder="1" applyAlignment="1">
      <alignment vertical="top" wrapText="1"/>
    </xf>
    <xf numFmtId="164" fontId="54" fillId="3" borderId="0" xfId="0" applyNumberFormat="1" applyFont="1" applyFill="1" applyBorder="1" applyAlignment="1" applyProtection="1">
      <alignment horizontal="left"/>
    </xf>
    <xf numFmtId="164" fontId="54" fillId="3" borderId="0" xfId="0" applyNumberFormat="1" applyFont="1" applyFill="1" applyBorder="1" applyAlignment="1" applyProtection="1">
      <alignment horizontal="center"/>
    </xf>
    <xf numFmtId="0" fontId="54" fillId="3" borderId="0" xfId="0" applyNumberFormat="1" applyFont="1" applyFill="1" applyBorder="1" applyAlignment="1" applyProtection="1">
      <alignment horizontal="center"/>
    </xf>
    <xf numFmtId="0" fontId="54" fillId="3" borderId="0" xfId="0" applyNumberFormat="1" applyFont="1" applyFill="1" applyBorder="1" applyAlignment="1" applyProtection="1">
      <alignment horizontal="left"/>
    </xf>
    <xf numFmtId="0" fontId="54" fillId="4" borderId="0" xfId="0" applyNumberFormat="1" applyFont="1" applyFill="1" applyBorder="1" applyAlignment="1" applyProtection="1">
      <alignment horizontal="center" vertical="center" wrapText="1"/>
    </xf>
    <xf numFmtId="0" fontId="54" fillId="17" borderId="0" xfId="0" applyNumberFormat="1" applyFont="1" applyFill="1" applyBorder="1" applyAlignment="1" applyProtection="1">
      <alignment horizontal="center"/>
    </xf>
    <xf numFmtId="0" fontId="54" fillId="17" borderId="0" xfId="0" applyFont="1" applyFill="1" applyBorder="1"/>
    <xf numFmtId="49" fontId="54" fillId="17" borderId="0" xfId="0" quotePrefix="1" applyNumberFormat="1" applyFont="1" applyFill="1" applyBorder="1" applyAlignment="1" applyProtection="1"/>
    <xf numFmtId="164" fontId="54" fillId="3" borderId="0" xfId="0" applyNumberFormat="1" applyFont="1" applyFill="1" applyBorder="1" applyAlignment="1" applyProtection="1">
      <alignment horizontal="center"/>
      <protection locked="0"/>
    </xf>
    <xf numFmtId="0" fontId="54" fillId="3" borderId="0" xfId="0" applyFont="1" applyFill="1" applyBorder="1" applyProtection="1"/>
    <xf numFmtId="0" fontId="54" fillId="3" borderId="0" xfId="0" applyFont="1" applyFill="1" applyBorder="1" applyAlignment="1" applyProtection="1">
      <alignment horizontal="center"/>
    </xf>
    <xf numFmtId="0" fontId="54" fillId="3" borderId="0" xfId="0" applyFont="1" applyFill="1" applyBorder="1"/>
    <xf numFmtId="170" fontId="54" fillId="3" borderId="0" xfId="0" applyNumberFormat="1" applyFont="1" applyFill="1" applyBorder="1" applyAlignment="1" applyProtection="1">
      <alignment horizontal="center"/>
    </xf>
    <xf numFmtId="0" fontId="54" fillId="3" borderId="0" xfId="0" applyFont="1" applyFill="1" applyBorder="1" applyAlignment="1">
      <alignment horizontal="center" vertical="center"/>
    </xf>
    <xf numFmtId="10" fontId="54" fillId="3" borderId="0" xfId="3" applyNumberFormat="1" applyFont="1" applyFill="1" applyBorder="1" applyAlignment="1" applyProtection="1">
      <alignment horizontal="center"/>
    </xf>
    <xf numFmtId="0" fontId="54" fillId="3" borderId="0" xfId="0" applyNumberFormat="1" applyFont="1" applyFill="1" applyBorder="1" applyAlignment="1" applyProtection="1">
      <alignment horizontal="center" vertical="center"/>
    </xf>
    <xf numFmtId="165" fontId="54" fillId="3" borderId="0" xfId="0" applyNumberFormat="1" applyFont="1" applyFill="1" applyBorder="1" applyAlignment="1" applyProtection="1"/>
    <xf numFmtId="164" fontId="54" fillId="3" borderId="0" xfId="0" applyNumberFormat="1" applyFont="1" applyFill="1" applyBorder="1" applyProtection="1"/>
    <xf numFmtId="0" fontId="54" fillId="4" borderId="0" xfId="0" applyFont="1" applyFill="1" applyBorder="1" applyAlignment="1">
      <alignment horizontal="center" vertical="center"/>
    </xf>
    <xf numFmtId="164" fontId="54" fillId="14" borderId="0" xfId="0" applyNumberFormat="1" applyFont="1" applyFill="1" applyBorder="1" applyAlignment="1" applyProtection="1">
      <alignment horizontal="center"/>
      <protection locked="0"/>
    </xf>
    <xf numFmtId="164" fontId="54" fillId="3" borderId="48" xfId="0" applyNumberFormat="1" applyFont="1" applyFill="1" applyBorder="1" applyAlignment="1" applyProtection="1">
      <alignment horizontal="center"/>
      <protection locked="0"/>
    </xf>
    <xf numFmtId="0" fontId="54" fillId="3" borderId="46" xfId="0" applyNumberFormat="1" applyFont="1" applyFill="1" applyBorder="1" applyAlignment="1" applyProtection="1">
      <protection locked="0"/>
    </xf>
    <xf numFmtId="0" fontId="54" fillId="3" borderId="48" xfId="0" applyNumberFormat="1" applyFont="1" applyFill="1" applyBorder="1" applyAlignment="1" applyProtection="1">
      <protection locked="0"/>
    </xf>
    <xf numFmtId="164" fontId="54" fillId="14" borderId="31" xfId="0" applyNumberFormat="1" applyFont="1" applyFill="1" applyBorder="1" applyAlignment="1" applyProtection="1">
      <alignment horizontal="center"/>
      <protection locked="0"/>
    </xf>
    <xf numFmtId="0" fontId="54" fillId="14" borderId="46" xfId="0" applyNumberFormat="1" applyFont="1" applyFill="1" applyBorder="1" applyAlignment="1" applyProtection="1">
      <protection locked="0"/>
    </xf>
    <xf numFmtId="0" fontId="54" fillId="14" borderId="48" xfId="0" applyNumberFormat="1" applyFont="1" applyFill="1" applyBorder="1" applyAlignment="1" applyProtection="1">
      <protection locked="0"/>
    </xf>
    <xf numFmtId="164" fontId="54" fillId="14" borderId="46" xfId="0" applyNumberFormat="1" applyFont="1" applyFill="1" applyBorder="1" applyAlignment="1" applyProtection="1">
      <protection locked="0"/>
    </xf>
    <xf numFmtId="0" fontId="54" fillId="3" borderId="46" xfId="0" applyFont="1" applyFill="1" applyBorder="1" applyAlignment="1" applyProtection="1">
      <alignment horizontal="center"/>
      <protection locked="0"/>
    </xf>
    <xf numFmtId="0" fontId="54" fillId="14" borderId="46" xfId="0" applyFont="1" applyFill="1" applyBorder="1" applyAlignment="1" applyProtection="1">
      <alignment horizontal="center"/>
      <protection locked="0"/>
    </xf>
    <xf numFmtId="14" fontId="54" fillId="3" borderId="46" xfId="0" applyNumberFormat="1" applyFont="1" applyFill="1" applyBorder="1" applyAlignment="1" applyProtection="1">
      <alignment horizontal="center"/>
      <protection locked="0"/>
    </xf>
    <xf numFmtId="14" fontId="54" fillId="14" borderId="46" xfId="0" applyNumberFormat="1" applyFont="1" applyFill="1" applyBorder="1" applyAlignment="1" applyProtection="1">
      <alignment horizontal="center"/>
      <protection locked="0"/>
    </xf>
    <xf numFmtId="14" fontId="54" fillId="14" borderId="48" xfId="0" applyNumberFormat="1" applyFont="1" applyFill="1" applyBorder="1" applyAlignment="1" applyProtection="1">
      <alignment horizontal="center"/>
      <protection locked="0"/>
    </xf>
    <xf numFmtId="10" fontId="69" fillId="3" borderId="0" xfId="3" applyNumberFormat="1" applyFont="1" applyFill="1" applyBorder="1" applyAlignment="1" applyProtection="1">
      <alignment horizontal="center"/>
    </xf>
    <xf numFmtId="0" fontId="54" fillId="4" borderId="0" xfId="0" applyNumberFormat="1" applyFont="1" applyFill="1" applyBorder="1" applyAlignment="1" applyProtection="1"/>
    <xf numFmtId="0" fontId="54" fillId="4" borderId="0" xfId="0" applyFont="1" applyFill="1" applyBorder="1"/>
    <xf numFmtId="170" fontId="54" fillId="4" borderId="0" xfId="0" applyNumberFormat="1" applyFont="1" applyFill="1" applyBorder="1" applyAlignment="1" applyProtection="1"/>
    <xf numFmtId="0" fontId="54" fillId="17" borderId="0" xfId="0" applyNumberFormat="1" applyFont="1" applyFill="1" applyBorder="1" applyAlignment="1" applyProtection="1">
      <alignment vertical="center"/>
    </xf>
    <xf numFmtId="0" fontId="54" fillId="4" borderId="0" xfId="0" applyFont="1" applyFill="1" applyBorder="1" applyAlignment="1">
      <alignment horizontal="center"/>
    </xf>
    <xf numFmtId="164" fontId="54" fillId="14" borderId="29" xfId="0" applyNumberFormat="1" applyFont="1" applyFill="1" applyBorder="1" applyAlignment="1" applyProtection="1">
      <alignment horizontal="center" vertical="center"/>
      <protection locked="0"/>
    </xf>
    <xf numFmtId="164" fontId="54" fillId="14" borderId="30" xfId="0" applyNumberFormat="1" applyFont="1" applyFill="1" applyBorder="1" applyAlignment="1" applyProtection="1">
      <alignment horizontal="center" vertical="center"/>
      <protection locked="0"/>
    </xf>
    <xf numFmtId="14" fontId="54" fillId="4" borderId="0" xfId="0" applyNumberFormat="1" applyFont="1" applyFill="1" applyBorder="1" applyAlignment="1" applyProtection="1">
      <alignment horizontal="center" vertical="center"/>
    </xf>
    <xf numFmtId="170" fontId="54" fillId="3" borderId="29" xfId="0" applyNumberFormat="1" applyFont="1" applyFill="1" applyBorder="1" applyAlignment="1" applyProtection="1">
      <alignment horizontal="center" vertical="center"/>
      <protection locked="0"/>
    </xf>
    <xf numFmtId="170" fontId="54" fillId="14" borderId="29" xfId="0" applyNumberFormat="1" applyFont="1" applyFill="1" applyBorder="1" applyAlignment="1" applyProtection="1">
      <alignment horizontal="center" vertical="center"/>
      <protection locked="0"/>
    </xf>
    <xf numFmtId="170" fontId="54" fillId="14" borderId="30" xfId="0" applyNumberFormat="1" applyFont="1" applyFill="1" applyBorder="1" applyAlignment="1" applyProtection="1">
      <alignment horizontal="center" vertical="center"/>
      <protection locked="0"/>
    </xf>
    <xf numFmtId="164" fontId="54" fillId="3" borderId="0" xfId="0" applyNumberFormat="1" applyFont="1" applyFill="1" applyBorder="1" applyAlignment="1" applyProtection="1">
      <alignment horizontal="right" indent="1"/>
      <protection locked="0"/>
    </xf>
    <xf numFmtId="164" fontId="54" fillId="14" borderId="0" xfId="0" applyNumberFormat="1" applyFont="1" applyFill="1" applyBorder="1" applyAlignment="1" applyProtection="1">
      <alignment horizontal="right" indent="1"/>
      <protection locked="0"/>
    </xf>
    <xf numFmtId="164" fontId="54" fillId="3" borderId="31" xfId="0" applyNumberFormat="1" applyFont="1" applyFill="1" applyBorder="1" applyAlignment="1" applyProtection="1">
      <alignment horizontal="right" indent="1"/>
      <protection locked="0"/>
    </xf>
    <xf numFmtId="164" fontId="54" fillId="3" borderId="48" xfId="0" applyNumberFormat="1" applyFont="1" applyFill="1" applyBorder="1" applyAlignment="1" applyProtection="1">
      <alignment horizontal="right" indent="1"/>
      <protection locked="0"/>
    </xf>
    <xf numFmtId="164" fontId="54" fillId="3" borderId="46" xfId="0" applyNumberFormat="1" applyFont="1" applyFill="1" applyBorder="1" applyAlignment="1" applyProtection="1">
      <alignment horizontal="right" indent="1"/>
      <protection locked="0"/>
    </xf>
    <xf numFmtId="164" fontId="54" fillId="14" borderId="46" xfId="0" applyNumberFormat="1" applyFont="1" applyFill="1" applyBorder="1" applyAlignment="1" applyProtection="1">
      <alignment horizontal="right" indent="1"/>
      <protection locked="0"/>
    </xf>
    <xf numFmtId="164" fontId="54" fillId="14" borderId="48" xfId="0" applyNumberFormat="1" applyFont="1" applyFill="1" applyBorder="1" applyAlignment="1" applyProtection="1">
      <alignment horizontal="right" indent="1"/>
      <protection locked="0"/>
    </xf>
    <xf numFmtId="165" fontId="54" fillId="14" borderId="48" xfId="0" applyNumberFormat="1" applyFont="1" applyFill="1" applyBorder="1" applyAlignment="1" applyProtection="1">
      <alignment horizontal="right" indent="1"/>
      <protection locked="0"/>
    </xf>
    <xf numFmtId="164" fontId="86" fillId="3" borderId="0" xfId="0" applyNumberFormat="1" applyFont="1" applyFill="1" applyBorder="1" applyAlignment="1" applyProtection="1"/>
    <xf numFmtId="164" fontId="86" fillId="3" borderId="50" xfId="0" applyNumberFormat="1" applyFont="1" applyFill="1" applyBorder="1" applyAlignment="1" applyProtection="1">
      <alignment horizontal="right" indent="1"/>
    </xf>
    <xf numFmtId="0" fontId="54" fillId="4" borderId="50" xfId="0" applyNumberFormat="1" applyFont="1" applyFill="1" applyBorder="1" applyAlignment="1" applyProtection="1">
      <alignment horizontal="right" indent="1"/>
    </xf>
    <xf numFmtId="164" fontId="86" fillId="3" borderId="50" xfId="0" applyNumberFormat="1" applyFont="1" applyFill="1" applyBorder="1" applyAlignment="1" applyProtection="1">
      <alignment horizontal="center"/>
    </xf>
    <xf numFmtId="10" fontId="86" fillId="3" borderId="28" xfId="3" applyNumberFormat="1" applyFont="1" applyFill="1" applyBorder="1" applyAlignment="1" applyProtection="1">
      <alignment horizontal="right" indent="1"/>
    </xf>
    <xf numFmtId="10" fontId="86" fillId="14" borderId="0" xfId="3" applyNumberFormat="1" applyFont="1" applyFill="1" applyBorder="1" applyAlignment="1" applyProtection="1">
      <alignment horizontal="right" indent="1"/>
    </xf>
    <xf numFmtId="10" fontId="86" fillId="3" borderId="31" xfId="3" applyNumberFormat="1" applyFont="1" applyFill="1" applyBorder="1" applyAlignment="1" applyProtection="1">
      <alignment horizontal="right" indent="1"/>
    </xf>
    <xf numFmtId="14" fontId="54" fillId="4" borderId="0" xfId="0" applyNumberFormat="1" applyFont="1" applyFill="1" applyBorder="1" applyAlignment="1" applyProtection="1">
      <alignment horizontal="center" vertical="center" wrapText="1"/>
    </xf>
    <xf numFmtId="164" fontId="54" fillId="4" borderId="50" xfId="0" applyNumberFormat="1" applyFont="1" applyFill="1" applyBorder="1" applyAlignment="1" applyProtection="1">
      <alignment horizontal="left"/>
    </xf>
    <xf numFmtId="165" fontId="86" fillId="3" borderId="37" xfId="1" applyNumberFormat="1" applyFont="1" applyFill="1" applyBorder="1" applyAlignment="1" applyProtection="1">
      <alignment horizontal="right" indent="1"/>
    </xf>
    <xf numFmtId="0" fontId="76" fillId="4" borderId="0" xfId="0" applyFont="1" applyFill="1" applyBorder="1" applyAlignment="1">
      <alignment horizontal="center"/>
    </xf>
    <xf numFmtId="0" fontId="76" fillId="4" borderId="0" xfId="0" applyFont="1" applyFill="1" applyBorder="1" applyAlignment="1">
      <alignment horizontal="center" vertical="center"/>
    </xf>
    <xf numFmtId="166" fontId="86" fillId="3" borderId="52" xfId="1" applyNumberFormat="1" applyFont="1" applyFill="1" applyBorder="1" applyAlignment="1" applyProtection="1">
      <alignment horizontal="right" indent="1"/>
    </xf>
    <xf numFmtId="171" fontId="86" fillId="14" borderId="37" xfId="3" applyNumberFormat="1" applyFont="1" applyFill="1" applyBorder="1" applyAlignment="1" applyProtection="1">
      <alignment horizontal="right" indent="1"/>
    </xf>
    <xf numFmtId="0" fontId="55" fillId="3" borderId="28" xfId="0" applyFont="1" applyFill="1" applyBorder="1" applyAlignment="1">
      <alignment horizontal="left"/>
    </xf>
    <xf numFmtId="0" fontId="55" fillId="3" borderId="28" xfId="0" applyFont="1" applyFill="1" applyBorder="1" applyProtection="1"/>
    <xf numFmtId="0" fontId="85" fillId="3" borderId="0" xfId="0" applyFont="1" applyFill="1" applyBorder="1" applyAlignment="1">
      <alignment horizontal="left" indent="1"/>
    </xf>
    <xf numFmtId="0" fontId="55" fillId="3" borderId="0" xfId="0" applyFont="1" applyFill="1" applyBorder="1" applyAlignment="1">
      <alignment horizontal="left" indent="1"/>
    </xf>
    <xf numFmtId="165" fontId="86" fillId="14" borderId="29" xfId="1" applyNumberFormat="1" applyFont="1" applyFill="1" applyBorder="1" applyAlignment="1">
      <alignment horizontal="right" indent="1"/>
    </xf>
    <xf numFmtId="165" fontId="86" fillId="3" borderId="29" xfId="1" applyNumberFormat="1" applyFont="1" applyFill="1" applyBorder="1" applyAlignment="1">
      <alignment horizontal="right" indent="1"/>
    </xf>
    <xf numFmtId="165" fontId="86" fillId="3" borderId="36" xfId="0" applyNumberFormat="1" applyFont="1" applyFill="1" applyBorder="1" applyAlignment="1">
      <alignment horizontal="right" indent="1"/>
    </xf>
    <xf numFmtId="165" fontId="55" fillId="3" borderId="0" xfId="0" applyNumberFormat="1" applyFont="1" applyFill="1" applyBorder="1" applyAlignment="1">
      <alignment horizontal="right" indent="1"/>
    </xf>
    <xf numFmtId="165" fontId="86" fillId="3" borderId="37" xfId="0" applyNumberFormat="1" applyFont="1" applyFill="1" applyBorder="1" applyAlignment="1">
      <alignment horizontal="right" indent="1"/>
    </xf>
    <xf numFmtId="165" fontId="55" fillId="3" borderId="49" xfId="1" applyNumberFormat="1" applyFont="1" applyFill="1" applyBorder="1" applyAlignment="1" applyProtection="1">
      <alignment horizontal="center" vertical="center"/>
      <protection locked="0"/>
    </xf>
    <xf numFmtId="165" fontId="86" fillId="14" borderId="54" xfId="1" applyNumberFormat="1" applyFont="1" applyFill="1" applyBorder="1" applyAlignment="1">
      <alignment horizontal="right" indent="1"/>
    </xf>
    <xf numFmtId="165" fontId="86" fillId="14" borderId="56" xfId="0" applyNumberFormat="1" applyFont="1" applyFill="1" applyBorder="1" applyAlignment="1">
      <alignment horizontal="right" indent="1"/>
    </xf>
    <xf numFmtId="165" fontId="55" fillId="3" borderId="52" xfId="1" applyNumberFormat="1" applyFont="1" applyFill="1" applyBorder="1" applyAlignment="1" applyProtection="1">
      <alignment horizontal="right" indent="1"/>
      <protection locked="0"/>
    </xf>
    <xf numFmtId="165" fontId="86" fillId="14" borderId="30" xfId="0" applyNumberFormat="1" applyFont="1" applyFill="1" applyBorder="1" applyAlignment="1">
      <alignment horizontal="right" vertical="center" indent="1"/>
    </xf>
    <xf numFmtId="0" fontId="92" fillId="3" borderId="31" xfId="0" applyFont="1" applyFill="1" applyBorder="1" applyProtection="1"/>
    <xf numFmtId="0" fontId="92" fillId="3" borderId="57" xfId="0" applyFont="1" applyFill="1" applyBorder="1" applyAlignment="1" applyProtection="1">
      <alignment horizontal="center"/>
    </xf>
    <xf numFmtId="166" fontId="99" fillId="0" borderId="31" xfId="0" applyNumberFormat="1" applyFont="1" applyBorder="1" applyAlignment="1" applyProtection="1">
      <alignment horizontal="center"/>
    </xf>
    <xf numFmtId="166" fontId="86" fillId="3" borderId="57" xfId="1" applyFont="1" applyFill="1" applyBorder="1" applyAlignment="1" applyProtection="1">
      <alignment horizontal="right" indent="1"/>
    </xf>
    <xf numFmtId="166" fontId="86" fillId="3" borderId="31" xfId="0" applyNumberFormat="1" applyFont="1" applyFill="1" applyBorder="1" applyAlignment="1" applyProtection="1">
      <alignment horizontal="right" indent="1"/>
    </xf>
    <xf numFmtId="166" fontId="55" fillId="3" borderId="58" xfId="1" applyFont="1" applyFill="1" applyBorder="1" applyAlignment="1" applyProtection="1">
      <alignment horizontal="right" indent="1"/>
      <protection locked="0"/>
    </xf>
    <xf numFmtId="0" fontId="55" fillId="3" borderId="59" xfId="0" applyFont="1" applyFill="1" applyBorder="1" applyAlignment="1" applyProtection="1">
      <alignment horizontal="center"/>
      <protection locked="0"/>
    </xf>
    <xf numFmtId="166" fontId="89" fillId="0" borderId="28" xfId="0" applyNumberFormat="1" applyFont="1" applyBorder="1" applyAlignment="1" applyProtection="1">
      <alignment horizontal="center"/>
      <protection locked="0"/>
    </xf>
    <xf numFmtId="166" fontId="86" fillId="3" borderId="59" xfId="1" applyFont="1" applyFill="1" applyBorder="1" applyAlignment="1">
      <alignment horizontal="right" indent="1"/>
    </xf>
    <xf numFmtId="0" fontId="54" fillId="3" borderId="0" xfId="0" applyFont="1" applyFill="1" applyBorder="1" applyAlignment="1">
      <alignment horizontal="center"/>
    </xf>
    <xf numFmtId="0" fontId="54" fillId="3" borderId="0" xfId="0" applyFont="1" applyFill="1" applyBorder="1" applyAlignment="1">
      <alignment horizontal="left" vertical="center"/>
    </xf>
    <xf numFmtId="0" fontId="54" fillId="3" borderId="0" xfId="0" applyFont="1" applyFill="1" applyBorder="1" applyAlignment="1" applyProtection="1"/>
    <xf numFmtId="0" fontId="54" fillId="3" borderId="0" xfId="0" applyFont="1" applyFill="1" applyBorder="1" applyAlignment="1">
      <alignment vertical="center"/>
    </xf>
    <xf numFmtId="0" fontId="80" fillId="3" borderId="0" xfId="0" applyFont="1" applyFill="1" applyBorder="1"/>
    <xf numFmtId="0" fontId="54" fillId="3" borderId="0" xfId="0" applyFont="1" applyFill="1" applyBorder="1" applyAlignment="1" applyProtection="1">
      <alignment horizontal="left"/>
    </xf>
    <xf numFmtId="0" fontId="85" fillId="14" borderId="0" xfId="0" applyFont="1" applyFill="1" applyBorder="1" applyAlignment="1">
      <alignment horizontal="left" vertical="center"/>
    </xf>
    <xf numFmtId="0" fontId="85" fillId="14" borderId="31" xfId="0" applyFont="1" applyFill="1" applyBorder="1" applyAlignment="1">
      <alignment horizontal="left"/>
    </xf>
    <xf numFmtId="0" fontId="54" fillId="3" borderId="46" xfId="0" applyFont="1" applyFill="1" applyBorder="1" applyAlignment="1" applyProtection="1">
      <alignment horizontal="left" indent="1"/>
      <protection locked="0"/>
    </xf>
    <xf numFmtId="0" fontId="54" fillId="14" borderId="46" xfId="0" applyFont="1" applyFill="1" applyBorder="1" applyAlignment="1" applyProtection="1">
      <alignment horizontal="left" indent="1"/>
      <protection locked="0"/>
    </xf>
    <xf numFmtId="0" fontId="54" fillId="3" borderId="45" xfId="0" applyFont="1" applyFill="1" applyBorder="1" applyAlignment="1" applyProtection="1">
      <alignment horizontal="center"/>
      <protection locked="0"/>
    </xf>
    <xf numFmtId="0" fontId="54" fillId="14" borderId="45" xfId="0" applyFont="1" applyFill="1" applyBorder="1" applyAlignment="1" applyProtection="1">
      <alignment horizontal="center"/>
      <protection locked="0"/>
    </xf>
    <xf numFmtId="166" fontId="86" fillId="3" borderId="0" xfId="0" applyNumberFormat="1" applyFont="1" applyFill="1" applyBorder="1" applyAlignment="1">
      <alignment horizontal="center"/>
    </xf>
    <xf numFmtId="166" fontId="86" fillId="3" borderId="0" xfId="0" applyNumberFormat="1" applyFont="1" applyFill="1" applyBorder="1"/>
    <xf numFmtId="166" fontId="54" fillId="14" borderId="46" xfId="1" applyFont="1" applyFill="1" applyBorder="1" applyAlignment="1" applyProtection="1">
      <alignment horizontal="right" indent="1"/>
      <protection locked="0"/>
    </xf>
    <xf numFmtId="166" fontId="54" fillId="3" borderId="46" xfId="1" applyFont="1" applyFill="1" applyBorder="1" applyAlignment="1" applyProtection="1">
      <alignment horizontal="right" indent="1"/>
      <protection locked="0"/>
    </xf>
    <xf numFmtId="166" fontId="86" fillId="3" borderId="48" xfId="1" applyFont="1" applyFill="1" applyBorder="1" applyAlignment="1" applyProtection="1">
      <alignment horizontal="right" indent="1"/>
    </xf>
    <xf numFmtId="0" fontId="86" fillId="3" borderId="48" xfId="0" applyFont="1" applyFill="1" applyBorder="1" applyAlignment="1" applyProtection="1">
      <alignment horizontal="center"/>
    </xf>
    <xf numFmtId="0" fontId="86" fillId="3" borderId="34" xfId="0" applyFont="1" applyFill="1" applyBorder="1" applyAlignment="1" applyProtection="1">
      <alignment horizontal="center"/>
    </xf>
    <xf numFmtId="0" fontId="54" fillId="17" borderId="0" xfId="0" applyFont="1" applyFill="1" applyBorder="1" applyAlignment="1"/>
    <xf numFmtId="166" fontId="86" fillId="3" borderId="46" xfId="1" applyFont="1" applyFill="1" applyBorder="1" applyAlignment="1">
      <alignment horizontal="right" indent="1"/>
    </xf>
    <xf numFmtId="166" fontId="86" fillId="14" borderId="46" xfId="1" applyFont="1" applyFill="1" applyBorder="1" applyAlignment="1">
      <alignment horizontal="right" indent="1"/>
    </xf>
    <xf numFmtId="166" fontId="86" fillId="3" borderId="48" xfId="1" applyFont="1" applyFill="1" applyBorder="1" applyAlignment="1">
      <alignment horizontal="right" indent="1"/>
    </xf>
    <xf numFmtId="166" fontId="86" fillId="3" borderId="31" xfId="0" applyNumberFormat="1" applyFont="1" applyFill="1" applyBorder="1" applyAlignment="1">
      <alignment horizontal="right" indent="1"/>
    </xf>
    <xf numFmtId="0" fontId="85" fillId="3" borderId="48" xfId="0" applyFont="1" applyFill="1" applyBorder="1" applyAlignment="1" applyProtection="1">
      <alignment horizontal="left" indent="1"/>
    </xf>
    <xf numFmtId="0" fontId="54" fillId="3" borderId="0" xfId="0" applyFont="1" applyFill="1" applyBorder="1" applyAlignment="1" applyProtection="1">
      <alignment horizontal="center" vertical="center"/>
    </xf>
    <xf numFmtId="171" fontId="54" fillId="3" borderId="0" xfId="0" applyNumberFormat="1" applyFont="1" applyFill="1" applyBorder="1" applyProtection="1"/>
    <xf numFmtId="165" fontId="80" fillId="3" borderId="0" xfId="0" applyNumberFormat="1" applyFont="1" applyFill="1" applyBorder="1" applyAlignment="1" applyProtection="1">
      <alignment horizontal="center"/>
    </xf>
    <xf numFmtId="0" fontId="80" fillId="3" borderId="0" xfId="0" applyFont="1" applyFill="1" applyBorder="1" applyAlignment="1" applyProtection="1"/>
    <xf numFmtId="6" fontId="54" fillId="3" borderId="0" xfId="0" applyNumberFormat="1" applyFont="1" applyFill="1" applyBorder="1" applyAlignment="1" applyProtection="1">
      <alignment horizontal="center"/>
    </xf>
    <xf numFmtId="1" fontId="54" fillId="3" borderId="0" xfId="0" applyNumberFormat="1" applyFont="1" applyFill="1" applyBorder="1" applyAlignment="1" applyProtection="1">
      <alignment horizontal="center"/>
    </xf>
    <xf numFmtId="1" fontId="54" fillId="3" borderId="0" xfId="0" applyNumberFormat="1" applyFont="1" applyFill="1" applyBorder="1"/>
    <xf numFmtId="0" fontId="54" fillId="3" borderId="0" xfId="0" applyNumberFormat="1" applyFont="1" applyFill="1" applyBorder="1" applyAlignment="1">
      <alignment horizontal="center" vertical="center"/>
    </xf>
    <xf numFmtId="0" fontId="54" fillId="3" borderId="0" xfId="0" applyNumberFormat="1" applyFont="1" applyFill="1" applyBorder="1"/>
    <xf numFmtId="0" fontId="54" fillId="3" borderId="0" xfId="0" applyFont="1" applyFill="1"/>
    <xf numFmtId="0" fontId="54" fillId="3" borderId="0" xfId="0" applyNumberFormat="1" applyFont="1" applyFill="1" applyAlignment="1">
      <alignment horizontal="center"/>
    </xf>
    <xf numFmtId="0" fontId="54" fillId="3" borderId="0" xfId="0" applyFont="1" applyFill="1" applyAlignment="1">
      <alignment vertical="center" wrapText="1"/>
    </xf>
    <xf numFmtId="0" fontId="80" fillId="3" borderId="0" xfId="0" applyNumberFormat="1" applyFont="1" applyFill="1"/>
    <xf numFmtId="0" fontId="54" fillId="3" borderId="0" xfId="0" applyFont="1" applyFill="1" applyAlignment="1">
      <alignment horizontal="center" vertical="center" wrapText="1"/>
    </xf>
    <xf numFmtId="0" fontId="54" fillId="3" borderId="0" xfId="0" applyNumberFormat="1" applyFont="1" applyFill="1"/>
    <xf numFmtId="0" fontId="54" fillId="3" borderId="0" xfId="0" applyNumberFormat="1" applyFont="1" applyFill="1" applyBorder="1" applyAlignment="1" applyProtection="1">
      <alignment horizontal="center" vertical="center"/>
      <protection locked="0"/>
    </xf>
    <xf numFmtId="10" fontId="54" fillId="3" borderId="0" xfId="0" applyNumberFormat="1" applyFont="1" applyFill="1" applyBorder="1" applyAlignment="1">
      <alignment horizontal="center" vertical="center"/>
    </xf>
    <xf numFmtId="6" fontId="54" fillId="3" borderId="0" xfId="0" applyNumberFormat="1" applyFont="1" applyFill="1" applyBorder="1" applyAlignment="1" applyProtection="1">
      <alignment horizontal="center" vertical="center"/>
    </xf>
    <xf numFmtId="0" fontId="54" fillId="3" borderId="0" xfId="0" applyFont="1" applyFill="1" applyAlignment="1">
      <alignment horizontal="center" vertical="center"/>
    </xf>
    <xf numFmtId="165" fontId="54" fillId="3" borderId="0" xfId="1" applyNumberFormat="1" applyFont="1" applyFill="1" applyBorder="1" applyAlignment="1">
      <alignment horizontal="center" vertical="center"/>
    </xf>
    <xf numFmtId="0" fontId="82" fillId="3" borderId="0" xfId="0" applyFont="1" applyFill="1"/>
    <xf numFmtId="0" fontId="54" fillId="3" borderId="0" xfId="0" applyFont="1" applyFill="1" applyBorder="1" applyAlignment="1">
      <alignment vertical="center" wrapText="1"/>
    </xf>
    <xf numFmtId="0" fontId="104" fillId="3" borderId="0" xfId="0" applyFont="1" applyFill="1"/>
    <xf numFmtId="171" fontId="54" fillId="4" borderId="0" xfId="0" applyNumberFormat="1" applyFont="1" applyFill="1" applyBorder="1" applyAlignment="1" applyProtection="1">
      <alignment horizontal="center"/>
    </xf>
    <xf numFmtId="165" fontId="54" fillId="4" borderId="0" xfId="0" applyNumberFormat="1" applyFont="1" applyFill="1" applyBorder="1" applyAlignment="1" applyProtection="1">
      <alignment horizontal="center"/>
    </xf>
    <xf numFmtId="0" fontId="54" fillId="4" borderId="0" xfId="0" applyFont="1" applyFill="1" applyBorder="1" applyAlignment="1" applyProtection="1">
      <alignment horizontal="center"/>
    </xf>
    <xf numFmtId="165" fontId="54" fillId="4" borderId="0" xfId="0" applyNumberFormat="1" applyFont="1" applyFill="1" applyBorder="1" applyAlignment="1" applyProtection="1">
      <alignment horizontal="center" vertical="center"/>
    </xf>
    <xf numFmtId="0" fontId="54" fillId="4" borderId="27" xfId="0" applyNumberFormat="1" applyFont="1" applyFill="1" applyBorder="1"/>
    <xf numFmtId="171" fontId="54" fillId="4" borderId="29" xfId="0" applyNumberFormat="1" applyFont="1" applyFill="1" applyBorder="1" applyAlignment="1" applyProtection="1">
      <alignment horizontal="center" vertical="center"/>
    </xf>
    <xf numFmtId="6" fontId="54" fillId="4" borderId="46" xfId="0" applyNumberFormat="1" applyFont="1" applyFill="1" applyBorder="1" applyAlignment="1" applyProtection="1">
      <alignment horizontal="center" vertical="center"/>
    </xf>
    <xf numFmtId="0" fontId="54" fillId="4" borderId="29" xfId="0" applyFont="1" applyFill="1" applyBorder="1" applyAlignment="1">
      <alignment horizontal="center" vertical="center"/>
    </xf>
    <xf numFmtId="0" fontId="54" fillId="4" borderId="46" xfId="0" applyFont="1" applyFill="1" applyBorder="1" applyAlignment="1">
      <alignment horizontal="center" vertical="center"/>
    </xf>
    <xf numFmtId="0" fontId="54" fillId="4" borderId="32" xfId="0" applyFont="1" applyFill="1" applyBorder="1" applyAlignment="1">
      <alignment horizontal="center" vertical="center"/>
    </xf>
    <xf numFmtId="0" fontId="54" fillId="4" borderId="45" xfId="0" applyFont="1" applyFill="1" applyBorder="1" applyAlignment="1">
      <alignment horizontal="center" vertical="center"/>
    </xf>
    <xf numFmtId="0" fontId="69" fillId="3" borderId="0" xfId="0" applyNumberFormat="1" applyFont="1" applyFill="1" applyBorder="1" applyAlignment="1" applyProtection="1">
      <alignment horizontal="center"/>
    </xf>
    <xf numFmtId="0" fontId="53" fillId="3" borderId="0" xfId="0" applyNumberFormat="1" applyFont="1" applyFill="1" applyAlignment="1">
      <alignment vertical="center"/>
    </xf>
    <xf numFmtId="0" fontId="69" fillId="3" borderId="0" xfId="0" applyFont="1" applyFill="1" applyBorder="1" applyAlignment="1">
      <alignment horizontal="center" vertical="center"/>
    </xf>
    <xf numFmtId="0" fontId="69" fillId="3" borderId="0" xfId="0" applyFont="1" applyFill="1" applyBorder="1"/>
    <xf numFmtId="0" fontId="69" fillId="3" borderId="0" xfId="0" applyFont="1" applyFill="1" applyAlignment="1">
      <alignment vertical="center" wrapText="1"/>
    </xf>
    <xf numFmtId="0" fontId="69" fillId="3" borderId="0" xfId="0" applyFont="1" applyFill="1" applyBorder="1" applyAlignment="1">
      <alignment horizontal="center"/>
    </xf>
    <xf numFmtId="0" fontId="69" fillId="3" borderId="0" xfId="0" applyFont="1" applyFill="1"/>
    <xf numFmtId="0" fontId="69" fillId="3" borderId="0" xfId="0" applyFont="1" applyFill="1" applyBorder="1" applyAlignment="1"/>
    <xf numFmtId="0" fontId="52" fillId="4" borderId="0" xfId="0" applyFont="1" applyFill="1" applyBorder="1" applyAlignment="1" applyProtection="1">
      <alignment horizontal="center" vertical="center"/>
    </xf>
    <xf numFmtId="0" fontId="69" fillId="3" borderId="0" xfId="0" applyFont="1" applyFill="1" applyBorder="1" applyAlignment="1" applyProtection="1">
      <alignment horizontal="center" vertical="center"/>
    </xf>
    <xf numFmtId="0" fontId="74" fillId="3" borderId="0" xfId="0" applyFont="1" applyFill="1" applyBorder="1" applyAlignment="1" applyProtection="1">
      <alignment horizontal="center" vertical="center"/>
    </xf>
    <xf numFmtId="170" fontId="52" fillId="3" borderId="0" xfId="0" applyNumberFormat="1" applyFont="1" applyFill="1" applyBorder="1" applyAlignment="1" applyProtection="1">
      <alignment horizontal="center" vertical="center"/>
    </xf>
    <xf numFmtId="0" fontId="74" fillId="3" borderId="0" xfId="0" applyFont="1" applyFill="1" applyBorder="1" applyAlignment="1" applyProtection="1">
      <alignment vertical="center"/>
    </xf>
    <xf numFmtId="0" fontId="52" fillId="3" borderId="0" xfId="0" applyFont="1" applyFill="1" applyBorder="1" applyAlignment="1" applyProtection="1">
      <alignment horizontal="center" vertical="center"/>
    </xf>
    <xf numFmtId="0" fontId="74" fillId="3" borderId="0" xfId="0" applyFont="1" applyFill="1" applyBorder="1" applyAlignment="1" applyProtection="1">
      <alignment horizontal="center"/>
    </xf>
    <xf numFmtId="0" fontId="74" fillId="3" borderId="0" xfId="0" applyFont="1" applyFill="1" applyBorder="1" applyAlignment="1" applyProtection="1">
      <alignment horizontal="right"/>
    </xf>
    <xf numFmtId="0" fontId="52" fillId="7" borderId="0" xfId="0" applyFont="1" applyFill="1" applyBorder="1" applyAlignment="1" applyProtection="1">
      <alignment horizontal="center" vertical="center"/>
    </xf>
    <xf numFmtId="0" fontId="52" fillId="3" borderId="0" xfId="0" applyFont="1" applyFill="1" applyAlignment="1" applyProtection="1">
      <alignment vertical="center"/>
    </xf>
    <xf numFmtId="0" fontId="52" fillId="3" borderId="0" xfId="0" applyFont="1" applyFill="1" applyProtection="1"/>
    <xf numFmtId="0" fontId="52" fillId="3" borderId="0" xfId="0" applyFont="1" applyFill="1" applyBorder="1" applyProtection="1"/>
    <xf numFmtId="170" fontId="52" fillId="7" borderId="0" xfId="0" applyNumberFormat="1" applyFont="1" applyFill="1" applyBorder="1" applyAlignment="1" applyProtection="1">
      <alignment horizontal="center" vertical="center"/>
    </xf>
    <xf numFmtId="0" fontId="52" fillId="3" borderId="0" xfId="0" applyFont="1" applyFill="1" applyBorder="1" applyAlignment="1" applyProtection="1">
      <alignment vertical="center"/>
    </xf>
    <xf numFmtId="0" fontId="52" fillId="3" borderId="0" xfId="0" applyFont="1" applyFill="1" applyBorder="1" applyAlignment="1" applyProtection="1">
      <alignment horizontal="right" vertical="center"/>
    </xf>
    <xf numFmtId="0" fontId="52" fillId="3" borderId="0" xfId="0" applyFont="1" applyFill="1" applyBorder="1" applyAlignment="1" applyProtection="1">
      <alignment horizontal="center"/>
    </xf>
    <xf numFmtId="0" fontId="52" fillId="3" borderId="0" xfId="0" applyFont="1" applyFill="1" applyBorder="1" applyAlignment="1" applyProtection="1">
      <alignment horizontal="right"/>
    </xf>
    <xf numFmtId="0" fontId="52" fillId="3" borderId="0" xfId="0" applyFont="1" applyFill="1" applyBorder="1" applyAlignment="1" applyProtection="1"/>
    <xf numFmtId="0" fontId="52" fillId="3" borderId="0" xfId="0" applyFont="1" applyFill="1" applyAlignment="1" applyProtection="1">
      <alignment horizontal="center"/>
    </xf>
    <xf numFmtId="0" fontId="82" fillId="3" borderId="0" xfId="0" applyFont="1" applyFill="1" applyAlignment="1" applyProtection="1">
      <alignment horizontal="left" vertical="center"/>
    </xf>
    <xf numFmtId="0" fontId="67" fillId="0" borderId="0" xfId="0" applyFont="1" applyAlignment="1">
      <alignment horizontal="left" vertical="center" readingOrder="1"/>
    </xf>
    <xf numFmtId="0" fontId="92" fillId="7" borderId="60" xfId="0" applyFont="1" applyFill="1" applyBorder="1" applyAlignment="1" applyProtection="1">
      <alignment horizontal="center" vertical="center"/>
    </xf>
    <xf numFmtId="0" fontId="92" fillId="7" borderId="64" xfId="0" applyFont="1" applyFill="1" applyBorder="1" applyAlignment="1" applyProtection="1">
      <alignment horizontal="center" vertical="center"/>
    </xf>
    <xf numFmtId="0" fontId="52" fillId="5" borderId="60" xfId="0" applyFont="1" applyFill="1" applyBorder="1" applyAlignment="1" applyProtection="1">
      <alignment horizontal="right" vertical="center"/>
    </xf>
    <xf numFmtId="0" fontId="52" fillId="5" borderId="64" xfId="0" applyFont="1" applyFill="1" applyBorder="1" applyAlignment="1" applyProtection="1">
      <alignment horizontal="right" vertical="center"/>
    </xf>
    <xf numFmtId="0" fontId="92" fillId="3" borderId="64" xfId="0" applyFont="1" applyFill="1" applyBorder="1" applyAlignment="1" applyProtection="1">
      <alignment horizontal="center" vertical="center"/>
    </xf>
    <xf numFmtId="0" fontId="52" fillId="17" borderId="0" xfId="0" applyFont="1" applyFill="1" applyAlignment="1" applyProtection="1">
      <alignment wrapText="1"/>
    </xf>
    <xf numFmtId="0" fontId="83" fillId="17" borderId="0" xfId="0" applyFont="1" applyFill="1" applyAlignment="1" applyProtection="1">
      <alignment wrapText="1"/>
    </xf>
    <xf numFmtId="0" fontId="67" fillId="0" borderId="0" xfId="0" applyFont="1" applyBorder="1" applyAlignment="1">
      <alignment horizontal="left" vertical="center" readingOrder="1"/>
    </xf>
    <xf numFmtId="0" fontId="52" fillId="3" borderId="0" xfId="0" applyFont="1" applyFill="1" applyBorder="1"/>
    <xf numFmtId="0" fontId="69" fillId="3" borderId="60" xfId="0" applyNumberFormat="1" applyFont="1" applyFill="1" applyBorder="1" applyAlignment="1" applyProtection="1">
      <alignment horizontal="center"/>
    </xf>
    <xf numFmtId="0" fontId="69" fillId="3" borderId="28" xfId="0" applyNumberFormat="1" applyFont="1" applyFill="1" applyBorder="1" applyAlignment="1" applyProtection="1">
      <alignment horizontal="center"/>
    </xf>
    <xf numFmtId="6" fontId="69" fillId="3" borderId="0" xfId="0" applyNumberFormat="1" applyFont="1" applyFill="1" applyBorder="1" applyAlignment="1" applyProtection="1">
      <alignment horizontal="center"/>
    </xf>
    <xf numFmtId="171" fontId="69" fillId="3" borderId="0" xfId="0" applyNumberFormat="1" applyFont="1" applyFill="1" applyBorder="1" applyAlignment="1" applyProtection="1">
      <alignment horizontal="center"/>
    </xf>
    <xf numFmtId="1" fontId="69" fillId="3" borderId="0" xfId="0" applyNumberFormat="1" applyFont="1" applyFill="1" applyBorder="1" applyAlignment="1" applyProtection="1">
      <alignment horizontal="center"/>
    </xf>
    <xf numFmtId="0" fontId="69" fillId="3" borderId="0" xfId="0" applyFont="1" applyFill="1" applyBorder="1" applyProtection="1"/>
    <xf numFmtId="0" fontId="69" fillId="7" borderId="0" xfId="0" applyFont="1" applyFill="1" applyBorder="1" applyAlignment="1" applyProtection="1">
      <alignment horizontal="center" vertical="center"/>
    </xf>
    <xf numFmtId="166" fontId="98" fillId="3" borderId="0" xfId="0" applyNumberFormat="1" applyFont="1" applyFill="1" applyBorder="1" applyAlignment="1" applyProtection="1">
      <alignment horizontal="left" vertical="center"/>
    </xf>
    <xf numFmtId="0" fontId="78" fillId="3" borderId="0" xfId="0" applyFont="1" applyFill="1" applyBorder="1" applyAlignment="1">
      <alignment horizontal="left" vertical="top" indent="1"/>
    </xf>
    <xf numFmtId="0" fontId="78" fillId="3" borderId="0" xfId="0" applyFont="1" applyFill="1" applyBorder="1" applyAlignment="1" applyProtection="1">
      <alignment horizontal="left" vertical="top" indent="1"/>
    </xf>
    <xf numFmtId="0" fontId="78" fillId="3" borderId="0" xfId="0" applyNumberFormat="1" applyFont="1" applyFill="1" applyBorder="1" applyAlignment="1" applyProtection="1">
      <alignment vertical="center"/>
    </xf>
    <xf numFmtId="0" fontId="78" fillId="3" borderId="0" xfId="0" applyNumberFormat="1" applyFont="1" applyFill="1" applyBorder="1" applyAlignment="1" applyProtection="1">
      <alignment vertical="top"/>
    </xf>
    <xf numFmtId="0" fontId="76" fillId="3" borderId="0" xfId="0" applyNumberFormat="1" applyFont="1" applyFill="1" applyBorder="1" applyAlignment="1" applyProtection="1">
      <alignment horizontal="center" vertical="center"/>
    </xf>
    <xf numFmtId="0" fontId="76" fillId="3" borderId="0" xfId="0" applyNumberFormat="1" applyFont="1" applyFill="1" applyBorder="1" applyAlignment="1" applyProtection="1">
      <alignment horizontal="center" vertical="center" wrapText="1"/>
    </xf>
    <xf numFmtId="10" fontId="76" fillId="3" borderId="0" xfId="3" applyNumberFormat="1" applyFont="1" applyFill="1" applyBorder="1" applyAlignment="1" applyProtection="1">
      <alignment horizontal="center" vertical="center"/>
    </xf>
    <xf numFmtId="166" fontId="55" fillId="14" borderId="67" xfId="0" applyNumberFormat="1" applyFont="1" applyFill="1" applyBorder="1" applyAlignment="1" applyProtection="1">
      <alignment vertical="center"/>
      <protection locked="0"/>
    </xf>
    <xf numFmtId="166" fontId="55" fillId="3" borderId="66" xfId="0" applyNumberFormat="1" applyFont="1" applyFill="1" applyBorder="1" applyAlignment="1" applyProtection="1">
      <alignment vertical="center"/>
      <protection locked="0"/>
    </xf>
    <xf numFmtId="166" fontId="55" fillId="3" borderId="67" xfId="0" applyNumberFormat="1" applyFont="1" applyFill="1" applyBorder="1" applyProtection="1">
      <protection locked="0"/>
    </xf>
    <xf numFmtId="166" fontId="55" fillId="14" borderId="67" xfId="0" applyNumberFormat="1" applyFont="1" applyFill="1" applyBorder="1" applyProtection="1">
      <protection locked="0"/>
    </xf>
    <xf numFmtId="166" fontId="55" fillId="14" borderId="66" xfId="0" applyNumberFormat="1" applyFont="1" applyFill="1" applyBorder="1" applyProtection="1">
      <protection locked="0"/>
    </xf>
    <xf numFmtId="0" fontId="52" fillId="14" borderId="0" xfId="0" applyFont="1" applyFill="1" applyBorder="1" applyProtection="1">
      <protection locked="0"/>
    </xf>
    <xf numFmtId="166" fontId="55" fillId="3" borderId="66" xfId="0" applyNumberFormat="1" applyFont="1" applyFill="1" applyBorder="1" applyProtection="1">
      <protection locked="0"/>
    </xf>
    <xf numFmtId="0" fontId="52" fillId="3" borderId="0" xfId="0" applyFont="1" applyFill="1" applyBorder="1" applyProtection="1">
      <protection locked="0"/>
    </xf>
    <xf numFmtId="166" fontId="52" fillId="3" borderId="0" xfId="0" applyNumberFormat="1" applyFont="1" applyFill="1" applyBorder="1" applyAlignment="1" applyProtection="1">
      <alignment horizontal="center"/>
      <protection locked="0"/>
    </xf>
    <xf numFmtId="166" fontId="79" fillId="3" borderId="0" xfId="0" applyNumberFormat="1" applyFont="1" applyFill="1" applyBorder="1" applyAlignment="1" applyProtection="1">
      <alignment horizontal="left" vertical="center"/>
    </xf>
    <xf numFmtId="0" fontId="55" fillId="16" borderId="0" xfId="0" applyFont="1" applyFill="1" applyBorder="1" applyAlignment="1">
      <alignment horizontal="left" vertical="center"/>
    </xf>
    <xf numFmtId="0" fontId="79" fillId="3" borderId="0" xfId="0" applyNumberFormat="1" applyFont="1" applyFill="1" applyBorder="1" applyAlignment="1" applyProtection="1">
      <alignment horizontal="left" vertical="center"/>
    </xf>
    <xf numFmtId="166" fontId="90" fillId="3" borderId="0" xfId="0" applyNumberFormat="1" applyFont="1" applyFill="1" applyBorder="1" applyAlignment="1" applyProtection="1">
      <alignment horizontal="left" vertical="center"/>
    </xf>
    <xf numFmtId="166" fontId="93" fillId="3" borderId="0" xfId="0" applyNumberFormat="1" applyFont="1" applyFill="1" applyBorder="1" applyAlignment="1" applyProtection="1">
      <alignment horizontal="left" vertical="center"/>
    </xf>
    <xf numFmtId="1" fontId="92" fillId="3" borderId="0" xfId="0" applyNumberFormat="1" applyFont="1" applyFill="1" applyBorder="1" applyAlignment="1" applyProtection="1">
      <alignment horizontal="left" vertical="center"/>
    </xf>
    <xf numFmtId="166" fontId="76" fillId="0" borderId="0" xfId="0" applyNumberFormat="1" applyFont="1" applyFill="1" applyBorder="1" applyAlignment="1" applyProtection="1">
      <alignment horizontal="left" vertical="center"/>
    </xf>
    <xf numFmtId="166" fontId="76" fillId="17" borderId="0" xfId="0" applyNumberFormat="1" applyFont="1" applyFill="1" applyBorder="1" applyAlignment="1" applyProtection="1">
      <alignment horizontal="left" vertical="center"/>
    </xf>
    <xf numFmtId="166" fontId="55" fillId="17" borderId="0" xfId="0" applyNumberFormat="1" applyFont="1" applyFill="1" applyBorder="1" applyAlignment="1" applyProtection="1">
      <alignment horizontal="left" vertical="center"/>
    </xf>
    <xf numFmtId="166" fontId="55" fillId="3" borderId="0" xfId="0" applyNumberFormat="1" applyFont="1" applyFill="1" applyBorder="1" applyAlignment="1" applyProtection="1">
      <alignment horizontal="left" vertical="center"/>
    </xf>
    <xf numFmtId="166" fontId="74" fillId="3" borderId="0" xfId="0" applyNumberFormat="1" applyFont="1" applyFill="1" applyBorder="1" applyAlignment="1" applyProtection="1">
      <alignment horizontal="left" vertical="center"/>
    </xf>
    <xf numFmtId="10" fontId="92" fillId="3" borderId="34" xfId="0" applyNumberFormat="1" applyFont="1" applyFill="1" applyBorder="1" applyAlignment="1" applyProtection="1">
      <alignment horizontal="center" vertical="center" wrapText="1"/>
    </xf>
    <xf numFmtId="1" fontId="92" fillId="3" borderId="34" xfId="0" applyNumberFormat="1" applyFont="1" applyFill="1" applyBorder="1" applyAlignment="1" applyProtection="1">
      <alignment horizontal="center" vertical="center" wrapText="1"/>
    </xf>
    <xf numFmtId="166" fontId="86" fillId="3" borderId="67" xfId="1" applyNumberFormat="1" applyFont="1" applyFill="1" applyBorder="1" applyProtection="1">
      <alignment horizontal="right"/>
    </xf>
    <xf numFmtId="166" fontId="86" fillId="14" borderId="67" xfId="1" applyNumberFormat="1" applyFont="1" applyFill="1" applyBorder="1" applyProtection="1">
      <alignment horizontal="right"/>
    </xf>
    <xf numFmtId="166" fontId="86" fillId="3" borderId="66" xfId="1" applyNumberFormat="1" applyFont="1" applyFill="1" applyBorder="1" applyProtection="1">
      <alignment horizontal="right"/>
    </xf>
    <xf numFmtId="166" fontId="92" fillId="3" borderId="67" xfId="1" applyFont="1" applyFill="1" applyBorder="1" applyProtection="1">
      <alignment horizontal="right"/>
    </xf>
    <xf numFmtId="166" fontId="92" fillId="14" borderId="67" xfId="1" applyFont="1" applyFill="1" applyBorder="1" applyProtection="1">
      <alignment horizontal="right"/>
    </xf>
    <xf numFmtId="166" fontId="92" fillId="3" borderId="66" xfId="1" applyFont="1" applyFill="1" applyBorder="1" applyProtection="1">
      <alignment horizontal="right"/>
    </xf>
    <xf numFmtId="0" fontId="52" fillId="14" borderId="46" xfId="0" applyFont="1" applyFill="1" applyBorder="1" applyAlignment="1" applyProtection="1">
      <alignment horizontal="left" indent="1"/>
      <protection locked="0"/>
    </xf>
    <xf numFmtId="0" fontId="52" fillId="3" borderId="46" xfId="0" applyFont="1" applyFill="1" applyBorder="1" applyAlignment="1" applyProtection="1">
      <alignment horizontal="left" indent="1"/>
      <protection locked="0"/>
    </xf>
    <xf numFmtId="0" fontId="74" fillId="3" borderId="0" xfId="0" applyNumberFormat="1" applyFont="1" applyFill="1" applyBorder="1" applyAlignment="1" applyProtection="1">
      <alignment horizontal="center"/>
    </xf>
    <xf numFmtId="165" fontId="74" fillId="3" borderId="0" xfId="0" applyNumberFormat="1" applyFont="1" applyFill="1" applyBorder="1" applyAlignment="1" applyProtection="1"/>
    <xf numFmtId="0" fontId="74" fillId="3" borderId="0" xfId="0" applyNumberFormat="1" applyFont="1" applyFill="1" applyBorder="1" applyAlignment="1" applyProtection="1">
      <alignment vertical="center"/>
    </xf>
    <xf numFmtId="0" fontId="74" fillId="3" borderId="0" xfId="0" applyNumberFormat="1" applyFont="1" applyFill="1" applyBorder="1" applyAlignment="1" applyProtection="1">
      <alignment horizontal="right" vertical="center"/>
    </xf>
    <xf numFmtId="0" fontId="69" fillId="3" borderId="0" xfId="0" applyNumberFormat="1" applyFont="1" applyFill="1" applyBorder="1" applyAlignment="1" applyProtection="1">
      <alignment vertical="center"/>
    </xf>
    <xf numFmtId="10" fontId="74" fillId="3" borderId="0" xfId="0" applyNumberFormat="1" applyFont="1" applyFill="1" applyBorder="1" applyAlignment="1" applyProtection="1">
      <alignment horizontal="center"/>
    </xf>
    <xf numFmtId="10" fontId="74" fillId="3" borderId="0" xfId="0" applyNumberFormat="1" applyFont="1" applyFill="1" applyBorder="1" applyAlignment="1" applyProtection="1"/>
    <xf numFmtId="0" fontId="102" fillId="3" borderId="0" xfId="0" applyNumberFormat="1" applyFont="1" applyFill="1" applyBorder="1" applyAlignment="1" applyProtection="1">
      <alignment vertical="center"/>
    </xf>
    <xf numFmtId="0" fontId="102" fillId="3" borderId="0" xfId="0" applyNumberFormat="1" applyFont="1" applyFill="1" applyBorder="1" applyAlignment="1" applyProtection="1"/>
    <xf numFmtId="0" fontId="74" fillId="3" borderId="0" xfId="0" applyNumberFormat="1" applyFont="1" applyFill="1" applyBorder="1" applyAlignment="1" applyProtection="1">
      <alignment wrapText="1"/>
    </xf>
    <xf numFmtId="0" fontId="105" fillId="3" borderId="0" xfId="0" applyNumberFormat="1" applyFont="1" applyFill="1" applyBorder="1" applyAlignment="1" applyProtection="1">
      <alignment vertical="top"/>
    </xf>
    <xf numFmtId="0" fontId="92" fillId="3" borderId="0" xfId="0" applyNumberFormat="1" applyFont="1" applyFill="1" applyBorder="1" applyAlignment="1" applyProtection="1"/>
    <xf numFmtId="0" fontId="93" fillId="3" borderId="0" xfId="0" applyNumberFormat="1" applyFont="1" applyFill="1" applyBorder="1" applyAlignment="1" applyProtection="1">
      <alignment horizontal="center"/>
    </xf>
    <xf numFmtId="0" fontId="92" fillId="3" borderId="0" xfId="0" applyNumberFormat="1" applyFont="1" applyFill="1" applyBorder="1" applyAlignment="1" applyProtection="1">
      <alignment horizontal="center"/>
    </xf>
    <xf numFmtId="165" fontId="92" fillId="3" borderId="0" xfId="0" applyNumberFormat="1" applyFont="1" applyFill="1" applyBorder="1" applyAlignment="1" applyProtection="1">
      <alignment horizontal="center"/>
    </xf>
    <xf numFmtId="10" fontId="92" fillId="3" borderId="0" xfId="0" applyNumberFormat="1" applyFont="1" applyFill="1" applyBorder="1" applyAlignment="1" applyProtection="1">
      <alignment horizontal="center"/>
    </xf>
    <xf numFmtId="165" fontId="92" fillId="3" borderId="0" xfId="0" applyNumberFormat="1" applyFont="1" applyFill="1" applyBorder="1" applyAlignment="1" applyProtection="1"/>
    <xf numFmtId="165" fontId="92" fillId="3" borderId="0" xfId="0" applyNumberFormat="1" applyFont="1" applyFill="1" applyBorder="1" applyProtection="1"/>
    <xf numFmtId="165" fontId="92" fillId="7" borderId="0" xfId="0" applyNumberFormat="1" applyFont="1" applyFill="1" applyBorder="1" applyProtection="1"/>
    <xf numFmtId="165" fontId="92" fillId="3" borderId="0" xfId="1" applyNumberFormat="1" applyFont="1" applyFill="1" applyBorder="1" applyProtection="1">
      <alignment horizontal="right"/>
    </xf>
    <xf numFmtId="165" fontId="92" fillId="3" borderId="0" xfId="1" applyNumberFormat="1" applyFont="1" applyFill="1" applyBorder="1">
      <alignment horizontal="right"/>
    </xf>
    <xf numFmtId="0" fontId="92" fillId="17" borderId="0" xfId="0" applyNumberFormat="1" applyFont="1" applyFill="1" applyBorder="1" applyAlignment="1" applyProtection="1">
      <alignment horizontal="center"/>
    </xf>
    <xf numFmtId="165" fontId="92" fillId="17" borderId="0" xfId="0" applyNumberFormat="1" applyFont="1" applyFill="1" applyBorder="1" applyAlignment="1" applyProtection="1">
      <alignment horizontal="center"/>
    </xf>
    <xf numFmtId="10" fontId="92" fillId="17" borderId="0" xfId="0" applyNumberFormat="1" applyFont="1" applyFill="1" applyBorder="1" applyAlignment="1" applyProtection="1">
      <alignment horizontal="center"/>
    </xf>
    <xf numFmtId="165" fontId="92" fillId="17" borderId="0" xfId="0" applyNumberFormat="1" applyFont="1" applyFill="1" applyBorder="1" applyAlignment="1" applyProtection="1"/>
    <xf numFmtId="165" fontId="92" fillId="17" borderId="0" xfId="0" applyNumberFormat="1" applyFont="1" applyFill="1" applyBorder="1" applyProtection="1"/>
    <xf numFmtId="165" fontId="92" fillId="17" borderId="0" xfId="1" applyNumberFormat="1" applyFont="1" applyFill="1" applyBorder="1" applyProtection="1">
      <alignment horizontal="right"/>
    </xf>
    <xf numFmtId="0" fontId="52" fillId="3" borderId="0" xfId="0" applyNumberFormat="1" applyFont="1" applyFill="1" applyBorder="1" applyAlignment="1" applyProtection="1">
      <alignment horizontal="center"/>
    </xf>
    <xf numFmtId="0" fontId="52" fillId="4" borderId="0" xfId="0" applyNumberFormat="1" applyFont="1" applyFill="1" applyBorder="1" applyAlignment="1" applyProtection="1">
      <alignment horizontal="center" vertical="center" wrapText="1"/>
    </xf>
    <xf numFmtId="0" fontId="52" fillId="3" borderId="0" xfId="0" applyNumberFormat="1" applyFont="1" applyFill="1" applyBorder="1" applyAlignment="1" applyProtection="1">
      <alignment horizontal="center" wrapText="1"/>
    </xf>
    <xf numFmtId="0" fontId="52" fillId="3" borderId="0" xfId="0" applyNumberFormat="1" applyFont="1" applyFill="1" applyBorder="1" applyAlignment="1" applyProtection="1">
      <alignment vertical="center"/>
    </xf>
    <xf numFmtId="0" fontId="71" fillId="3" borderId="0" xfId="0" applyNumberFormat="1" applyFont="1" applyFill="1" applyBorder="1" applyAlignment="1" applyProtection="1">
      <alignment horizontal="center" vertical="center" wrapText="1"/>
    </xf>
    <xf numFmtId="0" fontId="106" fillId="3" borderId="0" xfId="0" applyNumberFormat="1" applyFont="1" applyFill="1" applyBorder="1" applyAlignment="1" applyProtection="1"/>
    <xf numFmtId="164" fontId="54" fillId="4" borderId="50" xfId="0" applyNumberFormat="1" applyFont="1" applyFill="1" applyBorder="1" applyAlignment="1" applyProtection="1">
      <alignment horizontal="left" vertical="center"/>
    </xf>
    <xf numFmtId="164" fontId="86" fillId="3" borderId="50" xfId="0" applyNumberFormat="1" applyFont="1" applyFill="1" applyBorder="1" applyAlignment="1" applyProtection="1">
      <alignment horizontal="center" vertical="center"/>
    </xf>
    <xf numFmtId="0" fontId="52" fillId="16" borderId="0" xfId="0" applyFont="1" applyFill="1" applyBorder="1" applyAlignment="1">
      <alignment vertical="top" wrapText="1"/>
    </xf>
    <xf numFmtId="0" fontId="69" fillId="3" borderId="0" xfId="0" applyFont="1" applyFill="1" applyBorder="1" applyAlignment="1" applyProtection="1"/>
    <xf numFmtId="0" fontId="69" fillId="3" borderId="0" xfId="0" applyFont="1" applyFill="1" applyBorder="1" applyAlignment="1" applyProtection="1">
      <alignment vertical="center"/>
    </xf>
    <xf numFmtId="0" fontId="91" fillId="3" borderId="0" xfId="0" applyFont="1" applyFill="1" applyBorder="1" applyAlignment="1" applyProtection="1">
      <alignment vertical="center"/>
    </xf>
    <xf numFmtId="0" fontId="91" fillId="3" borderId="0" xfId="0" applyFont="1" applyFill="1" applyBorder="1" applyAlignment="1" applyProtection="1">
      <alignment vertical="center" wrapText="1"/>
    </xf>
    <xf numFmtId="0" fontId="77" fillId="3" borderId="0" xfId="0" applyFont="1" applyFill="1" applyBorder="1" applyAlignment="1" applyProtection="1">
      <alignment vertical="center"/>
    </xf>
    <xf numFmtId="14" fontId="74" fillId="3" borderId="0" xfId="0" applyNumberFormat="1" applyFont="1" applyFill="1" applyBorder="1" applyAlignment="1" applyProtection="1">
      <alignment horizontal="center"/>
    </xf>
    <xf numFmtId="1" fontId="74" fillId="3" borderId="0" xfId="0" applyNumberFormat="1" applyFont="1" applyFill="1" applyBorder="1" applyAlignment="1" applyProtection="1">
      <alignment horizontal="center"/>
    </xf>
    <xf numFmtId="0" fontId="74" fillId="3" borderId="0" xfId="0" applyFont="1" applyFill="1" applyBorder="1" applyAlignment="1" applyProtection="1">
      <alignment horizontal="center" vertical="center" wrapText="1"/>
    </xf>
    <xf numFmtId="2" fontId="74" fillId="3" borderId="0" xfId="0" applyNumberFormat="1" applyFont="1" applyFill="1" applyBorder="1" applyAlignment="1" applyProtection="1">
      <alignment horizontal="center" vertical="center" wrapText="1"/>
    </xf>
    <xf numFmtId="2" fontId="74" fillId="3" borderId="0" xfId="0" applyNumberFormat="1" applyFont="1" applyFill="1" applyBorder="1" applyAlignment="1" applyProtection="1">
      <alignment vertical="center"/>
    </xf>
    <xf numFmtId="2" fontId="74" fillId="3" borderId="0" xfId="0" applyNumberFormat="1" applyFont="1" applyFill="1" applyBorder="1" applyAlignment="1" applyProtection="1">
      <alignment horizontal="center" vertical="center"/>
    </xf>
    <xf numFmtId="0" fontId="74" fillId="3" borderId="0" xfId="0" applyFont="1" applyFill="1" applyBorder="1" applyAlignment="1" applyProtection="1">
      <alignment horizontal="left" vertical="center"/>
    </xf>
    <xf numFmtId="0" fontId="74" fillId="3" borderId="0" xfId="0" quotePrefix="1" applyFont="1" applyFill="1" applyBorder="1" applyAlignment="1" applyProtection="1">
      <alignment horizontal="left" vertical="center"/>
    </xf>
    <xf numFmtId="2" fontId="74" fillId="3" borderId="0" xfId="0" applyNumberFormat="1" applyFont="1" applyFill="1" applyBorder="1" applyAlignment="1" applyProtection="1">
      <alignment horizontal="left" vertical="center" wrapText="1"/>
    </xf>
    <xf numFmtId="0" fontId="91" fillId="3" borderId="0" xfId="0" applyFont="1" applyFill="1" applyBorder="1" applyAlignment="1" applyProtection="1">
      <alignment horizontal="center" vertical="center" wrapText="1"/>
    </xf>
    <xf numFmtId="0" fontId="76" fillId="3" borderId="0" xfId="0" applyFont="1" applyFill="1" applyBorder="1" applyAlignment="1" applyProtection="1">
      <alignment vertical="center"/>
    </xf>
    <xf numFmtId="1" fontId="74" fillId="3" borderId="0" xfId="0" applyNumberFormat="1" applyFont="1" applyFill="1" applyBorder="1" applyAlignment="1" applyProtection="1">
      <alignment horizontal="center" vertical="center"/>
    </xf>
    <xf numFmtId="0" fontId="107" fillId="3" borderId="0" xfId="2" applyFont="1" applyFill="1" applyBorder="1" applyAlignment="1" applyProtection="1">
      <alignment vertical="center"/>
    </xf>
    <xf numFmtId="1" fontId="74" fillId="3" borderId="0" xfId="0" applyNumberFormat="1" applyFont="1" applyFill="1" applyBorder="1" applyAlignment="1" applyProtection="1">
      <alignment vertical="center"/>
    </xf>
    <xf numFmtId="0" fontId="74" fillId="3" borderId="0" xfId="0" applyFont="1" applyFill="1" applyBorder="1" applyAlignment="1" applyProtection="1">
      <alignment vertical="center" wrapText="1"/>
    </xf>
    <xf numFmtId="167" fontId="74" fillId="3" borderId="0" xfId="0" applyNumberFormat="1" applyFont="1" applyFill="1" applyBorder="1" applyAlignment="1" applyProtection="1">
      <alignment horizontal="center" vertical="center"/>
    </xf>
    <xf numFmtId="0" fontId="74" fillId="3" borderId="0" xfId="0" applyFont="1" applyFill="1" applyBorder="1" applyAlignment="1" applyProtection="1">
      <alignment horizontal="left" vertical="center" wrapText="1"/>
    </xf>
    <xf numFmtId="0" fontId="82" fillId="3" borderId="0" xfId="295" applyFont="1" applyFill="1" applyBorder="1" applyAlignment="1" applyProtection="1">
      <alignment horizontal="left" vertical="center"/>
    </xf>
    <xf numFmtId="2" fontId="74" fillId="3" borderId="0" xfId="0" applyNumberFormat="1" applyFont="1" applyFill="1" applyBorder="1" applyAlignment="1" applyProtection="1">
      <alignment horizontal="center" vertical="center" wrapText="1"/>
      <protection locked="0"/>
    </xf>
    <xf numFmtId="165" fontId="76" fillId="3" borderId="0" xfId="1" applyNumberFormat="1" applyFont="1" applyFill="1" applyBorder="1" applyAlignment="1" applyProtection="1">
      <alignment horizontal="center"/>
    </xf>
    <xf numFmtId="0" fontId="76" fillId="3" borderId="0" xfId="0" applyFont="1" applyFill="1" applyBorder="1" applyProtection="1"/>
    <xf numFmtId="0" fontId="107" fillId="3" borderId="0" xfId="2" applyFont="1" applyFill="1" applyBorder="1" applyAlignment="1" applyProtection="1"/>
    <xf numFmtId="0" fontId="108" fillId="3" borderId="0" xfId="0" applyFont="1" applyFill="1" applyBorder="1" applyProtection="1"/>
    <xf numFmtId="0" fontId="52" fillId="3" borderId="0" xfId="0" applyFont="1" applyFill="1" applyBorder="1" applyAlignment="1" applyProtection="1">
      <alignment horizontal="left" vertical="center"/>
    </xf>
    <xf numFmtId="0" fontId="52" fillId="3" borderId="0" xfId="295" applyFont="1" applyFill="1" applyBorder="1" applyAlignment="1" applyProtection="1">
      <alignment horizontal="center" vertical="center"/>
    </xf>
    <xf numFmtId="0" fontId="52" fillId="3" borderId="0" xfId="0" quotePrefix="1" applyFont="1" applyFill="1" applyBorder="1" applyAlignment="1" applyProtection="1">
      <alignment vertical="center"/>
    </xf>
    <xf numFmtId="2" fontId="52" fillId="3" borderId="0" xfId="0" applyNumberFormat="1" applyFont="1" applyFill="1" applyBorder="1" applyAlignment="1" applyProtection="1">
      <alignment horizontal="center" vertical="center" wrapText="1"/>
    </xf>
    <xf numFmtId="0" fontId="52" fillId="3" borderId="0" xfId="0" applyFont="1" applyFill="1" applyBorder="1" applyAlignment="1" applyProtection="1">
      <alignment vertical="center" wrapText="1"/>
    </xf>
    <xf numFmtId="0" fontId="52" fillId="3" borderId="0" xfId="0" applyFont="1" applyFill="1" applyBorder="1" applyAlignment="1" applyProtection="1">
      <alignment horizontal="center" vertical="center" wrapText="1"/>
    </xf>
    <xf numFmtId="0" fontId="52" fillId="3" borderId="0" xfId="0" quotePrefix="1" applyFont="1" applyFill="1" applyBorder="1" applyAlignment="1" applyProtection="1">
      <alignment horizontal="left" vertical="center"/>
    </xf>
    <xf numFmtId="2" fontId="52" fillId="3" borderId="0" xfId="0" applyNumberFormat="1" applyFont="1" applyFill="1" applyBorder="1" applyAlignment="1" applyProtection="1">
      <alignment horizontal="left" vertical="center" wrapText="1"/>
    </xf>
    <xf numFmtId="0" fontId="92" fillId="3" borderId="0" xfId="0" applyFont="1" applyFill="1" applyBorder="1" applyAlignment="1" applyProtection="1">
      <alignment horizontal="center"/>
    </xf>
    <xf numFmtId="0" fontId="92" fillId="17" borderId="0" xfId="0" applyFont="1" applyFill="1" applyBorder="1" applyAlignment="1" applyProtection="1">
      <alignment horizontal="center"/>
    </xf>
    <xf numFmtId="0" fontId="63" fillId="3" borderId="0" xfId="0" applyFont="1" applyFill="1" applyBorder="1" applyProtection="1"/>
    <xf numFmtId="0" fontId="63" fillId="3" borderId="0" xfId="0" applyFont="1" applyFill="1" applyBorder="1" applyAlignment="1" applyProtection="1">
      <alignment horizontal="center" vertical="center"/>
    </xf>
    <xf numFmtId="165" fontId="63" fillId="3" borderId="0" xfId="1" applyNumberFormat="1" applyFont="1" applyFill="1" applyBorder="1" applyAlignment="1">
      <alignment horizontal="center" vertical="center"/>
    </xf>
    <xf numFmtId="0" fontId="52" fillId="3" borderId="0" xfId="0" applyFont="1" applyFill="1" applyBorder="1" applyAlignment="1" applyProtection="1">
      <alignment horizontal="left"/>
    </xf>
    <xf numFmtId="0" fontId="80" fillId="3" borderId="0" xfId="0" applyFont="1" applyFill="1" applyBorder="1" applyAlignment="1" applyProtection="1">
      <alignment horizontal="left" vertical="center"/>
    </xf>
    <xf numFmtId="0" fontId="80" fillId="3" borderId="0" xfId="0" applyFont="1" applyFill="1" applyBorder="1" applyAlignment="1" applyProtection="1">
      <alignment horizontal="center" vertical="center"/>
    </xf>
    <xf numFmtId="10" fontId="52" fillId="3" borderId="0" xfId="3" applyNumberFormat="1" applyFont="1" applyFill="1" applyBorder="1" applyAlignment="1" applyProtection="1">
      <alignment horizontal="right"/>
    </xf>
    <xf numFmtId="10" fontId="52" fillId="3" borderId="0" xfId="3" applyNumberFormat="1" applyFont="1" applyFill="1" applyBorder="1" applyAlignment="1" applyProtection="1">
      <alignment horizontal="center"/>
    </xf>
    <xf numFmtId="0" fontId="80" fillId="3" borderId="0" xfId="0" applyFont="1" applyFill="1" applyBorder="1" applyAlignment="1" applyProtection="1">
      <alignment horizontal="center" vertical="center" wrapText="1"/>
    </xf>
    <xf numFmtId="6" fontId="52" fillId="3" borderId="0" xfId="0" applyNumberFormat="1" applyFont="1" applyFill="1" applyBorder="1" applyAlignment="1" applyProtection="1">
      <alignment horizontal="center"/>
    </xf>
    <xf numFmtId="1" fontId="52" fillId="3" borderId="0" xfId="0" applyNumberFormat="1" applyFont="1" applyFill="1" applyBorder="1" applyAlignment="1" applyProtection="1">
      <alignment horizontal="center"/>
    </xf>
    <xf numFmtId="2" fontId="52" fillId="3" borderId="0" xfId="3" applyNumberFormat="1" applyFont="1" applyFill="1" applyBorder="1" applyAlignment="1" applyProtection="1">
      <alignment horizontal="center"/>
    </xf>
    <xf numFmtId="2" fontId="52" fillId="3" borderId="0" xfId="0" applyNumberFormat="1" applyFont="1" applyFill="1" applyBorder="1" applyAlignment="1" applyProtection="1">
      <alignment horizontal="center"/>
    </xf>
    <xf numFmtId="165" fontId="52" fillId="3" borderId="0" xfId="1" applyNumberFormat="1" applyFont="1" applyFill="1" applyBorder="1" applyAlignment="1" applyProtection="1">
      <alignment horizontal="center"/>
    </xf>
    <xf numFmtId="6" fontId="52" fillId="3" borderId="0" xfId="0" applyNumberFormat="1" applyFont="1" applyFill="1" applyBorder="1" applyAlignment="1" applyProtection="1">
      <alignment horizontal="left" vertical="top" wrapText="1"/>
    </xf>
    <xf numFmtId="0" fontId="52" fillId="4" borderId="0" xfId="0" applyFont="1" applyFill="1" applyBorder="1" applyAlignment="1" applyProtection="1">
      <alignment horizontal="center"/>
    </xf>
    <xf numFmtId="0" fontId="52" fillId="3" borderId="0" xfId="0" applyFont="1" applyFill="1" applyBorder="1" applyAlignment="1">
      <alignment vertical="top" wrapText="1"/>
    </xf>
    <xf numFmtId="0" fontId="52" fillId="4" borderId="60" xfId="0" applyFont="1" applyFill="1" applyBorder="1" applyAlignment="1" applyProtection="1">
      <alignment vertical="center"/>
    </xf>
    <xf numFmtId="0" fontId="92" fillId="3" borderId="0" xfId="0" applyFont="1" applyFill="1" applyBorder="1" applyProtection="1"/>
    <xf numFmtId="1" fontId="92" fillId="3" borderId="0" xfId="1" applyNumberFormat="1" applyFont="1" applyFill="1" applyBorder="1" applyAlignment="1">
      <alignment horizontal="center" vertical="center"/>
    </xf>
    <xf numFmtId="1" fontId="92" fillId="3" borderId="72" xfId="1" applyNumberFormat="1" applyFont="1" applyFill="1" applyBorder="1" applyAlignment="1">
      <alignment horizontal="center" vertical="center"/>
    </xf>
    <xf numFmtId="10" fontId="92" fillId="3" borderId="0" xfId="3" applyNumberFormat="1" applyFont="1" applyFill="1" applyBorder="1" applyAlignment="1" applyProtection="1">
      <alignment horizontal="center"/>
    </xf>
    <xf numFmtId="1" fontId="92" fillId="17" borderId="72" xfId="1" applyNumberFormat="1" applyFont="1" applyFill="1" applyBorder="1" applyAlignment="1">
      <alignment horizontal="center" vertical="center"/>
    </xf>
    <xf numFmtId="1" fontId="92" fillId="17" borderId="71" xfId="1" applyNumberFormat="1" applyFont="1" applyFill="1" applyBorder="1" applyAlignment="1">
      <alignment horizontal="center" vertical="center"/>
    </xf>
    <xf numFmtId="1" fontId="92" fillId="3" borderId="0" xfId="1" applyNumberFormat="1" applyFont="1" applyFill="1" applyBorder="1" applyAlignment="1" applyProtection="1">
      <alignment horizontal="center" vertical="center"/>
    </xf>
    <xf numFmtId="165" fontId="92" fillId="17" borderId="72" xfId="1" applyNumberFormat="1" applyFont="1" applyFill="1" applyBorder="1" applyAlignment="1">
      <alignment horizontal="right" indent="1"/>
    </xf>
    <xf numFmtId="165" fontId="92" fillId="3" borderId="72" xfId="1" applyNumberFormat="1" applyFont="1" applyFill="1" applyBorder="1" applyAlignment="1">
      <alignment horizontal="right" indent="1"/>
    </xf>
    <xf numFmtId="165" fontId="92" fillId="17" borderId="71" xfId="1" applyNumberFormat="1" applyFont="1" applyFill="1" applyBorder="1" applyAlignment="1">
      <alignment horizontal="right" indent="1"/>
    </xf>
    <xf numFmtId="165" fontId="92" fillId="3" borderId="0" xfId="1" applyNumberFormat="1" applyFont="1" applyFill="1" applyBorder="1" applyAlignment="1">
      <alignment horizontal="right" vertical="center" indent="1"/>
    </xf>
    <xf numFmtId="165" fontId="92" fillId="3" borderId="0" xfId="0" applyNumberFormat="1" applyFont="1" applyFill="1" applyBorder="1" applyAlignment="1" applyProtection="1">
      <alignment horizontal="right" indent="1"/>
    </xf>
    <xf numFmtId="165" fontId="92" fillId="17" borderId="0" xfId="1" applyNumberFormat="1" applyFont="1" applyFill="1" applyBorder="1" applyAlignment="1">
      <alignment horizontal="right" vertical="center" indent="1"/>
    </xf>
    <xf numFmtId="165" fontId="92" fillId="17" borderId="62" xfId="1" applyNumberFormat="1" applyFont="1" applyFill="1" applyBorder="1" applyAlignment="1">
      <alignment horizontal="right" vertical="center" indent="1"/>
    </xf>
    <xf numFmtId="165" fontId="92" fillId="3" borderId="73" xfId="1" applyNumberFormat="1" applyFont="1" applyFill="1" applyBorder="1" applyAlignment="1">
      <alignment horizontal="right" vertical="center" indent="1"/>
    </xf>
    <xf numFmtId="165" fontId="92" fillId="17" borderId="73" xfId="1" applyNumberFormat="1" applyFont="1" applyFill="1" applyBorder="1" applyAlignment="1">
      <alignment horizontal="right" vertical="center" indent="1"/>
    </xf>
    <xf numFmtId="165" fontId="92" fillId="17" borderId="63" xfId="1" applyNumberFormat="1" applyFont="1" applyFill="1" applyBorder="1" applyAlignment="1">
      <alignment horizontal="right" vertical="center" indent="1"/>
    </xf>
    <xf numFmtId="0" fontId="98" fillId="3" borderId="0" xfId="0" applyFont="1" applyFill="1" applyBorder="1" applyAlignment="1" applyProtection="1">
      <alignment horizontal="center" vertical="center" wrapText="1"/>
    </xf>
    <xf numFmtId="0" fontId="98" fillId="3" borderId="0" xfId="0" applyFont="1" applyFill="1" applyBorder="1" applyAlignment="1" applyProtection="1">
      <alignment vertical="center"/>
    </xf>
    <xf numFmtId="0" fontId="63" fillId="3" borderId="0" xfId="0" applyFont="1" applyFill="1" applyBorder="1"/>
    <xf numFmtId="0" fontId="63" fillId="3" borderId="0" xfId="0" applyFont="1" applyFill="1" applyBorder="1" applyAlignment="1">
      <alignment horizontal="center" vertical="center"/>
    </xf>
    <xf numFmtId="1" fontId="63" fillId="3" borderId="0" xfId="0" applyNumberFormat="1" applyFont="1" applyFill="1" applyBorder="1" applyAlignment="1" applyProtection="1">
      <alignment horizontal="center" vertical="center"/>
    </xf>
    <xf numFmtId="0" fontId="52" fillId="3" borderId="0" xfId="0" applyFont="1" applyFill="1" applyBorder="1" applyAlignment="1">
      <alignment vertical="center"/>
    </xf>
    <xf numFmtId="0" fontId="52" fillId="3" borderId="0" xfId="0" applyFont="1" applyFill="1" applyBorder="1" applyAlignment="1">
      <alignment horizontal="center"/>
    </xf>
    <xf numFmtId="0" fontId="52" fillId="3" borderId="0" xfId="0" applyFont="1" applyFill="1" applyBorder="1" applyAlignment="1"/>
    <xf numFmtId="9" fontId="52" fillId="3" borderId="0" xfId="0" applyNumberFormat="1" applyFont="1" applyFill="1" applyBorder="1" applyAlignment="1">
      <alignment horizontal="left" vertical="center"/>
    </xf>
    <xf numFmtId="0" fontId="52" fillId="3" borderId="0" xfId="0" applyFont="1" applyFill="1" applyBorder="1" applyAlignment="1">
      <alignment horizontal="left" vertical="center"/>
    </xf>
    <xf numFmtId="10" fontId="52" fillId="4" borderId="0" xfId="0" applyNumberFormat="1" applyFont="1" applyFill="1" applyBorder="1" applyAlignment="1">
      <alignment horizontal="center"/>
    </xf>
    <xf numFmtId="0" fontId="91" fillId="3" borderId="0" xfId="0" applyFont="1" applyFill="1" applyBorder="1" applyAlignment="1">
      <alignment horizontal="center"/>
    </xf>
    <xf numFmtId="0" fontId="91" fillId="3" borderId="0" xfId="0" applyFont="1" applyFill="1" applyBorder="1"/>
    <xf numFmtId="0" fontId="52" fillId="3" borderId="0" xfId="0" applyFont="1" applyFill="1" applyBorder="1" applyAlignment="1">
      <alignment horizontal="left" vertical="top" wrapText="1" indent="1"/>
    </xf>
    <xf numFmtId="0" fontId="98" fillId="3" borderId="0" xfId="0" applyFont="1" applyFill="1" applyBorder="1" applyAlignment="1" applyProtection="1">
      <alignment horizontal="left" vertical="top" wrapText="1"/>
    </xf>
    <xf numFmtId="0" fontId="109" fillId="3" borderId="0" xfId="0" applyFont="1" applyFill="1" applyBorder="1" applyAlignment="1" applyProtection="1">
      <alignment vertical="top"/>
    </xf>
    <xf numFmtId="0" fontId="109" fillId="3" borderId="0" xfId="0" applyFont="1" applyFill="1" applyBorder="1" applyAlignment="1">
      <alignment horizontal="center" vertical="top"/>
    </xf>
    <xf numFmtId="10" fontId="77" fillId="4" borderId="0" xfId="0" applyNumberFormat="1" applyFont="1" applyFill="1" applyBorder="1" applyAlignment="1">
      <alignment horizontal="center" vertical="center"/>
    </xf>
    <xf numFmtId="0" fontId="77" fillId="4" borderId="0" xfId="0" applyFont="1" applyFill="1" applyBorder="1" applyAlignment="1">
      <alignment horizontal="center" vertical="center"/>
    </xf>
    <xf numFmtId="0" fontId="52" fillId="3" borderId="0" xfId="0" applyFont="1" applyFill="1" applyBorder="1" applyAlignment="1" applyProtection="1">
      <alignment vertical="top"/>
    </xf>
    <xf numFmtId="0" fontId="52" fillId="3" borderId="0" xfId="0" applyFont="1" applyFill="1" applyBorder="1" applyAlignment="1" applyProtection="1">
      <alignment vertical="top" wrapText="1"/>
    </xf>
    <xf numFmtId="0" fontId="52" fillId="3" borderId="0" xfId="0" applyFont="1" applyFill="1" applyBorder="1" applyAlignment="1" applyProtection="1">
      <alignment horizontal="center" vertical="top" wrapText="1"/>
    </xf>
    <xf numFmtId="14" fontId="52" fillId="3" borderId="0" xfId="0" applyNumberFormat="1" applyFont="1" applyFill="1" applyBorder="1" applyAlignment="1" applyProtection="1">
      <alignment horizontal="center"/>
    </xf>
    <xf numFmtId="165" fontId="52" fillId="3" borderId="0" xfId="1" applyNumberFormat="1" applyFont="1" applyFill="1" applyBorder="1" applyAlignment="1" applyProtection="1">
      <alignment horizontal="right"/>
    </xf>
    <xf numFmtId="9" fontId="52" fillId="3" borderId="0" xfId="3" applyFont="1" applyFill="1" applyBorder="1" applyAlignment="1" applyProtection="1">
      <alignment horizontal="center"/>
    </xf>
    <xf numFmtId="171" fontId="52" fillId="3" borderId="0" xfId="3" applyNumberFormat="1" applyFont="1" applyFill="1" applyBorder="1" applyAlignment="1" applyProtection="1">
      <alignment horizontal="center"/>
    </xf>
    <xf numFmtId="0" fontId="52" fillId="3" borderId="0" xfId="3" applyNumberFormat="1" applyFont="1" applyFill="1" applyBorder="1" applyAlignment="1" applyProtection="1">
      <alignment horizontal="center"/>
    </xf>
    <xf numFmtId="165" fontId="52" fillId="3" borderId="0" xfId="3" applyNumberFormat="1" applyFont="1" applyFill="1" applyBorder="1" applyAlignment="1" applyProtection="1">
      <alignment horizontal="center"/>
    </xf>
    <xf numFmtId="2" fontId="52" fillId="3" borderId="0" xfId="0" applyNumberFormat="1" applyFont="1" applyFill="1" applyBorder="1" applyProtection="1"/>
    <xf numFmtId="165" fontId="52" fillId="4" borderId="0" xfId="1" applyNumberFormat="1" applyFont="1" applyFill="1" applyBorder="1" applyAlignment="1" applyProtection="1">
      <alignment horizontal="right" indent="1"/>
    </xf>
    <xf numFmtId="10" fontId="52" fillId="4" borderId="0" xfId="3" applyNumberFormat="1" applyFont="1" applyFill="1" applyBorder="1" applyAlignment="1" applyProtection="1">
      <alignment horizontal="right" indent="1"/>
    </xf>
    <xf numFmtId="0" fontId="52" fillId="4" borderId="0" xfId="0" applyNumberFormat="1" applyFont="1" applyFill="1" applyBorder="1" applyAlignment="1" applyProtection="1">
      <alignment horizontal="right" indent="1"/>
    </xf>
    <xf numFmtId="9" fontId="52" fillId="4" borderId="0" xfId="3" applyFont="1" applyFill="1" applyBorder="1" applyAlignment="1" applyProtection="1">
      <alignment horizontal="right" indent="1"/>
    </xf>
    <xf numFmtId="171" fontId="52" fillId="4" borderId="0" xfId="3" applyNumberFormat="1" applyFont="1" applyFill="1" applyBorder="1" applyAlignment="1" applyProtection="1">
      <alignment horizontal="right" indent="1"/>
    </xf>
    <xf numFmtId="0" fontId="52" fillId="4" borderId="0" xfId="0" applyFont="1" applyFill="1" applyBorder="1" applyAlignment="1" applyProtection="1">
      <alignment horizontal="right" indent="1"/>
    </xf>
    <xf numFmtId="171" fontId="52" fillId="4" borderId="0" xfId="3" applyNumberFormat="1" applyFont="1" applyFill="1" applyBorder="1" applyAlignment="1" applyProtection="1">
      <alignment horizontal="center"/>
    </xf>
    <xf numFmtId="0" fontId="91" fillId="3" borderId="0" xfId="0" applyFont="1" applyFill="1" applyBorder="1" applyAlignment="1" applyProtection="1">
      <alignment vertical="top"/>
    </xf>
    <xf numFmtId="0" fontId="92" fillId="3" borderId="65" xfId="0" applyFont="1" applyFill="1" applyBorder="1" applyAlignment="1" applyProtection="1">
      <alignment horizontal="center"/>
    </xf>
    <xf numFmtId="0" fontId="92" fillId="3" borderId="73" xfId="0" applyFont="1" applyFill="1" applyBorder="1" applyAlignment="1" applyProtection="1">
      <alignment horizontal="center"/>
    </xf>
    <xf numFmtId="0" fontId="92" fillId="3" borderId="73" xfId="0" applyNumberFormat="1" applyFont="1" applyFill="1" applyBorder="1" applyAlignment="1" applyProtection="1">
      <alignment horizontal="center"/>
    </xf>
    <xf numFmtId="0" fontId="92" fillId="3" borderId="70" xfId="0" applyFont="1" applyFill="1" applyBorder="1" applyAlignment="1" applyProtection="1">
      <alignment horizontal="center"/>
    </xf>
    <xf numFmtId="0" fontId="92" fillId="3" borderId="62" xfId="0" applyFont="1" applyFill="1" applyBorder="1" applyAlignment="1" applyProtection="1">
      <alignment horizontal="center"/>
    </xf>
    <xf numFmtId="0" fontId="92" fillId="3" borderId="63" xfId="0" applyFont="1" applyFill="1" applyBorder="1" applyAlignment="1" applyProtection="1">
      <alignment horizontal="center"/>
    </xf>
    <xf numFmtId="0" fontId="92" fillId="3" borderId="61" xfId="0" applyFont="1" applyFill="1" applyBorder="1" applyAlignment="1" applyProtection="1">
      <alignment horizontal="center"/>
    </xf>
    <xf numFmtId="0" fontId="92" fillId="3" borderId="60" xfId="0" applyFont="1" applyFill="1" applyBorder="1" applyAlignment="1" applyProtection="1">
      <alignment horizontal="center"/>
    </xf>
    <xf numFmtId="0" fontId="92" fillId="3" borderId="75" xfId="0" applyFont="1" applyFill="1" applyBorder="1" applyAlignment="1" applyProtection="1">
      <alignment horizontal="center"/>
    </xf>
    <xf numFmtId="0" fontId="82" fillId="3" borderId="0" xfId="295" applyFont="1" applyFill="1" applyBorder="1" applyAlignment="1" applyProtection="1">
      <alignment horizontal="left" vertical="top"/>
    </xf>
    <xf numFmtId="0" fontId="52" fillId="3" borderId="0" xfId="0" applyFont="1" applyFill="1" applyBorder="1" applyAlignment="1" applyProtection="1">
      <alignment horizontal="center" vertical="top"/>
    </xf>
    <xf numFmtId="0" fontId="52" fillId="3" borderId="0" xfId="295" applyFont="1" applyFill="1" applyBorder="1" applyAlignment="1" applyProtection="1">
      <alignment horizontal="center" vertical="top"/>
    </xf>
    <xf numFmtId="1" fontId="63" fillId="3" borderId="0" xfId="0" applyNumberFormat="1" applyFont="1" applyFill="1" applyBorder="1" applyAlignment="1">
      <alignment horizontal="center" vertical="center"/>
    </xf>
    <xf numFmtId="165" fontId="63" fillId="3" borderId="0" xfId="1" applyNumberFormat="1" applyFont="1" applyFill="1" applyBorder="1" applyAlignment="1" applyProtection="1">
      <alignment horizontal="center" vertical="center"/>
    </xf>
    <xf numFmtId="165" fontId="63" fillId="3" borderId="0" xfId="0" applyNumberFormat="1" applyFont="1" applyFill="1" applyBorder="1" applyAlignment="1" applyProtection="1">
      <alignment horizontal="center" vertical="center"/>
    </xf>
    <xf numFmtId="0" fontId="51" fillId="3" borderId="0" xfId="0" applyFont="1" applyFill="1" applyBorder="1" applyAlignment="1">
      <alignment vertical="center"/>
    </xf>
    <xf numFmtId="0" fontId="51" fillId="3" borderId="0" xfId="0" applyFont="1" applyFill="1" applyBorder="1"/>
    <xf numFmtId="0" fontId="51" fillId="3" borderId="0" xfId="0" applyFont="1" applyFill="1" applyBorder="1" applyAlignment="1">
      <alignment horizontal="center" vertical="center"/>
    </xf>
    <xf numFmtId="0" fontId="51" fillId="3" borderId="0" xfId="0" applyFont="1" applyFill="1" applyBorder="1" applyAlignment="1"/>
    <xf numFmtId="0" fontId="51" fillId="3" borderId="0" xfId="0" applyFont="1" applyFill="1" applyBorder="1" applyAlignment="1">
      <alignment horizontal="center"/>
    </xf>
    <xf numFmtId="0" fontId="51" fillId="3" borderId="0" xfId="0" applyFont="1" applyFill="1" applyBorder="1" applyAlignment="1">
      <alignment vertical="center" wrapText="1"/>
    </xf>
    <xf numFmtId="165" fontId="51" fillId="3" borderId="0" xfId="3" applyNumberFormat="1" applyFont="1" applyFill="1" applyBorder="1" applyAlignment="1">
      <alignment horizontal="center" vertical="center"/>
    </xf>
    <xf numFmtId="0" fontId="51" fillId="3" borderId="0" xfId="0" applyFont="1" applyFill="1" applyBorder="1" applyAlignment="1">
      <alignment horizontal="left" vertical="center"/>
    </xf>
    <xf numFmtId="165" fontId="51" fillId="3" borderId="0" xfId="1" applyNumberFormat="1" applyFont="1" applyFill="1" applyBorder="1" applyAlignment="1">
      <alignment horizontal="center" vertical="center"/>
    </xf>
    <xf numFmtId="10" fontId="51" fillId="3" borderId="0" xfId="3" applyNumberFormat="1" applyFont="1" applyFill="1" applyBorder="1" applyAlignment="1">
      <alignment horizontal="center"/>
    </xf>
    <xf numFmtId="0" fontId="51" fillId="3" borderId="0" xfId="0" applyFont="1" applyFill="1" applyBorder="1" applyAlignment="1">
      <alignment horizontal="center" vertical="center" wrapText="1"/>
    </xf>
    <xf numFmtId="14" fontId="51" fillId="3" borderId="0" xfId="0" applyNumberFormat="1" applyFont="1" applyFill="1" applyBorder="1" applyAlignment="1">
      <alignment horizontal="center" vertical="center"/>
    </xf>
    <xf numFmtId="1" fontId="51" fillId="3" borderId="0" xfId="0" applyNumberFormat="1" applyFont="1" applyFill="1" applyBorder="1" applyAlignment="1">
      <alignment horizontal="center" vertical="center"/>
    </xf>
    <xf numFmtId="165" fontId="51" fillId="3" borderId="0" xfId="0" applyNumberFormat="1" applyFont="1" applyFill="1" applyBorder="1" applyAlignment="1">
      <alignment horizontal="center" vertical="center"/>
    </xf>
    <xf numFmtId="6" fontId="51" fillId="3" borderId="0" xfId="0" applyNumberFormat="1" applyFont="1" applyFill="1" applyBorder="1" applyAlignment="1">
      <alignment horizontal="center" vertical="center"/>
    </xf>
    <xf numFmtId="14" fontId="51" fillId="3" borderId="0" xfId="0" applyNumberFormat="1" applyFont="1" applyFill="1" applyBorder="1" applyAlignment="1">
      <alignment horizontal="center"/>
    </xf>
    <xf numFmtId="10" fontId="51" fillId="3" borderId="0" xfId="3" applyNumberFormat="1" applyFont="1" applyFill="1" applyBorder="1" applyAlignment="1">
      <alignment horizontal="center" vertical="center"/>
    </xf>
    <xf numFmtId="0" fontId="51" fillId="3" borderId="0" xfId="0" quotePrefix="1" applyFont="1" applyFill="1" applyBorder="1" applyAlignment="1">
      <alignment horizontal="right"/>
    </xf>
    <xf numFmtId="0" fontId="51" fillId="3" borderId="0" xfId="0" applyFont="1" applyFill="1" applyBorder="1" applyAlignment="1">
      <alignment horizontal="right" vertical="top"/>
    </xf>
    <xf numFmtId="6" fontId="51" fillId="3" borderId="0" xfId="0" applyNumberFormat="1" applyFont="1" applyFill="1" applyBorder="1"/>
    <xf numFmtId="165" fontId="51" fillId="3" borderId="76" xfId="1" applyNumberFormat="1" applyFont="1" applyFill="1" applyBorder="1" applyAlignment="1" applyProtection="1">
      <alignment horizontal="center" vertical="center"/>
      <protection locked="0"/>
    </xf>
    <xf numFmtId="165" fontId="51" fillId="3" borderId="73" xfId="1" applyNumberFormat="1" applyFont="1" applyFill="1" applyBorder="1" applyAlignment="1">
      <alignment horizontal="center" vertical="center"/>
    </xf>
    <xf numFmtId="165" fontId="51" fillId="3" borderId="63" xfId="1" applyNumberFormat="1" applyFont="1" applyFill="1" applyBorder="1" applyAlignment="1">
      <alignment horizontal="center" vertical="center"/>
    </xf>
    <xf numFmtId="0" fontId="51" fillId="3" borderId="0" xfId="0" applyFont="1" applyFill="1" applyBorder="1" applyAlignment="1">
      <alignment horizontal="left" vertical="top" wrapText="1"/>
    </xf>
    <xf numFmtId="0" fontId="51" fillId="3" borderId="72" xfId="0" applyFont="1" applyFill="1" applyBorder="1" applyAlignment="1">
      <alignment horizontal="center" vertical="center" wrapText="1"/>
    </xf>
    <xf numFmtId="0" fontId="51" fillId="4" borderId="62" xfId="0" applyFont="1" applyFill="1" applyBorder="1" applyAlignment="1">
      <alignment horizontal="center" vertical="center" wrapText="1"/>
    </xf>
    <xf numFmtId="0" fontId="51" fillId="4" borderId="63" xfId="0" applyFont="1" applyFill="1" applyBorder="1" applyAlignment="1">
      <alignment horizontal="center" vertical="center" wrapText="1"/>
    </xf>
    <xf numFmtId="1" fontId="92" fillId="3" borderId="72" xfId="0" applyNumberFormat="1" applyFont="1" applyFill="1" applyBorder="1" applyAlignment="1">
      <alignment horizontal="center" vertical="center"/>
    </xf>
    <xf numFmtId="0" fontId="92" fillId="3" borderId="73" xfId="0" applyFont="1" applyFill="1" applyBorder="1" applyAlignment="1">
      <alignment horizontal="center" vertical="center"/>
    </xf>
    <xf numFmtId="165" fontId="92" fillId="3" borderId="73" xfId="0" applyNumberFormat="1" applyFont="1" applyFill="1" applyBorder="1" applyAlignment="1">
      <alignment horizontal="center" vertical="center"/>
    </xf>
    <xf numFmtId="165" fontId="92" fillId="3" borderId="73" xfId="1" applyNumberFormat="1" applyFont="1" applyFill="1" applyBorder="1" applyAlignment="1">
      <alignment horizontal="center" vertical="center"/>
    </xf>
    <xf numFmtId="165" fontId="92" fillId="3" borderId="72" xfId="1" applyNumberFormat="1" applyFont="1" applyFill="1" applyBorder="1" applyAlignment="1">
      <alignment horizontal="center" vertical="center"/>
    </xf>
    <xf numFmtId="0" fontId="92" fillId="17" borderId="72" xfId="0" applyFont="1" applyFill="1" applyBorder="1" applyAlignment="1">
      <alignment horizontal="center" vertical="center"/>
    </xf>
    <xf numFmtId="0" fontId="92" fillId="17" borderId="73" xfId="0" applyFont="1" applyFill="1" applyBorder="1" applyAlignment="1">
      <alignment horizontal="center" vertical="center"/>
    </xf>
    <xf numFmtId="165" fontId="92" fillId="17" borderId="73" xfId="0" applyNumberFormat="1" applyFont="1" applyFill="1" applyBorder="1" applyAlignment="1">
      <alignment horizontal="center" vertical="center"/>
    </xf>
    <xf numFmtId="165" fontId="92" fillId="17" borderId="73" xfId="1" applyNumberFormat="1" applyFont="1" applyFill="1" applyBorder="1" applyAlignment="1">
      <alignment horizontal="center" vertical="center"/>
    </xf>
    <xf numFmtId="165" fontId="92" fillId="17" borderId="72" xfId="1" applyNumberFormat="1" applyFont="1" applyFill="1" applyBorder="1" applyAlignment="1">
      <alignment horizontal="center" vertical="center"/>
    </xf>
    <xf numFmtId="0" fontId="92" fillId="3" borderId="72" xfId="0" applyFont="1" applyFill="1" applyBorder="1" applyAlignment="1">
      <alignment horizontal="center" vertical="center"/>
    </xf>
    <xf numFmtId="0" fontId="92" fillId="17" borderId="71" xfId="0" applyFont="1" applyFill="1" applyBorder="1" applyAlignment="1">
      <alignment horizontal="center" vertical="center"/>
    </xf>
    <xf numFmtId="0" fontId="92" fillId="17" borderId="63" xfId="0" applyFont="1" applyFill="1" applyBorder="1" applyAlignment="1">
      <alignment horizontal="center" vertical="center"/>
    </xf>
    <xf numFmtId="165" fontId="92" fillId="17" borderId="63" xfId="0" applyNumberFormat="1" applyFont="1" applyFill="1" applyBorder="1" applyAlignment="1">
      <alignment horizontal="center" vertical="center"/>
    </xf>
    <xf numFmtId="165" fontId="92" fillId="17" borderId="63" xfId="1" applyNumberFormat="1" applyFont="1" applyFill="1" applyBorder="1" applyAlignment="1">
      <alignment horizontal="center" vertical="center"/>
    </xf>
    <xf numFmtId="165" fontId="92" fillId="3" borderId="63" xfId="1" applyNumberFormat="1" applyFont="1" applyFill="1" applyBorder="1" applyAlignment="1">
      <alignment horizontal="center" vertical="center"/>
    </xf>
    <xf numFmtId="165" fontId="92" fillId="17" borderId="71" xfId="1" applyNumberFormat="1" applyFont="1" applyFill="1" applyBorder="1" applyAlignment="1">
      <alignment horizontal="center" vertical="center"/>
    </xf>
    <xf numFmtId="1" fontId="92" fillId="3" borderId="74" xfId="0" applyNumberFormat="1" applyFont="1" applyFill="1" applyBorder="1" applyAlignment="1">
      <alignment horizontal="center" vertical="center"/>
    </xf>
    <xf numFmtId="1" fontId="92" fillId="17" borderId="72" xfId="0" applyNumberFormat="1" applyFont="1" applyFill="1" applyBorder="1" applyAlignment="1">
      <alignment horizontal="center" vertical="center"/>
    </xf>
    <xf numFmtId="1" fontId="92" fillId="17" borderId="71" xfId="0" applyNumberFormat="1" applyFont="1" applyFill="1" applyBorder="1" applyAlignment="1">
      <alignment horizontal="center" vertical="center"/>
    </xf>
    <xf numFmtId="0" fontId="69" fillId="3" borderId="0" xfId="0" applyFont="1" applyFill="1" applyAlignment="1" applyProtection="1">
      <alignment vertical="center"/>
    </xf>
    <xf numFmtId="1" fontId="69" fillId="3" borderId="0" xfId="0" applyNumberFormat="1" applyFont="1" applyFill="1" applyAlignment="1" applyProtection="1">
      <alignment vertical="center"/>
    </xf>
    <xf numFmtId="0" fontId="76" fillId="3" borderId="0" xfId="0" applyFont="1" applyFill="1" applyBorder="1" applyAlignment="1" applyProtection="1">
      <alignment horizontal="center" vertical="center"/>
    </xf>
    <xf numFmtId="10" fontId="92" fillId="3" borderId="70" xfId="0" applyNumberFormat="1" applyFont="1" applyFill="1" applyBorder="1" applyAlignment="1" applyProtection="1">
      <alignment horizontal="center" vertical="center"/>
    </xf>
    <xf numFmtId="10" fontId="92" fillId="3" borderId="71" xfId="0" applyNumberFormat="1" applyFont="1" applyFill="1" applyBorder="1" applyAlignment="1" applyProtection="1">
      <alignment horizontal="center" vertical="center"/>
    </xf>
    <xf numFmtId="0" fontId="110" fillId="3" borderId="0" xfId="0" applyFont="1" applyFill="1" applyBorder="1" applyAlignment="1">
      <alignment horizontal="center" vertical="center" wrapText="1"/>
    </xf>
    <xf numFmtId="0" fontId="75" fillId="3" borderId="0" xfId="0" applyFont="1" applyFill="1" applyBorder="1" applyProtection="1"/>
    <xf numFmtId="0" fontId="76" fillId="3" borderId="0" xfId="0" applyFont="1" applyFill="1" applyBorder="1" applyAlignment="1" applyProtection="1">
      <alignment horizontal="right" vertical="center"/>
    </xf>
    <xf numFmtId="170" fontId="76" fillId="3" borderId="0" xfId="0" applyNumberFormat="1" applyFont="1" applyFill="1" applyBorder="1" applyAlignment="1" applyProtection="1">
      <alignment horizontal="center" vertical="center"/>
    </xf>
    <xf numFmtId="0" fontId="76" fillId="3" borderId="0" xfId="0" applyFont="1" applyFill="1" applyBorder="1" applyAlignment="1" applyProtection="1"/>
    <xf numFmtId="0" fontId="50" fillId="16" borderId="0" xfId="0" applyFont="1" applyFill="1" applyBorder="1" applyAlignment="1">
      <alignment vertical="top" wrapText="1"/>
    </xf>
    <xf numFmtId="0" fontId="76" fillId="3" borderId="0" xfId="0" quotePrefix="1" applyFont="1" applyFill="1" applyBorder="1" applyAlignment="1" applyProtection="1">
      <alignment horizontal="left" vertical="center"/>
    </xf>
    <xf numFmtId="0" fontId="75" fillId="3" borderId="0" xfId="0" applyFont="1" applyFill="1" applyBorder="1" applyAlignment="1" applyProtection="1">
      <alignment horizontal="right" vertical="center"/>
    </xf>
    <xf numFmtId="0" fontId="75" fillId="3" borderId="0" xfId="0" applyFont="1" applyFill="1" applyBorder="1" applyAlignment="1" applyProtection="1">
      <alignment horizontal="left" vertical="center"/>
    </xf>
    <xf numFmtId="0" fontId="76" fillId="3" borderId="0" xfId="0" applyFont="1" applyFill="1" applyBorder="1" applyAlignment="1" applyProtection="1">
      <alignment horizontal="center" vertical="center" wrapText="1"/>
    </xf>
    <xf numFmtId="0" fontId="76" fillId="3" borderId="0" xfId="0" applyFont="1" applyFill="1" applyBorder="1" applyAlignment="1" applyProtection="1">
      <alignment wrapText="1"/>
    </xf>
    <xf numFmtId="0" fontId="50" fillId="3" borderId="0" xfId="0" applyFont="1" applyFill="1" applyBorder="1" applyProtection="1"/>
    <xf numFmtId="10" fontId="88" fillId="3" borderId="25" xfId="0" applyNumberFormat="1" applyFont="1" applyFill="1" applyBorder="1" applyAlignment="1" applyProtection="1">
      <alignment horizontal="center" vertical="center"/>
    </xf>
    <xf numFmtId="10" fontId="92" fillId="3" borderId="25" xfId="0" applyNumberFormat="1" applyFont="1" applyFill="1" applyBorder="1" applyAlignment="1" applyProtection="1">
      <alignment horizontal="center" vertical="center"/>
    </xf>
    <xf numFmtId="1" fontId="88" fillId="3" borderId="25" xfId="0" applyNumberFormat="1" applyFont="1" applyFill="1" applyBorder="1" applyAlignment="1" applyProtection="1">
      <alignment horizontal="center" vertical="center"/>
    </xf>
    <xf numFmtId="0" fontId="51" fillId="3" borderId="0" xfId="0" applyFont="1" applyFill="1" applyBorder="1" applyAlignment="1">
      <alignment horizontal="center" vertical="center"/>
    </xf>
    <xf numFmtId="165" fontId="91" fillId="0" borderId="0" xfId="1" applyNumberFormat="1" applyFont="1" applyFill="1" applyBorder="1" applyAlignment="1">
      <alignment horizontal="right" indent="1"/>
    </xf>
    <xf numFmtId="0" fontId="52" fillId="4" borderId="73" xfId="0" applyFont="1" applyFill="1" applyBorder="1" applyAlignment="1">
      <alignment horizontal="center" vertical="center"/>
    </xf>
    <xf numFmtId="0" fontId="51" fillId="3" borderId="0" xfId="0" applyFont="1" applyFill="1" applyBorder="1" applyAlignment="1">
      <alignment horizontal="center" vertical="center"/>
    </xf>
    <xf numFmtId="0" fontId="82" fillId="3" borderId="0" xfId="0" applyFont="1" applyFill="1" applyBorder="1" applyAlignment="1" applyProtection="1"/>
    <xf numFmtId="0" fontId="50" fillId="3" borderId="0" xfId="0" applyFont="1" applyFill="1" applyBorder="1" applyAlignment="1" applyProtection="1"/>
    <xf numFmtId="10" fontId="54" fillId="3" borderId="34" xfId="3" applyNumberFormat="1" applyFont="1" applyFill="1" applyBorder="1" applyAlignment="1" applyProtection="1">
      <alignment horizontal="center" vertical="center"/>
      <protection locked="0"/>
    </xf>
    <xf numFmtId="166" fontId="51" fillId="3" borderId="0" xfId="0" applyNumberFormat="1" applyFont="1" applyFill="1" applyBorder="1" applyAlignment="1"/>
    <xf numFmtId="0" fontId="49" fillId="3" borderId="0" xfId="0" applyFont="1" applyFill="1" applyBorder="1" applyAlignment="1">
      <alignment horizontal="center" vertical="center"/>
    </xf>
    <xf numFmtId="165" fontId="74" fillId="0" borderId="0" xfId="1" applyNumberFormat="1" applyFont="1">
      <alignment horizontal="right"/>
    </xf>
    <xf numFmtId="0" fontId="51" fillId="3" borderId="0" xfId="0" applyFont="1" applyFill="1" applyBorder="1" applyAlignment="1">
      <alignment horizontal="center" vertical="center"/>
    </xf>
    <xf numFmtId="10" fontId="108" fillId="3" borderId="60" xfId="3" applyNumberFormat="1" applyFont="1" applyFill="1" applyBorder="1" applyAlignment="1" applyProtection="1">
      <alignment horizontal="center"/>
      <protection locked="0"/>
    </xf>
    <xf numFmtId="165" fontId="74" fillId="3" borderId="60" xfId="0" applyNumberFormat="1" applyFont="1" applyFill="1" applyBorder="1" applyAlignment="1" applyProtection="1">
      <alignment horizontal="center"/>
      <protection locked="0"/>
    </xf>
    <xf numFmtId="6" fontId="108" fillId="3" borderId="61" xfId="0" applyNumberFormat="1" applyFont="1" applyFill="1" applyBorder="1" applyAlignment="1" applyProtection="1">
      <alignment horizontal="center"/>
      <protection locked="0"/>
    </xf>
    <xf numFmtId="0" fontId="48" fillId="3" borderId="0" xfId="0" applyFont="1" applyFill="1" applyBorder="1"/>
    <xf numFmtId="171" fontId="48" fillId="3" borderId="33" xfId="0" applyNumberFormat="1" applyFont="1" applyFill="1" applyBorder="1" applyAlignment="1" applyProtection="1">
      <alignment horizontal="center"/>
      <protection locked="0"/>
    </xf>
    <xf numFmtId="165" fontId="48" fillId="3" borderId="33" xfId="0" applyNumberFormat="1" applyFont="1" applyFill="1" applyBorder="1" applyAlignment="1" applyProtection="1">
      <alignment horizontal="center"/>
      <protection locked="0"/>
    </xf>
    <xf numFmtId="6" fontId="48" fillId="3" borderId="28" xfId="0" applyNumberFormat="1" applyFont="1" applyFill="1" applyBorder="1" applyAlignment="1" applyProtection="1">
      <alignment horizontal="center"/>
      <protection locked="0"/>
    </xf>
    <xf numFmtId="6" fontId="48" fillId="3" borderId="32" xfId="0" applyNumberFormat="1" applyFont="1" applyFill="1" applyBorder="1" applyAlignment="1" applyProtection="1">
      <alignment horizontal="center"/>
      <protection locked="0"/>
    </xf>
    <xf numFmtId="6" fontId="48" fillId="3" borderId="33" xfId="0" applyNumberFormat="1" applyFont="1" applyFill="1" applyBorder="1" applyAlignment="1" applyProtection="1">
      <alignment horizontal="center"/>
      <protection locked="0"/>
    </xf>
    <xf numFmtId="10" fontId="108" fillId="14" borderId="0" xfId="3" applyNumberFormat="1" applyFont="1" applyFill="1" applyBorder="1" applyAlignment="1" applyProtection="1">
      <alignment horizontal="center"/>
      <protection locked="0"/>
    </xf>
    <xf numFmtId="165" fontId="74" fillId="14" borderId="0" xfId="0" applyNumberFormat="1" applyFont="1" applyFill="1" applyBorder="1" applyAlignment="1" applyProtection="1">
      <alignment horizontal="center"/>
      <protection locked="0"/>
    </xf>
    <xf numFmtId="0" fontId="48" fillId="3" borderId="29" xfId="0" applyFont="1" applyFill="1" applyBorder="1" applyAlignment="1" applyProtection="1">
      <alignment horizontal="center"/>
    </xf>
    <xf numFmtId="171" fontId="48" fillId="14" borderId="46" xfId="0" applyNumberFormat="1" applyFont="1" applyFill="1" applyBorder="1" applyAlignment="1" applyProtection="1">
      <alignment horizontal="center"/>
      <protection locked="0"/>
    </xf>
    <xf numFmtId="165" fontId="48" fillId="14" borderId="46" xfId="0" applyNumberFormat="1" applyFont="1" applyFill="1" applyBorder="1" applyAlignment="1" applyProtection="1">
      <alignment horizontal="center"/>
      <protection locked="0"/>
    </xf>
    <xf numFmtId="0" fontId="48" fillId="3" borderId="0" xfId="0" applyFont="1" applyFill="1" applyBorder="1" applyAlignment="1" applyProtection="1">
      <alignment horizontal="center"/>
    </xf>
    <xf numFmtId="6" fontId="48" fillId="14" borderId="45" xfId="0" applyNumberFormat="1" applyFont="1" applyFill="1" applyBorder="1" applyAlignment="1" applyProtection="1">
      <alignment horizontal="center"/>
      <protection locked="0"/>
    </xf>
    <xf numFmtId="6" fontId="48" fillId="3" borderId="0" xfId="0" applyNumberFormat="1" applyFont="1" applyFill="1" applyBorder="1" applyAlignment="1" applyProtection="1">
      <alignment horizontal="center"/>
    </xf>
    <xf numFmtId="6" fontId="48" fillId="14" borderId="46" xfId="0" applyNumberFormat="1" applyFont="1" applyFill="1" applyBorder="1" applyAlignment="1" applyProtection="1">
      <alignment horizontal="center"/>
      <protection locked="0"/>
    </xf>
    <xf numFmtId="10" fontId="108" fillId="3" borderId="0" xfId="3" applyNumberFormat="1" applyFont="1" applyFill="1" applyBorder="1" applyAlignment="1" applyProtection="1">
      <alignment horizontal="center"/>
      <protection locked="0"/>
    </xf>
    <xf numFmtId="165" fontId="74" fillId="3" borderId="0" xfId="0" applyNumberFormat="1" applyFont="1" applyFill="1" applyBorder="1" applyAlignment="1" applyProtection="1">
      <alignment horizontal="center"/>
      <protection locked="0"/>
    </xf>
    <xf numFmtId="171" fontId="48" fillId="3" borderId="46" xfId="0" applyNumberFormat="1" applyFont="1" applyFill="1" applyBorder="1" applyAlignment="1" applyProtection="1">
      <alignment horizontal="center"/>
      <protection locked="0"/>
    </xf>
    <xf numFmtId="165" fontId="48" fillId="3" borderId="46" xfId="0" applyNumberFormat="1" applyFont="1" applyFill="1" applyBorder="1" applyAlignment="1" applyProtection="1">
      <alignment horizontal="center"/>
      <protection locked="0"/>
    </xf>
    <xf numFmtId="6" fontId="48" fillId="3" borderId="45" xfId="0" applyNumberFormat="1" applyFont="1" applyFill="1" applyBorder="1" applyAlignment="1" applyProtection="1">
      <alignment horizontal="center"/>
      <protection locked="0"/>
    </xf>
    <xf numFmtId="6" fontId="48" fillId="3" borderId="46" xfId="0" applyNumberFormat="1" applyFont="1" applyFill="1" applyBorder="1" applyAlignment="1" applyProtection="1">
      <alignment horizontal="center"/>
      <protection locked="0"/>
    </xf>
    <xf numFmtId="0" fontId="48" fillId="3" borderId="30" xfId="0" applyFont="1" applyFill="1" applyBorder="1" applyAlignment="1" applyProtection="1">
      <alignment horizontal="center"/>
    </xf>
    <xf numFmtId="171" fontId="48" fillId="14" borderId="48" xfId="0" applyNumberFormat="1" applyFont="1" applyFill="1" applyBorder="1" applyAlignment="1" applyProtection="1">
      <alignment horizontal="center"/>
      <protection locked="0"/>
    </xf>
    <xf numFmtId="165" fontId="48" fillId="14" borderId="48" xfId="0" applyNumberFormat="1" applyFont="1" applyFill="1" applyBorder="1" applyAlignment="1" applyProtection="1">
      <alignment horizontal="center"/>
      <protection locked="0"/>
    </xf>
    <xf numFmtId="0" fontId="48" fillId="3" borderId="31" xfId="0" applyFont="1" applyFill="1" applyBorder="1" applyAlignment="1" applyProtection="1">
      <alignment horizontal="center"/>
    </xf>
    <xf numFmtId="6" fontId="48" fillId="14" borderId="34" xfId="0" applyNumberFormat="1" applyFont="1" applyFill="1" applyBorder="1" applyAlignment="1" applyProtection="1">
      <alignment horizontal="center"/>
      <protection locked="0"/>
    </xf>
    <xf numFmtId="6" fontId="48" fillId="14" borderId="48" xfId="0" applyNumberFormat="1" applyFont="1" applyFill="1" applyBorder="1" applyAlignment="1" applyProtection="1">
      <alignment horizontal="center"/>
      <protection locked="0"/>
    </xf>
    <xf numFmtId="6" fontId="63" fillId="3" borderId="0" xfId="0" applyNumberFormat="1" applyFont="1" applyFill="1" applyBorder="1" applyAlignment="1" applyProtection="1">
      <alignment horizontal="center" vertical="center"/>
    </xf>
    <xf numFmtId="6" fontId="63" fillId="3" borderId="0" xfId="0" applyNumberFormat="1" applyFont="1" applyFill="1" applyBorder="1" applyProtection="1"/>
    <xf numFmtId="6" fontId="70" fillId="3" borderId="0" xfId="0" applyNumberFormat="1" applyFont="1" applyFill="1" applyBorder="1" applyAlignment="1" applyProtection="1">
      <alignment horizontal="left"/>
    </xf>
    <xf numFmtId="0" fontId="63" fillId="3" borderId="0" xfId="0" applyFont="1" applyFill="1" applyBorder="1" applyAlignment="1" applyProtection="1">
      <alignment horizontal="left" vertical="center"/>
    </xf>
    <xf numFmtId="165" fontId="63" fillId="3" borderId="0" xfId="1" applyNumberFormat="1" applyFont="1" applyFill="1" applyBorder="1" applyAlignment="1" applyProtection="1">
      <alignment vertical="center"/>
    </xf>
    <xf numFmtId="0" fontId="63" fillId="3" borderId="0" xfId="0" applyFont="1" applyFill="1" applyBorder="1" applyAlignment="1" applyProtection="1">
      <alignment horizontal="left" vertical="top"/>
    </xf>
    <xf numFmtId="0" fontId="63" fillId="3" borderId="0" xfId="0" applyFont="1" applyFill="1" applyBorder="1" applyAlignment="1" applyProtection="1"/>
    <xf numFmtId="0" fontId="51" fillId="3" borderId="0" xfId="1" applyNumberFormat="1" applyFont="1" applyFill="1" applyBorder="1" applyAlignment="1" applyProtection="1">
      <alignment horizontal="left" vertical="center"/>
    </xf>
    <xf numFmtId="166" fontId="51" fillId="3" borderId="0" xfId="1" applyNumberFormat="1" applyFont="1" applyFill="1" applyBorder="1" applyAlignment="1" applyProtection="1">
      <alignment horizontal="left" vertical="center"/>
    </xf>
    <xf numFmtId="165" fontId="51" fillId="3" borderId="0" xfId="1" applyNumberFormat="1" applyFont="1" applyFill="1" applyBorder="1" applyAlignment="1" applyProtection="1">
      <alignment horizontal="center" vertical="center"/>
    </xf>
    <xf numFmtId="0" fontId="51" fillId="3" borderId="0" xfId="0" applyFont="1" applyFill="1" applyBorder="1" applyAlignment="1">
      <alignment horizontal="center" vertical="center"/>
    </xf>
    <xf numFmtId="0" fontId="76" fillId="3" borderId="79" xfId="0" applyFont="1" applyFill="1" applyBorder="1" applyProtection="1"/>
    <xf numFmtId="0" fontId="76" fillId="3" borderId="80" xfId="0" applyFont="1" applyFill="1" applyBorder="1" applyProtection="1"/>
    <xf numFmtId="0" fontId="76" fillId="3" borderId="81" xfId="0" applyFont="1" applyFill="1" applyBorder="1" applyProtection="1"/>
    <xf numFmtId="0" fontId="76" fillId="3" borderId="82" xfId="0" applyFont="1" applyFill="1" applyBorder="1" applyProtection="1"/>
    <xf numFmtId="0" fontId="76" fillId="3" borderId="83" xfId="0" applyFont="1" applyFill="1" applyBorder="1" applyAlignment="1" applyProtection="1"/>
    <xf numFmtId="0" fontId="76" fillId="3" borderId="84" xfId="0" applyFont="1" applyFill="1" applyBorder="1" applyProtection="1"/>
    <xf numFmtId="165" fontId="69" fillId="3" borderId="0" xfId="0" applyNumberFormat="1" applyFont="1" applyFill="1" applyBorder="1" applyAlignment="1" applyProtection="1">
      <alignment horizontal="center"/>
    </xf>
    <xf numFmtId="0" fontId="103" fillId="3" borderId="0" xfId="0" applyNumberFormat="1" applyFont="1" applyFill="1" applyBorder="1" applyAlignment="1" applyProtection="1">
      <alignment horizontal="center" vertical="top"/>
    </xf>
    <xf numFmtId="0" fontId="109" fillId="3" borderId="0" xfId="0" applyFont="1" applyFill="1" applyBorder="1" applyAlignment="1" applyProtection="1">
      <alignment horizontal="center" vertical="top"/>
    </xf>
    <xf numFmtId="0" fontId="78" fillId="3" borderId="0" xfId="0" applyNumberFormat="1" applyFont="1" applyFill="1" applyBorder="1" applyAlignment="1" applyProtection="1">
      <alignment horizontal="center" vertical="top"/>
    </xf>
    <xf numFmtId="0" fontId="103" fillId="3" borderId="0" xfId="0" applyFont="1" applyFill="1" applyBorder="1" applyAlignment="1">
      <alignment horizontal="center" vertical="top"/>
    </xf>
    <xf numFmtId="0" fontId="98" fillId="3" borderId="0" xfId="0" applyFont="1" applyFill="1" applyBorder="1" applyAlignment="1">
      <alignment horizontal="center" vertical="top"/>
    </xf>
    <xf numFmtId="0" fontId="50" fillId="3" borderId="0" xfId="0" applyFont="1" applyFill="1" applyBorder="1" applyAlignment="1">
      <alignment vertical="top" wrapText="1"/>
    </xf>
    <xf numFmtId="0" fontId="81" fillId="3" borderId="0" xfId="0" applyFont="1" applyFill="1" applyBorder="1" applyAlignment="1" applyProtection="1">
      <alignment vertical="center"/>
    </xf>
    <xf numFmtId="0" fontId="112" fillId="3" borderId="0" xfId="0" applyFont="1" applyFill="1" applyBorder="1" applyAlignment="1" applyProtection="1">
      <alignment vertical="center"/>
    </xf>
    <xf numFmtId="0" fontId="81" fillId="3" borderId="0" xfId="0" applyFont="1" applyFill="1" applyBorder="1" applyAlignment="1" applyProtection="1">
      <alignment horizontal="center" vertical="center"/>
    </xf>
    <xf numFmtId="0" fontId="46" fillId="3" borderId="0" xfId="0" applyFont="1" applyFill="1" applyBorder="1" applyAlignment="1" applyProtection="1">
      <alignment vertical="center"/>
    </xf>
    <xf numFmtId="0" fontId="46" fillId="3" borderId="0" xfId="0" applyFont="1" applyFill="1" applyBorder="1" applyAlignment="1" applyProtection="1">
      <alignment horizontal="center" vertical="center"/>
    </xf>
    <xf numFmtId="0" fontId="46" fillId="3" borderId="0" xfId="295" applyFont="1" applyFill="1" applyBorder="1" applyAlignment="1" applyProtection="1">
      <alignment vertical="top"/>
    </xf>
    <xf numFmtId="2" fontId="74" fillId="17" borderId="0" xfId="0" applyNumberFormat="1" applyFont="1" applyFill="1" applyBorder="1" applyAlignment="1" applyProtection="1">
      <alignment horizontal="center" vertical="center" wrapText="1"/>
      <protection locked="0"/>
    </xf>
    <xf numFmtId="0" fontId="92" fillId="3" borderId="90" xfId="0" applyFont="1" applyFill="1" applyBorder="1" applyAlignment="1" applyProtection="1">
      <alignment horizontal="center"/>
    </xf>
    <xf numFmtId="0" fontId="92" fillId="17" borderId="90" xfId="0" applyFont="1" applyFill="1" applyBorder="1" applyAlignment="1" applyProtection="1">
      <alignment horizontal="center"/>
    </xf>
    <xf numFmtId="0" fontId="92" fillId="17" borderId="92" xfId="0" applyFont="1" applyFill="1" applyBorder="1" applyAlignment="1" applyProtection="1">
      <alignment horizontal="center"/>
    </xf>
    <xf numFmtId="0" fontId="74" fillId="3" borderId="92" xfId="0" applyFont="1" applyFill="1" applyBorder="1" applyAlignment="1" applyProtection="1">
      <alignment vertical="center"/>
    </xf>
    <xf numFmtId="0" fontId="74" fillId="3" borderId="94" xfId="0" applyFont="1" applyFill="1" applyBorder="1" applyAlignment="1" applyProtection="1">
      <alignment vertical="center"/>
    </xf>
    <xf numFmtId="165" fontId="76" fillId="3" borderId="88" xfId="1" applyNumberFormat="1" applyFont="1" applyFill="1" applyBorder="1" applyAlignment="1" applyProtection="1">
      <alignment horizontal="center"/>
    </xf>
    <xf numFmtId="0" fontId="76" fillId="3" borderId="96" xfId="0" applyFont="1" applyFill="1" applyBorder="1" applyProtection="1"/>
    <xf numFmtId="0" fontId="76" fillId="3" borderId="97" xfId="0" applyFont="1" applyFill="1" applyBorder="1" applyProtection="1"/>
    <xf numFmtId="0" fontId="46" fillId="4" borderId="0" xfId="0" applyFont="1" applyFill="1" applyBorder="1" applyAlignment="1" applyProtection="1">
      <alignment horizontal="center"/>
    </xf>
    <xf numFmtId="0" fontId="46" fillId="4" borderId="91" xfId="0" applyFont="1" applyFill="1" applyBorder="1" applyAlignment="1" applyProtection="1">
      <alignment horizontal="center"/>
    </xf>
    <xf numFmtId="0" fontId="46" fillId="4" borderId="92" xfId="0" applyFont="1" applyFill="1" applyBorder="1" applyAlignment="1" applyProtection="1">
      <alignment horizontal="center" vertical="center"/>
    </xf>
    <xf numFmtId="165" fontId="76" fillId="17" borderId="0" xfId="1" applyNumberFormat="1" applyFont="1" applyFill="1" applyBorder="1" applyAlignment="1" applyProtection="1">
      <alignment horizontal="center"/>
    </xf>
    <xf numFmtId="165" fontId="76" fillId="17" borderId="93" xfId="1" applyNumberFormat="1" applyFont="1" applyFill="1" applyBorder="1" applyAlignment="1" applyProtection="1">
      <alignment horizontal="center"/>
    </xf>
    <xf numFmtId="171" fontId="74" fillId="3" borderId="0" xfId="0" applyNumberFormat="1" applyFont="1" applyFill="1" applyProtection="1"/>
    <xf numFmtId="0" fontId="74" fillId="3" borderId="0" xfId="0" applyFont="1" applyFill="1" applyProtection="1"/>
    <xf numFmtId="0" fontId="74" fillId="3" borderId="0" xfId="0" applyFont="1" applyFill="1" applyAlignment="1" applyProtection="1">
      <alignment horizontal="center"/>
    </xf>
    <xf numFmtId="171" fontId="74" fillId="3" borderId="0" xfId="0" applyNumberFormat="1" applyFont="1" applyFill="1" applyBorder="1" applyProtection="1"/>
    <xf numFmtId="0" fontId="74" fillId="3" borderId="0" xfId="0" applyFont="1" applyFill="1" applyAlignment="1" applyProtection="1">
      <alignment horizontal="right" vertical="center"/>
    </xf>
    <xf numFmtId="0" fontId="107" fillId="3" borderId="0" xfId="2" applyFont="1" applyFill="1" applyBorder="1" applyAlignment="1" applyProtection="1">
      <alignment horizontal="center"/>
    </xf>
    <xf numFmtId="14" fontId="74" fillId="3" borderId="0" xfId="0" applyNumberFormat="1" applyFont="1" applyFill="1" applyBorder="1" applyProtection="1"/>
    <xf numFmtId="7" fontId="74" fillId="3" borderId="0" xfId="0" applyNumberFormat="1" applyFont="1" applyFill="1" applyProtection="1"/>
    <xf numFmtId="166" fontId="74" fillId="3" borderId="0" xfId="1" applyFont="1" applyFill="1" applyProtection="1">
      <alignment horizontal="right"/>
    </xf>
    <xf numFmtId="7" fontId="74" fillId="3" borderId="0" xfId="0" applyNumberFormat="1" applyFont="1" applyFill="1" applyBorder="1" applyProtection="1"/>
    <xf numFmtId="7" fontId="74" fillId="3" borderId="0" xfId="0" applyNumberFormat="1" applyFont="1" applyFill="1" applyAlignment="1" applyProtection="1">
      <alignment horizontal="center"/>
    </xf>
    <xf numFmtId="9" fontId="74" fillId="3" borderId="0" xfId="3" applyFont="1" applyFill="1" applyProtection="1"/>
    <xf numFmtId="2" fontId="74" fillId="3" borderId="0" xfId="0" applyNumberFormat="1" applyFont="1" applyFill="1" applyBorder="1" applyProtection="1"/>
    <xf numFmtId="2" fontId="74" fillId="3" borderId="0" xfId="0" applyNumberFormat="1" applyFont="1" applyFill="1" applyProtection="1"/>
    <xf numFmtId="2" fontId="74" fillId="3" borderId="0" xfId="0" applyNumberFormat="1" applyFont="1" applyFill="1" applyAlignment="1" applyProtection="1">
      <alignment horizontal="center"/>
    </xf>
    <xf numFmtId="2" fontId="74" fillId="3" borderId="0" xfId="3" applyNumberFormat="1" applyFont="1" applyFill="1" applyProtection="1"/>
    <xf numFmtId="2" fontId="74" fillId="3" borderId="0" xfId="1" applyNumberFormat="1" applyFont="1" applyFill="1" applyProtection="1">
      <alignment horizontal="right"/>
    </xf>
    <xf numFmtId="7" fontId="74" fillId="3" borderId="0" xfId="3" applyNumberFormat="1" applyFont="1" applyFill="1" applyProtection="1"/>
    <xf numFmtId="8" fontId="74" fillId="3" borderId="0" xfId="0" applyNumberFormat="1" applyFont="1" applyFill="1" applyAlignment="1" applyProtection="1">
      <alignment horizontal="center"/>
    </xf>
    <xf numFmtId="0" fontId="46" fillId="4" borderId="95" xfId="0" applyFont="1" applyFill="1" applyBorder="1" applyAlignment="1" applyProtection="1">
      <alignment horizontal="center"/>
    </xf>
    <xf numFmtId="0" fontId="46" fillId="4" borderId="96" xfId="0" applyFont="1" applyFill="1" applyBorder="1" applyAlignment="1" applyProtection="1">
      <alignment horizontal="center"/>
    </xf>
    <xf numFmtId="0" fontId="46" fillId="4" borderId="97" xfId="0" applyFont="1" applyFill="1" applyBorder="1" applyAlignment="1" applyProtection="1">
      <alignment horizontal="center"/>
    </xf>
    <xf numFmtId="0" fontId="46" fillId="4" borderId="87" xfId="0" applyFont="1" applyFill="1" applyBorder="1" applyAlignment="1" applyProtection="1">
      <alignment horizontal="center"/>
    </xf>
    <xf numFmtId="0" fontId="46" fillId="4" borderId="90" xfId="0" applyFont="1" applyFill="1" applyBorder="1" applyAlignment="1" applyProtection="1">
      <alignment horizontal="center" vertical="center"/>
    </xf>
    <xf numFmtId="171" fontId="46" fillId="4" borderId="93" xfId="0" applyNumberFormat="1" applyFont="1" applyFill="1" applyBorder="1" applyProtection="1"/>
    <xf numFmtId="0" fontId="46" fillId="4" borderId="93" xfId="0" applyFont="1" applyFill="1" applyBorder="1" applyProtection="1"/>
    <xf numFmtId="165" fontId="46" fillId="4" borderId="93" xfId="0" applyNumberFormat="1" applyFont="1" applyFill="1" applyBorder="1" applyAlignment="1" applyProtection="1">
      <alignment horizontal="center"/>
    </xf>
    <xf numFmtId="0" fontId="46" fillId="4" borderId="94" xfId="0" applyFont="1" applyFill="1" applyBorder="1" applyAlignment="1" applyProtection="1"/>
    <xf numFmtId="171" fontId="46" fillId="4" borderId="0" xfId="0" applyNumberFormat="1" applyFont="1" applyFill="1" applyBorder="1" applyAlignment="1" applyProtection="1">
      <alignment horizontal="center"/>
    </xf>
    <xf numFmtId="165" fontId="46" fillId="4" borderId="0" xfId="0" applyNumberFormat="1" applyFont="1" applyFill="1" applyBorder="1" applyAlignment="1" applyProtection="1">
      <alignment horizontal="center"/>
    </xf>
    <xf numFmtId="171" fontId="46" fillId="4" borderId="26" xfId="0" applyNumberFormat="1" applyFont="1" applyFill="1" applyBorder="1" applyAlignment="1" applyProtection="1"/>
    <xf numFmtId="0" fontId="46" fillId="4" borderId="85" xfId="0" applyFont="1" applyFill="1" applyBorder="1" applyAlignment="1" applyProtection="1"/>
    <xf numFmtId="0" fontId="46" fillId="4" borderId="86" xfId="0" applyFont="1" applyFill="1" applyBorder="1" applyAlignment="1" applyProtection="1"/>
    <xf numFmtId="171" fontId="46" fillId="4" borderId="85" xfId="0" applyNumberFormat="1" applyFont="1" applyFill="1" applyBorder="1" applyAlignment="1" applyProtection="1"/>
    <xf numFmtId="171" fontId="46" fillId="4" borderId="87" xfId="0" applyNumberFormat="1" applyFont="1" applyFill="1" applyBorder="1" applyAlignment="1" applyProtection="1">
      <alignment horizontal="center"/>
    </xf>
    <xf numFmtId="165" fontId="46" fillId="4" borderId="88" xfId="0" applyNumberFormat="1" applyFont="1" applyFill="1" applyBorder="1" applyAlignment="1" applyProtection="1">
      <alignment horizontal="center"/>
    </xf>
    <xf numFmtId="0" fontId="46" fillId="4" borderId="88" xfId="0" applyFont="1" applyFill="1" applyBorder="1" applyAlignment="1" applyProtection="1">
      <alignment horizontal="center"/>
    </xf>
    <xf numFmtId="0" fontId="46" fillId="4" borderId="89" xfId="0" applyFont="1" applyFill="1" applyBorder="1" applyAlignment="1" applyProtection="1">
      <alignment horizontal="center"/>
    </xf>
    <xf numFmtId="171" fontId="46" fillId="4" borderId="92" xfId="0" applyNumberFormat="1" applyFont="1" applyFill="1" applyBorder="1" applyProtection="1"/>
    <xf numFmtId="0" fontId="108" fillId="4" borderId="13" xfId="0" applyFont="1" applyFill="1" applyBorder="1" applyAlignment="1" applyProtection="1">
      <alignment horizontal="center"/>
    </xf>
    <xf numFmtId="0" fontId="74" fillId="3" borderId="99" xfId="0" applyFont="1" applyFill="1" applyBorder="1" applyAlignment="1" applyProtection="1">
      <alignment horizontal="center"/>
    </xf>
    <xf numFmtId="0" fontId="108" fillId="4" borderId="100" xfId="0" applyFont="1" applyFill="1" applyBorder="1" applyAlignment="1" applyProtection="1">
      <alignment horizontal="center"/>
    </xf>
    <xf numFmtId="0" fontId="74" fillId="3" borderId="103" xfId="0" applyFont="1" applyFill="1" applyBorder="1" applyAlignment="1" applyProtection="1">
      <alignment horizontal="center"/>
    </xf>
    <xf numFmtId="0" fontId="74" fillId="3" borderId="105" xfId="0" applyFont="1" applyFill="1" applyBorder="1" applyAlignment="1" applyProtection="1">
      <alignment horizontal="center"/>
    </xf>
    <xf numFmtId="0" fontId="108" fillId="4" borderId="106" xfId="0" applyFont="1" applyFill="1" applyBorder="1" applyAlignment="1" applyProtection="1">
      <alignment horizontal="center"/>
    </xf>
    <xf numFmtId="0" fontId="69" fillId="3" borderId="0" xfId="0" applyFont="1" applyFill="1" applyBorder="1" applyAlignment="1" applyProtection="1">
      <alignment horizontal="center"/>
    </xf>
    <xf numFmtId="166" fontId="69" fillId="3" borderId="0" xfId="1" applyFont="1" applyFill="1" applyBorder="1" applyProtection="1">
      <alignment horizontal="right"/>
    </xf>
    <xf numFmtId="7" fontId="69" fillId="3" borderId="0" xfId="0" applyNumberFormat="1" applyFont="1" applyFill="1" applyBorder="1" applyProtection="1"/>
    <xf numFmtId="7" fontId="69" fillId="3" borderId="0" xfId="0" applyNumberFormat="1" applyFont="1" applyFill="1" applyBorder="1" applyAlignment="1" applyProtection="1">
      <alignment horizontal="center"/>
    </xf>
    <xf numFmtId="2" fontId="69" fillId="3" borderId="0" xfId="0" applyNumberFormat="1" applyFont="1" applyFill="1" applyBorder="1" applyProtection="1"/>
    <xf numFmtId="2" fontId="69" fillId="3" borderId="0" xfId="0" applyNumberFormat="1" applyFont="1" applyFill="1" applyBorder="1" applyAlignment="1" applyProtection="1">
      <alignment horizontal="center"/>
    </xf>
    <xf numFmtId="2" fontId="69" fillId="3" borderId="0" xfId="1" applyNumberFormat="1" applyFont="1" applyFill="1" applyBorder="1" applyProtection="1">
      <alignment horizontal="right"/>
    </xf>
    <xf numFmtId="9" fontId="69" fillId="3" borderId="0" xfId="3" applyFont="1" applyFill="1" applyBorder="1" applyProtection="1"/>
    <xf numFmtId="2" fontId="69" fillId="3" borderId="0" xfId="3" applyNumberFormat="1" applyFont="1" applyFill="1" applyBorder="1" applyProtection="1"/>
    <xf numFmtId="0" fontId="105" fillId="3" borderId="0" xfId="0" applyFont="1" applyFill="1" applyBorder="1" applyProtection="1"/>
    <xf numFmtId="0" fontId="74" fillId="3" borderId="0" xfId="0" applyFont="1" applyFill="1" applyAlignment="1" applyProtection="1">
      <alignment horizontal="center" vertical="center"/>
    </xf>
    <xf numFmtId="0" fontId="103" fillId="3" borderId="0" xfId="0" applyFont="1" applyFill="1" applyAlignment="1" applyProtection="1">
      <alignment horizontal="center" vertical="top"/>
    </xf>
    <xf numFmtId="0" fontId="52" fillId="3" borderId="0" xfId="0" applyFont="1" applyFill="1" applyBorder="1" applyAlignment="1" applyProtection="1">
      <alignment horizontal="left" vertical="center"/>
    </xf>
    <xf numFmtId="0" fontId="74" fillId="3" borderId="0" xfId="0" applyFont="1" applyFill="1" applyBorder="1" applyAlignment="1" applyProtection="1">
      <alignment horizontal="center" vertical="center" wrapText="1"/>
    </xf>
    <xf numFmtId="0" fontId="52" fillId="3" borderId="0" xfId="0" applyFont="1" applyFill="1" applyBorder="1" applyAlignment="1" applyProtection="1">
      <alignment horizontal="left" vertical="center"/>
    </xf>
    <xf numFmtId="0" fontId="52" fillId="4" borderId="0" xfId="0" applyFont="1" applyFill="1" applyBorder="1" applyAlignment="1" applyProtection="1">
      <alignment horizontal="center" vertical="center"/>
    </xf>
    <xf numFmtId="10" fontId="74" fillId="3" borderId="0" xfId="0" applyNumberFormat="1" applyFont="1" applyFill="1" applyBorder="1" applyAlignment="1" applyProtection="1">
      <alignment horizontal="center" vertical="center"/>
    </xf>
    <xf numFmtId="0" fontId="74" fillId="3" borderId="0" xfId="0" applyFont="1" applyFill="1" applyBorder="1" applyAlignment="1" applyProtection="1">
      <alignment horizontal="center" vertical="center" wrapText="1"/>
    </xf>
    <xf numFmtId="0" fontId="52" fillId="15" borderId="0"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45" fillId="3" borderId="0" xfId="0" applyFont="1" applyFill="1" applyProtection="1"/>
    <xf numFmtId="0" fontId="45" fillId="3" borderId="0" xfId="0" applyFont="1" applyFill="1" applyAlignment="1" applyProtection="1">
      <alignment horizontal="center" vertical="center"/>
    </xf>
    <xf numFmtId="0" fontId="45" fillId="3" borderId="0" xfId="0" applyFont="1" applyFill="1" applyBorder="1" applyAlignment="1" applyProtection="1">
      <alignment horizontal="center" vertical="center"/>
    </xf>
    <xf numFmtId="0" fontId="44" fillId="3" borderId="0" xfId="0" applyFont="1" applyFill="1" applyAlignment="1" applyProtection="1">
      <alignment horizontal="center" vertical="center"/>
    </xf>
    <xf numFmtId="0" fontId="44" fillId="3" borderId="32" xfId="0" applyFont="1" applyFill="1" applyBorder="1" applyAlignment="1" applyProtection="1">
      <alignment horizontal="center" vertical="center"/>
    </xf>
    <xf numFmtId="0" fontId="44" fillId="3" borderId="0" xfId="0" applyFont="1" applyFill="1" applyBorder="1" applyAlignment="1" applyProtection="1">
      <alignment horizontal="center" vertical="center"/>
    </xf>
    <xf numFmtId="0" fontId="51" fillId="3" borderId="76" xfId="1" applyNumberFormat="1" applyFont="1" applyFill="1" applyBorder="1" applyAlignment="1" applyProtection="1">
      <alignment horizontal="left" vertical="center" indent="1"/>
      <protection locked="0"/>
    </xf>
    <xf numFmtId="0" fontId="51" fillId="4" borderId="61" xfId="0" applyFont="1" applyFill="1" applyBorder="1" applyAlignment="1">
      <alignment horizontal="center" vertical="center"/>
    </xf>
    <xf numFmtId="0" fontId="51" fillId="4" borderId="75" xfId="0" applyFont="1" applyFill="1" applyBorder="1" applyAlignment="1">
      <alignment horizontal="center" vertical="center"/>
    </xf>
    <xf numFmtId="0" fontId="91" fillId="3" borderId="65" xfId="0" applyFont="1" applyFill="1" applyBorder="1" applyAlignment="1" applyProtection="1">
      <alignment horizontal="center" vertical="center"/>
    </xf>
    <xf numFmtId="170" fontId="51" fillId="4" borderId="73" xfId="0" applyNumberFormat="1" applyFont="1" applyFill="1" applyBorder="1" applyAlignment="1" applyProtection="1">
      <alignment horizontal="center" vertical="center"/>
    </xf>
    <xf numFmtId="0" fontId="91" fillId="3" borderId="109" xfId="0" applyFont="1" applyFill="1" applyBorder="1" applyAlignment="1" applyProtection="1">
      <alignment horizontal="center" vertical="center"/>
    </xf>
    <xf numFmtId="170" fontId="51" fillId="4" borderId="63" xfId="0" applyNumberFormat="1" applyFont="1" applyFill="1" applyBorder="1" applyAlignment="1" applyProtection="1">
      <alignment horizontal="center" vertical="center"/>
    </xf>
    <xf numFmtId="0" fontId="51" fillId="4" borderId="109" xfId="0" applyFont="1" applyFill="1" applyBorder="1" applyAlignment="1">
      <alignment horizontal="left" vertical="center"/>
    </xf>
    <xf numFmtId="171" fontId="92" fillId="3" borderId="110" xfId="3" applyNumberFormat="1" applyFont="1" applyFill="1" applyBorder="1" applyAlignment="1" applyProtection="1">
      <alignment horizontal="center" vertical="center"/>
    </xf>
    <xf numFmtId="0" fontId="51" fillId="4" borderId="61" xfId="0" applyFont="1" applyFill="1" applyBorder="1" applyAlignment="1">
      <alignment horizontal="left" vertical="center"/>
    </xf>
    <xf numFmtId="165" fontId="92" fillId="3" borderId="75" xfId="1" applyNumberFormat="1" applyFont="1" applyFill="1" applyBorder="1" applyAlignment="1">
      <alignment horizontal="right" vertical="center" indent="1"/>
    </xf>
    <xf numFmtId="0" fontId="51" fillId="4" borderId="65" xfId="0" applyFont="1" applyFill="1" applyBorder="1"/>
    <xf numFmtId="165" fontId="92" fillId="14" borderId="73" xfId="1" applyNumberFormat="1" applyFont="1" applyFill="1" applyBorder="1" applyAlignment="1">
      <alignment horizontal="right" vertical="center" indent="1"/>
    </xf>
    <xf numFmtId="0" fontId="51" fillId="4" borderId="70" xfId="0" applyFont="1" applyFill="1" applyBorder="1" applyAlignment="1">
      <alignment horizontal="left" vertical="center"/>
    </xf>
    <xf numFmtId="1" fontId="92" fillId="3" borderId="63" xfId="0" applyNumberFormat="1" applyFont="1" applyFill="1" applyBorder="1" applyAlignment="1" applyProtection="1">
      <alignment horizontal="center" vertical="center"/>
    </xf>
    <xf numFmtId="0" fontId="82" fillId="3" borderId="0" xfId="0" applyFont="1" applyFill="1" applyAlignment="1" applyProtection="1">
      <alignment vertical="top"/>
    </xf>
    <xf numFmtId="0" fontId="52" fillId="16" borderId="0" xfId="0" applyFont="1" applyFill="1" applyBorder="1" applyAlignment="1" applyProtection="1">
      <alignment vertical="top" wrapText="1"/>
    </xf>
    <xf numFmtId="0" fontId="0" fillId="3" borderId="0" xfId="0" applyFill="1" applyProtection="1"/>
    <xf numFmtId="0" fontId="46" fillId="16" borderId="0" xfId="0" applyFont="1" applyFill="1" applyBorder="1" applyAlignment="1" applyProtection="1">
      <alignment vertical="top" wrapText="1"/>
    </xf>
    <xf numFmtId="0" fontId="105" fillId="3" borderId="0" xfId="0" applyFont="1" applyFill="1" applyProtection="1"/>
    <xf numFmtId="0" fontId="103" fillId="3" borderId="0" xfId="0" applyFont="1" applyFill="1" applyAlignment="1" applyProtection="1">
      <alignment horizontal="center" vertical="center"/>
    </xf>
    <xf numFmtId="2" fontId="74" fillId="17" borderId="0" xfId="0" applyNumberFormat="1" applyFont="1" applyFill="1" applyBorder="1" applyAlignment="1" applyProtection="1">
      <alignment horizontal="center" vertical="center"/>
      <protection locked="0"/>
    </xf>
    <xf numFmtId="2" fontId="74" fillId="3" borderId="0" xfId="0" applyNumberFormat="1" applyFont="1" applyFill="1" applyBorder="1" applyAlignment="1" applyProtection="1">
      <alignment horizontal="center" vertical="center"/>
      <protection locked="0"/>
    </xf>
    <xf numFmtId="0" fontId="74" fillId="3" borderId="61" xfId="0" applyFont="1" applyFill="1" applyBorder="1" applyAlignment="1" applyProtection="1">
      <alignment horizontal="center" vertical="center" wrapText="1"/>
      <protection locked="0"/>
    </xf>
    <xf numFmtId="2" fontId="74" fillId="3" borderId="60" xfId="0" applyNumberFormat="1" applyFont="1" applyFill="1" applyBorder="1" applyAlignment="1" applyProtection="1">
      <alignment horizontal="center" vertical="center" wrapText="1"/>
      <protection locked="0"/>
    </xf>
    <xf numFmtId="0" fontId="74" fillId="17" borderId="65" xfId="0" applyFont="1" applyFill="1" applyBorder="1" applyAlignment="1" applyProtection="1">
      <alignment horizontal="center" vertical="center" wrapText="1"/>
      <protection locked="0"/>
    </xf>
    <xf numFmtId="0" fontId="74" fillId="3" borderId="65" xfId="0" applyFont="1" applyFill="1" applyBorder="1" applyAlignment="1" applyProtection="1">
      <alignment horizontal="center" vertical="center" wrapText="1"/>
      <protection locked="0"/>
    </xf>
    <xf numFmtId="0" fontId="74" fillId="17" borderId="70" xfId="0" applyFont="1" applyFill="1" applyBorder="1" applyAlignment="1" applyProtection="1">
      <alignment horizontal="center" vertical="center" wrapText="1"/>
      <protection locked="0"/>
    </xf>
    <xf numFmtId="2" fontId="74" fillId="17" borderId="62" xfId="0" applyNumberFormat="1" applyFont="1" applyFill="1" applyBorder="1" applyAlignment="1" applyProtection="1">
      <alignment horizontal="center" vertical="center" wrapText="1"/>
      <protection locked="0"/>
    </xf>
    <xf numFmtId="2" fontId="74" fillId="3" borderId="60" xfId="0" applyNumberFormat="1" applyFont="1" applyFill="1" applyBorder="1" applyAlignment="1" applyProtection="1">
      <alignment horizontal="center" vertical="center"/>
      <protection locked="0"/>
    </xf>
    <xf numFmtId="2" fontId="74" fillId="17" borderId="62" xfId="0" applyNumberFormat="1" applyFont="1" applyFill="1" applyBorder="1" applyAlignment="1" applyProtection="1">
      <alignment horizontal="center" vertical="center"/>
      <protection locked="0"/>
    </xf>
    <xf numFmtId="0" fontId="43" fillId="4" borderId="90" xfId="0" applyFont="1" applyFill="1" applyBorder="1" applyAlignment="1" applyProtection="1">
      <alignment vertical="center"/>
    </xf>
    <xf numFmtId="0" fontId="43" fillId="4" borderId="0" xfId="0" applyFont="1" applyFill="1" applyBorder="1" applyAlignment="1" applyProtection="1">
      <alignment horizontal="center" vertical="center"/>
    </xf>
    <xf numFmtId="170" fontId="43" fillId="3" borderId="93" xfId="0" applyNumberFormat="1" applyFont="1" applyFill="1" applyBorder="1" applyAlignment="1" applyProtection="1">
      <alignment horizontal="left" vertical="center"/>
    </xf>
    <xf numFmtId="0" fontId="43" fillId="4" borderId="90" xfId="0" applyFont="1" applyFill="1" applyBorder="1" applyAlignment="1" applyProtection="1">
      <alignment horizontal="center" vertical="center"/>
    </xf>
    <xf numFmtId="0" fontId="43" fillId="4" borderId="90" xfId="0" applyFont="1" applyFill="1" applyBorder="1" applyProtection="1"/>
    <xf numFmtId="0" fontId="43" fillId="4" borderId="0" xfId="0" applyFont="1" applyFill="1" applyBorder="1" applyAlignment="1" applyProtection="1">
      <alignment horizontal="center"/>
    </xf>
    <xf numFmtId="0" fontId="43" fillId="4" borderId="91" xfId="0" applyFont="1" applyFill="1" applyBorder="1" applyAlignment="1" applyProtection="1">
      <alignment horizontal="center"/>
    </xf>
    <xf numFmtId="0" fontId="43" fillId="4" borderId="92" xfId="0" applyFont="1" applyFill="1" applyBorder="1" applyAlignment="1" applyProtection="1">
      <alignment horizontal="center" vertical="center"/>
    </xf>
    <xf numFmtId="0" fontId="43" fillId="4" borderId="93" xfId="0" applyFont="1" applyFill="1" applyBorder="1" applyAlignment="1" applyProtection="1">
      <alignment horizontal="center" vertical="center"/>
    </xf>
    <xf numFmtId="0" fontId="43" fillId="4" borderId="94" xfId="0" applyFont="1" applyFill="1" applyBorder="1" applyAlignment="1" applyProtection="1">
      <alignment horizontal="center" vertical="center"/>
    </xf>
    <xf numFmtId="0" fontId="43" fillId="3" borderId="95" xfId="0" applyFont="1" applyFill="1" applyBorder="1" applyAlignment="1" applyProtection="1">
      <alignment horizontal="center"/>
    </xf>
    <xf numFmtId="0" fontId="43" fillId="16" borderId="0" xfId="0" applyFont="1" applyFill="1" applyBorder="1" applyAlignment="1" applyProtection="1">
      <alignment vertical="top" wrapText="1"/>
    </xf>
    <xf numFmtId="0" fontId="85" fillId="3" borderId="0" xfId="0" applyFont="1" applyFill="1" applyAlignment="1" applyProtection="1">
      <alignment horizontal="center" vertical="top"/>
    </xf>
    <xf numFmtId="0" fontId="43" fillId="4" borderId="87" xfId="0" applyFont="1" applyFill="1" applyBorder="1" applyAlignment="1" applyProtection="1">
      <alignment vertical="center"/>
    </xf>
    <xf numFmtId="0" fontId="43" fillId="4" borderId="88" xfId="0" applyFont="1" applyFill="1" applyBorder="1" applyAlignment="1" applyProtection="1">
      <alignment vertical="center"/>
    </xf>
    <xf numFmtId="0" fontId="43" fillId="0" borderId="89" xfId="0" applyFont="1" applyFill="1" applyBorder="1" applyAlignment="1" applyProtection="1">
      <alignment horizontal="center" vertical="center"/>
    </xf>
    <xf numFmtId="168" fontId="43" fillId="3" borderId="72" xfId="0" applyNumberFormat="1" applyFont="1" applyFill="1" applyBorder="1" applyAlignment="1" applyProtection="1">
      <alignment horizontal="center"/>
    </xf>
    <xf numFmtId="10" fontId="43" fillId="3" borderId="91" xfId="3" applyNumberFormat="1" applyFont="1" applyFill="1" applyBorder="1" applyAlignment="1" applyProtection="1">
      <alignment horizontal="center"/>
    </xf>
    <xf numFmtId="168" fontId="43" fillId="17" borderId="72" xfId="0" applyNumberFormat="1" applyFont="1" applyFill="1" applyBorder="1" applyAlignment="1" applyProtection="1">
      <alignment horizontal="center"/>
    </xf>
    <xf numFmtId="10" fontId="43" fillId="17" borderId="91" xfId="3" applyNumberFormat="1" applyFont="1" applyFill="1" applyBorder="1" applyAlignment="1" applyProtection="1">
      <alignment horizontal="center"/>
    </xf>
    <xf numFmtId="168" fontId="43" fillId="17" borderId="98" xfId="0" applyNumberFormat="1" applyFont="1" applyFill="1" applyBorder="1" applyAlignment="1" applyProtection="1">
      <alignment horizontal="center"/>
    </xf>
    <xf numFmtId="10" fontId="43" fillId="17" borderId="94" xfId="3" applyNumberFormat="1" applyFont="1" applyFill="1" applyBorder="1" applyAlignment="1" applyProtection="1">
      <alignment horizontal="center"/>
    </xf>
    <xf numFmtId="10" fontId="108" fillId="3" borderId="101" xfId="3" applyNumberFormat="1" applyFont="1" applyFill="1" applyBorder="1" applyAlignment="1" applyProtection="1">
      <alignment horizontal="center"/>
    </xf>
    <xf numFmtId="165" fontId="74" fillId="3" borderId="101" xfId="0" applyNumberFormat="1" applyFont="1" applyFill="1" applyBorder="1" applyAlignment="1" applyProtection="1">
      <alignment horizontal="center"/>
    </xf>
    <xf numFmtId="6" fontId="108" fillId="3" borderId="101" xfId="0" applyNumberFormat="1" applyFont="1" applyFill="1" applyBorder="1" applyAlignment="1" applyProtection="1">
      <alignment horizontal="center"/>
    </xf>
    <xf numFmtId="6" fontId="108" fillId="3" borderId="100" xfId="0" applyNumberFormat="1" applyFont="1" applyFill="1" applyBorder="1" applyAlignment="1" applyProtection="1">
      <alignment horizontal="center"/>
    </xf>
    <xf numFmtId="171" fontId="108" fillId="3" borderId="101" xfId="0" applyNumberFormat="1" applyFont="1" applyFill="1" applyBorder="1" applyAlignment="1" applyProtection="1">
      <alignment horizontal="center"/>
    </xf>
    <xf numFmtId="165" fontId="108" fillId="3" borderId="101" xfId="0" applyNumberFormat="1" applyFont="1" applyFill="1" applyBorder="1" applyAlignment="1" applyProtection="1">
      <alignment horizontal="center"/>
    </xf>
    <xf numFmtId="6" fontId="108" fillId="3" borderId="102" xfId="0" applyNumberFormat="1" applyFont="1" applyFill="1" applyBorder="1" applyAlignment="1" applyProtection="1">
      <alignment horizontal="center"/>
    </xf>
    <xf numFmtId="10" fontId="108" fillId="3" borderId="1" xfId="3" applyNumberFormat="1" applyFont="1" applyFill="1" applyBorder="1" applyAlignment="1" applyProtection="1">
      <alignment horizontal="center"/>
    </xf>
    <xf numFmtId="165" fontId="74" fillId="3" borderId="1" xfId="0" applyNumberFormat="1" applyFont="1" applyFill="1" applyBorder="1" applyAlignment="1" applyProtection="1">
      <alignment horizontal="center"/>
    </xf>
    <xf numFmtId="6" fontId="108" fillId="3" borderId="1" xfId="0" applyNumberFormat="1" applyFont="1" applyFill="1" applyBorder="1" applyAlignment="1" applyProtection="1">
      <alignment horizontal="center"/>
    </xf>
    <xf numFmtId="0" fontId="108" fillId="3" borderId="13" xfId="0" applyFont="1" applyFill="1" applyBorder="1" applyAlignment="1" applyProtection="1">
      <alignment horizontal="center"/>
    </xf>
    <xf numFmtId="171" fontId="108" fillId="3" borderId="1" xfId="0" applyNumberFormat="1" applyFont="1" applyFill="1" applyBorder="1" applyAlignment="1" applyProtection="1">
      <alignment horizontal="center"/>
    </xf>
    <xf numFmtId="165" fontId="108" fillId="3" borderId="1" xfId="0" applyNumberFormat="1" applyFont="1" applyFill="1" applyBorder="1" applyAlignment="1" applyProtection="1">
      <alignment horizontal="center"/>
    </xf>
    <xf numFmtId="6" fontId="108" fillId="3" borderId="104" xfId="0" applyNumberFormat="1" applyFont="1" applyFill="1" applyBorder="1" applyAlignment="1" applyProtection="1">
      <alignment horizontal="center"/>
    </xf>
    <xf numFmtId="165" fontId="74" fillId="3" borderId="1" xfId="1" applyNumberFormat="1" applyFont="1" applyFill="1" applyBorder="1" applyAlignment="1" applyProtection="1">
      <alignment horizontal="center" vertical="center"/>
    </xf>
    <xf numFmtId="0" fontId="108" fillId="3" borderId="104" xfId="0" applyFont="1" applyFill="1" applyBorder="1" applyAlignment="1" applyProtection="1">
      <alignment horizontal="center"/>
    </xf>
    <xf numFmtId="10" fontId="108" fillId="3" borderId="107" xfId="3" applyNumberFormat="1" applyFont="1" applyFill="1" applyBorder="1" applyAlignment="1" applyProtection="1">
      <alignment horizontal="center"/>
    </xf>
    <xf numFmtId="165" fontId="74" fillId="3" borderId="107" xfId="0" applyNumberFormat="1" applyFont="1" applyFill="1" applyBorder="1" applyAlignment="1" applyProtection="1">
      <alignment horizontal="center"/>
    </xf>
    <xf numFmtId="6" fontId="108" fillId="3" borderId="107" xfId="0" applyNumberFormat="1" applyFont="1" applyFill="1" applyBorder="1" applyAlignment="1" applyProtection="1">
      <alignment horizontal="center"/>
    </xf>
    <xf numFmtId="0" fontId="108" fillId="3" borderId="106" xfId="0" applyFont="1" applyFill="1" applyBorder="1" applyAlignment="1" applyProtection="1">
      <alignment horizontal="center"/>
    </xf>
    <xf numFmtId="171" fontId="108" fillId="3" borderId="107" xfId="0" applyNumberFormat="1" applyFont="1" applyFill="1" applyBorder="1" applyAlignment="1" applyProtection="1">
      <alignment horizontal="center"/>
    </xf>
    <xf numFmtId="165" fontId="74" fillId="3" borderId="107" xfId="1" applyNumberFormat="1" applyFont="1" applyFill="1" applyBorder="1" applyAlignment="1" applyProtection="1">
      <alignment horizontal="center" vertical="center"/>
    </xf>
    <xf numFmtId="0" fontId="108" fillId="3" borderId="108" xfId="0" applyFont="1" applyFill="1" applyBorder="1" applyAlignment="1" applyProtection="1">
      <alignment horizontal="center"/>
    </xf>
    <xf numFmtId="10" fontId="106" fillId="3" borderId="0" xfId="3" applyNumberFormat="1" applyFont="1" applyFill="1" applyBorder="1" applyAlignment="1" applyProtection="1">
      <alignment horizontal="center"/>
    </xf>
    <xf numFmtId="165" fontId="106" fillId="3" borderId="0" xfId="0" applyNumberFormat="1" applyFont="1" applyFill="1" applyBorder="1" applyAlignment="1" applyProtection="1">
      <alignment horizontal="center"/>
    </xf>
    <xf numFmtId="0" fontId="106" fillId="3" borderId="0" xfId="0" applyFont="1" applyFill="1" applyBorder="1" applyAlignment="1" applyProtection="1">
      <alignment horizontal="center"/>
    </xf>
    <xf numFmtId="171" fontId="106" fillId="3" borderId="0" xfId="0" applyNumberFormat="1" applyFont="1" applyFill="1" applyBorder="1" applyAlignment="1" applyProtection="1">
      <alignment horizontal="center"/>
    </xf>
    <xf numFmtId="173" fontId="114" fillId="3" borderId="0" xfId="1" applyNumberFormat="1" applyFont="1" applyFill="1" applyBorder="1" applyProtection="1">
      <alignment horizontal="right"/>
    </xf>
    <xf numFmtId="165" fontId="74" fillId="3" borderId="101" xfId="1" applyNumberFormat="1" applyFont="1" applyFill="1" applyBorder="1" applyAlignment="1" applyProtection="1">
      <alignment horizontal="center" vertical="center"/>
    </xf>
    <xf numFmtId="165" fontId="108" fillId="3" borderId="107" xfId="0" applyNumberFormat="1" applyFont="1" applyFill="1" applyBorder="1" applyAlignment="1" applyProtection="1">
      <alignment horizontal="center"/>
    </xf>
    <xf numFmtId="6" fontId="108" fillId="3" borderId="108" xfId="0" applyNumberFormat="1" applyFont="1" applyFill="1" applyBorder="1" applyAlignment="1" applyProtection="1">
      <alignment horizontal="center"/>
    </xf>
    <xf numFmtId="166" fontId="108" fillId="3" borderId="101" xfId="0" applyNumberFormat="1" applyFont="1" applyFill="1" applyBorder="1" applyAlignment="1" applyProtection="1">
      <alignment horizontal="center"/>
    </xf>
    <xf numFmtId="166" fontId="108" fillId="3" borderId="1" xfId="0" applyNumberFormat="1" applyFont="1" applyFill="1" applyBorder="1" applyAlignment="1" applyProtection="1">
      <alignment horizontal="center"/>
    </xf>
    <xf numFmtId="6" fontId="108" fillId="3" borderId="13" xfId="0" applyNumberFormat="1" applyFont="1" applyFill="1" applyBorder="1" applyAlignment="1" applyProtection="1">
      <alignment horizontal="center"/>
    </xf>
    <xf numFmtId="166" fontId="108" fillId="3" borderId="107" xfId="0" applyNumberFormat="1" applyFont="1" applyFill="1" applyBorder="1" applyAlignment="1" applyProtection="1">
      <alignment horizontal="center"/>
    </xf>
    <xf numFmtId="6" fontId="108" fillId="3" borderId="106" xfId="0" applyNumberFormat="1" applyFont="1" applyFill="1" applyBorder="1" applyAlignment="1" applyProtection="1">
      <alignment horizontal="center"/>
    </xf>
    <xf numFmtId="6" fontId="74" fillId="3" borderId="101" xfId="0" applyNumberFormat="1" applyFont="1" applyFill="1" applyBorder="1" applyAlignment="1" applyProtection="1">
      <alignment horizontal="center"/>
    </xf>
    <xf numFmtId="6" fontId="74" fillId="3" borderId="1" xfId="0" applyNumberFormat="1" applyFont="1" applyFill="1" applyBorder="1" applyAlignment="1" applyProtection="1">
      <alignment horizontal="center"/>
    </xf>
    <xf numFmtId="0" fontId="108" fillId="3" borderId="107" xfId="0" applyFont="1" applyFill="1" applyBorder="1" applyAlignment="1" applyProtection="1">
      <alignment horizontal="center"/>
    </xf>
    <xf numFmtId="165" fontId="74" fillId="3" borderId="88" xfId="1" applyNumberFormat="1" applyFont="1" applyFill="1" applyBorder="1" applyAlignment="1" applyProtection="1">
      <alignment horizontal="center"/>
    </xf>
    <xf numFmtId="166" fontId="74" fillId="3" borderId="88" xfId="1" applyFont="1" applyFill="1" applyBorder="1" applyAlignment="1" applyProtection="1">
      <alignment horizontal="center"/>
    </xf>
    <xf numFmtId="166" fontId="74" fillId="3" borderId="89" xfId="1" applyFont="1" applyFill="1" applyBorder="1" applyAlignment="1" applyProtection="1">
      <alignment horizontal="center"/>
    </xf>
    <xf numFmtId="165" fontId="74" fillId="17" borderId="0" xfId="1" applyNumberFormat="1" applyFont="1" applyFill="1" applyBorder="1" applyAlignment="1" applyProtection="1">
      <alignment horizontal="center"/>
    </xf>
    <xf numFmtId="166" fontId="74" fillId="17" borderId="0" xfId="1" applyFont="1" applyFill="1" applyBorder="1" applyAlignment="1" applyProtection="1">
      <alignment horizontal="center"/>
    </xf>
    <xf numFmtId="166" fontId="74" fillId="17" borderId="91" xfId="1" applyFont="1" applyFill="1" applyBorder="1" applyAlignment="1" applyProtection="1">
      <alignment horizontal="center"/>
    </xf>
    <xf numFmtId="165" fontId="74" fillId="3" borderId="0" xfId="1" applyNumberFormat="1" applyFont="1" applyFill="1" applyBorder="1" applyAlignment="1" applyProtection="1">
      <alignment horizontal="center"/>
    </xf>
    <xf numFmtId="166" fontId="74" fillId="3" borderId="0" xfId="1" applyFont="1" applyFill="1" applyBorder="1" applyAlignment="1" applyProtection="1">
      <alignment horizontal="center"/>
    </xf>
    <xf numFmtId="166" fontId="74" fillId="3" borderId="91" xfId="1" applyFont="1" applyFill="1" applyBorder="1" applyAlignment="1" applyProtection="1">
      <alignment horizontal="center"/>
    </xf>
    <xf numFmtId="165" fontId="74" fillId="17" borderId="93" xfId="1" applyNumberFormat="1" applyFont="1" applyFill="1" applyBorder="1" applyAlignment="1" applyProtection="1">
      <alignment horizontal="center"/>
    </xf>
    <xf numFmtId="166" fontId="74" fillId="17" borderId="93" xfId="1" applyFont="1" applyFill="1" applyBorder="1" applyAlignment="1" applyProtection="1">
      <alignment horizontal="center"/>
    </xf>
    <xf numFmtId="166" fontId="74" fillId="17" borderId="94" xfId="1" applyFont="1" applyFill="1" applyBorder="1" applyAlignment="1" applyProtection="1">
      <alignment horizontal="center"/>
    </xf>
    <xf numFmtId="0" fontId="43" fillId="3" borderId="0" xfId="0" applyFont="1" applyFill="1" applyBorder="1" applyAlignment="1" applyProtection="1">
      <alignment horizontal="center" vertical="center"/>
    </xf>
    <xf numFmtId="0" fontId="43" fillId="3" borderId="0" xfId="0" applyFont="1" applyFill="1" applyBorder="1" applyAlignment="1" applyProtection="1">
      <alignment vertical="center"/>
    </xf>
    <xf numFmtId="0" fontId="52"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52" fillId="14" borderId="0" xfId="0" applyFont="1" applyFill="1" applyBorder="1" applyAlignment="1" applyProtection="1">
      <alignment horizontal="center" vertical="center"/>
    </xf>
    <xf numFmtId="0" fontId="52" fillId="14" borderId="0" xfId="0" applyFont="1" applyFill="1" applyBorder="1" applyAlignment="1" applyProtection="1">
      <alignment vertical="center"/>
    </xf>
    <xf numFmtId="0" fontId="52" fillId="14" borderId="0" xfId="0" applyFont="1" applyFill="1" applyBorder="1" applyAlignment="1" applyProtection="1">
      <alignment horizontal="center" vertical="center" wrapText="1"/>
    </xf>
    <xf numFmtId="0" fontId="52" fillId="14" borderId="60" xfId="0" applyFont="1" applyFill="1" applyBorder="1" applyAlignment="1" applyProtection="1">
      <alignment horizontal="center" vertical="center" wrapText="1"/>
    </xf>
    <xf numFmtId="0" fontId="52" fillId="14" borderId="60" xfId="0" applyFont="1" applyFill="1" applyBorder="1" applyAlignment="1" applyProtection="1">
      <alignment horizontal="center" vertical="center"/>
    </xf>
    <xf numFmtId="0" fontId="52" fillId="14" borderId="60" xfId="0" applyFont="1" applyFill="1" applyBorder="1" applyAlignment="1" applyProtection="1">
      <alignment vertical="center"/>
    </xf>
    <xf numFmtId="0" fontId="52" fillId="14" borderId="75" xfId="0" applyFont="1" applyFill="1" applyBorder="1" applyAlignment="1" applyProtection="1">
      <alignment horizontal="left" vertical="center"/>
    </xf>
    <xf numFmtId="0" fontId="52" fillId="14" borderId="73" xfId="0" applyFont="1" applyFill="1" applyBorder="1" applyAlignment="1" applyProtection="1">
      <alignment vertical="center"/>
    </xf>
    <xf numFmtId="16" fontId="63" fillId="0" borderId="65" xfId="0" quotePrefix="1" applyNumberFormat="1" applyFont="1" applyBorder="1" applyAlignment="1">
      <alignment horizontal="center"/>
    </xf>
    <xf numFmtId="168" fontId="63" fillId="0" borderId="0" xfId="0" applyNumberFormat="1" applyFont="1" applyBorder="1"/>
    <xf numFmtId="174" fontId="63" fillId="0" borderId="0" xfId="0" applyNumberFormat="1" applyFont="1" applyBorder="1"/>
    <xf numFmtId="16" fontId="63" fillId="17" borderId="65" xfId="0" quotePrefix="1" applyNumberFormat="1" applyFont="1" applyFill="1" applyBorder="1" applyAlignment="1">
      <alignment horizontal="center"/>
    </xf>
    <xf numFmtId="168" fontId="63" fillId="17" borderId="0" xfId="0" applyNumberFormat="1" applyFont="1" applyFill="1" applyBorder="1"/>
    <xf numFmtId="174" fontId="63" fillId="17" borderId="0" xfId="0" applyNumberFormat="1" applyFont="1" applyFill="1" applyBorder="1"/>
    <xf numFmtId="16" fontId="63" fillId="17" borderId="70" xfId="0" applyNumberFormat="1" applyFont="1" applyFill="1" applyBorder="1" applyAlignment="1">
      <alignment horizontal="center"/>
    </xf>
    <xf numFmtId="168" fontId="63" fillId="17" borderId="62" xfId="0" applyNumberFormat="1" applyFont="1" applyFill="1" applyBorder="1"/>
    <xf numFmtId="0" fontId="74" fillId="14" borderId="62" xfId="0" applyFont="1" applyFill="1" applyBorder="1" applyAlignment="1" applyProtection="1">
      <alignment vertical="center"/>
    </xf>
    <xf numFmtId="174" fontId="63" fillId="17" borderId="62" xfId="0" applyNumberFormat="1" applyFont="1" applyFill="1" applyBorder="1"/>
    <xf numFmtId="0" fontId="74" fillId="14" borderId="63" xfId="0" applyFont="1" applyFill="1" applyBorder="1" applyAlignment="1" applyProtection="1">
      <alignment vertical="center"/>
    </xf>
    <xf numFmtId="16" fontId="63" fillId="14" borderId="74" xfId="0" quotePrefix="1" applyNumberFormat="1" applyFont="1" applyFill="1" applyBorder="1" applyAlignment="1">
      <alignment horizontal="center"/>
    </xf>
    <xf numFmtId="16" fontId="63" fillId="14" borderId="72" xfId="0" quotePrefix="1" applyNumberFormat="1" applyFont="1" applyFill="1" applyBorder="1" applyAlignment="1">
      <alignment horizontal="center"/>
    </xf>
    <xf numFmtId="168" fontId="76" fillId="14" borderId="74" xfId="0" applyNumberFormat="1" applyFont="1" applyFill="1" applyBorder="1" applyAlignment="1" applyProtection="1">
      <alignment horizontal="center" vertical="center"/>
    </xf>
    <xf numFmtId="168" fontId="76" fillId="14" borderId="72" xfId="0" applyNumberFormat="1" applyFont="1" applyFill="1" applyBorder="1" applyAlignment="1" applyProtection="1">
      <alignment horizontal="center" vertical="center"/>
    </xf>
    <xf numFmtId="0" fontId="76" fillId="14" borderId="74" xfId="0" applyFont="1" applyFill="1" applyBorder="1" applyAlignment="1" applyProtection="1">
      <alignment vertical="center"/>
    </xf>
    <xf numFmtId="0" fontId="76" fillId="14" borderId="72" xfId="0" applyFont="1" applyFill="1" applyBorder="1" applyAlignment="1" applyProtection="1">
      <alignment vertical="center"/>
    </xf>
    <xf numFmtId="0" fontId="74" fillId="14" borderId="74" xfId="0" applyFont="1" applyFill="1" applyBorder="1" applyAlignment="1" applyProtection="1">
      <alignment vertical="center"/>
    </xf>
    <xf numFmtId="0" fontId="74" fillId="14" borderId="72" xfId="0" applyFont="1" applyFill="1" applyBorder="1" applyAlignment="1" applyProtection="1">
      <alignment vertical="center"/>
    </xf>
    <xf numFmtId="0" fontId="107" fillId="14" borderId="72" xfId="2" applyFont="1" applyFill="1" applyBorder="1" applyAlignment="1" applyProtection="1">
      <alignment vertical="center"/>
    </xf>
    <xf numFmtId="0" fontId="74" fillId="14" borderId="72" xfId="0" applyFont="1" applyFill="1" applyBorder="1" applyAlignment="1" applyProtection="1">
      <alignment horizontal="center" vertical="center" wrapText="1"/>
    </xf>
    <xf numFmtId="10" fontId="74" fillId="14" borderId="72" xfId="0" applyNumberFormat="1" applyFont="1" applyFill="1" applyBorder="1" applyAlignment="1" applyProtection="1">
      <alignment horizontal="center" vertical="center"/>
    </xf>
    <xf numFmtId="0" fontId="74" fillId="14" borderId="72" xfId="0" applyFont="1" applyFill="1" applyBorder="1" applyAlignment="1" applyProtection="1">
      <alignment horizontal="center" vertical="center"/>
    </xf>
    <xf numFmtId="0" fontId="74" fillId="14" borderId="64" xfId="0" applyFont="1" applyFill="1" applyBorder="1" applyAlignment="1" applyProtection="1">
      <alignment vertical="center"/>
    </xf>
    <xf numFmtId="0" fontId="74" fillId="14" borderId="64" xfId="0" applyFont="1" applyFill="1" applyBorder="1" applyAlignment="1" applyProtection="1">
      <alignment horizontal="center" vertical="center"/>
    </xf>
    <xf numFmtId="0" fontId="74" fillId="3" borderId="74" xfId="0" applyFont="1" applyFill="1" applyBorder="1" applyAlignment="1" applyProtection="1">
      <alignment vertical="center"/>
    </xf>
    <xf numFmtId="0" fontId="74" fillId="3" borderId="72" xfId="0" applyFont="1" applyFill="1" applyBorder="1" applyAlignment="1" applyProtection="1">
      <alignment vertical="center"/>
    </xf>
    <xf numFmtId="0" fontId="74" fillId="3" borderId="76" xfId="0" applyFont="1" applyFill="1" applyBorder="1" applyAlignment="1" applyProtection="1">
      <alignment vertical="center"/>
    </xf>
    <xf numFmtId="0" fontId="52" fillId="14" borderId="61" xfId="0" applyFont="1" applyFill="1" applyBorder="1" applyAlignment="1" applyProtection="1">
      <alignment vertical="center"/>
    </xf>
    <xf numFmtId="0" fontId="52" fillId="14" borderId="65" xfId="0" applyFont="1" applyFill="1" applyBorder="1" applyAlignment="1" applyProtection="1">
      <alignment vertical="center"/>
    </xf>
    <xf numFmtId="0" fontId="74" fillId="14" borderId="65" xfId="0" applyFont="1" applyFill="1" applyBorder="1" applyAlignment="1" applyProtection="1">
      <alignment vertical="center"/>
    </xf>
    <xf numFmtId="0" fontId="74" fillId="14" borderId="70" xfId="0" applyFont="1" applyFill="1" applyBorder="1" applyAlignment="1" applyProtection="1">
      <alignment vertical="center"/>
    </xf>
    <xf numFmtId="16" fontId="63" fillId="14" borderId="72" xfId="0" applyNumberFormat="1" applyFont="1" applyFill="1" applyBorder="1" applyAlignment="1">
      <alignment horizontal="center"/>
    </xf>
    <xf numFmtId="0" fontId="74" fillId="14" borderId="62" xfId="0" applyFont="1" applyFill="1" applyBorder="1" applyAlignment="1" applyProtection="1">
      <alignment horizontal="center" vertical="center"/>
    </xf>
    <xf numFmtId="0" fontId="46" fillId="4" borderId="61" xfId="0" applyFont="1" applyFill="1" applyBorder="1" applyAlignment="1" applyProtection="1">
      <alignment horizontal="center" vertical="center" wrapText="1"/>
    </xf>
    <xf numFmtId="0" fontId="46" fillId="4" borderId="60" xfId="0" applyFont="1" applyFill="1" applyBorder="1" applyAlignment="1" applyProtection="1">
      <alignment horizontal="center" vertical="center" wrapText="1"/>
    </xf>
    <xf numFmtId="0" fontId="46" fillId="4" borderId="75" xfId="0" applyFont="1" applyFill="1" applyBorder="1" applyAlignment="1" applyProtection="1">
      <alignment horizontal="center" vertical="center" wrapText="1"/>
    </xf>
    <xf numFmtId="2" fontId="74" fillId="17" borderId="71" xfId="0" applyNumberFormat="1" applyFont="1" applyFill="1" applyBorder="1" applyAlignment="1" applyProtection="1">
      <alignment vertical="center"/>
    </xf>
    <xf numFmtId="2" fontId="74" fillId="17" borderId="72" xfId="0" applyNumberFormat="1" applyFont="1" applyFill="1" applyBorder="1" applyAlignment="1" applyProtection="1">
      <alignment vertical="center"/>
    </xf>
    <xf numFmtId="2" fontId="74" fillId="3" borderId="72" xfId="0" applyNumberFormat="1" applyFont="1" applyFill="1" applyBorder="1" applyAlignment="1" applyProtection="1">
      <alignment vertical="center"/>
    </xf>
    <xf numFmtId="2" fontId="74" fillId="3" borderId="74" xfId="0" applyNumberFormat="1" applyFont="1" applyFill="1" applyBorder="1" applyAlignment="1" applyProtection="1">
      <alignment vertical="center"/>
    </xf>
    <xf numFmtId="0" fontId="103" fillId="3" borderId="0" xfId="0" applyNumberFormat="1" applyFont="1" applyFill="1" applyBorder="1" applyAlignment="1" applyProtection="1">
      <alignment horizontal="center" vertical="center"/>
    </xf>
    <xf numFmtId="0" fontId="52" fillId="3" borderId="0" xfId="0" applyFont="1" applyFill="1" applyBorder="1" applyAlignment="1" applyProtection="1">
      <alignment horizontal="left" vertical="center"/>
    </xf>
    <xf numFmtId="0" fontId="55" fillId="3" borderId="0" xfId="0" applyFont="1" applyFill="1" applyBorder="1" applyAlignment="1">
      <alignment horizontal="center" vertical="center"/>
    </xf>
    <xf numFmtId="0" fontId="52" fillId="4" borderId="0" xfId="0" applyFont="1" applyFill="1" applyBorder="1" applyAlignment="1" applyProtection="1">
      <alignment horizontal="center"/>
    </xf>
    <xf numFmtId="0" fontId="42" fillId="3" borderId="46" xfId="0" applyNumberFormat="1" applyFont="1" applyFill="1" applyBorder="1" applyAlignment="1" applyProtection="1">
      <protection locked="0"/>
    </xf>
    <xf numFmtId="0" fontId="54" fillId="3" borderId="29" xfId="0" applyNumberFormat="1" applyFont="1" applyFill="1" applyBorder="1" applyAlignment="1" applyProtection="1">
      <alignment horizontal="center" vertical="center"/>
      <protection locked="0"/>
    </xf>
    <xf numFmtId="164" fontId="54" fillId="3" borderId="0" xfId="0" applyNumberFormat="1" applyFont="1" applyFill="1" applyBorder="1" applyAlignment="1" applyProtection="1">
      <alignment horizontal="center" vertical="center"/>
    </xf>
    <xf numFmtId="165" fontId="86" fillId="3" borderId="32" xfId="1" applyNumberFormat="1" applyFont="1" applyFill="1" applyBorder="1" applyAlignment="1" applyProtection="1">
      <alignment horizontal="right" indent="1"/>
    </xf>
    <xf numFmtId="165" fontId="86" fillId="14" borderId="45" xfId="1" applyNumberFormat="1" applyFont="1" applyFill="1" applyBorder="1" applyAlignment="1" applyProtection="1">
      <alignment horizontal="right" indent="1"/>
    </xf>
    <xf numFmtId="165" fontId="86" fillId="3" borderId="34" xfId="1" applyNumberFormat="1" applyFont="1" applyFill="1" applyBorder="1" applyAlignment="1" applyProtection="1">
      <alignment horizontal="right" indent="1"/>
    </xf>
    <xf numFmtId="165" fontId="54" fillId="3" borderId="0" xfId="1" applyNumberFormat="1" applyFont="1" applyFill="1" applyBorder="1" applyProtection="1">
      <alignment horizontal="right"/>
    </xf>
    <xf numFmtId="0" fontId="86" fillId="3" borderId="36" xfId="0" applyFont="1" applyFill="1" applyBorder="1" applyAlignment="1">
      <alignment horizontal="center" vertical="center"/>
    </xf>
    <xf numFmtId="0" fontId="86" fillId="3" borderId="44" xfId="0" applyFont="1" applyFill="1" applyBorder="1" applyAlignment="1">
      <alignment horizontal="center"/>
    </xf>
    <xf numFmtId="1" fontId="86" fillId="3" borderId="47" xfId="0" applyNumberFormat="1" applyFont="1" applyFill="1" applyBorder="1" applyAlignment="1">
      <alignment horizontal="center"/>
    </xf>
    <xf numFmtId="165" fontId="86" fillId="3" borderId="47" xfId="0" applyNumberFormat="1" applyFont="1" applyFill="1" applyBorder="1" applyAlignment="1">
      <alignment horizontal="center"/>
    </xf>
    <xf numFmtId="165" fontId="86" fillId="3" borderId="40" xfId="0" applyNumberFormat="1" applyFont="1" applyFill="1" applyBorder="1" applyAlignment="1">
      <alignment horizontal="center"/>
    </xf>
    <xf numFmtId="0" fontId="86" fillId="3" borderId="0" xfId="0" applyFont="1" applyFill="1" applyBorder="1" applyAlignment="1">
      <alignment horizontal="center" vertical="center"/>
    </xf>
    <xf numFmtId="0" fontId="86" fillId="3" borderId="0" xfId="0" applyFont="1" applyFill="1" applyBorder="1" applyAlignment="1">
      <alignment horizontal="center"/>
    </xf>
    <xf numFmtId="1" fontId="86" fillId="3" borderId="0" xfId="0" applyNumberFormat="1" applyFont="1" applyFill="1" applyBorder="1" applyAlignment="1">
      <alignment horizontal="center"/>
    </xf>
    <xf numFmtId="165" fontId="86" fillId="3" borderId="0" xfId="0" applyNumberFormat="1" applyFont="1" applyFill="1" applyBorder="1" applyAlignment="1">
      <alignment horizontal="center"/>
    </xf>
    <xf numFmtId="0" fontId="86" fillId="3" borderId="111" xfId="0" applyFont="1" applyFill="1" applyBorder="1" applyAlignment="1">
      <alignment horizontal="center" vertical="center"/>
    </xf>
    <xf numFmtId="0" fontId="86" fillId="3" borderId="112" xfId="0" applyFont="1" applyFill="1" applyBorder="1" applyAlignment="1">
      <alignment horizontal="center"/>
    </xf>
    <xf numFmtId="1" fontId="86" fillId="3" borderId="113" xfId="0" applyNumberFormat="1" applyFont="1" applyFill="1" applyBorder="1" applyAlignment="1">
      <alignment horizontal="center"/>
    </xf>
    <xf numFmtId="165" fontId="86" fillId="3" borderId="113" xfId="0" applyNumberFormat="1" applyFont="1" applyFill="1" applyBorder="1" applyAlignment="1">
      <alignment horizontal="center"/>
    </xf>
    <xf numFmtId="165" fontId="86" fillId="3" borderId="114" xfId="0" applyNumberFormat="1" applyFont="1" applyFill="1" applyBorder="1" applyAlignment="1">
      <alignment horizontal="center"/>
    </xf>
    <xf numFmtId="0" fontId="55" fillId="3" borderId="28" xfId="0" applyFont="1" applyFill="1" applyBorder="1" applyAlignment="1" applyProtection="1">
      <alignment horizontal="left"/>
    </xf>
    <xf numFmtId="0" fontId="55" fillId="3" borderId="28" xfId="1" applyNumberFormat="1" applyFont="1" applyFill="1" applyBorder="1" applyAlignment="1" applyProtection="1">
      <alignment horizontal="right" indent="2"/>
    </xf>
    <xf numFmtId="0" fontId="55" fillId="3" borderId="0" xfId="0" applyFont="1" applyFill="1" applyBorder="1" applyAlignment="1" applyProtection="1"/>
    <xf numFmtId="171" fontId="55" fillId="3" borderId="0" xfId="3" applyNumberFormat="1" applyFont="1" applyFill="1" applyBorder="1" applyAlignment="1" applyProtection="1">
      <alignment horizontal="right" indent="2"/>
    </xf>
    <xf numFmtId="165" fontId="55" fillId="14" borderId="29" xfId="1" applyNumberFormat="1" applyFont="1" applyFill="1" applyBorder="1" applyAlignment="1" applyProtection="1">
      <alignment horizontal="right" vertical="center" indent="1"/>
      <protection locked="0"/>
    </xf>
    <xf numFmtId="10" fontId="55" fillId="3" borderId="0" xfId="3" applyNumberFormat="1" applyFont="1" applyFill="1" applyBorder="1" applyAlignment="1" applyProtection="1">
      <alignment horizontal="right" indent="2"/>
    </xf>
    <xf numFmtId="165" fontId="55" fillId="14" borderId="37" xfId="1" applyNumberFormat="1" applyFont="1" applyFill="1" applyBorder="1" applyAlignment="1" applyProtection="1">
      <alignment horizontal="right" indent="1"/>
      <protection locked="0"/>
    </xf>
    <xf numFmtId="0" fontId="79" fillId="3" borderId="0" xfId="0" applyFont="1" applyFill="1" applyBorder="1" applyAlignment="1" applyProtection="1">
      <alignment horizontal="center"/>
    </xf>
    <xf numFmtId="0" fontId="90" fillId="3" borderId="0" xfId="0" applyFont="1" applyFill="1" applyBorder="1" applyAlignment="1" applyProtection="1"/>
    <xf numFmtId="6" fontId="42" fillId="3" borderId="76" xfId="0" applyNumberFormat="1" applyFont="1" applyFill="1" applyBorder="1" applyAlignment="1" applyProtection="1">
      <alignment horizontal="right" indent="1"/>
      <protection locked="0"/>
    </xf>
    <xf numFmtId="0" fontId="52" fillId="4" borderId="72" xfId="0" applyFont="1" applyFill="1" applyBorder="1" applyAlignment="1"/>
    <xf numFmtId="1" fontId="91" fillId="4" borderId="63" xfId="0" applyNumberFormat="1" applyFont="1" applyFill="1" applyBorder="1" applyAlignment="1" applyProtection="1">
      <alignment horizontal="center" vertical="center"/>
    </xf>
    <xf numFmtId="0" fontId="69" fillId="3" borderId="0" xfId="0" applyFont="1" applyFill="1" applyProtection="1"/>
    <xf numFmtId="1" fontId="88" fillId="3" borderId="0" xfId="0" applyNumberFormat="1" applyFont="1" applyFill="1" applyBorder="1" applyAlignment="1" applyProtection="1">
      <alignment horizontal="center" vertical="center"/>
    </xf>
    <xf numFmtId="0" fontId="74" fillId="0" borderId="0" xfId="0" applyFont="1"/>
    <xf numFmtId="0" fontId="91" fillId="14" borderId="48" xfId="0" applyFont="1" applyFill="1" applyBorder="1" applyAlignment="1" applyProtection="1">
      <alignment horizontal="center" vertical="center"/>
    </xf>
    <xf numFmtId="0" fontId="91" fillId="14" borderId="31" xfId="0" applyFont="1" applyFill="1" applyBorder="1" applyAlignment="1" applyProtection="1">
      <alignment horizontal="center" vertical="center"/>
    </xf>
    <xf numFmtId="0" fontId="52" fillId="4" borderId="62" xfId="0" applyFont="1" applyFill="1" applyBorder="1" applyAlignment="1" applyProtection="1">
      <alignment horizontal="center"/>
    </xf>
    <xf numFmtId="0" fontId="54" fillId="4" borderId="0" xfId="0" applyNumberFormat="1" applyFont="1" applyFill="1" applyBorder="1" applyAlignment="1" applyProtection="1">
      <alignment horizontal="left" vertical="center"/>
    </xf>
    <xf numFmtId="0" fontId="0" fillId="0" borderId="31" xfId="0" applyBorder="1" applyAlignment="1" applyProtection="1">
      <alignment horizontal="left"/>
      <protection locked="0"/>
    </xf>
    <xf numFmtId="0" fontId="0" fillId="0" borderId="48" xfId="0" applyBorder="1" applyAlignment="1" applyProtection="1">
      <alignment horizontal="left"/>
      <protection locked="0"/>
    </xf>
    <xf numFmtId="0" fontId="54" fillId="4" borderId="0" xfId="0" applyNumberFormat="1" applyFont="1" applyFill="1" applyBorder="1" applyAlignment="1" applyProtection="1">
      <alignment horizontal="center" vertical="center" wrapText="1"/>
    </xf>
    <xf numFmtId="0" fontId="98" fillId="3" borderId="0" xfId="0" applyFont="1" applyFill="1" applyBorder="1" applyAlignment="1">
      <alignment horizontal="center"/>
    </xf>
    <xf numFmtId="0" fontId="123" fillId="3" borderId="0" xfId="0" applyFont="1" applyFill="1" applyAlignment="1">
      <alignment vertical="center"/>
    </xf>
    <xf numFmtId="0" fontId="89" fillId="16" borderId="0" xfId="0" applyFont="1" applyFill="1" applyBorder="1" applyAlignment="1" applyProtection="1">
      <alignment vertical="top" wrapText="1"/>
    </xf>
    <xf numFmtId="0" fontId="124" fillId="3" borderId="0" xfId="0" applyFont="1" applyFill="1" applyAlignment="1">
      <alignment vertical="center"/>
    </xf>
    <xf numFmtId="0" fontId="124" fillId="3" borderId="0" xfId="0" applyFont="1" applyFill="1" applyAlignment="1"/>
    <xf numFmtId="0" fontId="123" fillId="3" borderId="0" xfId="0" applyFont="1" applyFill="1" applyAlignment="1">
      <alignment horizontal="center" vertical="center"/>
    </xf>
    <xf numFmtId="0" fontId="125" fillId="3" borderId="0" xfId="0" applyFont="1" applyFill="1" applyAlignment="1">
      <alignment vertical="center" wrapText="1"/>
    </xf>
    <xf numFmtId="0" fontId="123" fillId="3" borderId="0" xfId="0" applyFont="1" applyFill="1" applyAlignment="1">
      <alignment vertical="center" wrapText="1"/>
    </xf>
    <xf numFmtId="0" fontId="123" fillId="3" borderId="0" xfId="0" applyFont="1" applyFill="1" applyBorder="1" applyAlignment="1">
      <alignment vertical="center" wrapText="1"/>
    </xf>
    <xf numFmtId="0" fontId="125" fillId="3" borderId="0" xfId="0" applyFont="1" applyFill="1" applyBorder="1" applyAlignment="1">
      <alignment horizontal="center" vertical="center" wrapText="1"/>
    </xf>
    <xf numFmtId="0" fontId="89" fillId="4" borderId="2" xfId="0" applyFont="1" applyFill="1" applyBorder="1" applyAlignment="1">
      <alignment horizontal="center" vertical="center" wrapText="1"/>
    </xf>
    <xf numFmtId="0" fontId="89" fillId="4" borderId="3" xfId="0" applyFont="1" applyFill="1" applyBorder="1" applyAlignment="1">
      <alignment horizontal="center" vertical="center" wrapText="1"/>
    </xf>
    <xf numFmtId="0" fontId="89" fillId="4" borderId="4" xfId="0" applyFont="1" applyFill="1" applyBorder="1" applyAlignment="1">
      <alignment horizontal="center" vertical="center" wrapText="1"/>
    </xf>
    <xf numFmtId="10" fontId="126" fillId="8" borderId="1" xfId="303" applyNumberFormat="1" applyFont="1" applyBorder="1" applyAlignment="1">
      <alignment horizontal="center" vertical="center"/>
    </xf>
    <xf numFmtId="0" fontId="125" fillId="3" borderId="0" xfId="0" applyFont="1" applyFill="1" applyAlignment="1">
      <alignment vertical="center"/>
    </xf>
    <xf numFmtId="0" fontId="123" fillId="3" borderId="0" xfId="0" applyFont="1" applyFill="1" applyBorder="1" applyAlignment="1">
      <alignment horizontal="center" vertical="center"/>
    </xf>
    <xf numFmtId="0" fontId="89" fillId="4" borderId="5" xfId="0" applyFont="1" applyFill="1" applyBorder="1" applyAlignment="1">
      <alignment horizontal="center" vertical="center" wrapText="1"/>
    </xf>
    <xf numFmtId="0" fontId="89" fillId="4" borderId="6" xfId="0" applyFont="1" applyFill="1" applyBorder="1" applyAlignment="1">
      <alignment horizontal="center" vertical="center" wrapText="1"/>
    </xf>
    <xf numFmtId="0" fontId="89" fillId="4" borderId="7" xfId="0" applyFont="1" applyFill="1" applyBorder="1" applyAlignment="1">
      <alignment horizontal="center" vertical="center" wrapText="1"/>
    </xf>
    <xf numFmtId="0" fontId="127" fillId="9" borderId="1" xfId="0" applyFont="1" applyFill="1" applyBorder="1" applyAlignment="1">
      <alignment horizontal="center" vertical="center"/>
    </xf>
    <xf numFmtId="0" fontId="123" fillId="3" borderId="0" xfId="0" applyFont="1" applyFill="1" applyBorder="1" applyAlignment="1">
      <alignment vertical="center"/>
    </xf>
    <xf numFmtId="14" fontId="128" fillId="14" borderId="11" xfId="0" applyNumberFormat="1" applyFont="1" applyFill="1" applyBorder="1" applyAlignment="1">
      <alignment horizontal="center" vertical="center"/>
    </xf>
    <xf numFmtId="170" fontId="128" fillId="14" borderId="11" xfId="0" applyNumberFormat="1" applyFont="1" applyFill="1" applyBorder="1" applyAlignment="1">
      <alignment horizontal="center" vertical="center"/>
    </xf>
    <xf numFmtId="1" fontId="128" fillId="14" borderId="11" xfId="0" applyNumberFormat="1" applyFont="1" applyFill="1" applyBorder="1" applyAlignment="1">
      <alignment horizontal="center" vertical="center"/>
    </xf>
    <xf numFmtId="166" fontId="128" fillId="14" borderId="11" xfId="0" applyNumberFormat="1" applyFont="1" applyFill="1" applyBorder="1" applyAlignment="1">
      <alignment horizontal="center" vertical="center"/>
    </xf>
    <xf numFmtId="10" fontId="129" fillId="6" borderId="1" xfId="295" applyNumberFormat="1" applyFont="1" applyBorder="1" applyAlignment="1">
      <alignment horizontal="center" vertical="center"/>
    </xf>
    <xf numFmtId="0" fontId="125" fillId="3" borderId="0" xfId="0" applyFont="1" applyFill="1" applyBorder="1" applyAlignment="1">
      <alignment horizontal="center" vertical="center"/>
    </xf>
    <xf numFmtId="14" fontId="128" fillId="14" borderId="1" xfId="0" applyNumberFormat="1" applyFont="1" applyFill="1" applyBorder="1" applyAlignment="1">
      <alignment horizontal="center" vertical="center"/>
    </xf>
    <xf numFmtId="1" fontId="128" fillId="14" borderId="1" xfId="0" applyNumberFormat="1" applyFont="1" applyFill="1" applyBorder="1" applyAlignment="1">
      <alignment horizontal="center" vertical="center"/>
    </xf>
    <xf numFmtId="166" fontId="128" fillId="14" borderId="1" xfId="0" applyNumberFormat="1" applyFont="1" applyFill="1" applyBorder="1" applyAlignment="1">
      <alignment horizontal="center" vertical="center"/>
    </xf>
    <xf numFmtId="166" fontId="123" fillId="3" borderId="0" xfId="0" applyNumberFormat="1" applyFont="1" applyFill="1" applyBorder="1" applyAlignment="1">
      <alignment vertical="center"/>
    </xf>
    <xf numFmtId="0" fontId="125" fillId="3" borderId="0" xfId="0" applyFont="1" applyFill="1" applyAlignment="1">
      <alignment horizontal="center" vertical="center"/>
    </xf>
    <xf numFmtId="0" fontId="123" fillId="3" borderId="0" xfId="0" applyFont="1" applyFill="1" applyBorder="1" applyAlignment="1">
      <alignment horizontal="right" vertical="center"/>
    </xf>
    <xf numFmtId="10" fontId="123" fillId="3" borderId="0" xfId="0" applyNumberFormat="1" applyFont="1" applyFill="1" applyBorder="1" applyAlignment="1">
      <alignment horizontal="center" vertical="center"/>
    </xf>
    <xf numFmtId="0" fontId="89" fillId="3" borderId="0" xfId="0" applyFont="1" applyFill="1" applyAlignment="1">
      <alignment vertical="center"/>
    </xf>
    <xf numFmtId="0" fontId="130" fillId="14" borderId="1" xfId="0" applyFont="1" applyFill="1" applyBorder="1" applyAlignment="1">
      <alignment horizontal="right" vertical="center"/>
    </xf>
    <xf numFmtId="10" fontId="130" fillId="14" borderId="1" xfId="3" applyNumberFormat="1" applyFont="1" applyFill="1" applyBorder="1" applyAlignment="1">
      <alignment horizontal="center" vertical="center"/>
    </xf>
    <xf numFmtId="0" fontId="89" fillId="4" borderId="12" xfId="0" applyFont="1" applyFill="1" applyBorder="1" applyAlignment="1">
      <alignment horizontal="center" vertical="center"/>
    </xf>
    <xf numFmtId="0" fontId="89" fillId="4" borderId="11" xfId="0" applyFont="1" applyFill="1" applyBorder="1" applyAlignment="1">
      <alignment horizontal="center" vertical="center"/>
    </xf>
    <xf numFmtId="0" fontId="89" fillId="4" borderId="1" xfId="0" applyFont="1" applyFill="1" applyBorder="1" applyAlignment="1">
      <alignment horizontal="center" vertical="center"/>
    </xf>
    <xf numFmtId="0" fontId="111" fillId="4" borderId="1" xfId="0" applyFont="1" applyFill="1" applyBorder="1" applyAlignment="1">
      <alignment horizontal="center" vertical="center"/>
    </xf>
    <xf numFmtId="0" fontId="111" fillId="4" borderId="1" xfId="0" quotePrefix="1" applyFont="1" applyFill="1" applyBorder="1" applyAlignment="1">
      <alignment vertical="center"/>
    </xf>
    <xf numFmtId="0" fontId="111" fillId="4" borderId="1" xfId="0" applyFont="1" applyFill="1" applyBorder="1" applyAlignment="1">
      <alignment vertical="center"/>
    </xf>
    <xf numFmtId="10" fontId="128" fillId="3" borderId="0" xfId="303" applyNumberFormat="1" applyFont="1" applyFill="1" applyBorder="1" applyAlignment="1">
      <alignment horizontal="center" vertical="center"/>
    </xf>
    <xf numFmtId="0" fontId="123" fillId="3" borderId="0" xfId="0" quotePrefix="1" applyFont="1" applyFill="1" applyAlignment="1">
      <alignment vertical="center"/>
    </xf>
    <xf numFmtId="10" fontId="124" fillId="9" borderId="1" xfId="0" applyNumberFormat="1" applyFont="1" applyFill="1" applyBorder="1" applyAlignment="1">
      <alignment horizontal="center" vertical="center"/>
    </xf>
    <xf numFmtId="165" fontId="123" fillId="3" borderId="0" xfId="1" applyNumberFormat="1" applyFont="1" applyFill="1" applyAlignment="1">
      <alignment horizontal="right" vertical="center"/>
    </xf>
    <xf numFmtId="17" fontId="123" fillId="3" borderId="0" xfId="0" quotePrefix="1" applyNumberFormat="1" applyFont="1" applyFill="1" applyAlignment="1">
      <alignment vertical="center"/>
    </xf>
    <xf numFmtId="0" fontId="131" fillId="3" borderId="0" xfId="0" applyFont="1" applyFill="1" applyAlignment="1">
      <alignment vertical="center"/>
    </xf>
    <xf numFmtId="0" fontId="132" fillId="3" borderId="0" xfId="0" applyFont="1" applyFill="1" applyAlignment="1">
      <alignment vertical="center"/>
    </xf>
    <xf numFmtId="0" fontId="133" fillId="3" borderId="0" xfId="0" applyFont="1" applyFill="1" applyAlignment="1">
      <alignment horizontal="center" vertical="top"/>
    </xf>
    <xf numFmtId="0" fontId="41" fillId="4" borderId="0" xfId="0" applyNumberFormat="1" applyFont="1" applyFill="1" applyBorder="1" applyAlignment="1" applyProtection="1">
      <alignment horizontal="center" vertical="center" wrapText="1"/>
    </xf>
    <xf numFmtId="1" fontId="92" fillId="14" borderId="37" xfId="1" applyNumberFormat="1" applyFont="1" applyFill="1" applyBorder="1" applyAlignment="1" applyProtection="1">
      <alignment horizontal="right" indent="1"/>
    </xf>
    <xf numFmtId="1" fontId="52" fillId="3" borderId="76" xfId="0" applyNumberFormat="1" applyFont="1" applyFill="1" applyBorder="1" applyAlignment="1" applyProtection="1">
      <alignment horizontal="center"/>
      <protection locked="0"/>
    </xf>
    <xf numFmtId="165" fontId="52" fillId="3" borderId="76" xfId="1" applyNumberFormat="1" applyFont="1" applyFill="1" applyBorder="1" applyAlignment="1" applyProtection="1">
      <alignment horizontal="center"/>
      <protection locked="0"/>
    </xf>
    <xf numFmtId="0" fontId="92" fillId="14" borderId="76" xfId="0" applyNumberFormat="1" applyFont="1" applyFill="1" applyBorder="1" applyAlignment="1" applyProtection="1">
      <alignment horizontal="center"/>
    </xf>
    <xf numFmtId="171" fontId="52" fillId="3" borderId="76" xfId="3" applyNumberFormat="1" applyFont="1" applyFill="1" applyBorder="1" applyAlignment="1" applyProtection="1">
      <alignment horizontal="center"/>
      <protection locked="0"/>
    </xf>
    <xf numFmtId="165" fontId="92" fillId="14" borderId="76" xfId="0" applyNumberFormat="1" applyFont="1" applyFill="1" applyBorder="1" applyAlignment="1" applyProtection="1">
      <alignment horizontal="center"/>
    </xf>
    <xf numFmtId="165" fontId="92" fillId="14" borderId="76" xfId="1" applyNumberFormat="1" applyFont="1" applyFill="1" applyBorder="1" applyAlignment="1" applyProtection="1">
      <alignment horizontal="center"/>
    </xf>
    <xf numFmtId="1" fontId="52" fillId="3" borderId="76" xfId="1" applyNumberFormat="1" applyFont="1" applyFill="1" applyBorder="1" applyAlignment="1" applyProtection="1">
      <alignment horizontal="center"/>
      <protection locked="0"/>
    </xf>
    <xf numFmtId="1" fontId="52" fillId="3" borderId="76" xfId="3" applyNumberFormat="1" applyFont="1" applyFill="1" applyBorder="1" applyAlignment="1" applyProtection="1">
      <alignment horizontal="center"/>
      <protection locked="0"/>
    </xf>
    <xf numFmtId="0" fontId="52" fillId="4" borderId="110" xfId="0" applyFont="1" applyFill="1" applyBorder="1" applyAlignment="1" applyProtection="1">
      <alignment horizontal="center"/>
    </xf>
    <xf numFmtId="0" fontId="52" fillId="4" borderId="65" xfId="0" applyFont="1" applyFill="1" applyBorder="1" applyProtection="1"/>
    <xf numFmtId="0" fontId="52" fillId="4" borderId="70" xfId="0" applyFont="1" applyFill="1" applyBorder="1" applyProtection="1"/>
    <xf numFmtId="170" fontId="52" fillId="3" borderId="76" xfId="0" applyNumberFormat="1" applyFont="1" applyFill="1" applyBorder="1" applyAlignment="1" applyProtection="1">
      <alignment horizontal="center"/>
      <protection locked="0"/>
    </xf>
    <xf numFmtId="165" fontId="92" fillId="14" borderId="76" xfId="3" applyNumberFormat="1" applyFont="1" applyFill="1" applyBorder="1" applyAlignment="1" applyProtection="1">
      <alignment horizontal="center"/>
    </xf>
    <xf numFmtId="165" fontId="52" fillId="4" borderId="71" xfId="1" applyNumberFormat="1" applyFont="1" applyFill="1" applyBorder="1" applyAlignment="1" applyProtection="1">
      <alignment horizontal="right" indent="1"/>
    </xf>
    <xf numFmtId="0" fontId="52" fillId="3" borderId="0" xfId="0" applyFont="1" applyFill="1" applyBorder="1" applyAlignment="1">
      <alignment horizontal="center"/>
    </xf>
    <xf numFmtId="0" fontId="51" fillId="3" borderId="0" xfId="0" applyFont="1" applyFill="1" applyBorder="1" applyAlignment="1">
      <alignment horizontal="center" vertical="center"/>
    </xf>
    <xf numFmtId="0" fontId="81" fillId="3" borderId="0" xfId="0" applyFont="1" applyFill="1" applyAlignment="1">
      <alignment vertical="center" wrapText="1"/>
    </xf>
    <xf numFmtId="0" fontId="40" fillId="3" borderId="0" xfId="0" applyFont="1" applyFill="1" applyAlignment="1">
      <alignment horizontal="center" vertical="center"/>
    </xf>
    <xf numFmtId="0" fontId="40" fillId="3" borderId="25" xfId="0" applyFont="1" applyFill="1" applyBorder="1" applyAlignment="1">
      <alignment horizontal="center" vertical="center"/>
    </xf>
    <xf numFmtId="165" fontId="40" fillId="3" borderId="25" xfId="1" applyNumberFormat="1" applyFont="1" applyFill="1" applyBorder="1" applyAlignment="1">
      <alignment horizontal="center" vertical="center"/>
    </xf>
    <xf numFmtId="0" fontId="40" fillId="3" borderId="0" xfId="0" applyFont="1" applyFill="1"/>
    <xf numFmtId="0" fontId="40" fillId="3" borderId="25" xfId="0" applyFont="1" applyFill="1" applyBorder="1" applyAlignment="1">
      <alignment horizontal="center"/>
    </xf>
    <xf numFmtId="165" fontId="40" fillId="3" borderId="26" xfId="1" applyNumberFormat="1" applyFont="1" applyFill="1" applyBorder="1" applyAlignment="1">
      <alignment horizontal="center" vertical="center"/>
    </xf>
    <xf numFmtId="165" fontId="40" fillId="3" borderId="25" xfId="0" applyNumberFormat="1" applyFont="1" applyFill="1" applyBorder="1" applyAlignment="1">
      <alignment horizontal="center"/>
    </xf>
    <xf numFmtId="0" fontId="83" fillId="3" borderId="2" xfId="0" applyFont="1" applyFill="1" applyBorder="1" applyAlignment="1">
      <alignment horizontal="center" vertical="center"/>
    </xf>
    <xf numFmtId="1" fontId="40" fillId="3" borderId="0" xfId="0" applyNumberFormat="1" applyFont="1" applyFill="1" applyAlignment="1">
      <alignment horizontal="center"/>
    </xf>
    <xf numFmtId="0" fontId="40" fillId="3" borderId="0" xfId="0" applyFont="1" applyFill="1" applyAlignment="1">
      <alignment horizontal="center"/>
    </xf>
    <xf numFmtId="165" fontId="40" fillId="3" borderId="0" xfId="1" applyNumberFormat="1" applyFont="1" applyFill="1" applyAlignment="1">
      <alignment horizontal="center" vertical="center"/>
    </xf>
    <xf numFmtId="165" fontId="40" fillId="3" borderId="0" xfId="0" applyNumberFormat="1" applyFont="1" applyFill="1"/>
    <xf numFmtId="1" fontId="40" fillId="3" borderId="0" xfId="1" applyNumberFormat="1" applyFont="1" applyFill="1" applyAlignment="1">
      <alignment horizontal="center" vertical="center"/>
    </xf>
    <xf numFmtId="14" fontId="76" fillId="3" borderId="0" xfId="0" applyNumberFormat="1" applyFont="1" applyFill="1" applyBorder="1" applyAlignment="1" applyProtection="1">
      <alignment horizontal="center" vertical="center"/>
    </xf>
    <xf numFmtId="0" fontId="40" fillId="14" borderId="46" xfId="0" applyNumberFormat="1" applyFont="1" applyFill="1" applyBorder="1" applyAlignment="1" applyProtection="1">
      <protection locked="0"/>
    </xf>
    <xf numFmtId="0" fontId="40" fillId="3" borderId="46" xfId="0" applyNumberFormat="1" applyFont="1" applyFill="1" applyBorder="1" applyAlignment="1" applyProtection="1">
      <protection locked="0"/>
    </xf>
    <xf numFmtId="0" fontId="40" fillId="14" borderId="46" xfId="0" applyFont="1" applyFill="1" applyBorder="1" applyAlignment="1" applyProtection="1">
      <alignment horizontal="center"/>
      <protection locked="0"/>
    </xf>
    <xf numFmtId="0" fontId="40" fillId="3" borderId="46" xfId="0" applyFont="1" applyFill="1" applyBorder="1" applyAlignment="1" applyProtection="1">
      <alignment horizontal="center"/>
      <protection locked="0"/>
    </xf>
    <xf numFmtId="14" fontId="40" fillId="14" borderId="46" xfId="0" applyNumberFormat="1" applyFont="1" applyFill="1" applyBorder="1" applyAlignment="1" applyProtection="1">
      <alignment horizontal="center"/>
      <protection locked="0"/>
    </xf>
    <xf numFmtId="14" fontId="40" fillId="3" borderId="46" xfId="0" applyNumberFormat="1" applyFont="1" applyFill="1" applyBorder="1" applyAlignment="1" applyProtection="1">
      <alignment horizontal="center"/>
      <protection locked="0"/>
    </xf>
    <xf numFmtId="0" fontId="139" fillId="22" borderId="0" xfId="0" applyFont="1" applyFill="1" applyAlignment="1">
      <alignment horizontal="center" vertical="center"/>
    </xf>
    <xf numFmtId="14" fontId="76" fillId="3" borderId="0" xfId="0" applyNumberFormat="1" applyFont="1" applyFill="1" applyBorder="1" applyAlignment="1" applyProtection="1">
      <alignment horizontal="center" vertical="center" wrapText="1"/>
    </xf>
    <xf numFmtId="1" fontId="40" fillId="3" borderId="0" xfId="0" applyNumberFormat="1" applyFont="1" applyFill="1"/>
    <xf numFmtId="165" fontId="40" fillId="3" borderId="0" xfId="1" applyNumberFormat="1" applyFont="1" applyFill="1" applyAlignment="1">
      <alignment horizontal="left" vertical="center"/>
    </xf>
    <xf numFmtId="165" fontId="40" fillId="3" borderId="0" xfId="1" applyNumberFormat="1" applyFont="1" applyFill="1" applyAlignment="1">
      <alignment horizontal="right" vertical="center"/>
    </xf>
    <xf numFmtId="0" fontId="40" fillId="3" borderId="0" xfId="0" applyFont="1" applyFill="1" applyAlignment="1">
      <alignment horizontal="right"/>
    </xf>
    <xf numFmtId="1" fontId="40" fillId="3" borderId="0" xfId="1" applyNumberFormat="1" applyFont="1" applyFill="1" applyAlignment="1">
      <alignment horizontal="right" vertical="center"/>
    </xf>
    <xf numFmtId="0" fontId="40" fillId="3" borderId="0" xfId="0" applyFont="1" applyFill="1" applyBorder="1"/>
    <xf numFmtId="165" fontId="74" fillId="3" borderId="0" xfId="1" applyNumberFormat="1" applyFont="1" applyFill="1" applyBorder="1">
      <alignment horizontal="right"/>
    </xf>
    <xf numFmtId="0" fontId="40" fillId="3" borderId="76" xfId="0" applyFont="1" applyFill="1" applyBorder="1" applyAlignment="1">
      <alignment horizontal="center" vertical="center"/>
    </xf>
    <xf numFmtId="1" fontId="40" fillId="3" borderId="76" xfId="0" applyNumberFormat="1" applyFont="1" applyFill="1" applyBorder="1" applyAlignment="1">
      <alignment horizontal="center" vertical="center"/>
    </xf>
    <xf numFmtId="165" fontId="74" fillId="0" borderId="76" xfId="1" applyNumberFormat="1" applyFont="1" applyBorder="1">
      <alignment horizontal="right"/>
    </xf>
    <xf numFmtId="0" fontId="76" fillId="3" borderId="0" xfId="0" applyNumberFormat="1" applyFont="1" applyFill="1" applyBorder="1" applyAlignment="1" applyProtection="1"/>
    <xf numFmtId="0" fontId="74" fillId="0" borderId="0" xfId="0" applyNumberFormat="1" applyFont="1" applyFill="1" applyBorder="1" applyAlignment="1" applyProtection="1"/>
    <xf numFmtId="0" fontId="74" fillId="0" borderId="0" xfId="0" applyNumberFormat="1" applyFont="1" applyFill="1" applyBorder="1" applyAlignment="1" applyProtection="1">
      <alignment vertical="center"/>
    </xf>
    <xf numFmtId="0" fontId="52" fillId="0" borderId="0" xfId="0" applyNumberFormat="1" applyFont="1" applyFill="1" applyBorder="1" applyAlignment="1" applyProtection="1">
      <alignment horizontal="center" wrapText="1"/>
    </xf>
    <xf numFmtId="0" fontId="92" fillId="0" borderId="0" xfId="0" applyNumberFormat="1" applyFont="1" applyFill="1" applyBorder="1" applyAlignment="1" applyProtection="1"/>
    <xf numFmtId="0" fontId="40" fillId="4" borderId="72" xfId="0" applyFont="1" applyFill="1" applyBorder="1" applyAlignment="1"/>
    <xf numFmtId="0" fontId="52" fillId="3" borderId="76" xfId="0" applyFont="1" applyFill="1" applyBorder="1" applyAlignment="1" applyProtection="1">
      <alignment horizontal="center"/>
      <protection locked="0"/>
    </xf>
    <xf numFmtId="165" fontId="91" fillId="3" borderId="76" xfId="1" applyNumberFormat="1" applyFont="1" applyFill="1" applyBorder="1" applyAlignment="1">
      <alignment horizontal="right" indent="1"/>
    </xf>
    <xf numFmtId="165" fontId="91" fillId="3" borderId="0" xfId="1" applyNumberFormat="1" applyFont="1" applyFill="1" applyBorder="1" applyAlignment="1">
      <alignment horizontal="right" indent="1"/>
    </xf>
    <xf numFmtId="0" fontId="40" fillId="3" borderId="0" xfId="0" applyFont="1" applyFill="1" applyBorder="1" applyAlignment="1">
      <alignment horizontal="center"/>
    </xf>
    <xf numFmtId="0" fontId="40" fillId="3" borderId="76" xfId="0" applyFont="1" applyFill="1" applyBorder="1" applyAlignment="1" applyProtection="1">
      <alignment horizontal="center"/>
      <protection locked="0"/>
    </xf>
    <xf numFmtId="1" fontId="91" fillId="3" borderId="76" xfId="0" applyNumberFormat="1" applyFont="1" applyFill="1" applyBorder="1" applyAlignment="1" applyProtection="1">
      <alignment horizontal="center" vertical="center"/>
    </xf>
    <xf numFmtId="6" fontId="91" fillId="3" borderId="76" xfId="0" applyNumberFormat="1" applyFont="1" applyFill="1" applyBorder="1" applyAlignment="1">
      <alignment horizontal="right" indent="1"/>
    </xf>
    <xf numFmtId="1" fontId="91" fillId="17" borderId="76" xfId="0" applyNumberFormat="1" applyFont="1" applyFill="1" applyBorder="1" applyAlignment="1" applyProtection="1">
      <alignment horizontal="center" vertical="center"/>
    </xf>
    <xf numFmtId="6" fontId="91" fillId="17" borderId="76" xfId="0" applyNumberFormat="1" applyFont="1" applyFill="1" applyBorder="1" applyAlignment="1">
      <alignment horizontal="right" indent="1"/>
    </xf>
    <xf numFmtId="165" fontId="91" fillId="17" borderId="76" xfId="1" applyNumberFormat="1" applyFont="1" applyFill="1" applyBorder="1" applyAlignment="1">
      <alignment horizontal="right" indent="1"/>
    </xf>
    <xf numFmtId="0" fontId="52" fillId="4" borderId="109" xfId="0" applyFont="1" applyFill="1" applyBorder="1"/>
    <xf numFmtId="10" fontId="89" fillId="4" borderId="60" xfId="0" applyNumberFormat="1" applyFont="1" applyFill="1" applyBorder="1" applyAlignment="1">
      <alignment horizontal="center" vertical="center"/>
    </xf>
    <xf numFmtId="0" fontId="89" fillId="4" borderId="60" xfId="0" applyFont="1" applyFill="1" applyBorder="1" applyAlignment="1">
      <alignment horizontal="center" vertical="center"/>
    </xf>
    <xf numFmtId="1" fontId="91" fillId="3" borderId="76" xfId="1" applyNumberFormat="1" applyFont="1" applyFill="1" applyBorder="1" applyAlignment="1" applyProtection="1">
      <alignment horizontal="center"/>
    </xf>
    <xf numFmtId="1" fontId="91" fillId="3" borderId="76" xfId="0" applyNumberFormat="1" applyFont="1" applyFill="1" applyBorder="1" applyAlignment="1">
      <alignment horizontal="center"/>
    </xf>
    <xf numFmtId="1" fontId="91" fillId="17" borderId="76" xfId="0" applyNumberFormat="1" applyFont="1" applyFill="1" applyBorder="1" applyAlignment="1">
      <alignment horizontal="center"/>
    </xf>
    <xf numFmtId="0" fontId="52" fillId="17" borderId="109" xfId="0" applyFont="1" applyFill="1" applyBorder="1"/>
    <xf numFmtId="0" fontId="52" fillId="17" borderId="60" xfId="0" applyFont="1" applyFill="1" applyBorder="1"/>
    <xf numFmtId="0" fontId="52" fillId="17" borderId="75" xfId="0" applyFont="1" applyFill="1" applyBorder="1"/>
    <xf numFmtId="0" fontId="52" fillId="4" borderId="61" xfId="0" applyFont="1" applyFill="1" applyBorder="1" applyAlignment="1">
      <alignment horizontal="right" vertical="center"/>
    </xf>
    <xf numFmtId="0" fontId="52" fillId="4" borderId="60" xfId="0" applyFont="1" applyFill="1" applyBorder="1" applyAlignment="1">
      <alignment horizontal="center"/>
    </xf>
    <xf numFmtId="0" fontId="52" fillId="4" borderId="60" xfId="0" applyFont="1" applyFill="1" applyBorder="1" applyAlignment="1" applyProtection="1">
      <alignment horizontal="center" vertical="center"/>
    </xf>
    <xf numFmtId="0" fontId="52" fillId="4" borderId="60" xfId="0" applyFont="1" applyFill="1" applyBorder="1" applyAlignment="1">
      <alignment vertical="center"/>
    </xf>
    <xf numFmtId="0" fontId="52" fillId="4" borderId="75" xfId="0" applyFont="1" applyFill="1" applyBorder="1"/>
    <xf numFmtId="0" fontId="52" fillId="4" borderId="65" xfId="0" applyFont="1" applyFill="1" applyBorder="1" applyAlignment="1"/>
    <xf numFmtId="0" fontId="52" fillId="4" borderId="73" xfId="0" applyFont="1" applyFill="1" applyBorder="1"/>
    <xf numFmtId="0" fontId="52" fillId="4" borderId="65" xfId="0" applyFont="1" applyFill="1" applyBorder="1" applyAlignment="1">
      <alignment horizontal="center"/>
    </xf>
    <xf numFmtId="0" fontId="52" fillId="4" borderId="73" xfId="0" applyFont="1" applyFill="1" applyBorder="1" applyAlignment="1">
      <alignment horizontal="center"/>
    </xf>
    <xf numFmtId="0" fontId="69" fillId="3" borderId="0" xfId="0" applyFont="1" applyFill="1" applyBorder="1" applyAlignment="1">
      <alignment vertical="center" wrapText="1"/>
    </xf>
    <xf numFmtId="1" fontId="69" fillId="3" borderId="0" xfId="0" applyNumberFormat="1" applyFont="1" applyFill="1" applyBorder="1" applyAlignment="1">
      <alignment horizontal="center" vertical="center"/>
    </xf>
    <xf numFmtId="0" fontId="77" fillId="3" borderId="0" xfId="0" applyNumberFormat="1" applyFont="1" applyFill="1" applyBorder="1" applyAlignment="1" applyProtection="1"/>
    <xf numFmtId="0" fontId="74" fillId="0" borderId="0" xfId="0" applyNumberFormat="1" applyFont="1" applyFill="1" applyBorder="1" applyAlignment="1" applyProtection="1">
      <alignment horizontal="center" vertical="center"/>
    </xf>
    <xf numFmtId="0" fontId="52" fillId="0" borderId="0" xfId="0" applyNumberFormat="1" applyFont="1" applyFill="1" applyBorder="1" applyAlignment="1" applyProtection="1">
      <alignment horizontal="center" vertical="center"/>
    </xf>
    <xf numFmtId="165" fontId="92" fillId="0" borderId="0" xfId="0" applyNumberFormat="1" applyFont="1" applyFill="1" applyBorder="1" applyAlignment="1" applyProtection="1"/>
    <xf numFmtId="165" fontId="74" fillId="0" borderId="0" xfId="0" applyNumberFormat="1" applyFont="1" applyFill="1" applyBorder="1" applyAlignment="1" applyProtection="1"/>
    <xf numFmtId="166" fontId="74" fillId="0" borderId="0" xfId="0" applyNumberFormat="1" applyFont="1" applyFill="1" applyBorder="1" applyAlignment="1" applyProtection="1"/>
    <xf numFmtId="0" fontId="74" fillId="0" borderId="0" xfId="0" applyNumberFormat="1" applyFont="1" applyFill="1" applyBorder="1" applyAlignment="1" applyProtection="1">
      <alignment horizontal="center" vertical="center" wrapText="1"/>
    </xf>
    <xf numFmtId="0" fontId="52" fillId="0" borderId="0" xfId="0" applyNumberFormat="1" applyFont="1" applyFill="1" applyBorder="1" applyAlignment="1" applyProtection="1">
      <alignment horizontal="center" vertical="center" wrapText="1"/>
    </xf>
    <xf numFmtId="0" fontId="98" fillId="3" borderId="0" xfId="0" applyFont="1" applyFill="1" applyBorder="1" applyAlignment="1">
      <alignment horizontal="center" vertical="top" wrapText="1"/>
    </xf>
    <xf numFmtId="0" fontId="51" fillId="3" borderId="0" xfId="0" applyFont="1" applyFill="1" applyBorder="1" applyProtection="1"/>
    <xf numFmtId="0" fontId="40" fillId="3" borderId="76" xfId="0" applyFont="1" applyFill="1" applyBorder="1" applyAlignment="1">
      <alignment horizontal="center" vertical="center" wrapText="1"/>
    </xf>
    <xf numFmtId="0" fontId="40" fillId="3" borderId="0" xfId="0" applyFont="1" applyFill="1" applyBorder="1" applyAlignment="1" applyProtection="1">
      <alignment horizontal="center" vertical="center" wrapText="1"/>
    </xf>
    <xf numFmtId="0" fontId="40" fillId="3" borderId="0" xfId="0" applyFont="1" applyFill="1" applyBorder="1" applyAlignment="1">
      <alignment horizontal="center" vertical="center"/>
    </xf>
    <xf numFmtId="165" fontId="76" fillId="3" borderId="0" xfId="1" applyNumberFormat="1" applyFont="1" applyFill="1" applyBorder="1" applyAlignment="1" applyProtection="1"/>
    <xf numFmtId="0" fontId="51" fillId="3" borderId="0" xfId="0" applyFont="1" applyFill="1" applyBorder="1" applyAlignment="1" applyProtection="1">
      <alignment horizontal="center" vertical="center" wrapText="1"/>
    </xf>
    <xf numFmtId="165" fontId="76" fillId="3" borderId="0" xfId="1" applyNumberFormat="1" applyFont="1" applyFill="1" applyBorder="1" applyAlignment="1" applyProtection="1">
      <alignment horizontal="right" vertical="center"/>
    </xf>
    <xf numFmtId="0" fontId="40" fillId="3" borderId="0" xfId="0" applyFont="1" applyFill="1" applyBorder="1" applyAlignment="1">
      <alignment horizontal="center" vertical="center" wrapText="1"/>
    </xf>
    <xf numFmtId="0" fontId="49" fillId="3" borderId="0" xfId="0" applyFont="1" applyFill="1" applyBorder="1" applyAlignment="1" applyProtection="1">
      <alignment horizontal="center" vertical="center"/>
    </xf>
    <xf numFmtId="0" fontId="76" fillId="3" borderId="0" xfId="0" applyFont="1" applyFill="1" applyBorder="1"/>
    <xf numFmtId="0" fontId="40" fillId="10" borderId="76" xfId="0" applyFont="1" applyFill="1" applyBorder="1" applyAlignment="1" applyProtection="1">
      <alignment horizontal="center" wrapText="1"/>
    </xf>
    <xf numFmtId="0" fontId="51" fillId="10" borderId="0" xfId="0" applyFont="1" applyFill="1" applyBorder="1" applyAlignment="1">
      <alignment vertical="top"/>
    </xf>
    <xf numFmtId="0" fontId="40" fillId="10" borderId="0" xfId="0" applyFont="1" applyFill="1" applyBorder="1" applyAlignment="1">
      <alignment horizontal="center" vertical="center"/>
    </xf>
    <xf numFmtId="0" fontId="51" fillId="10" borderId="65" xfId="0" applyFont="1" applyFill="1" applyBorder="1" applyAlignment="1">
      <alignment vertical="top"/>
    </xf>
    <xf numFmtId="0" fontId="51" fillId="10" borderId="73" xfId="0" applyFont="1" applyFill="1" applyBorder="1" applyAlignment="1">
      <alignment horizontal="center" vertical="center"/>
    </xf>
    <xf numFmtId="165" fontId="40" fillId="19" borderId="0" xfId="3" applyNumberFormat="1" applyFont="1" applyFill="1" applyBorder="1" applyAlignment="1">
      <alignment horizontal="center" vertical="center"/>
    </xf>
    <xf numFmtId="165" fontId="51" fillId="19" borderId="65" xfId="3" applyNumberFormat="1" applyFont="1" applyFill="1" applyBorder="1" applyAlignment="1">
      <alignment horizontal="center" vertical="center"/>
    </xf>
    <xf numFmtId="0" fontId="40" fillId="19" borderId="73" xfId="0" applyFont="1" applyFill="1" applyBorder="1" applyAlignment="1">
      <alignment vertical="top"/>
    </xf>
    <xf numFmtId="0" fontId="40" fillId="19" borderId="75" xfId="0" applyFont="1" applyFill="1" applyBorder="1" applyAlignment="1" applyProtection="1">
      <alignment wrapText="1"/>
    </xf>
    <xf numFmtId="0" fontId="40" fillId="19" borderId="71" xfId="0" applyFont="1" applyFill="1" applyBorder="1" applyAlignment="1" applyProtection="1">
      <alignment horizontal="center" wrapText="1"/>
    </xf>
    <xf numFmtId="0" fontId="40" fillId="19" borderId="63" xfId="0" applyFont="1" applyFill="1" applyBorder="1" applyAlignment="1" applyProtection="1">
      <alignment horizontal="center" wrapText="1"/>
    </xf>
    <xf numFmtId="165" fontId="76" fillId="3" borderId="76" xfId="0" applyNumberFormat="1" applyFont="1" applyFill="1" applyBorder="1" applyAlignment="1" applyProtection="1">
      <alignment horizontal="center"/>
    </xf>
    <xf numFmtId="0" fontId="76" fillId="3" borderId="0" xfId="0" applyFont="1" applyFill="1" applyBorder="1" applyAlignment="1">
      <alignment vertical="top" wrapText="1"/>
    </xf>
    <xf numFmtId="0" fontId="76" fillId="3" borderId="0" xfId="0" applyNumberFormat="1" applyFont="1" applyFill="1" applyBorder="1" applyAlignment="1" applyProtection="1">
      <alignment horizontal="right"/>
    </xf>
    <xf numFmtId="10" fontId="76" fillId="3" borderId="0" xfId="0" applyNumberFormat="1" applyFont="1" applyFill="1" applyBorder="1" applyAlignment="1" applyProtection="1">
      <alignment horizontal="center"/>
    </xf>
    <xf numFmtId="1" fontId="76" fillId="3" borderId="0" xfId="0" applyNumberFormat="1" applyFont="1" applyFill="1" applyBorder="1" applyAlignment="1" applyProtection="1">
      <alignment horizontal="center"/>
    </xf>
    <xf numFmtId="166" fontId="76" fillId="3" borderId="0" xfId="0" applyNumberFormat="1" applyFont="1" applyFill="1" applyBorder="1" applyAlignment="1" applyProtection="1">
      <alignment horizontal="center" wrapText="1"/>
    </xf>
    <xf numFmtId="1" fontId="76" fillId="3" borderId="0" xfId="0" applyNumberFormat="1" applyFont="1" applyFill="1" applyBorder="1" applyAlignment="1" applyProtection="1">
      <alignment horizontal="center" vertical="center" wrapText="1"/>
    </xf>
    <xf numFmtId="166" fontId="76" fillId="0" borderId="0" xfId="0" applyNumberFormat="1" applyFont="1" applyFill="1" applyBorder="1" applyAlignment="1" applyProtection="1">
      <alignment horizontal="center" wrapText="1"/>
    </xf>
    <xf numFmtId="1" fontId="76" fillId="0" borderId="0" xfId="0" applyNumberFormat="1" applyFont="1" applyFill="1" applyBorder="1" applyAlignment="1" applyProtection="1">
      <alignment horizontal="center" vertical="center" wrapText="1"/>
    </xf>
    <xf numFmtId="165" fontId="76" fillId="3" borderId="0" xfId="1" applyNumberFormat="1" applyFont="1" applyFill="1" applyBorder="1">
      <alignment horizontal="right"/>
    </xf>
    <xf numFmtId="0" fontId="76" fillId="3" borderId="0" xfId="0" applyNumberFormat="1" applyFont="1" applyFill="1" applyBorder="1" applyAlignment="1" applyProtection="1">
      <alignment vertical="top"/>
    </xf>
    <xf numFmtId="165" fontId="76" fillId="3" borderId="0" xfId="1" applyNumberFormat="1" applyFont="1" applyFill="1" applyBorder="1" applyAlignment="1">
      <alignment horizontal="right" vertical="top"/>
    </xf>
    <xf numFmtId="165" fontId="76" fillId="3" borderId="0" xfId="0" applyNumberFormat="1" applyFont="1" applyFill="1" applyBorder="1" applyAlignment="1" applyProtection="1">
      <alignment horizontal="center"/>
    </xf>
    <xf numFmtId="0" fontId="40" fillId="17" borderId="0" xfId="0" applyFont="1" applyFill="1"/>
    <xf numFmtId="165" fontId="74" fillId="17" borderId="0" xfId="1" applyNumberFormat="1" applyFont="1" applyFill="1">
      <alignment horizontal="right"/>
    </xf>
    <xf numFmtId="0" fontId="40" fillId="17" borderId="0" xfId="0" applyFont="1" applyFill="1" applyAlignment="1">
      <alignment horizontal="center"/>
    </xf>
    <xf numFmtId="0" fontId="40" fillId="3" borderId="0" xfId="0" applyFont="1" applyFill="1" applyBorder="1" applyAlignment="1">
      <alignment horizontal="right"/>
    </xf>
    <xf numFmtId="165" fontId="40" fillId="3" borderId="0" xfId="1" applyNumberFormat="1" applyFont="1" applyFill="1" applyBorder="1" applyAlignment="1">
      <alignment horizontal="right" vertical="center"/>
    </xf>
    <xf numFmtId="165" fontId="40" fillId="3" borderId="0" xfId="0" applyNumberFormat="1" applyFont="1" applyFill="1" applyBorder="1"/>
    <xf numFmtId="165" fontId="74" fillId="3" borderId="0" xfId="1" applyNumberFormat="1" applyFont="1" applyFill="1" applyBorder="1" applyAlignment="1">
      <alignment horizontal="right"/>
    </xf>
    <xf numFmtId="0" fontId="40" fillId="3" borderId="72" xfId="0" applyFont="1" applyFill="1" applyBorder="1" applyAlignment="1">
      <alignment horizontal="center"/>
    </xf>
    <xf numFmtId="1" fontId="40" fillId="3" borderId="72" xfId="0" applyNumberFormat="1" applyFont="1" applyFill="1" applyBorder="1" applyAlignment="1">
      <alignment horizontal="center" vertical="center"/>
    </xf>
    <xf numFmtId="0" fontId="40" fillId="17" borderId="72" xfId="0" applyFont="1" applyFill="1" applyBorder="1" applyAlignment="1">
      <alignment horizontal="center"/>
    </xf>
    <xf numFmtId="0" fontId="40" fillId="17" borderId="72" xfId="0" applyFont="1" applyFill="1" applyBorder="1" applyAlignment="1">
      <alignment horizontal="center" vertical="center"/>
    </xf>
    <xf numFmtId="0" fontId="40" fillId="17" borderId="76" xfId="0" applyFont="1" applyFill="1" applyBorder="1"/>
    <xf numFmtId="165" fontId="74" fillId="0" borderId="110" xfId="1" applyNumberFormat="1" applyFont="1" applyBorder="1">
      <alignment horizontal="right"/>
    </xf>
    <xf numFmtId="165" fontId="74" fillId="3" borderId="76" xfId="0" applyNumberFormat="1" applyFont="1" applyFill="1" applyBorder="1"/>
    <xf numFmtId="0" fontId="40" fillId="3" borderId="110" xfId="0" applyFont="1" applyFill="1" applyBorder="1" applyAlignment="1">
      <alignment horizontal="center" vertical="center"/>
    </xf>
    <xf numFmtId="0" fontId="40" fillId="17" borderId="110" xfId="0" applyFont="1" applyFill="1" applyBorder="1"/>
    <xf numFmtId="1" fontId="74" fillId="0" borderId="0" xfId="1" applyNumberFormat="1" applyFont="1" applyAlignment="1">
      <alignment horizontal="center"/>
    </xf>
    <xf numFmtId="165" fontId="74" fillId="3" borderId="0" xfId="0" applyNumberFormat="1" applyFont="1" applyFill="1"/>
    <xf numFmtId="1" fontId="88" fillId="3" borderId="62" xfId="0" applyNumberFormat="1" applyFont="1" applyFill="1" applyBorder="1" applyAlignment="1" applyProtection="1">
      <alignment horizontal="center" vertical="center"/>
    </xf>
    <xf numFmtId="0" fontId="43" fillId="4" borderId="91" xfId="0" applyFont="1" applyFill="1" applyBorder="1" applyAlignment="1" applyProtection="1">
      <alignment horizontal="center" vertical="center" wrapText="1"/>
    </xf>
    <xf numFmtId="165" fontId="76" fillId="3" borderId="74" xfId="0" applyNumberFormat="1" applyFont="1" applyFill="1" applyBorder="1" applyAlignment="1" applyProtection="1">
      <alignment horizontal="center"/>
    </xf>
    <xf numFmtId="166" fontId="76" fillId="3" borderId="0" xfId="1" applyNumberFormat="1" applyFont="1" applyFill="1" applyBorder="1" applyAlignment="1" applyProtection="1">
      <alignment horizontal="left" vertical="center"/>
    </xf>
    <xf numFmtId="165" fontId="76" fillId="3" borderId="0" xfId="1" applyNumberFormat="1" applyFont="1" applyFill="1" applyBorder="1" applyProtection="1">
      <alignment horizontal="right"/>
    </xf>
    <xf numFmtId="171" fontId="76" fillId="3" borderId="0" xfId="3" applyNumberFormat="1" applyFont="1" applyFill="1" applyBorder="1" applyProtection="1"/>
    <xf numFmtId="171" fontId="76" fillId="3" borderId="0" xfId="3" applyNumberFormat="1" applyFont="1" applyFill="1" applyBorder="1" applyAlignment="1" applyProtection="1"/>
    <xf numFmtId="165" fontId="76" fillId="3" borderId="0" xfId="0" applyNumberFormat="1" applyFont="1" applyFill="1" applyBorder="1"/>
    <xf numFmtId="166" fontId="76" fillId="3" borderId="60" xfId="1" applyNumberFormat="1" applyFont="1" applyFill="1" applyBorder="1" applyAlignment="1" applyProtection="1">
      <alignment horizontal="left" vertical="center"/>
    </xf>
    <xf numFmtId="165" fontId="76" fillId="3" borderId="60" xfId="1" applyNumberFormat="1" applyFont="1" applyFill="1" applyBorder="1" applyAlignment="1" applyProtection="1">
      <alignment horizontal="right" vertical="center"/>
    </xf>
    <xf numFmtId="165" fontId="76" fillId="3" borderId="60" xfId="1" applyNumberFormat="1" applyFont="1" applyFill="1" applyBorder="1" applyProtection="1">
      <alignment horizontal="right"/>
    </xf>
    <xf numFmtId="165" fontId="76" fillId="3" borderId="60" xfId="1" applyNumberFormat="1" applyFont="1" applyFill="1" applyBorder="1" applyAlignment="1" applyProtection="1"/>
    <xf numFmtId="171" fontId="76" fillId="3" borderId="60" xfId="3" applyNumberFormat="1" applyFont="1" applyFill="1" applyBorder="1" applyProtection="1"/>
    <xf numFmtId="171" fontId="76" fillId="3" borderId="60" xfId="3" applyNumberFormat="1" applyFont="1" applyFill="1" applyBorder="1" applyAlignment="1" applyProtection="1"/>
    <xf numFmtId="165" fontId="76" fillId="3" borderId="60" xfId="1" applyNumberFormat="1" applyFont="1" applyFill="1" applyBorder="1">
      <alignment horizontal="right"/>
    </xf>
    <xf numFmtId="165" fontId="76" fillId="3" borderId="60" xfId="0" applyNumberFormat="1" applyFont="1" applyFill="1" applyBorder="1"/>
    <xf numFmtId="165" fontId="76" fillId="3" borderId="60" xfId="0" applyNumberFormat="1" applyFont="1" applyFill="1" applyBorder="1" applyAlignment="1" applyProtection="1">
      <alignment horizontal="center"/>
    </xf>
    <xf numFmtId="0" fontId="69" fillId="3" borderId="0" xfId="0" applyNumberFormat="1" applyFont="1" applyFill="1" applyBorder="1" applyAlignment="1" applyProtection="1">
      <alignment horizontal="center" vertical="center"/>
    </xf>
    <xf numFmtId="0" fontId="69" fillId="3" borderId="0" xfId="0" applyNumberFormat="1" applyFont="1" applyFill="1" applyBorder="1" applyAlignment="1" applyProtection="1">
      <alignment horizontal="right"/>
    </xf>
    <xf numFmtId="0" fontId="69" fillId="3" borderId="0" xfId="0" applyNumberFormat="1" applyFont="1" applyFill="1" applyBorder="1" applyAlignment="1" applyProtection="1">
      <alignment horizontal="center" vertical="center" wrapText="1"/>
    </xf>
    <xf numFmtId="0" fontId="73" fillId="3" borderId="0" xfId="0" applyNumberFormat="1" applyFont="1" applyFill="1" applyBorder="1" applyAlignment="1" applyProtection="1"/>
    <xf numFmtId="1" fontId="69" fillId="3" borderId="0" xfId="0" applyNumberFormat="1" applyFont="1" applyFill="1" applyBorder="1" applyAlignment="1" applyProtection="1">
      <alignment wrapText="1"/>
    </xf>
    <xf numFmtId="1" fontId="69" fillId="3" borderId="0" xfId="0" applyNumberFormat="1" applyFont="1" applyFill="1" applyBorder="1" applyAlignment="1" applyProtection="1">
      <alignment horizontal="center" vertical="center" wrapText="1"/>
    </xf>
    <xf numFmtId="0" fontId="69" fillId="3" borderId="0" xfId="0" applyNumberFormat="1" applyFont="1" applyFill="1" applyBorder="1" applyAlignment="1" applyProtection="1">
      <alignment wrapText="1"/>
    </xf>
    <xf numFmtId="1" fontId="69" fillId="0" borderId="0" xfId="0" applyNumberFormat="1" applyFont="1" applyFill="1" applyBorder="1" applyAlignment="1" applyProtection="1">
      <alignment wrapText="1"/>
    </xf>
    <xf numFmtId="0" fontId="69" fillId="0" borderId="0" xfId="0" applyNumberFormat="1" applyFont="1" applyFill="1" applyBorder="1" applyAlignment="1" applyProtection="1">
      <alignment horizontal="center" vertical="center" wrapText="1"/>
    </xf>
    <xf numFmtId="6" fontId="69" fillId="3" borderId="0" xfId="0" applyNumberFormat="1" applyFont="1" applyFill="1" applyBorder="1" applyAlignment="1" applyProtection="1"/>
    <xf numFmtId="6" fontId="69" fillId="3" borderId="0" xfId="0" applyNumberFormat="1" applyFont="1" applyFill="1" applyBorder="1" applyAlignment="1" applyProtection="1">
      <alignment horizontal="center" vertical="center"/>
    </xf>
    <xf numFmtId="165" fontId="73" fillId="3" borderId="0" xfId="1" applyNumberFormat="1" applyFont="1" applyFill="1" applyBorder="1" applyAlignment="1">
      <alignment horizontal="center" vertical="center"/>
    </xf>
    <xf numFmtId="1" fontId="69" fillId="3" borderId="0" xfId="0" applyNumberFormat="1" applyFont="1" applyFill="1" applyBorder="1" applyAlignment="1" applyProtection="1">
      <alignment horizontal="center" vertical="center"/>
    </xf>
    <xf numFmtId="165" fontId="69" fillId="3" borderId="0" xfId="0" applyNumberFormat="1" applyFont="1" applyFill="1" applyBorder="1" applyAlignment="1" applyProtection="1">
      <alignment horizontal="center" vertical="center"/>
    </xf>
    <xf numFmtId="165" fontId="69" fillId="3" borderId="0" xfId="1" applyNumberFormat="1" applyFont="1" applyFill="1" applyBorder="1" applyAlignment="1" applyProtection="1">
      <alignment horizontal="center" vertical="center"/>
    </xf>
    <xf numFmtId="10" fontId="69" fillId="3" borderId="0" xfId="3" applyNumberFormat="1" applyFont="1" applyFill="1" applyBorder="1" applyAlignment="1" applyProtection="1">
      <alignment horizontal="center" vertical="center"/>
    </xf>
    <xf numFmtId="166" fontId="69" fillId="3" borderId="0" xfId="1" applyFont="1" applyFill="1" applyBorder="1" applyAlignment="1">
      <alignment horizontal="center" vertical="center"/>
    </xf>
    <xf numFmtId="166" fontId="69" fillId="3" borderId="0" xfId="0" applyNumberFormat="1" applyFont="1" applyFill="1" applyBorder="1" applyAlignment="1" applyProtection="1"/>
    <xf numFmtId="165" fontId="69" fillId="3" borderId="0" xfId="1" applyNumberFormat="1" applyFont="1" applyFill="1" applyBorder="1">
      <alignment horizontal="right"/>
    </xf>
    <xf numFmtId="165" fontId="69" fillId="3" borderId="0" xfId="0" applyNumberFormat="1" applyFont="1" applyFill="1" applyBorder="1" applyAlignment="1" applyProtection="1"/>
    <xf numFmtId="0" fontId="69" fillId="3" borderId="0" xfId="0" applyNumberFormat="1" applyFont="1" applyFill="1" applyBorder="1" applyAlignment="1" applyProtection="1">
      <alignment vertical="top"/>
    </xf>
    <xf numFmtId="165" fontId="69" fillId="3" borderId="0" xfId="0" applyNumberFormat="1" applyFont="1" applyFill="1" applyBorder="1" applyAlignment="1" applyProtection="1">
      <alignment horizontal="center" vertical="top"/>
    </xf>
    <xf numFmtId="10" fontId="69" fillId="3" borderId="0" xfId="3" applyNumberFormat="1" applyFont="1" applyFill="1" applyBorder="1" applyAlignment="1" applyProtection="1">
      <alignment horizontal="center" vertical="top"/>
    </xf>
    <xf numFmtId="166" fontId="69" fillId="3" borderId="0" xfId="1" applyFont="1" applyFill="1" applyBorder="1" applyAlignment="1">
      <alignment horizontal="center" vertical="top"/>
    </xf>
    <xf numFmtId="165" fontId="69" fillId="3" borderId="0" xfId="1" applyNumberFormat="1" applyFont="1" applyFill="1" applyBorder="1" applyAlignment="1">
      <alignment horizontal="right" vertical="top"/>
    </xf>
    <xf numFmtId="166" fontId="69" fillId="3" borderId="0" xfId="0" applyNumberFormat="1" applyFont="1" applyFill="1" applyBorder="1" applyAlignment="1" applyProtection="1">
      <alignment horizontal="right"/>
    </xf>
    <xf numFmtId="1" fontId="52" fillId="17" borderId="60" xfId="0" applyNumberFormat="1" applyFont="1" applyFill="1" applyBorder="1" applyAlignment="1" applyProtection="1">
      <alignment horizontal="center" vertical="center"/>
    </xf>
    <xf numFmtId="0" fontId="98" fillId="3" borderId="0" xfId="0" applyFont="1" applyFill="1" applyBorder="1" applyAlignment="1" applyProtection="1">
      <alignment horizontal="center" vertical="top" wrapText="1"/>
    </xf>
    <xf numFmtId="0" fontId="103" fillId="3" borderId="0" xfId="0" applyFont="1" applyFill="1" applyAlignment="1" applyProtection="1">
      <alignment horizontal="center" vertical="top" wrapText="1"/>
    </xf>
    <xf numFmtId="0" fontId="103" fillId="3" borderId="0" xfId="0" applyFont="1" applyFill="1" applyAlignment="1" applyProtection="1">
      <alignment horizontal="center" wrapText="1"/>
    </xf>
    <xf numFmtId="0" fontId="39" fillId="4" borderId="0" xfId="0" applyFont="1" applyFill="1" applyBorder="1" applyAlignment="1" applyProtection="1">
      <alignment horizontal="center" vertical="center"/>
    </xf>
    <xf numFmtId="0" fontId="69" fillId="3" borderId="0" xfId="0" applyNumberFormat="1" applyFont="1" applyFill="1" applyBorder="1" applyAlignment="1" applyProtection="1">
      <alignment horizontal="center"/>
    </xf>
    <xf numFmtId="0" fontId="69" fillId="0" borderId="0" xfId="0" applyNumberFormat="1" applyFont="1" applyFill="1" applyBorder="1" applyAlignment="1" applyProtection="1"/>
    <xf numFmtId="0" fontId="69" fillId="0" borderId="0" xfId="0" applyNumberFormat="1" applyFont="1" applyFill="1" applyBorder="1" applyAlignment="1" applyProtection="1">
      <alignment vertical="center"/>
    </xf>
    <xf numFmtId="0" fontId="69" fillId="3" borderId="0" xfId="0" applyNumberFormat="1" applyFont="1" applyFill="1" applyBorder="1" applyAlignment="1" applyProtection="1">
      <alignment horizontal="right" vertical="center"/>
    </xf>
    <xf numFmtId="0" fontId="69" fillId="0" borderId="0" xfId="0" applyNumberFormat="1" applyFont="1" applyFill="1" applyBorder="1" applyAlignment="1" applyProtection="1">
      <alignment horizontal="center" wrapText="1"/>
    </xf>
    <xf numFmtId="165" fontId="106" fillId="3" borderId="0" xfId="1" applyNumberFormat="1" applyFont="1" applyFill="1" applyBorder="1">
      <alignment horizontal="right"/>
    </xf>
    <xf numFmtId="1" fontId="106" fillId="3" borderId="0" xfId="0" applyNumberFormat="1" applyFont="1" applyFill="1" applyBorder="1" applyAlignment="1" applyProtection="1">
      <alignment horizontal="center" vertical="center"/>
    </xf>
    <xf numFmtId="0" fontId="106" fillId="3" borderId="0" xfId="0" applyNumberFormat="1" applyFont="1" applyFill="1" applyBorder="1" applyAlignment="1" applyProtection="1">
      <alignment horizontal="center"/>
    </xf>
    <xf numFmtId="165" fontId="69" fillId="0" borderId="0" xfId="1" applyNumberFormat="1" applyFont="1">
      <alignment horizontal="right"/>
    </xf>
    <xf numFmtId="0" fontId="106" fillId="0" borderId="0" xfId="0" applyNumberFormat="1" applyFont="1" applyFill="1" applyBorder="1" applyAlignment="1" applyProtection="1"/>
    <xf numFmtId="165" fontId="69" fillId="0" borderId="0" xfId="1" applyNumberFormat="1" applyFont="1" applyBorder="1">
      <alignment horizontal="right"/>
    </xf>
    <xf numFmtId="165" fontId="69" fillId="3" borderId="0" xfId="0" applyNumberFormat="1" applyFont="1" applyFill="1" applyBorder="1" applyAlignment="1" applyProtection="1">
      <alignment horizontal="right" vertical="center"/>
    </xf>
    <xf numFmtId="0" fontId="101" fillId="3" borderId="0" xfId="0" applyNumberFormat="1" applyFont="1" applyFill="1" applyBorder="1" applyAlignment="1" applyProtection="1"/>
    <xf numFmtId="0" fontId="38" fillId="14" borderId="48" xfId="0" applyNumberFormat="1" applyFont="1" applyFill="1" applyBorder="1" applyAlignment="1" applyProtection="1">
      <protection locked="0"/>
    </xf>
    <xf numFmtId="0" fontId="38" fillId="3" borderId="0" xfId="0" applyFont="1" applyFill="1"/>
    <xf numFmtId="165" fontId="74" fillId="0" borderId="46" xfId="1" applyNumberFormat="1" applyFont="1" applyBorder="1" applyAlignment="1" applyProtection="1">
      <alignment horizontal="right" indent="1"/>
      <protection locked="0"/>
    </xf>
    <xf numFmtId="0" fontId="76" fillId="3" borderId="0" xfId="0" applyFont="1" applyFill="1" applyBorder="1" applyAlignment="1" applyProtection="1">
      <alignment horizontal="center"/>
    </xf>
    <xf numFmtId="0" fontId="76" fillId="3" borderId="0" xfId="0" applyFont="1" applyFill="1" applyBorder="1" applyAlignment="1" applyProtection="1">
      <alignment horizontal="left" vertical="center" indent="1"/>
    </xf>
    <xf numFmtId="0" fontId="76" fillId="3" borderId="0" xfId="304" applyFont="1" applyFill="1" applyBorder="1" applyAlignment="1" applyProtection="1">
      <alignment horizontal="left" vertical="center" indent="1"/>
    </xf>
    <xf numFmtId="0" fontId="76" fillId="3" borderId="0" xfId="305" applyFont="1" applyFill="1" applyBorder="1" applyAlignment="1" applyProtection="1">
      <alignment horizontal="left" vertical="center" indent="1"/>
    </xf>
    <xf numFmtId="0" fontId="36" fillId="3" borderId="0" xfId="0" applyFont="1" applyFill="1" applyAlignment="1">
      <alignment horizontal="center"/>
    </xf>
    <xf numFmtId="0" fontId="91" fillId="3" borderId="0" xfId="0" applyFont="1" applyFill="1" applyAlignment="1">
      <alignment horizontal="center"/>
    </xf>
    <xf numFmtId="0" fontId="69" fillId="3" borderId="0" xfId="0" applyFont="1" applyFill="1" applyAlignment="1" applyProtection="1">
      <alignment horizontal="right" indent="2"/>
    </xf>
    <xf numFmtId="0" fontId="105" fillId="3" borderId="0" xfId="0" applyFont="1" applyFill="1" applyProtection="1">
      <protection locked="0"/>
    </xf>
    <xf numFmtId="0" fontId="64" fillId="3" borderId="0" xfId="2" applyFont="1" applyFill="1" applyAlignment="1" applyProtection="1"/>
    <xf numFmtId="0" fontId="74" fillId="3" borderId="0" xfId="0" applyFont="1" applyFill="1" applyAlignment="1" applyProtection="1">
      <alignment horizontal="right" indent="1"/>
    </xf>
    <xf numFmtId="0" fontId="64" fillId="3" borderId="0" xfId="2" applyFont="1" applyFill="1" applyAlignment="1" applyProtection="1">
      <alignment vertical="center"/>
    </xf>
    <xf numFmtId="0" fontId="74" fillId="3" borderId="0" xfId="0" applyFont="1" applyFill="1" applyAlignment="1" applyProtection="1">
      <alignment horizontal="right" vertical="center" indent="1"/>
    </xf>
    <xf numFmtId="0" fontId="52" fillId="3" borderId="0" xfId="0" applyFont="1" applyFill="1" applyBorder="1" applyAlignment="1">
      <alignment horizontal="left" wrapText="1"/>
    </xf>
    <xf numFmtId="0" fontId="52" fillId="3" borderId="0" xfId="0" applyFont="1" applyFill="1" applyBorder="1" applyAlignment="1">
      <alignment horizontal="left"/>
    </xf>
    <xf numFmtId="0" fontId="115" fillId="3" borderId="0" xfId="0" applyFont="1" applyFill="1" applyBorder="1" applyAlignment="1" applyProtection="1">
      <protection locked="0"/>
    </xf>
    <xf numFmtId="0" fontId="44" fillId="3" borderId="0" xfId="0" applyFont="1" applyFill="1" applyBorder="1" applyAlignment="1" applyProtection="1">
      <alignment horizontal="left" vertical="center"/>
    </xf>
    <xf numFmtId="10" fontId="45" fillId="3" borderId="0" xfId="3" applyNumberFormat="1" applyFont="1" applyFill="1" applyProtection="1">
      <protection locked="0"/>
    </xf>
    <xf numFmtId="0" fontId="44" fillId="26" borderId="45" xfId="0" applyFont="1" applyFill="1" applyBorder="1" applyAlignment="1" applyProtection="1">
      <alignment horizontal="center" vertical="center" wrapText="1"/>
    </xf>
    <xf numFmtId="0" fontId="34" fillId="26" borderId="0" xfId="0" applyFont="1" applyFill="1" applyBorder="1" applyAlignment="1" applyProtection="1">
      <alignment horizontal="center" vertical="center"/>
    </xf>
    <xf numFmtId="0" fontId="34" fillId="26" borderId="0" xfId="0" applyFont="1" applyFill="1" applyBorder="1" applyAlignment="1" applyProtection="1">
      <alignment horizontal="left" vertical="center"/>
    </xf>
    <xf numFmtId="0" fontId="74" fillId="27" borderId="122" xfId="0" applyFont="1" applyFill="1" applyBorder="1" applyAlignment="1">
      <alignment horizontal="center"/>
    </xf>
    <xf numFmtId="0" fontId="74" fillId="27" borderId="123" xfId="0" applyFont="1" applyFill="1" applyBorder="1" applyAlignment="1">
      <alignment horizontal="center"/>
    </xf>
    <xf numFmtId="0" fontId="74" fillId="27" borderId="124" xfId="0" applyFont="1" applyFill="1" applyBorder="1" applyAlignment="1">
      <alignment horizontal="center"/>
    </xf>
    <xf numFmtId="0" fontId="74" fillId="3" borderId="0" xfId="0" applyFont="1" applyFill="1"/>
    <xf numFmtId="0" fontId="76" fillId="3" borderId="0" xfId="0" applyFont="1" applyFill="1" applyBorder="1" applyAlignment="1" applyProtection="1">
      <alignment horizontal="center" vertical="center" wrapText="1"/>
    </xf>
    <xf numFmtId="0" fontId="55" fillId="17" borderId="0" xfId="0" applyFont="1" applyFill="1" applyBorder="1" applyAlignment="1">
      <alignment vertical="center"/>
    </xf>
    <xf numFmtId="0" fontId="76" fillId="4" borderId="0" xfId="0" applyFont="1" applyFill="1" applyBorder="1" applyAlignment="1">
      <alignment horizontal="center" vertical="center"/>
    </xf>
    <xf numFmtId="0" fontId="55" fillId="3" borderId="0" xfId="0" applyFont="1" applyFill="1" applyBorder="1" applyAlignment="1">
      <alignment vertical="center"/>
    </xf>
    <xf numFmtId="0" fontId="33" fillId="14" borderId="48" xfId="0" applyNumberFormat="1" applyFont="1" applyFill="1" applyBorder="1" applyAlignment="1" applyProtection="1">
      <protection locked="0"/>
    </xf>
    <xf numFmtId="0" fontId="33" fillId="14" borderId="48" xfId="0" applyFont="1" applyFill="1" applyBorder="1" applyAlignment="1" applyProtection="1">
      <alignment horizontal="center"/>
      <protection locked="0"/>
    </xf>
    <xf numFmtId="164" fontId="69" fillId="3" borderId="0" xfId="0" applyNumberFormat="1" applyFont="1" applyFill="1" applyBorder="1" applyAlignment="1" applyProtection="1"/>
    <xf numFmtId="171" fontId="69" fillId="3" borderId="0" xfId="3" applyNumberFormat="1" applyFont="1" applyFill="1" applyBorder="1" applyAlignment="1" applyProtection="1"/>
    <xf numFmtId="175" fontId="69" fillId="3" borderId="0" xfId="0" applyNumberFormat="1" applyFont="1" applyFill="1" applyBorder="1" applyAlignment="1" applyProtection="1"/>
    <xf numFmtId="0" fontId="33" fillId="14" borderId="64" xfId="0" applyNumberFormat="1" applyFont="1" applyFill="1" applyBorder="1" applyAlignment="1" applyProtection="1"/>
    <xf numFmtId="171" fontId="91" fillId="3" borderId="109" xfId="3" applyNumberFormat="1" applyFont="1" applyFill="1" applyBorder="1" applyAlignment="1" applyProtection="1">
      <alignment horizontal="center"/>
    </xf>
    <xf numFmtId="166" fontId="69" fillId="3" borderId="0" xfId="0" applyNumberFormat="1" applyFont="1" applyFill="1" applyBorder="1" applyAlignment="1" applyProtection="1">
      <alignment vertical="center"/>
    </xf>
    <xf numFmtId="0" fontId="76" fillId="4" borderId="37" xfId="0" applyFont="1" applyFill="1" applyBorder="1" applyAlignment="1">
      <alignment horizontal="center" vertical="center"/>
    </xf>
    <xf numFmtId="0" fontId="76" fillId="4" borderId="0" xfId="0" applyFont="1" applyFill="1" applyBorder="1"/>
    <xf numFmtId="0" fontId="76" fillId="4" borderId="41" xfId="0" applyFont="1" applyFill="1" applyBorder="1" applyAlignment="1">
      <alignment horizontal="center"/>
    </xf>
    <xf numFmtId="1" fontId="76" fillId="4" borderId="0" xfId="0" applyNumberFormat="1" applyFont="1" applyFill="1" applyBorder="1" applyAlignment="1">
      <alignment horizontal="center" vertical="center"/>
    </xf>
    <xf numFmtId="0" fontId="76" fillId="4" borderId="41" xfId="0" applyFont="1" applyFill="1" applyBorder="1" applyAlignment="1">
      <alignment horizontal="center" vertical="center"/>
    </xf>
    <xf numFmtId="165" fontId="77" fillId="4" borderId="0" xfId="0" applyNumberFormat="1" applyFont="1" applyFill="1" applyBorder="1" applyAlignment="1">
      <alignment horizontal="center" vertical="center"/>
    </xf>
    <xf numFmtId="0" fontId="76" fillId="0" borderId="0" xfId="0" applyFont="1" applyFill="1" applyBorder="1" applyAlignment="1">
      <alignment vertical="center"/>
    </xf>
    <xf numFmtId="165" fontId="76" fillId="3" borderId="76" xfId="0" applyNumberFormat="1" applyFont="1" applyFill="1" applyBorder="1" applyAlignment="1">
      <alignment horizontal="center" vertical="center"/>
    </xf>
    <xf numFmtId="171" fontId="76" fillId="3" borderId="76" xfId="3" applyNumberFormat="1" applyFont="1" applyFill="1" applyBorder="1" applyAlignment="1" applyProtection="1">
      <alignment horizontal="center" vertical="center"/>
    </xf>
    <xf numFmtId="165" fontId="76" fillId="3" borderId="76" xfId="3" applyNumberFormat="1" applyFont="1" applyFill="1" applyBorder="1" applyAlignment="1">
      <alignment horizontal="center" vertical="center"/>
    </xf>
    <xf numFmtId="165" fontId="76" fillId="3" borderId="74" xfId="1" applyNumberFormat="1" applyFont="1" applyFill="1" applyBorder="1" applyAlignment="1">
      <alignment horizontal="center" vertical="center"/>
    </xf>
    <xf numFmtId="171" fontId="76" fillId="3" borderId="74" xfId="3" applyNumberFormat="1" applyFont="1" applyFill="1" applyBorder="1" applyAlignment="1" applyProtection="1">
      <alignment horizontal="center" vertical="center"/>
    </xf>
    <xf numFmtId="166" fontId="76" fillId="3" borderId="74" xfId="0" applyNumberFormat="1" applyFont="1" applyFill="1" applyBorder="1" applyAlignment="1" applyProtection="1">
      <alignment horizontal="center" vertical="center"/>
    </xf>
    <xf numFmtId="9" fontId="45" fillId="3" borderId="76" xfId="0" applyNumberFormat="1" applyFont="1" applyFill="1" applyBorder="1" applyAlignment="1" applyProtection="1">
      <alignment horizontal="left" vertical="center"/>
      <protection locked="0"/>
    </xf>
    <xf numFmtId="0" fontId="45" fillId="3" borderId="76" xfId="0" applyFont="1" applyFill="1" applyBorder="1" applyAlignment="1" applyProtection="1">
      <alignment horizontal="center" vertical="center"/>
      <protection locked="0"/>
    </xf>
    <xf numFmtId="0" fontId="45" fillId="3" borderId="76" xfId="0" applyFont="1" applyFill="1" applyBorder="1" applyAlignment="1" applyProtection="1">
      <alignment horizontal="left" vertical="center"/>
      <protection locked="0"/>
    </xf>
    <xf numFmtId="0" fontId="45" fillId="3" borderId="76" xfId="0" applyFont="1" applyFill="1" applyBorder="1" applyAlignment="1" applyProtection="1">
      <alignment horizontal="center" vertical="center"/>
    </xf>
    <xf numFmtId="165" fontId="74" fillId="3" borderId="76" xfId="1" applyNumberFormat="1" applyFont="1" applyFill="1" applyBorder="1" applyAlignment="1" applyProtection="1">
      <alignment vertical="center"/>
      <protection locked="0"/>
    </xf>
    <xf numFmtId="0" fontId="33" fillId="3" borderId="76" xfId="0" applyFont="1" applyFill="1" applyBorder="1" applyAlignment="1" applyProtection="1">
      <alignment horizontal="center" vertical="center"/>
    </xf>
    <xf numFmtId="0" fontId="74" fillId="3" borderId="76" xfId="0" applyFont="1" applyFill="1" applyBorder="1" applyAlignment="1" applyProtection="1">
      <protection locked="0"/>
    </xf>
    <xf numFmtId="0" fontId="40" fillId="3" borderId="76" xfId="0" applyFont="1" applyFill="1" applyBorder="1" applyAlignment="1" applyProtection="1">
      <alignment horizontal="center" vertical="center"/>
    </xf>
    <xf numFmtId="0" fontId="45" fillId="3" borderId="76" xfId="0" applyFont="1" applyFill="1" applyBorder="1" applyAlignment="1" applyProtection="1">
      <alignment horizontal="left" vertical="center"/>
    </xf>
    <xf numFmtId="0" fontId="44" fillId="26" borderId="74" xfId="0" applyFont="1" applyFill="1" applyBorder="1" applyAlignment="1" applyProtection="1">
      <alignment horizontal="center" vertical="center"/>
    </xf>
    <xf numFmtId="0" fontId="44" fillId="26" borderId="71" xfId="0" applyFont="1" applyFill="1" applyBorder="1" applyAlignment="1" applyProtection="1">
      <alignment horizontal="center" vertical="center" wrapText="1"/>
    </xf>
    <xf numFmtId="0" fontId="34" fillId="26" borderId="76" xfId="0" applyFont="1" applyFill="1" applyBorder="1" applyAlignment="1" applyProtection="1">
      <alignment horizontal="center" vertical="center"/>
    </xf>
    <xf numFmtId="0" fontId="83" fillId="3" borderId="76" xfId="0" applyFont="1" applyFill="1" applyBorder="1" applyAlignment="1" applyProtection="1">
      <alignment horizontal="center"/>
      <protection locked="0"/>
    </xf>
    <xf numFmtId="0" fontId="44" fillId="26" borderId="125" xfId="0" applyFont="1" applyFill="1" applyBorder="1" applyAlignment="1" applyProtection="1">
      <alignment horizontal="center" vertical="center" wrapText="1"/>
    </xf>
    <xf numFmtId="0" fontId="44" fillId="26" borderId="125" xfId="0" applyFont="1" applyFill="1" applyBorder="1" applyAlignment="1" applyProtection="1">
      <alignment horizontal="center" vertical="center"/>
    </xf>
    <xf numFmtId="0" fontId="34" fillId="26" borderId="125" xfId="0" applyFont="1" applyFill="1" applyBorder="1" applyAlignment="1" applyProtection="1">
      <alignment horizontal="center" vertical="center" wrapText="1"/>
    </xf>
    <xf numFmtId="0" fontId="45" fillId="2" borderId="76" xfId="0" applyFont="1" applyFill="1" applyBorder="1" applyAlignment="1" applyProtection="1">
      <alignment vertical="center"/>
    </xf>
    <xf numFmtId="0" fontId="45" fillId="3" borderId="76" xfId="0" applyFont="1" applyFill="1" applyBorder="1" applyAlignment="1" applyProtection="1">
      <alignment horizontal="center"/>
      <protection locked="0"/>
    </xf>
    <xf numFmtId="0" fontId="45" fillId="3" borderId="76" xfId="0" applyFont="1" applyFill="1" applyBorder="1" applyAlignment="1" applyProtection="1">
      <alignment horizontal="center"/>
    </xf>
    <xf numFmtId="0" fontId="45" fillId="3" borderId="76" xfId="2" applyFont="1" applyFill="1" applyBorder="1" applyAlignment="1" applyProtection="1">
      <alignment horizontal="center"/>
      <protection locked="0"/>
    </xf>
    <xf numFmtId="0" fontId="45" fillId="2" borderId="76" xfId="0" applyFont="1" applyFill="1" applyBorder="1" applyAlignment="1" applyProtection="1">
      <alignment horizontal="left" vertical="center"/>
    </xf>
    <xf numFmtId="0" fontId="34" fillId="3" borderId="76" xfId="0" applyFont="1" applyFill="1" applyBorder="1" applyAlignment="1" applyProtection="1">
      <alignment horizontal="center"/>
    </xf>
    <xf numFmtId="0" fontId="45" fillId="2" borderId="76" xfId="0" applyFont="1" applyFill="1" applyBorder="1" applyAlignment="1" applyProtection="1">
      <alignment horizontal="left"/>
    </xf>
    <xf numFmtId="0" fontId="35" fillId="2" borderId="76" xfId="0" applyFont="1" applyFill="1" applyBorder="1" applyAlignment="1" applyProtection="1">
      <alignment horizontal="left" vertical="center"/>
    </xf>
    <xf numFmtId="0" fontId="35" fillId="3" borderId="76" xfId="0" applyFont="1" applyFill="1" applyBorder="1" applyAlignment="1" applyProtection="1">
      <alignment horizontal="center"/>
    </xf>
    <xf numFmtId="0" fontId="35" fillId="3" borderId="76" xfId="0" applyFont="1" applyFill="1" applyBorder="1" applyAlignment="1" applyProtection="1">
      <alignment horizontal="center" vertical="center"/>
    </xf>
    <xf numFmtId="0" fontId="69" fillId="26" borderId="128" xfId="0" applyFont="1" applyFill="1" applyBorder="1" applyAlignment="1" applyProtection="1">
      <alignment horizontal="center"/>
    </xf>
    <xf numFmtId="0" fontId="69" fillId="26" borderId="124" xfId="0" applyFont="1" applyFill="1" applyBorder="1" applyAlignment="1" applyProtection="1">
      <alignment horizontal="center"/>
    </xf>
    <xf numFmtId="9" fontId="45" fillId="3" borderId="124" xfId="3" applyFont="1" applyFill="1" applyBorder="1" applyProtection="1">
      <protection locked="0"/>
    </xf>
    <xf numFmtId="0" fontId="69" fillId="26" borderId="76" xfId="0" applyFont="1" applyFill="1" applyBorder="1" applyAlignment="1" applyProtection="1">
      <alignment horizontal="center" vertical="center"/>
    </xf>
    <xf numFmtId="0" fontId="45" fillId="2" borderId="76" xfId="0" applyFont="1" applyFill="1" applyBorder="1" applyAlignment="1" applyProtection="1">
      <alignment horizontal="center" vertical="center"/>
    </xf>
    <xf numFmtId="0" fontId="33" fillId="3" borderId="76" xfId="0" applyFont="1" applyFill="1" applyBorder="1" applyAlignment="1" applyProtection="1">
      <alignment horizontal="center" vertical="center"/>
      <protection locked="0"/>
    </xf>
    <xf numFmtId="0" fontId="37" fillId="3" borderId="76" xfId="0" applyFont="1" applyFill="1" applyBorder="1" applyAlignment="1" applyProtection="1">
      <alignment horizontal="center" vertical="center"/>
      <protection locked="0"/>
    </xf>
    <xf numFmtId="0" fontId="34" fillId="26" borderId="61" xfId="0" applyFont="1" applyFill="1" applyBorder="1" applyAlignment="1" applyProtection="1">
      <alignment horizontal="left" vertical="center"/>
    </xf>
    <xf numFmtId="0" fontId="34" fillId="26" borderId="60" xfId="0" applyFont="1" applyFill="1" applyBorder="1" applyAlignment="1" applyProtection="1">
      <alignment horizontal="center" vertical="center"/>
    </xf>
    <xf numFmtId="0" fontId="34" fillId="26" borderId="75" xfId="0" applyFont="1" applyFill="1" applyBorder="1" applyAlignment="1" applyProtection="1">
      <alignment horizontal="center" vertical="center"/>
    </xf>
    <xf numFmtId="0" fontId="34" fillId="26" borderId="65" xfId="0" applyFont="1" applyFill="1" applyBorder="1" applyAlignment="1" applyProtection="1">
      <alignment horizontal="left" vertical="center"/>
    </xf>
    <xf numFmtId="0" fontId="34" fillId="26" borderId="73" xfId="0" applyFont="1" applyFill="1" applyBorder="1" applyAlignment="1" applyProtection="1">
      <alignment horizontal="center" vertical="center"/>
    </xf>
    <xf numFmtId="0" fontId="34" fillId="26" borderId="65" xfId="0" applyFont="1" applyFill="1" applyBorder="1" applyAlignment="1" applyProtection="1">
      <alignment horizontal="left" vertical="top"/>
    </xf>
    <xf numFmtId="0" fontId="34" fillId="26" borderId="73" xfId="0" applyFont="1" applyFill="1" applyBorder="1" applyAlignment="1" applyProtection="1">
      <alignment horizontal="left" vertical="center"/>
    </xf>
    <xf numFmtId="0" fontId="34" fillId="26" borderId="62" xfId="0" applyFont="1" applyFill="1" applyBorder="1" applyAlignment="1" applyProtection="1">
      <alignment horizontal="left" vertical="center"/>
    </xf>
    <xf numFmtId="0" fontId="34" fillId="26" borderId="63" xfId="0" applyFont="1" applyFill="1" applyBorder="1" applyAlignment="1" applyProtection="1">
      <alignment horizontal="left" vertical="center"/>
    </xf>
    <xf numFmtId="0" fontId="83" fillId="26" borderId="61" xfId="0" applyFont="1" applyFill="1" applyBorder="1" applyAlignment="1" applyProtection="1">
      <alignment vertical="center"/>
    </xf>
    <xf numFmtId="0" fontId="44" fillId="26" borderId="75" xfId="0" applyFont="1" applyFill="1" applyBorder="1" applyAlignment="1" applyProtection="1">
      <alignment horizontal="center" vertical="center"/>
    </xf>
    <xf numFmtId="0" fontId="44" fillId="26" borderId="70" xfId="0" applyFont="1" applyFill="1" applyBorder="1" applyAlignment="1" applyProtection="1">
      <alignment horizontal="center" vertical="center"/>
    </xf>
    <xf numFmtId="0" fontId="44" fillId="26" borderId="63" xfId="0" applyFont="1" applyFill="1" applyBorder="1" applyAlignment="1" applyProtection="1">
      <alignment horizontal="center" vertical="center"/>
    </xf>
    <xf numFmtId="0" fontId="44" fillId="26" borderId="71" xfId="0" applyFont="1" applyFill="1" applyBorder="1" applyAlignment="1" applyProtection="1">
      <alignment horizontal="center" vertical="center"/>
    </xf>
    <xf numFmtId="0" fontId="32" fillId="3" borderId="63" xfId="0" applyFont="1" applyFill="1" applyBorder="1" applyAlignment="1" applyProtection="1">
      <alignment horizontal="center" vertical="center"/>
      <protection locked="0"/>
    </xf>
    <xf numFmtId="0" fontId="32" fillId="3" borderId="46" xfId="0" applyNumberFormat="1" applyFont="1" applyFill="1" applyBorder="1" applyAlignment="1" applyProtection="1">
      <protection locked="0"/>
    </xf>
    <xf numFmtId="164" fontId="54" fillId="3" borderId="46" xfId="0" applyNumberFormat="1" applyFont="1" applyFill="1" applyBorder="1" applyAlignment="1" applyProtection="1">
      <alignment horizontal="center" vertical="center"/>
      <protection locked="0"/>
    </xf>
    <xf numFmtId="164" fontId="54" fillId="14" borderId="46" xfId="0" applyNumberFormat="1" applyFont="1" applyFill="1" applyBorder="1" applyAlignment="1" applyProtection="1">
      <alignment horizontal="center" vertical="center"/>
      <protection locked="0"/>
    </xf>
    <xf numFmtId="164" fontId="54" fillId="14" borderId="34" xfId="0" applyNumberFormat="1" applyFont="1" applyFill="1" applyBorder="1" applyAlignment="1" applyProtection="1">
      <alignment horizontal="center" vertical="center"/>
      <protection locked="0"/>
    </xf>
    <xf numFmtId="0" fontId="69" fillId="3" borderId="0" xfId="1" applyNumberFormat="1" applyFont="1" applyFill="1" applyBorder="1" applyAlignment="1">
      <alignment horizontal="center"/>
    </xf>
    <xf numFmtId="1" fontId="76" fillId="3" borderId="29" xfId="0" applyNumberFormat="1" applyFont="1" applyFill="1" applyBorder="1" applyAlignment="1">
      <alignment horizontal="center" vertical="center"/>
    </xf>
    <xf numFmtId="165" fontId="76" fillId="3" borderId="0" xfId="1" applyNumberFormat="1" applyFont="1" applyFill="1" applyBorder="1" applyAlignment="1">
      <alignment horizontal="center" vertical="center"/>
    </xf>
    <xf numFmtId="165" fontId="76" fillId="3" borderId="46" xfId="1" applyNumberFormat="1" applyFont="1" applyFill="1" applyBorder="1" applyAlignment="1">
      <alignment horizontal="center" vertical="center"/>
    </xf>
    <xf numFmtId="1" fontId="76" fillId="17" borderId="29" xfId="0" applyNumberFormat="1" applyFont="1" applyFill="1" applyBorder="1" applyAlignment="1">
      <alignment horizontal="center" vertical="center"/>
    </xf>
    <xf numFmtId="165" fontId="76" fillId="17" borderId="0" xfId="1" applyNumberFormat="1" applyFont="1" applyFill="1" applyBorder="1" applyAlignment="1">
      <alignment horizontal="center" vertical="center"/>
    </xf>
    <xf numFmtId="165" fontId="76" fillId="17" borderId="46" xfId="1" applyNumberFormat="1" applyFont="1" applyFill="1" applyBorder="1" applyAlignment="1">
      <alignment horizontal="center" vertical="center"/>
    </xf>
    <xf numFmtId="1" fontId="76" fillId="17" borderId="30" xfId="0" applyNumberFormat="1" applyFont="1" applyFill="1" applyBorder="1" applyAlignment="1">
      <alignment horizontal="center" vertical="center"/>
    </xf>
    <xf numFmtId="165" fontId="76" fillId="17" borderId="31" xfId="1" applyNumberFormat="1" applyFont="1" applyFill="1" applyBorder="1" applyAlignment="1">
      <alignment horizontal="center" vertical="center"/>
    </xf>
    <xf numFmtId="165" fontId="76" fillId="17" borderId="48" xfId="1" applyNumberFormat="1" applyFont="1" applyFill="1" applyBorder="1" applyAlignment="1">
      <alignment horizontal="center" vertical="center"/>
    </xf>
    <xf numFmtId="165" fontId="76" fillId="3" borderId="29" xfId="1" applyNumberFormat="1" applyFont="1" applyFill="1" applyBorder="1" applyAlignment="1">
      <alignment horizontal="center" vertical="center"/>
    </xf>
    <xf numFmtId="165" fontId="76" fillId="3" borderId="45" xfId="1" applyNumberFormat="1" applyFont="1" applyFill="1" applyBorder="1" applyAlignment="1">
      <alignment horizontal="center" vertical="center"/>
    </xf>
    <xf numFmtId="0" fontId="76" fillId="3" borderId="0" xfId="0" applyNumberFormat="1" applyFont="1" applyFill="1" applyBorder="1"/>
    <xf numFmtId="6" fontId="76" fillId="3" borderId="0" xfId="0" applyNumberFormat="1" applyFont="1" applyFill="1" applyBorder="1"/>
    <xf numFmtId="6" fontId="76" fillId="3" borderId="29" xfId="0" applyNumberFormat="1" applyFont="1" applyFill="1" applyBorder="1" applyAlignment="1">
      <alignment horizontal="center" vertical="center"/>
    </xf>
    <xf numFmtId="6" fontId="76" fillId="3" borderId="0" xfId="0" applyNumberFormat="1" applyFont="1" applyFill="1" applyBorder="1" applyAlignment="1">
      <alignment horizontal="center" vertical="center"/>
    </xf>
    <xf numFmtId="6" fontId="76" fillId="3" borderId="46" xfId="0" applyNumberFormat="1" applyFont="1" applyFill="1" applyBorder="1" applyAlignment="1">
      <alignment horizontal="center" vertical="center"/>
    </xf>
    <xf numFmtId="165" fontId="76" fillId="17" borderId="29" xfId="1" applyNumberFormat="1" applyFont="1" applyFill="1" applyBorder="1" applyAlignment="1">
      <alignment horizontal="center" vertical="center"/>
    </xf>
    <xf numFmtId="165" fontId="76" fillId="17" borderId="45" xfId="1" applyNumberFormat="1" applyFont="1" applyFill="1" applyBorder="1" applyAlignment="1">
      <alignment horizontal="center" vertical="center"/>
    </xf>
    <xf numFmtId="6" fontId="76" fillId="17" borderId="29" xfId="0" applyNumberFormat="1" applyFont="1" applyFill="1" applyBorder="1" applyAlignment="1">
      <alignment horizontal="center" vertical="center"/>
    </xf>
    <xf numFmtId="6" fontId="76" fillId="17" borderId="0" xfId="0" applyNumberFormat="1" applyFont="1" applyFill="1" applyBorder="1" applyAlignment="1">
      <alignment horizontal="center" vertical="center"/>
    </xf>
    <xf numFmtId="6" fontId="76" fillId="17" borderId="46" xfId="0" applyNumberFormat="1" applyFont="1" applyFill="1" applyBorder="1" applyAlignment="1">
      <alignment horizontal="center" vertical="center"/>
    </xf>
    <xf numFmtId="165" fontId="76" fillId="17" borderId="30" xfId="1" applyNumberFormat="1" applyFont="1" applyFill="1" applyBorder="1" applyAlignment="1">
      <alignment horizontal="center" vertical="center"/>
    </xf>
    <xf numFmtId="165" fontId="76" fillId="17" borderId="34" xfId="1" applyNumberFormat="1" applyFont="1" applyFill="1" applyBorder="1" applyAlignment="1">
      <alignment horizontal="center" vertical="center"/>
    </xf>
    <xf numFmtId="6" fontId="76" fillId="17" borderId="30" xfId="0" applyNumberFormat="1" applyFont="1" applyFill="1" applyBorder="1" applyAlignment="1">
      <alignment horizontal="center" vertical="center"/>
    </xf>
    <xf numFmtId="6" fontId="76" fillId="17" borderId="31" xfId="0" applyNumberFormat="1" applyFont="1" applyFill="1" applyBorder="1" applyAlignment="1">
      <alignment horizontal="center" vertical="center"/>
    </xf>
    <xf numFmtId="6" fontId="76" fillId="17" borderId="48" xfId="0" applyNumberFormat="1" applyFont="1" applyFill="1" applyBorder="1" applyAlignment="1">
      <alignment horizontal="center" vertical="center"/>
    </xf>
    <xf numFmtId="166" fontId="85" fillId="0" borderId="76" xfId="1" applyFont="1" applyBorder="1" applyAlignment="1">
      <alignment horizontal="right" indent="1"/>
    </xf>
    <xf numFmtId="0" fontId="69" fillId="3" borderId="60" xfId="0" applyFont="1" applyFill="1" applyBorder="1" applyAlignment="1">
      <alignment horizontal="right"/>
    </xf>
    <xf numFmtId="1" fontId="69" fillId="3" borderId="60" xfId="0" applyNumberFormat="1" applyFont="1" applyFill="1" applyBorder="1" applyAlignment="1">
      <alignment horizontal="center"/>
    </xf>
    <xf numFmtId="0" fontId="69" fillId="3" borderId="61" xfId="0" applyFont="1" applyFill="1" applyBorder="1" applyAlignment="1">
      <alignment horizontal="center"/>
    </xf>
    <xf numFmtId="0" fontId="69" fillId="3" borderId="60" xfId="0" applyFont="1" applyFill="1" applyBorder="1" applyAlignment="1">
      <alignment horizontal="center"/>
    </xf>
    <xf numFmtId="0" fontId="69" fillId="3" borderId="75" xfId="0" applyFont="1" applyFill="1" applyBorder="1" applyAlignment="1">
      <alignment horizontal="center"/>
    </xf>
    <xf numFmtId="0" fontId="32" fillId="14" borderId="0" xfId="0" applyFont="1" applyFill="1" applyBorder="1" applyProtection="1">
      <protection locked="0"/>
    </xf>
    <xf numFmtId="0" fontId="32" fillId="3" borderId="0" xfId="0" applyFont="1" applyFill="1" applyBorder="1" applyProtection="1">
      <protection locked="0"/>
    </xf>
    <xf numFmtId="1" fontId="32" fillId="14" borderId="46" xfId="0" applyNumberFormat="1" applyFont="1" applyFill="1" applyBorder="1" applyAlignment="1" applyProtection="1">
      <alignment horizontal="center"/>
      <protection locked="0"/>
    </xf>
    <xf numFmtId="0" fontId="32" fillId="4" borderId="0" xfId="0" applyNumberFormat="1" applyFont="1" applyFill="1" applyBorder="1" applyAlignment="1" applyProtection="1">
      <alignment horizontal="center" wrapText="1"/>
    </xf>
    <xf numFmtId="0" fontId="32" fillId="4" borderId="0" xfId="0" applyNumberFormat="1" applyFont="1" applyFill="1" applyBorder="1" applyAlignment="1" applyProtection="1">
      <alignment horizontal="center" vertical="center" wrapText="1"/>
    </xf>
    <xf numFmtId="0" fontId="32" fillId="3" borderId="0" xfId="0" applyFont="1" applyFill="1" applyBorder="1" applyAlignment="1" applyProtection="1">
      <alignment horizontal="center" vertical="center"/>
      <protection locked="0"/>
    </xf>
    <xf numFmtId="0" fontId="32" fillId="14" borderId="0" xfId="0" applyFont="1" applyFill="1" applyBorder="1" applyAlignment="1" applyProtection="1">
      <alignment horizontal="center" vertical="center"/>
      <protection locked="0"/>
    </xf>
    <xf numFmtId="166" fontId="32" fillId="3" borderId="45" xfId="0" applyNumberFormat="1" applyFont="1" applyFill="1" applyBorder="1" applyProtection="1">
      <protection locked="0"/>
    </xf>
    <xf numFmtId="166" fontId="32" fillId="14" borderId="45" xfId="0" applyNumberFormat="1" applyFont="1" applyFill="1" applyBorder="1" applyProtection="1">
      <protection locked="0"/>
    </xf>
    <xf numFmtId="166" fontId="32" fillId="3" borderId="34" xfId="0" applyNumberFormat="1" applyFont="1" applyFill="1" applyBorder="1" applyProtection="1">
      <protection locked="0"/>
    </xf>
    <xf numFmtId="166" fontId="32" fillId="3" borderId="46" xfId="0" applyNumberFormat="1" applyFont="1" applyFill="1" applyBorder="1" applyProtection="1">
      <protection locked="0"/>
    </xf>
    <xf numFmtId="166" fontId="32" fillId="14" borderId="46" xfId="0" applyNumberFormat="1" applyFont="1" applyFill="1" applyBorder="1" applyProtection="1">
      <protection locked="0"/>
    </xf>
    <xf numFmtId="166" fontId="32" fillId="3" borderId="48" xfId="0" applyNumberFormat="1" applyFont="1" applyFill="1" applyBorder="1" applyProtection="1">
      <protection locked="0"/>
    </xf>
    <xf numFmtId="166" fontId="84" fillId="3" borderId="46" xfId="0" applyNumberFormat="1" applyFont="1" applyFill="1" applyBorder="1" applyAlignment="1" applyProtection="1">
      <alignment vertical="center"/>
      <protection locked="0"/>
    </xf>
    <xf numFmtId="166" fontId="84" fillId="14" borderId="46" xfId="0" applyNumberFormat="1" applyFont="1" applyFill="1" applyBorder="1" applyAlignment="1" applyProtection="1">
      <alignment vertical="center"/>
      <protection locked="0"/>
    </xf>
    <xf numFmtId="166" fontId="84" fillId="3" borderId="48" xfId="0" applyNumberFormat="1" applyFont="1" applyFill="1" applyBorder="1" applyAlignment="1" applyProtection="1">
      <alignment vertical="center"/>
      <protection locked="0"/>
    </xf>
    <xf numFmtId="0" fontId="32" fillId="3" borderId="48" xfId="0" applyFont="1" applyFill="1" applyBorder="1" applyAlignment="1" applyProtection="1">
      <alignment horizontal="center" vertical="center"/>
      <protection locked="0"/>
    </xf>
    <xf numFmtId="1" fontId="76" fillId="3" borderId="30" xfId="0" applyNumberFormat="1" applyFont="1" applyFill="1" applyBorder="1" applyAlignment="1">
      <alignment horizontal="center" vertical="center"/>
    </xf>
    <xf numFmtId="165" fontId="76" fillId="3" borderId="31" xfId="1" applyNumberFormat="1" applyFont="1" applyFill="1" applyBorder="1" applyAlignment="1">
      <alignment horizontal="center" vertical="center"/>
    </xf>
    <xf numFmtId="165" fontId="76" fillId="3" borderId="48" xfId="1" applyNumberFormat="1" applyFont="1" applyFill="1" applyBorder="1" applyAlignment="1">
      <alignment horizontal="center" vertical="center"/>
    </xf>
    <xf numFmtId="165" fontId="76" fillId="3" borderId="30" xfId="1" applyNumberFormat="1" applyFont="1" applyFill="1" applyBorder="1" applyAlignment="1">
      <alignment horizontal="center" vertical="center"/>
    </xf>
    <xf numFmtId="165" fontId="76" fillId="3" borderId="34" xfId="1" applyNumberFormat="1" applyFont="1" applyFill="1" applyBorder="1" applyAlignment="1">
      <alignment horizontal="center" vertical="center"/>
    </xf>
    <xf numFmtId="6" fontId="76" fillId="3" borderId="30" xfId="0" applyNumberFormat="1" applyFont="1" applyFill="1" applyBorder="1" applyAlignment="1">
      <alignment horizontal="center" vertical="center"/>
    </xf>
    <xf numFmtId="6" fontId="76" fillId="3" borderId="31" xfId="0" applyNumberFormat="1" applyFont="1" applyFill="1" applyBorder="1" applyAlignment="1">
      <alignment horizontal="center" vertical="center"/>
    </xf>
    <xf numFmtId="6" fontId="76" fillId="3" borderId="48" xfId="0" applyNumberFormat="1" applyFont="1" applyFill="1" applyBorder="1" applyAlignment="1">
      <alignment horizontal="center" vertical="center"/>
    </xf>
    <xf numFmtId="1" fontId="76" fillId="3" borderId="0" xfId="0" applyNumberFormat="1" applyFont="1" applyFill="1" applyBorder="1" applyAlignment="1">
      <alignment horizontal="center" vertical="center"/>
    </xf>
    <xf numFmtId="171" fontId="92" fillId="3" borderId="73" xfId="3" applyNumberFormat="1" applyFont="1" applyFill="1" applyBorder="1" applyAlignment="1" applyProtection="1">
      <alignment horizontal="right" vertical="center"/>
    </xf>
    <xf numFmtId="171" fontId="92" fillId="17" borderId="73" xfId="3" applyNumberFormat="1" applyFont="1" applyFill="1" applyBorder="1" applyAlignment="1" applyProtection="1">
      <alignment horizontal="right" vertical="center"/>
    </xf>
    <xf numFmtId="171" fontId="92" fillId="17" borderId="63" xfId="3" applyNumberFormat="1" applyFont="1" applyFill="1" applyBorder="1" applyAlignment="1" applyProtection="1">
      <alignment horizontal="right" vertical="center"/>
    </xf>
    <xf numFmtId="165" fontId="92" fillId="3" borderId="74" xfId="1" applyNumberFormat="1" applyFont="1" applyFill="1" applyBorder="1" applyAlignment="1">
      <alignment horizontal="center" vertical="center"/>
    </xf>
    <xf numFmtId="165" fontId="93" fillId="3" borderId="73" xfId="1" applyNumberFormat="1" applyFont="1" applyFill="1" applyBorder="1" applyAlignment="1" applyProtection="1">
      <alignment horizontal="center" vertical="center"/>
    </xf>
    <xf numFmtId="165" fontId="93" fillId="17" borderId="73" xfId="1" applyNumberFormat="1" applyFont="1" applyFill="1" applyBorder="1" applyAlignment="1" applyProtection="1">
      <alignment horizontal="center" vertical="center"/>
    </xf>
    <xf numFmtId="165" fontId="93" fillId="17" borderId="63" xfId="1" applyNumberFormat="1" applyFont="1" applyFill="1" applyBorder="1" applyAlignment="1" applyProtection="1">
      <alignment horizontal="center" vertical="center"/>
    </xf>
    <xf numFmtId="165" fontId="93" fillId="3" borderId="63" xfId="1" applyNumberFormat="1" applyFont="1" applyFill="1" applyBorder="1" applyAlignment="1" applyProtection="1">
      <alignment horizontal="center" vertical="center"/>
    </xf>
    <xf numFmtId="171" fontId="92" fillId="3" borderId="72" xfId="1" applyNumberFormat="1" applyFont="1" applyFill="1" applyBorder="1" applyAlignment="1">
      <alignment horizontal="center" vertical="center"/>
    </xf>
    <xf numFmtId="171" fontId="92" fillId="17" borderId="72" xfId="1" applyNumberFormat="1" applyFont="1" applyFill="1" applyBorder="1" applyAlignment="1">
      <alignment horizontal="center" vertical="center"/>
    </xf>
    <xf numFmtId="171" fontId="92" fillId="17" borderId="71" xfId="1" applyNumberFormat="1" applyFont="1" applyFill="1" applyBorder="1" applyAlignment="1">
      <alignment horizontal="center" vertical="center"/>
    </xf>
    <xf numFmtId="0" fontId="32" fillId="16" borderId="0" xfId="0" applyFont="1" applyFill="1" applyBorder="1" applyAlignment="1">
      <alignment vertical="top" wrapText="1"/>
    </xf>
    <xf numFmtId="0" fontId="32" fillId="3" borderId="0" xfId="0" applyFont="1" applyFill="1" applyBorder="1" applyAlignment="1">
      <alignment vertical="top" wrapText="1"/>
    </xf>
    <xf numFmtId="0" fontId="32" fillId="3" borderId="0" xfId="0" applyFont="1" applyFill="1" applyBorder="1" applyProtection="1"/>
    <xf numFmtId="0" fontId="32" fillId="3" borderId="0" xfId="0" applyFont="1" applyFill="1" applyBorder="1" applyAlignment="1" applyProtection="1">
      <alignment horizontal="center" vertical="center"/>
    </xf>
    <xf numFmtId="0" fontId="32" fillId="3" borderId="0" xfId="0" applyFont="1" applyFill="1" applyBorder="1" applyAlignment="1" applyProtection="1">
      <alignment horizontal="center"/>
    </xf>
    <xf numFmtId="0" fontId="32" fillId="3" borderId="0" xfId="0" applyFont="1" applyFill="1" applyBorder="1" applyAlignment="1" applyProtection="1">
      <alignment horizontal="left" vertical="center"/>
    </xf>
    <xf numFmtId="0" fontId="32" fillId="3" borderId="0" xfId="0" applyFont="1" applyFill="1" applyBorder="1" applyAlignment="1" applyProtection="1">
      <alignment vertical="center" wrapText="1"/>
    </xf>
    <xf numFmtId="0" fontId="32" fillId="3" borderId="0" xfId="0" applyFont="1" applyFill="1" applyBorder="1" applyAlignment="1" applyProtection="1">
      <alignment vertical="top" wrapText="1"/>
    </xf>
    <xf numFmtId="0" fontId="32" fillId="3" borderId="0" xfId="0" applyFont="1" applyFill="1" applyBorder="1" applyAlignment="1" applyProtection="1">
      <alignment horizontal="center" vertical="center" wrapText="1"/>
    </xf>
    <xf numFmtId="0" fontId="74" fillId="3" borderId="0" xfId="0" applyFont="1" applyFill="1" applyAlignment="1">
      <alignment vertical="center"/>
    </xf>
    <xf numFmtId="0" fontId="74" fillId="3" borderId="0" xfId="0" applyFont="1" applyFill="1" applyBorder="1"/>
    <xf numFmtId="0" fontId="74" fillId="3" borderId="0" xfId="0" applyFont="1" applyFill="1" applyAlignment="1">
      <alignment horizontal="center"/>
    </xf>
    <xf numFmtId="0" fontId="74" fillId="4" borderId="0" xfId="0" applyFont="1" applyFill="1"/>
    <xf numFmtId="0" fontId="144" fillId="4" borderId="0" xfId="0" applyFont="1" applyFill="1" applyAlignment="1">
      <alignment vertical="center"/>
    </xf>
    <xf numFmtId="0" fontId="74" fillId="3" borderId="0" xfId="0" applyFont="1" applyFill="1" applyAlignment="1">
      <alignment horizontal="right"/>
    </xf>
    <xf numFmtId="166" fontId="74" fillId="3" borderId="0" xfId="0" applyNumberFormat="1" applyFont="1" applyFill="1" applyAlignment="1">
      <alignment horizontal="right"/>
    </xf>
    <xf numFmtId="166" fontId="74" fillId="3" borderId="0" xfId="0" applyNumberFormat="1" applyFont="1" applyFill="1"/>
    <xf numFmtId="2" fontId="74" fillId="3" borderId="0" xfId="0" applyNumberFormat="1" applyFont="1" applyFill="1"/>
    <xf numFmtId="1" fontId="74" fillId="3" borderId="0" xfId="0" applyNumberFormat="1" applyFont="1" applyFill="1"/>
    <xf numFmtId="171" fontId="74" fillId="3" borderId="0" xfId="0" applyNumberFormat="1" applyFont="1" applyFill="1" applyAlignment="1">
      <alignment horizontal="center"/>
    </xf>
    <xf numFmtId="171" fontId="74" fillId="3" borderId="0" xfId="3" applyNumberFormat="1" applyFont="1" applyFill="1"/>
    <xf numFmtId="1" fontId="74" fillId="3" borderId="0" xfId="0" applyNumberFormat="1" applyFont="1" applyFill="1" applyAlignment="1">
      <alignment horizontal="center"/>
    </xf>
    <xf numFmtId="166" fontId="74" fillId="3" borderId="0" xfId="0" applyNumberFormat="1" applyFont="1" applyFill="1" applyAlignment="1">
      <alignment horizontal="center"/>
    </xf>
    <xf numFmtId="1" fontId="74" fillId="3" borderId="0" xfId="3" applyNumberFormat="1" applyFont="1" applyFill="1"/>
    <xf numFmtId="171" fontId="74" fillId="3" borderId="76" xfId="3" applyNumberFormat="1" applyFont="1" applyFill="1" applyBorder="1" applyAlignment="1" applyProtection="1">
      <alignment horizontal="center"/>
      <protection locked="0"/>
    </xf>
    <xf numFmtId="165" fontId="74" fillId="0" borderId="76" xfId="1" applyNumberFormat="1" applyFont="1" applyBorder="1" applyAlignment="1" applyProtection="1">
      <alignment horizontal="center"/>
      <protection locked="0"/>
    </xf>
    <xf numFmtId="1" fontId="74" fillId="3" borderId="76" xfId="0" applyNumberFormat="1" applyFont="1" applyFill="1" applyBorder="1" applyAlignment="1" applyProtection="1">
      <alignment horizontal="center"/>
      <protection locked="0"/>
    </xf>
    <xf numFmtId="0" fontId="74" fillId="3" borderId="0" xfId="0" applyFont="1" applyFill="1" applyAlignment="1">
      <alignment horizontal="right" indent="1"/>
    </xf>
    <xf numFmtId="0" fontId="144" fillId="4" borderId="109" xfId="0" applyFont="1" applyFill="1" applyBorder="1" applyAlignment="1">
      <alignment vertical="center"/>
    </xf>
    <xf numFmtId="0" fontId="74" fillId="4" borderId="64" xfId="0" applyFont="1" applyFill="1" applyBorder="1"/>
    <xf numFmtId="0" fontId="74" fillId="4" borderId="110" xfId="0" applyFont="1" applyFill="1" applyBorder="1"/>
    <xf numFmtId="0" fontId="74" fillId="3" borderId="0" xfId="0" applyFont="1" applyFill="1" applyAlignment="1">
      <alignment horizontal="right" indent="3"/>
    </xf>
    <xf numFmtId="166" fontId="74" fillId="14" borderId="76" xfId="0" applyNumberFormat="1" applyFont="1" applyFill="1" applyBorder="1"/>
    <xf numFmtId="166" fontId="74" fillId="14" borderId="76" xfId="0" applyNumberFormat="1" applyFont="1" applyFill="1" applyBorder="1" applyAlignment="1">
      <alignment horizontal="center"/>
    </xf>
    <xf numFmtId="8" fontId="74" fillId="14" borderId="76" xfId="0" applyNumberFormat="1" applyFont="1" applyFill="1" applyBorder="1"/>
    <xf numFmtId="166" fontId="74" fillId="14" borderId="76" xfId="0" applyNumberFormat="1" applyFont="1" applyFill="1" applyBorder="1" applyAlignment="1">
      <alignment horizontal="right"/>
    </xf>
    <xf numFmtId="166" fontId="74" fillId="0" borderId="76" xfId="1" applyNumberFormat="1" applyFont="1" applyBorder="1" applyAlignment="1" applyProtection="1">
      <alignment horizontal="center"/>
      <protection locked="0"/>
    </xf>
    <xf numFmtId="8" fontId="74" fillId="3" borderId="0" xfId="0" applyNumberFormat="1" applyFont="1" applyFill="1" applyBorder="1"/>
    <xf numFmtId="0" fontId="74" fillId="4" borderId="64" xfId="0" applyFont="1" applyFill="1" applyBorder="1" applyAlignment="1">
      <alignment vertical="center"/>
    </xf>
    <xf numFmtId="2" fontId="74" fillId="3" borderId="76" xfId="0" applyNumberFormat="1" applyFont="1" applyFill="1" applyBorder="1" applyAlignment="1" applyProtection="1">
      <alignment horizontal="center"/>
      <protection locked="0"/>
    </xf>
    <xf numFmtId="10" fontId="74" fillId="14" borderId="76" xfId="3" applyNumberFormat="1" applyFont="1" applyFill="1" applyBorder="1"/>
    <xf numFmtId="0" fontId="0" fillId="3" borderId="0" xfId="0" applyFill="1"/>
    <xf numFmtId="0" fontId="82" fillId="3" borderId="0" xfId="0" applyFont="1" applyFill="1" applyAlignment="1">
      <alignment vertical="center"/>
    </xf>
    <xf numFmtId="0" fontId="31" fillId="26" borderId="0" xfId="0" applyFont="1" applyFill="1" applyAlignment="1" applyProtection="1">
      <alignment horizontal="center" vertical="center"/>
    </xf>
    <xf numFmtId="0" fontId="45" fillId="3" borderId="76" xfId="0" applyFont="1" applyFill="1" applyBorder="1" applyProtection="1"/>
    <xf numFmtId="0" fontId="30" fillId="2" borderId="76" xfId="0" applyFont="1" applyFill="1" applyBorder="1" applyAlignment="1" applyProtection="1">
      <alignment horizontal="left" vertical="center"/>
    </xf>
    <xf numFmtId="0" fontId="29" fillId="2" borderId="76" xfId="0" applyFont="1" applyFill="1" applyBorder="1" applyAlignment="1" applyProtection="1">
      <alignment horizontal="left" vertical="center"/>
    </xf>
    <xf numFmtId="0" fontId="74" fillId="3" borderId="0" xfId="0" applyFont="1" applyFill="1" applyAlignment="1">
      <alignment horizontal="right" indent="2"/>
    </xf>
    <xf numFmtId="0" fontId="74" fillId="4" borderId="0" xfId="0" applyFont="1" applyFill="1" applyAlignment="1">
      <alignment vertical="center"/>
    </xf>
    <xf numFmtId="0" fontId="28" fillId="3" borderId="46" xfId="0" applyNumberFormat="1" applyFont="1" applyFill="1" applyBorder="1" applyAlignment="1" applyProtection="1">
      <protection locked="0"/>
    </xf>
    <xf numFmtId="0" fontId="28" fillId="14" borderId="46" xfId="0" applyNumberFormat="1" applyFont="1" applyFill="1" applyBorder="1" applyAlignment="1" applyProtection="1">
      <protection locked="0"/>
    </xf>
    <xf numFmtId="0" fontId="28" fillId="3" borderId="46" xfId="0" applyFont="1" applyFill="1" applyBorder="1" applyAlignment="1" applyProtection="1">
      <alignment horizontal="center"/>
      <protection locked="0"/>
    </xf>
    <xf numFmtId="0" fontId="28" fillId="14" borderId="46" xfId="0" applyFont="1" applyFill="1" applyBorder="1" applyAlignment="1" applyProtection="1">
      <alignment horizontal="center"/>
      <protection locked="0"/>
    </xf>
    <xf numFmtId="14" fontId="28" fillId="3" borderId="46" xfId="0" applyNumberFormat="1" applyFont="1" applyFill="1" applyBorder="1" applyAlignment="1" applyProtection="1">
      <alignment horizontal="center"/>
      <protection locked="0"/>
    </xf>
    <xf numFmtId="14" fontId="28" fillId="14" borderId="46" xfId="0" applyNumberFormat="1" applyFont="1" applyFill="1" applyBorder="1" applyAlignment="1" applyProtection="1">
      <alignment horizontal="center"/>
      <protection locked="0"/>
    </xf>
    <xf numFmtId="14" fontId="28" fillId="3" borderId="76" xfId="0" applyNumberFormat="1" applyFont="1" applyFill="1" applyBorder="1" applyAlignment="1" applyProtection="1">
      <alignment horizontal="center"/>
      <protection locked="0"/>
    </xf>
    <xf numFmtId="14" fontId="54" fillId="3" borderId="0" xfId="0" applyNumberFormat="1" applyFont="1" applyFill="1" applyBorder="1" applyAlignment="1" applyProtection="1">
      <alignment horizontal="center" vertical="center"/>
      <protection locked="0"/>
    </xf>
    <xf numFmtId="0" fontId="28" fillId="14" borderId="31" xfId="0" applyNumberFormat="1" applyFont="1" applyFill="1" applyBorder="1" applyAlignment="1" applyProtection="1">
      <alignment horizontal="center" vertical="center"/>
      <protection locked="0"/>
    </xf>
    <xf numFmtId="14" fontId="54" fillId="3" borderId="30" xfId="0" applyNumberFormat="1" applyFont="1" applyFill="1" applyBorder="1" applyAlignment="1" applyProtection="1">
      <alignment horizontal="center" vertical="center"/>
      <protection locked="0"/>
    </xf>
    <xf numFmtId="0" fontId="28" fillId="14" borderId="0" xfId="0" applyFont="1" applyFill="1" applyBorder="1" applyProtection="1">
      <protection locked="0"/>
    </xf>
    <xf numFmtId="0" fontId="28" fillId="14" borderId="46" xfId="0" applyFont="1" applyFill="1" applyBorder="1" applyAlignment="1" applyProtection="1">
      <alignment vertical="center"/>
      <protection locked="0"/>
    </xf>
    <xf numFmtId="166" fontId="28" fillId="3" borderId="46" xfId="0" applyNumberFormat="1" applyFont="1" applyFill="1" applyBorder="1" applyAlignment="1" applyProtection="1">
      <alignment vertical="center"/>
      <protection locked="0"/>
    </xf>
    <xf numFmtId="0" fontId="28" fillId="3" borderId="48" xfId="0" applyFont="1" applyFill="1" applyBorder="1" applyAlignment="1" applyProtection="1">
      <alignment vertical="center"/>
      <protection locked="0"/>
    </xf>
    <xf numFmtId="0" fontId="52" fillId="3" borderId="74" xfId="0" applyFont="1" applyFill="1" applyBorder="1" applyAlignment="1" applyProtection="1">
      <alignment horizontal="center"/>
      <protection locked="0"/>
    </xf>
    <xf numFmtId="1" fontId="52" fillId="3" borderId="71" xfId="1" applyNumberFormat="1" applyFont="1" applyFill="1" applyBorder="1" applyAlignment="1" applyProtection="1">
      <alignment horizontal="center"/>
      <protection locked="0"/>
    </xf>
    <xf numFmtId="0" fontId="27" fillId="3" borderId="63" xfId="0" applyFont="1" applyFill="1" applyBorder="1" applyAlignment="1" applyProtection="1">
      <alignment horizontal="center" vertical="center"/>
      <protection locked="0"/>
    </xf>
    <xf numFmtId="0" fontId="55" fillId="16" borderId="132" xfId="0" applyFont="1" applyFill="1" applyBorder="1" applyAlignment="1">
      <alignment vertical="top" wrapText="1"/>
    </xf>
    <xf numFmtId="0" fontId="27" fillId="3" borderId="0" xfId="0" applyFont="1" applyFill="1" applyBorder="1" applyProtection="1">
      <protection locked="0"/>
    </xf>
    <xf numFmtId="0" fontId="27" fillId="14" borderId="0" xfId="0" applyFont="1" applyFill="1" applyBorder="1" applyProtection="1">
      <protection locked="0"/>
    </xf>
    <xf numFmtId="166" fontId="74" fillId="0" borderId="76" xfId="1" applyFont="1" applyBorder="1" applyProtection="1">
      <alignment horizontal="right"/>
      <protection locked="0"/>
    </xf>
    <xf numFmtId="0" fontId="91" fillId="3" borderId="0" xfId="0" applyNumberFormat="1" applyFont="1" applyFill="1" applyBorder="1" applyAlignment="1" applyProtection="1">
      <alignment horizontal="center" vertical="center"/>
    </xf>
    <xf numFmtId="0" fontId="91" fillId="3" borderId="0" xfId="0" applyNumberFormat="1" applyFont="1" applyFill="1" applyBorder="1" applyAlignment="1" applyProtection="1">
      <alignment horizontal="center"/>
    </xf>
    <xf numFmtId="0" fontId="91" fillId="3" borderId="0" xfId="0" applyNumberFormat="1" applyFont="1" applyFill="1" applyBorder="1" applyAlignment="1" applyProtection="1"/>
    <xf numFmtId="1" fontId="55" fillId="3" borderId="27" xfId="0" applyNumberFormat="1" applyFont="1" applyFill="1" applyBorder="1" applyAlignment="1" applyProtection="1">
      <alignment horizontal="right" indent="1"/>
      <protection locked="0"/>
    </xf>
    <xf numFmtId="165" fontId="69" fillId="3" borderId="60" xfId="1" applyNumberFormat="1" applyFont="1" applyFill="1" applyBorder="1" applyAlignment="1" applyProtection="1">
      <alignment horizontal="right" vertical="center"/>
    </xf>
    <xf numFmtId="166" fontId="27" fillId="3" borderId="0" xfId="0" applyNumberFormat="1" applyFont="1" applyFill="1" applyBorder="1" applyAlignment="1" applyProtection="1">
      <alignment horizontal="center"/>
      <protection locked="0"/>
    </xf>
    <xf numFmtId="166" fontId="27" fillId="14" borderId="0" xfId="0" applyNumberFormat="1" applyFont="1" applyFill="1" applyBorder="1" applyAlignment="1" applyProtection="1">
      <alignment horizontal="center"/>
      <protection locked="0"/>
    </xf>
    <xf numFmtId="0" fontId="27" fillId="3" borderId="76" xfId="1" applyNumberFormat="1" applyFont="1" applyFill="1" applyBorder="1" applyAlignment="1" applyProtection="1">
      <alignment horizontal="left" vertical="center" indent="1"/>
      <protection locked="0"/>
    </xf>
    <xf numFmtId="0" fontId="85" fillId="3" borderId="0" xfId="0" applyNumberFormat="1" applyFont="1" applyFill="1" applyBorder="1" applyAlignment="1" applyProtection="1">
      <alignment horizontal="center"/>
    </xf>
    <xf numFmtId="165" fontId="51" fillId="3" borderId="60" xfId="1" applyNumberFormat="1" applyFont="1" applyFill="1" applyBorder="1" applyAlignment="1">
      <alignment horizontal="center" vertical="center"/>
    </xf>
    <xf numFmtId="170" fontId="69" fillId="3" borderId="0" xfId="0" applyNumberFormat="1" applyFont="1" applyFill="1" applyBorder="1" applyAlignment="1" applyProtection="1">
      <alignment horizontal="center"/>
    </xf>
    <xf numFmtId="10" fontId="69" fillId="3" borderId="0" xfId="0" applyNumberFormat="1" applyFont="1" applyFill="1" applyBorder="1" applyAlignment="1" applyProtection="1">
      <alignment horizontal="center"/>
    </xf>
    <xf numFmtId="171" fontId="54" fillId="3" borderId="46" xfId="3" applyNumberFormat="1" applyFont="1" applyFill="1" applyBorder="1" applyAlignment="1" applyProtection="1">
      <alignment horizontal="center" vertical="center"/>
      <protection locked="0"/>
    </xf>
    <xf numFmtId="171" fontId="54" fillId="14" borderId="46" xfId="3" applyNumberFormat="1" applyFont="1" applyFill="1" applyBorder="1" applyAlignment="1" applyProtection="1">
      <alignment horizontal="center" vertical="center"/>
      <protection locked="0"/>
    </xf>
    <xf numFmtId="171" fontId="54" fillId="14" borderId="48" xfId="3" applyNumberFormat="1" applyFont="1" applyFill="1" applyBorder="1" applyAlignment="1" applyProtection="1">
      <alignment horizontal="center" vertical="center"/>
      <protection locked="0"/>
    </xf>
    <xf numFmtId="171" fontId="55" fillId="3" borderId="27" xfId="3" applyNumberFormat="1" applyFont="1" applyFill="1" applyBorder="1" applyAlignment="1" applyProtection="1">
      <alignment horizontal="right" indent="1"/>
      <protection locked="0"/>
    </xf>
    <xf numFmtId="171" fontId="55" fillId="14" borderId="52" xfId="3" applyNumberFormat="1" applyFont="1" applyFill="1" applyBorder="1" applyAlignment="1" applyProtection="1">
      <alignment horizontal="right" indent="1"/>
      <protection locked="0"/>
    </xf>
    <xf numFmtId="171" fontId="52" fillId="3" borderId="76" xfId="0" applyNumberFormat="1" applyFont="1" applyFill="1" applyBorder="1" applyAlignment="1" applyProtection="1">
      <alignment horizontal="center"/>
      <protection locked="0"/>
    </xf>
    <xf numFmtId="171" fontId="91" fillId="3" borderId="110" xfId="3" applyNumberFormat="1" applyFont="1" applyFill="1" applyBorder="1" applyAlignment="1" applyProtection="1">
      <alignment horizontal="center" vertical="center"/>
    </xf>
    <xf numFmtId="171" fontId="83" fillId="3" borderId="31" xfId="0" applyNumberFormat="1" applyFont="1" applyFill="1" applyBorder="1" applyAlignment="1" applyProtection="1">
      <alignment horizontal="center"/>
      <protection locked="0"/>
    </xf>
    <xf numFmtId="0" fontId="26" fillId="3" borderId="76" xfId="0" applyFont="1" applyFill="1" applyBorder="1" applyAlignment="1" applyProtection="1">
      <alignment horizontal="center"/>
    </xf>
    <xf numFmtId="0" fontId="0" fillId="3" borderId="0" xfId="0" applyFill="1" applyProtection="1">
      <protection locked="0"/>
    </xf>
    <xf numFmtId="0" fontId="59" fillId="3" borderId="0" xfId="0" applyFont="1" applyFill="1" applyAlignment="1" applyProtection="1">
      <alignment vertical="center"/>
    </xf>
    <xf numFmtId="0" fontId="59" fillId="3" borderId="0" xfId="0" applyFont="1" applyFill="1" applyProtection="1">
      <protection locked="0"/>
    </xf>
    <xf numFmtId="0" fontId="51" fillId="3" borderId="0" xfId="0" applyFont="1" applyFill="1" applyBorder="1" applyAlignment="1">
      <alignment horizontal="center" vertical="center"/>
    </xf>
    <xf numFmtId="0" fontId="52" fillId="3" borderId="28" xfId="0" applyFont="1" applyFill="1" applyBorder="1" applyProtection="1"/>
    <xf numFmtId="0" fontId="52" fillId="3" borderId="28" xfId="0" applyFont="1" applyFill="1" applyBorder="1" applyAlignment="1" applyProtection="1">
      <alignment horizontal="center"/>
    </xf>
    <xf numFmtId="1" fontId="55" fillId="3" borderId="59" xfId="0" applyNumberFormat="1" applyFont="1" applyFill="1" applyBorder="1" applyAlignment="1" applyProtection="1">
      <alignment horizontal="center"/>
      <protection locked="0"/>
    </xf>
    <xf numFmtId="1" fontId="55" fillId="14" borderId="38" xfId="0" applyNumberFormat="1" applyFont="1" applyFill="1" applyBorder="1" applyAlignment="1" applyProtection="1">
      <alignment horizontal="center"/>
      <protection locked="0"/>
    </xf>
    <xf numFmtId="1" fontId="55" fillId="3" borderId="38" xfId="0" applyNumberFormat="1" applyFont="1" applyFill="1" applyBorder="1" applyAlignment="1" applyProtection="1">
      <alignment horizontal="center"/>
      <protection locked="0"/>
    </xf>
    <xf numFmtId="1" fontId="54" fillId="3" borderId="46" xfId="0" applyNumberFormat="1" applyFont="1" applyFill="1" applyBorder="1" applyAlignment="1" applyProtection="1">
      <alignment horizontal="center"/>
      <protection locked="0"/>
    </xf>
    <xf numFmtId="1" fontId="54" fillId="14" borderId="46" xfId="0" applyNumberFormat="1" applyFont="1" applyFill="1" applyBorder="1" applyAlignment="1" applyProtection="1">
      <alignment horizontal="center"/>
      <protection locked="0"/>
    </xf>
    <xf numFmtId="1" fontId="54" fillId="3" borderId="34" xfId="3" applyNumberFormat="1" applyFont="1" applyFill="1" applyBorder="1" applyAlignment="1" applyProtection="1">
      <alignment horizontal="center" vertical="center"/>
      <protection locked="0"/>
    </xf>
    <xf numFmtId="0" fontId="25" fillId="3" borderId="76" xfId="0" applyFont="1" applyFill="1" applyBorder="1" applyAlignment="1" applyProtection="1">
      <alignment horizontal="center" vertical="center"/>
      <protection locked="0"/>
    </xf>
    <xf numFmtId="0" fontId="149" fillId="3" borderId="0" xfId="0" applyFont="1" applyFill="1" applyBorder="1" applyAlignment="1">
      <alignment vertical="center"/>
    </xf>
    <xf numFmtId="0" fontId="150" fillId="3" borderId="0" xfId="0" applyFont="1" applyFill="1" applyAlignment="1">
      <alignment vertical="center"/>
    </xf>
    <xf numFmtId="10" fontId="126" fillId="0" borderId="0" xfId="303" applyNumberFormat="1" applyFont="1" applyFill="1" applyBorder="1" applyAlignment="1">
      <alignment horizontal="center" vertical="center"/>
    </xf>
    <xf numFmtId="0" fontId="127" fillId="0" borderId="0" xfId="0" applyFont="1" applyFill="1" applyBorder="1" applyAlignment="1">
      <alignment horizontal="center" vertical="center"/>
    </xf>
    <xf numFmtId="10" fontId="129" fillId="0" borderId="0" xfId="295" applyNumberFormat="1" applyFont="1" applyFill="1" applyBorder="1" applyAlignment="1">
      <alignment horizontal="center" vertical="center"/>
    </xf>
    <xf numFmtId="0" fontId="149" fillId="3" borderId="0" xfId="0" applyFont="1" applyFill="1" applyAlignment="1">
      <alignment horizontal="center" vertical="center"/>
    </xf>
    <xf numFmtId="0" fontId="123" fillId="3" borderId="0" xfId="0" applyFont="1" applyFill="1" applyAlignment="1">
      <alignment horizontal="left" vertical="center" indent="3"/>
    </xf>
    <xf numFmtId="0" fontId="103" fillId="3" borderId="0" xfId="0" applyNumberFormat="1" applyFont="1" applyFill="1" applyBorder="1" applyAlignment="1" applyProtection="1">
      <alignment horizontal="left" vertical="center"/>
    </xf>
    <xf numFmtId="1" fontId="73" fillId="3" borderId="0" xfId="0" applyNumberFormat="1" applyFont="1" applyFill="1" applyBorder="1" applyAlignment="1" applyProtection="1">
      <alignment horizontal="center"/>
    </xf>
    <xf numFmtId="0" fontId="24" fillId="26" borderId="0" xfId="0" applyFont="1" applyFill="1" applyAlignment="1" applyProtection="1">
      <alignment horizontal="left" vertical="center"/>
    </xf>
    <xf numFmtId="177" fontId="69" fillId="3" borderId="0" xfId="0" applyNumberFormat="1" applyFont="1" applyFill="1" applyBorder="1"/>
    <xf numFmtId="0" fontId="24" fillId="3" borderId="0" xfId="0" applyFont="1" applyFill="1" applyBorder="1"/>
    <xf numFmtId="0" fontId="24" fillId="3" borderId="76" xfId="0" applyFont="1" applyFill="1" applyBorder="1" applyAlignment="1" applyProtection="1">
      <alignment horizontal="center"/>
    </xf>
    <xf numFmtId="0" fontId="24" fillId="3" borderId="0" xfId="0" applyFont="1" applyFill="1" applyAlignment="1" applyProtection="1">
      <alignment horizontal="left" vertical="center"/>
    </xf>
    <xf numFmtId="0" fontId="45" fillId="26" borderId="76" xfId="0" applyFont="1" applyFill="1" applyBorder="1" applyProtection="1"/>
    <xf numFmtId="165" fontId="69" fillId="3" borderId="0" xfId="0" applyNumberFormat="1" applyFont="1" applyFill="1" applyBorder="1" applyAlignment="1">
      <alignment horizontal="center" vertical="center"/>
    </xf>
    <xf numFmtId="165" fontId="69" fillId="0" borderId="0" xfId="1" applyNumberFormat="1" applyFont="1" applyFill="1" applyBorder="1" applyAlignment="1">
      <alignment horizontal="center" vertical="center"/>
    </xf>
    <xf numFmtId="165" fontId="51" fillId="0" borderId="0" xfId="1" applyNumberFormat="1" applyFont="1" applyFill="1" applyBorder="1" applyAlignment="1">
      <alignment horizontal="center" vertical="center"/>
    </xf>
    <xf numFmtId="0" fontId="50" fillId="3" borderId="0" xfId="0" applyFont="1" applyFill="1" applyBorder="1" applyAlignment="1" applyProtection="1">
      <alignment horizontal="left" vertical="center"/>
    </xf>
    <xf numFmtId="0" fontId="50" fillId="3" borderId="0" xfId="0" applyFont="1" applyFill="1" applyBorder="1" applyAlignment="1" applyProtection="1">
      <alignment horizontal="left" vertical="center" indent="1"/>
    </xf>
    <xf numFmtId="0" fontId="24" fillId="3" borderId="76" xfId="0" applyFont="1" applyFill="1" applyBorder="1" applyAlignment="1" applyProtection="1">
      <alignment horizontal="center" vertical="center"/>
    </xf>
    <xf numFmtId="0" fontId="77" fillId="3" borderId="0" xfId="0" applyFont="1" applyFill="1" applyBorder="1"/>
    <xf numFmtId="0" fontId="77" fillId="3" borderId="0" xfId="0" applyFont="1" applyFill="1" applyBorder="1" applyAlignment="1">
      <alignment vertical="center" wrapText="1"/>
    </xf>
    <xf numFmtId="0" fontId="153" fillId="3" borderId="0" xfId="0" applyFont="1" applyFill="1" applyBorder="1"/>
    <xf numFmtId="1" fontId="154" fillId="3" borderId="0" xfId="1" applyNumberFormat="1" applyFont="1" applyFill="1" applyBorder="1" applyAlignment="1" applyProtection="1">
      <alignment horizontal="center" vertical="center"/>
    </xf>
    <xf numFmtId="1" fontId="77" fillId="3" borderId="0" xfId="1" applyNumberFormat="1" applyFont="1" applyFill="1" applyBorder="1" applyAlignment="1">
      <alignment horizontal="center" vertical="center"/>
    </xf>
    <xf numFmtId="165" fontId="77" fillId="3" borderId="0" xfId="1" applyNumberFormat="1" applyFont="1" applyFill="1" applyBorder="1" applyAlignment="1">
      <alignment horizontal="center" vertical="center"/>
    </xf>
    <xf numFmtId="2" fontId="77" fillId="3" borderId="0" xfId="1" applyNumberFormat="1" applyFont="1" applyFill="1" applyBorder="1" applyAlignment="1">
      <alignment horizontal="center" vertical="center"/>
    </xf>
    <xf numFmtId="165" fontId="154" fillId="3" borderId="0" xfId="1" applyNumberFormat="1" applyFont="1" applyFill="1" applyBorder="1" applyAlignment="1" applyProtection="1">
      <alignment horizontal="center" vertical="center"/>
    </xf>
    <xf numFmtId="0" fontId="24" fillId="3" borderId="0" xfId="0" applyFont="1" applyFill="1" applyAlignment="1">
      <alignment vertical="center" wrapText="1"/>
    </xf>
    <xf numFmtId="0" fontId="24" fillId="3" borderId="0" xfId="0" applyFont="1" applyFill="1"/>
    <xf numFmtId="0" fontId="24" fillId="3" borderId="0" xfId="0" applyFont="1" applyFill="1" applyAlignment="1">
      <alignment horizontal="center" vertical="center" wrapText="1"/>
    </xf>
    <xf numFmtId="0" fontId="69" fillId="3" borderId="0" xfId="0" applyFont="1" applyFill="1" applyAlignment="1">
      <alignment horizontal="center" vertical="center" wrapText="1"/>
    </xf>
    <xf numFmtId="2" fontId="156" fillId="3" borderId="0" xfId="0" applyNumberFormat="1" applyFont="1" applyFill="1" applyAlignment="1">
      <alignment horizontal="center" vertical="center" wrapText="1"/>
    </xf>
    <xf numFmtId="169" fontId="69" fillId="3" borderId="0" xfId="0" applyNumberFormat="1" applyFont="1" applyFill="1" applyBorder="1" applyProtection="1"/>
    <xf numFmtId="176" fontId="69" fillId="3" borderId="0" xfId="0" applyNumberFormat="1" applyFont="1" applyFill="1" applyBorder="1" applyAlignment="1" applyProtection="1">
      <alignment horizontal="center"/>
    </xf>
    <xf numFmtId="176" fontId="45" fillId="3" borderId="76" xfId="0" applyNumberFormat="1" applyFont="1" applyFill="1" applyBorder="1" applyProtection="1"/>
    <xf numFmtId="1" fontId="45" fillId="3" borderId="76" xfId="0" applyNumberFormat="1" applyFont="1" applyFill="1" applyBorder="1" applyProtection="1"/>
    <xf numFmtId="0" fontId="74" fillId="0" borderId="0" xfId="0" applyFont="1" applyFill="1"/>
    <xf numFmtId="7" fontId="74" fillId="0" borderId="0" xfId="0" applyNumberFormat="1" applyFont="1" applyFill="1"/>
    <xf numFmtId="14" fontId="74" fillId="0" borderId="0" xfId="0" applyNumberFormat="1" applyFont="1" applyFill="1"/>
    <xf numFmtId="10" fontId="74" fillId="0" borderId="0" xfId="0" applyNumberFormat="1" applyFont="1" applyFill="1"/>
    <xf numFmtId="1" fontId="74" fillId="0" borderId="0" xfId="0" applyNumberFormat="1" applyFont="1" applyFill="1"/>
    <xf numFmtId="166" fontId="74" fillId="0" borderId="0" xfId="0" applyNumberFormat="1" applyFont="1" applyFill="1"/>
    <xf numFmtId="166" fontId="86" fillId="3" borderId="67" xfId="1" applyNumberFormat="1" applyFont="1" applyFill="1" applyBorder="1" applyAlignment="1" applyProtection="1">
      <alignment horizontal="right" vertical="center"/>
    </xf>
    <xf numFmtId="0" fontId="86" fillId="7" borderId="0" xfId="0" applyFont="1" applyFill="1" applyBorder="1" applyAlignment="1" applyProtection="1">
      <alignment horizontal="center" vertical="center"/>
    </xf>
    <xf numFmtId="0" fontId="86" fillId="7" borderId="45" xfId="0" applyFont="1" applyFill="1" applyBorder="1" applyAlignment="1" applyProtection="1">
      <alignment horizontal="center" vertical="center"/>
    </xf>
    <xf numFmtId="166" fontId="86" fillId="3" borderId="46" xfId="0" applyNumberFormat="1" applyFont="1" applyFill="1" applyBorder="1" applyAlignment="1" applyProtection="1">
      <alignment horizontal="center" vertical="center"/>
      <protection locked="0"/>
    </xf>
    <xf numFmtId="166" fontId="24" fillId="3" borderId="45" xfId="0" applyNumberFormat="1" applyFont="1" applyFill="1" applyBorder="1" applyAlignment="1" applyProtection="1">
      <alignment vertical="center"/>
      <protection locked="0"/>
    </xf>
    <xf numFmtId="0" fontId="0" fillId="3" borderId="0" xfId="0" applyFill="1" applyAlignment="1">
      <alignment horizontal="left" vertical="center"/>
    </xf>
    <xf numFmtId="0" fontId="59" fillId="3" borderId="0" xfId="0" applyFont="1" applyFill="1" applyAlignment="1">
      <alignment horizontal="left" vertical="center"/>
    </xf>
    <xf numFmtId="0" fontId="157" fillId="3" borderId="0" xfId="0" applyFont="1" applyFill="1"/>
    <xf numFmtId="0" fontId="158" fillId="3" borderId="0" xfId="0" applyFont="1" applyFill="1" applyAlignment="1">
      <alignment horizontal="left" vertical="center" indent="1"/>
    </xf>
    <xf numFmtId="0" fontId="158" fillId="3" borderId="0" xfId="0" applyFont="1" applyFill="1" applyAlignment="1">
      <alignment vertical="center"/>
    </xf>
    <xf numFmtId="0" fontId="26" fillId="2" borderId="74" xfId="0" applyFont="1" applyFill="1" applyBorder="1" applyAlignment="1" applyProtection="1">
      <alignment horizontal="left" vertical="center"/>
    </xf>
    <xf numFmtId="0" fontId="35" fillId="3" borderId="74" xfId="0" applyFont="1" applyFill="1" applyBorder="1" applyAlignment="1" applyProtection="1">
      <alignment horizontal="center" vertical="center"/>
    </xf>
    <xf numFmtId="0" fontId="26" fillId="3" borderId="74" xfId="0" applyFont="1" applyFill="1" applyBorder="1" applyAlignment="1" applyProtection="1">
      <alignment horizontal="center"/>
    </xf>
    <xf numFmtId="0" fontId="24" fillId="2" borderId="76" xfId="0" applyFont="1" applyFill="1" applyBorder="1" applyAlignment="1" applyProtection="1">
      <alignment horizontal="left" vertical="center"/>
    </xf>
    <xf numFmtId="0" fontId="116" fillId="3" borderId="0" xfId="0" applyFont="1" applyFill="1" applyProtection="1"/>
    <xf numFmtId="0" fontId="116" fillId="3" borderId="0" xfId="0" applyFont="1" applyFill="1" applyBorder="1" applyProtection="1"/>
    <xf numFmtId="0" fontId="32" fillId="16" borderId="0" xfId="0" applyFont="1" applyFill="1" applyBorder="1" applyAlignment="1" applyProtection="1">
      <alignment vertical="top" wrapText="1"/>
    </xf>
    <xf numFmtId="0" fontId="116" fillId="3" borderId="0" xfId="0" applyFont="1" applyFill="1" applyAlignment="1" applyProtection="1">
      <alignment horizontal="center" vertical="center"/>
    </xf>
    <xf numFmtId="0" fontId="116" fillId="3" borderId="0" xfId="0" applyFont="1" applyFill="1" applyBorder="1" applyAlignment="1" applyProtection="1">
      <alignment horizontal="center" vertical="center"/>
    </xf>
    <xf numFmtId="0" fontId="118" fillId="3" borderId="0" xfId="0" applyFont="1" applyFill="1" applyAlignment="1" applyProtection="1">
      <alignment horizontal="left" vertical="center"/>
    </xf>
    <xf numFmtId="0" fontId="119" fillId="3" borderId="0" xfId="0" applyFont="1" applyFill="1" applyBorder="1" applyAlignment="1" applyProtection="1">
      <alignment horizontal="left" vertical="top" wrapText="1"/>
    </xf>
    <xf numFmtId="164" fontId="69" fillId="3" borderId="0" xfId="0" applyNumberFormat="1" applyFont="1" applyFill="1" applyBorder="1" applyAlignment="1" applyProtection="1">
      <alignment horizontal="center"/>
    </xf>
    <xf numFmtId="0" fontId="23" fillId="3" borderId="76" xfId="1" applyNumberFormat="1" applyFont="1" applyFill="1" applyBorder="1" applyAlignment="1" applyProtection="1">
      <alignment horizontal="left" vertical="center" indent="1"/>
      <protection locked="0"/>
    </xf>
    <xf numFmtId="0" fontId="23" fillId="3" borderId="46" xfId="0" applyNumberFormat="1" applyFont="1" applyFill="1" applyBorder="1" applyAlignment="1" applyProtection="1">
      <protection locked="0"/>
    </xf>
    <xf numFmtId="0" fontId="23" fillId="3" borderId="46" xfId="0" applyFont="1" applyFill="1" applyBorder="1" applyAlignment="1" applyProtection="1">
      <alignment horizontal="center"/>
      <protection locked="0"/>
    </xf>
    <xf numFmtId="0" fontId="101" fillId="3" borderId="0" xfId="0" applyFont="1" applyFill="1" applyBorder="1"/>
    <xf numFmtId="2" fontId="69" fillId="3" borderId="0" xfId="0" applyNumberFormat="1" applyFont="1" applyFill="1" applyBorder="1"/>
    <xf numFmtId="1" fontId="140" fillId="3" borderId="0" xfId="1" applyNumberFormat="1" applyFont="1" applyFill="1" applyBorder="1" applyAlignment="1" applyProtection="1">
      <alignment horizontal="center" vertical="center"/>
    </xf>
    <xf numFmtId="0" fontId="23" fillId="14" borderId="46" xfId="0" applyNumberFormat="1" applyFont="1" applyFill="1" applyBorder="1" applyAlignment="1" applyProtection="1">
      <protection locked="0"/>
    </xf>
    <xf numFmtId="0" fontId="148" fillId="3" borderId="0" xfId="0" applyFont="1" applyFill="1" applyBorder="1" applyProtection="1"/>
    <xf numFmtId="0" fontId="23" fillId="3" borderId="48" xfId="0" applyNumberFormat="1" applyFont="1" applyFill="1" applyBorder="1" applyAlignment="1" applyProtection="1">
      <protection locked="0"/>
    </xf>
    <xf numFmtId="0" fontId="23" fillId="4" borderId="0" xfId="0" applyNumberFormat="1" applyFont="1" applyFill="1" applyBorder="1" applyAlignment="1" applyProtection="1">
      <alignment horizontal="center" vertical="center" wrapText="1"/>
    </xf>
    <xf numFmtId="0" fontId="23" fillId="14" borderId="31" xfId="0" applyFont="1" applyFill="1" applyBorder="1" applyProtection="1">
      <protection locked="0"/>
    </xf>
    <xf numFmtId="0" fontId="23" fillId="4" borderId="65" xfId="0" applyFont="1" applyFill="1" applyBorder="1" applyAlignment="1" applyProtection="1">
      <alignment vertical="center"/>
    </xf>
    <xf numFmtId="0" fontId="23" fillId="4" borderId="65" xfId="0" applyFont="1" applyFill="1" applyBorder="1" applyProtection="1"/>
    <xf numFmtId="165" fontId="23" fillId="4" borderId="76" xfId="1" applyNumberFormat="1" applyFont="1" applyFill="1" applyBorder="1" applyAlignment="1" applyProtection="1">
      <alignment horizontal="center"/>
    </xf>
    <xf numFmtId="0" fontId="23" fillId="26" borderId="76" xfId="0" applyFont="1" applyFill="1" applyBorder="1" applyAlignment="1" applyProtection="1">
      <alignment horizontal="center"/>
    </xf>
    <xf numFmtId="0" fontId="23" fillId="3" borderId="76" xfId="0" applyFont="1" applyFill="1" applyBorder="1" applyAlignment="1" applyProtection="1">
      <alignment horizontal="center" vertical="center"/>
    </xf>
    <xf numFmtId="0" fontId="23" fillId="2" borderId="76" xfId="0" applyFont="1" applyFill="1" applyBorder="1" applyAlignment="1" applyProtection="1">
      <alignment horizontal="left" vertical="center"/>
    </xf>
    <xf numFmtId="0" fontId="76" fillId="3" borderId="0" xfId="0" applyFont="1" applyFill="1" applyBorder="1" applyAlignment="1" applyProtection="1">
      <alignment vertical="top"/>
    </xf>
    <xf numFmtId="0" fontId="159" fillId="16" borderId="0" xfId="0" applyFont="1" applyFill="1" applyBorder="1" applyAlignment="1">
      <alignment vertical="top"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vertical="center"/>
    </xf>
    <xf numFmtId="0" fontId="159" fillId="3" borderId="0" xfId="0" applyFont="1" applyFill="1" applyBorder="1" applyAlignment="1" applyProtection="1">
      <alignment horizontal="left" vertical="top"/>
    </xf>
    <xf numFmtId="0" fontId="159" fillId="3" borderId="0" xfId="0" applyFont="1" applyFill="1" applyBorder="1" applyAlignment="1" applyProtection="1">
      <alignment vertical="top"/>
    </xf>
    <xf numFmtId="0" fontId="78" fillId="3" borderId="0" xfId="0" applyFont="1" applyFill="1" applyBorder="1" applyAlignment="1" applyProtection="1">
      <alignment vertical="center"/>
    </xf>
    <xf numFmtId="0" fontId="78" fillId="3" borderId="0" xfId="0" applyFont="1" applyFill="1" applyBorder="1" applyAlignment="1" applyProtection="1">
      <alignment horizontal="center" vertical="center"/>
    </xf>
    <xf numFmtId="0" fontId="78" fillId="3" borderId="0" xfId="0" applyFont="1" applyFill="1" applyBorder="1" applyAlignment="1" applyProtection="1">
      <alignment horizontal="center" vertical="center" wrapText="1"/>
    </xf>
    <xf numFmtId="0" fontId="145" fillId="3" borderId="0" xfId="0" applyFont="1" applyFill="1" applyBorder="1" applyAlignment="1" applyProtection="1">
      <alignment horizontal="center" vertical="center"/>
    </xf>
    <xf numFmtId="0" fontId="145" fillId="3" borderId="0" xfId="0" applyFont="1" applyFill="1" applyBorder="1" applyAlignment="1" applyProtection="1">
      <alignment vertical="center"/>
    </xf>
    <xf numFmtId="0" fontId="160" fillId="3" borderId="0" xfId="2" applyFont="1" applyFill="1" applyBorder="1" applyAlignment="1" applyProtection="1">
      <alignment vertical="center"/>
    </xf>
    <xf numFmtId="0" fontId="145" fillId="3" borderId="0" xfId="0" applyFont="1" applyFill="1" applyBorder="1" applyAlignment="1" applyProtection="1">
      <alignment horizontal="center" vertical="center" wrapText="1"/>
    </xf>
    <xf numFmtId="1" fontId="145" fillId="3" borderId="0" xfId="0" applyNumberFormat="1" applyFont="1" applyFill="1" applyBorder="1" applyAlignment="1" applyProtection="1">
      <alignment vertical="center"/>
    </xf>
    <xf numFmtId="0" fontId="116" fillId="3" borderId="133" xfId="0" applyFont="1" applyFill="1" applyBorder="1" applyProtection="1"/>
    <xf numFmtId="0" fontId="98" fillId="3" borderId="0" xfId="0" applyFont="1" applyFill="1" applyBorder="1" applyAlignment="1" applyProtection="1">
      <alignment vertical="center" wrapText="1"/>
    </xf>
    <xf numFmtId="0" fontId="110" fillId="3" borderId="0" xfId="0" applyNumberFormat="1" applyFont="1" applyFill="1" applyBorder="1" applyAlignment="1" applyProtection="1">
      <alignment horizontal="center" vertical="center" wrapText="1"/>
    </xf>
    <xf numFmtId="0" fontId="110" fillId="3" borderId="0" xfId="0" applyFont="1" applyFill="1" applyAlignment="1">
      <alignment horizontal="left" wrapText="1"/>
    </xf>
    <xf numFmtId="0" fontId="110" fillId="3" borderId="0" xfId="0" applyFont="1" applyFill="1" applyAlignment="1" applyProtection="1">
      <alignment horizontal="center" wrapText="1"/>
    </xf>
    <xf numFmtId="0" fontId="128" fillId="3" borderId="0" xfId="0" applyFont="1" applyFill="1" applyBorder="1" applyAlignment="1">
      <alignment horizontal="left" indent="1"/>
    </xf>
    <xf numFmtId="0" fontId="74" fillId="3" borderId="0" xfId="0" applyFont="1" applyFill="1" applyAlignment="1">
      <alignment horizontal="left" vertical="center"/>
    </xf>
    <xf numFmtId="0" fontId="116" fillId="3" borderId="0" xfId="0" applyFont="1" applyFill="1" applyAlignment="1">
      <alignment horizontal="left" vertical="center"/>
    </xf>
    <xf numFmtId="0" fontId="0" fillId="0" borderId="0" xfId="0" applyBorder="1"/>
    <xf numFmtId="0" fontId="161" fillId="0" borderId="0" xfId="0" applyFont="1" applyBorder="1" applyAlignment="1">
      <alignment horizontal="left" vertical="center" wrapText="1" indent="1"/>
    </xf>
    <xf numFmtId="0" fontId="22" fillId="2" borderId="76" xfId="0" applyFont="1" applyFill="1" applyBorder="1" applyAlignment="1" applyProtection="1">
      <alignment horizontal="left" vertical="center"/>
    </xf>
    <xf numFmtId="0" fontId="22" fillId="3" borderId="76" xfId="0" applyFont="1" applyFill="1" applyBorder="1" applyAlignment="1" applyProtection="1">
      <alignment horizontal="center" vertical="center"/>
    </xf>
    <xf numFmtId="0" fontId="119" fillId="3" borderId="0" xfId="0" applyFont="1" applyFill="1" applyBorder="1" applyAlignment="1" applyProtection="1">
      <alignment horizontal="left" vertical="top" wrapText="1"/>
    </xf>
    <xf numFmtId="0" fontId="69" fillId="3" borderId="0" xfId="0" applyNumberFormat="1" applyFont="1" applyFill="1" applyBorder="1" applyAlignment="1" applyProtection="1">
      <alignment horizontal="center"/>
    </xf>
    <xf numFmtId="0" fontId="76" fillId="3" borderId="0" xfId="0" applyFont="1" applyFill="1" applyBorder="1" applyAlignment="1" applyProtection="1">
      <alignment vertical="top" wrapText="1"/>
    </xf>
    <xf numFmtId="0" fontId="21" fillId="16" borderId="0" xfId="0" applyFont="1" applyFill="1" applyBorder="1" applyAlignment="1" applyProtection="1">
      <alignment vertical="top" wrapText="1"/>
    </xf>
    <xf numFmtId="0" fontId="21" fillId="3" borderId="76" xfId="0" applyFont="1" applyFill="1" applyBorder="1" applyAlignment="1" applyProtection="1">
      <alignment horizontal="center"/>
      <protection locked="0"/>
    </xf>
    <xf numFmtId="0" fontId="21" fillId="16" borderId="0" xfId="0" applyFont="1" applyFill="1" applyAlignment="1">
      <alignment vertical="top" wrapText="1"/>
    </xf>
    <xf numFmtId="0" fontId="74" fillId="3" borderId="0" xfId="0" applyFont="1" applyFill="1" applyProtection="1">
      <protection locked="0"/>
    </xf>
    <xf numFmtId="0" fontId="21" fillId="3" borderId="0" xfId="0" applyNumberFormat="1" applyFont="1" applyFill="1" applyBorder="1" applyAlignment="1" applyProtection="1">
      <protection locked="0"/>
    </xf>
    <xf numFmtId="0" fontId="21" fillId="3" borderId="45" xfId="0" applyNumberFormat="1" applyFont="1" applyFill="1" applyBorder="1" applyAlignment="1" applyProtection="1">
      <protection locked="0"/>
    </xf>
    <xf numFmtId="14" fontId="21" fillId="3" borderId="29" xfId="0" applyNumberFormat="1" applyFont="1" applyFill="1" applyBorder="1" applyAlignment="1" applyProtection="1">
      <alignment horizontal="center" vertical="center"/>
      <protection locked="0"/>
    </xf>
    <xf numFmtId="14" fontId="21" fillId="14" borderId="29" xfId="0" applyNumberFormat="1" applyFont="1" applyFill="1" applyBorder="1" applyAlignment="1" applyProtection="1">
      <alignment horizontal="center" vertical="center"/>
      <protection locked="0"/>
    </xf>
    <xf numFmtId="0" fontId="21" fillId="3" borderId="29" xfId="0" applyNumberFormat="1" applyFont="1" applyFill="1" applyBorder="1" applyAlignment="1" applyProtection="1">
      <alignment horizontal="center" vertical="center"/>
      <protection locked="0"/>
    </xf>
    <xf numFmtId="0" fontId="21" fillId="14" borderId="29" xfId="0" applyNumberFormat="1" applyFont="1" applyFill="1" applyBorder="1" applyAlignment="1" applyProtection="1">
      <alignment horizontal="center" vertical="center"/>
      <protection locked="0"/>
    </xf>
    <xf numFmtId="0" fontId="21" fillId="3" borderId="30" xfId="0" applyNumberFormat="1" applyFont="1" applyFill="1" applyBorder="1" applyAlignment="1" applyProtection="1">
      <alignment horizontal="center" vertical="center"/>
      <protection locked="0"/>
    </xf>
    <xf numFmtId="0" fontId="21" fillId="14" borderId="0" xfId="0" applyNumberFormat="1" applyFont="1" applyFill="1" applyBorder="1" applyAlignment="1" applyProtection="1">
      <protection locked="0"/>
    </xf>
    <xf numFmtId="0" fontId="21" fillId="3" borderId="31" xfId="0" applyNumberFormat="1" applyFont="1" applyFill="1" applyBorder="1" applyAlignment="1" applyProtection="1">
      <protection locked="0"/>
    </xf>
    <xf numFmtId="0" fontId="21" fillId="14" borderId="45" xfId="0" applyNumberFormat="1" applyFont="1" applyFill="1" applyBorder="1" applyAlignment="1" applyProtection="1">
      <protection locked="0"/>
    </xf>
    <xf numFmtId="0" fontId="21" fillId="3" borderId="34" xfId="0" applyNumberFormat="1" applyFont="1" applyFill="1" applyBorder="1" applyAlignment="1" applyProtection="1">
      <protection locked="0"/>
    </xf>
    <xf numFmtId="0" fontId="69" fillId="3" borderId="0" xfId="0" applyNumberFormat="1" applyFont="1" applyFill="1" applyBorder="1" applyAlignment="1" applyProtection="1">
      <alignment horizontal="center"/>
    </xf>
    <xf numFmtId="0" fontId="85" fillId="3" borderId="0" xfId="0" applyFont="1" applyFill="1" applyBorder="1" applyAlignment="1">
      <alignment horizontal="left" indent="1"/>
    </xf>
    <xf numFmtId="0" fontId="85" fillId="3" borderId="46" xfId="0" applyFont="1" applyFill="1" applyBorder="1" applyAlignment="1">
      <alignment horizontal="left" indent="1"/>
    </xf>
    <xf numFmtId="0" fontId="55" fillId="3" borderId="0" xfId="0" applyFont="1" applyFill="1" applyBorder="1" applyAlignment="1">
      <alignment vertical="top" wrapText="1"/>
    </xf>
    <xf numFmtId="0" fontId="46" fillId="3" borderId="0" xfId="0" applyFont="1" applyFill="1" applyBorder="1" applyAlignment="1" applyProtection="1">
      <alignment vertical="top" wrapText="1"/>
    </xf>
    <xf numFmtId="0" fontId="74" fillId="3" borderId="0" xfId="0" applyFont="1" applyFill="1" applyBorder="1" applyAlignment="1" applyProtection="1">
      <alignment wrapText="1"/>
    </xf>
    <xf numFmtId="0" fontId="43" fillId="3" borderId="0" xfId="0" applyFont="1" applyFill="1" applyBorder="1" applyAlignment="1" applyProtection="1">
      <alignment vertical="top" wrapText="1"/>
    </xf>
    <xf numFmtId="0" fontId="103" fillId="3" borderId="0" xfId="0" applyFont="1" applyFill="1" applyBorder="1" applyAlignment="1"/>
    <xf numFmtId="0" fontId="170" fillId="3" borderId="0" xfId="0" applyFont="1" applyFill="1" applyAlignment="1" applyProtection="1">
      <alignment horizontal="center" vertical="top"/>
    </xf>
    <xf numFmtId="0" fontId="55" fillId="3" borderId="0" xfId="0" applyFont="1" applyFill="1" applyBorder="1" applyAlignment="1" applyProtection="1">
      <alignment vertical="top" wrapText="1"/>
    </xf>
    <xf numFmtId="0" fontId="170" fillId="3" borderId="0" xfId="0" applyFont="1" applyFill="1" applyBorder="1" applyAlignment="1" applyProtection="1">
      <alignment horizontal="left" vertical="top" indent="1"/>
    </xf>
    <xf numFmtId="0" fontId="171" fillId="0" borderId="0" xfId="0" applyFont="1" applyBorder="1"/>
    <xf numFmtId="0" fontId="171" fillId="0" borderId="0" xfId="0" applyFont="1" applyBorder="1" applyAlignment="1">
      <alignment horizontal="left" vertical="center" wrapText="1" indent="1"/>
    </xf>
    <xf numFmtId="0" fontId="171" fillId="0" borderId="0" xfId="0" applyFont="1"/>
    <xf numFmtId="0" fontId="76" fillId="0" borderId="0" xfId="0" applyNumberFormat="1" applyFont="1" applyFill="1" applyBorder="1" applyAlignment="1" applyProtection="1"/>
    <xf numFmtId="0" fontId="76" fillId="0" borderId="0" xfId="0" applyNumberFormat="1" applyFont="1" applyFill="1" applyBorder="1" applyAlignment="1" applyProtection="1">
      <alignment vertical="center"/>
    </xf>
    <xf numFmtId="0" fontId="76" fillId="0" borderId="0" xfId="0" applyNumberFormat="1" applyFont="1" applyFill="1" applyBorder="1" applyAlignment="1" applyProtection="1">
      <alignment horizontal="center" wrapText="1"/>
    </xf>
    <xf numFmtId="0" fontId="88" fillId="0" borderId="0" xfId="0" applyNumberFormat="1" applyFont="1" applyFill="1" applyBorder="1" applyAlignment="1" applyProtection="1"/>
    <xf numFmtId="164" fontId="173" fillId="3" borderId="0" xfId="0" applyNumberFormat="1" applyFont="1" applyFill="1" applyBorder="1" applyAlignment="1" applyProtection="1">
      <alignment horizontal="left" vertical="top" indent="1"/>
    </xf>
    <xf numFmtId="0" fontId="71" fillId="3" borderId="0" xfId="0" applyNumberFormat="1" applyFont="1" applyFill="1" applyBorder="1" applyAlignment="1" applyProtection="1">
      <alignment vertical="top" textRotation="180"/>
    </xf>
    <xf numFmtId="0" fontId="20" fillId="3" borderId="46" xfId="0" applyFont="1" applyFill="1" applyBorder="1" applyAlignment="1" applyProtection="1">
      <alignment horizontal="center"/>
      <protection locked="0"/>
    </xf>
    <xf numFmtId="0" fontId="174" fillId="3" borderId="0" xfId="0" applyNumberFormat="1" applyFont="1" applyFill="1" applyBorder="1" applyAlignment="1" applyProtection="1"/>
    <xf numFmtId="0" fontId="114" fillId="3" borderId="0" xfId="0" applyNumberFormat="1" applyFont="1" applyFill="1" applyBorder="1" applyAlignment="1" applyProtection="1"/>
    <xf numFmtId="0" fontId="175" fillId="3" borderId="0" xfId="0" applyNumberFormat="1" applyFont="1" applyFill="1" applyBorder="1" applyAlignment="1" applyProtection="1">
      <alignment horizontal="center" vertical="center" wrapText="1"/>
    </xf>
    <xf numFmtId="0" fontId="19" fillId="3" borderId="76" xfId="0" applyFont="1" applyFill="1" applyBorder="1" applyAlignment="1" applyProtection="1">
      <alignment horizontal="center" vertical="center"/>
      <protection locked="0"/>
    </xf>
    <xf numFmtId="0" fontId="176" fillId="3" borderId="0" xfId="0" applyNumberFormat="1" applyFont="1" applyFill="1" applyBorder="1" applyAlignment="1" applyProtection="1">
      <alignment vertical="top" textRotation="180"/>
    </xf>
    <xf numFmtId="0" fontId="74" fillId="0" borderId="0" xfId="0" applyFont="1" applyProtection="1">
      <protection locked="0"/>
    </xf>
    <xf numFmtId="0" fontId="69" fillId="3" borderId="28" xfId="0" applyNumberFormat="1" applyFont="1" applyFill="1" applyBorder="1" applyAlignment="1" applyProtection="1">
      <alignment vertical="center"/>
    </xf>
    <xf numFmtId="0" fontId="19" fillId="3" borderId="0" xfId="0" applyNumberFormat="1" applyFont="1" applyFill="1" applyBorder="1" applyAlignment="1" applyProtection="1">
      <protection locked="0"/>
    </xf>
    <xf numFmtId="0" fontId="19" fillId="3" borderId="45" xfId="0" applyNumberFormat="1" applyFont="1" applyFill="1" applyBorder="1" applyAlignment="1" applyProtection="1">
      <protection locked="0"/>
    </xf>
    <xf numFmtId="0" fontId="19" fillId="14" borderId="0" xfId="0" applyNumberFormat="1" applyFont="1" applyFill="1" applyBorder="1" applyAlignment="1" applyProtection="1">
      <protection locked="0"/>
    </xf>
    <xf numFmtId="0" fontId="19" fillId="14" borderId="45" xfId="0" applyNumberFormat="1" applyFont="1" applyFill="1" applyBorder="1" applyAlignment="1" applyProtection="1">
      <protection locked="0"/>
    </xf>
    <xf numFmtId="0" fontId="19" fillId="3" borderId="76" xfId="1" applyNumberFormat="1" applyFont="1" applyFill="1" applyBorder="1" applyAlignment="1" applyProtection="1">
      <alignment horizontal="left" vertical="center" indent="1"/>
      <protection locked="0"/>
    </xf>
    <xf numFmtId="0" fontId="19" fillId="26" borderId="0" xfId="0" applyFont="1" applyFill="1" applyAlignment="1" applyProtection="1">
      <alignment horizontal="left" vertical="center"/>
    </xf>
    <xf numFmtId="165" fontId="69" fillId="3" borderId="0" xfId="1" applyNumberFormat="1" applyFont="1" applyFill="1" applyBorder="1" applyAlignment="1">
      <alignment horizontal="center"/>
    </xf>
    <xf numFmtId="0" fontId="177" fillId="3" borderId="0" xfId="0" applyFont="1" applyFill="1" applyBorder="1"/>
    <xf numFmtId="165" fontId="177" fillId="3" borderId="0" xfId="1" applyNumberFormat="1" applyFont="1" applyFill="1" applyBorder="1" applyAlignment="1">
      <alignment horizontal="center"/>
    </xf>
    <xf numFmtId="0" fontId="177" fillId="3" borderId="0" xfId="0" applyFont="1" applyFill="1" applyBorder="1" applyProtection="1"/>
    <xf numFmtId="0" fontId="19" fillId="3" borderId="76" xfId="0" applyFont="1" applyFill="1" applyBorder="1" applyAlignment="1" applyProtection="1">
      <alignment horizontal="center"/>
    </xf>
    <xf numFmtId="176" fontId="69" fillId="3" borderId="0" xfId="0" applyNumberFormat="1" applyFont="1" applyFill="1" applyBorder="1"/>
    <xf numFmtId="1" fontId="52" fillId="3" borderId="0" xfId="0" applyNumberFormat="1" applyFont="1" applyFill="1" applyBorder="1" applyAlignment="1"/>
    <xf numFmtId="1" fontId="52" fillId="3" borderId="0" xfId="0" applyNumberFormat="1" applyFont="1" applyFill="1" applyBorder="1" applyAlignment="1">
      <alignment horizontal="center"/>
    </xf>
    <xf numFmtId="0" fontId="69" fillId="3" borderId="60" xfId="0" applyFont="1" applyFill="1" applyBorder="1"/>
    <xf numFmtId="0" fontId="40" fillId="3" borderId="138" xfId="0" applyFont="1" applyFill="1" applyBorder="1" applyAlignment="1">
      <alignment horizontal="center"/>
    </xf>
    <xf numFmtId="0" fontId="40" fillId="3" borderId="139" xfId="0" applyFont="1" applyFill="1" applyBorder="1" applyAlignment="1">
      <alignment horizontal="center"/>
    </xf>
    <xf numFmtId="0" fontId="91" fillId="3" borderId="140" xfId="0" applyFont="1" applyFill="1" applyBorder="1" applyAlignment="1">
      <alignment horizontal="center"/>
    </xf>
    <xf numFmtId="0" fontId="91" fillId="3" borderId="141" xfId="0" applyFont="1" applyFill="1" applyBorder="1" applyAlignment="1">
      <alignment horizontal="center"/>
    </xf>
    <xf numFmtId="0" fontId="91" fillId="3" borderId="142" xfId="0" applyFont="1" applyFill="1" applyBorder="1" applyAlignment="1">
      <alignment horizontal="center"/>
    </xf>
    <xf numFmtId="0" fontId="19" fillId="3" borderId="0" xfId="0" applyFont="1" applyFill="1" applyBorder="1" applyAlignment="1">
      <alignment horizontal="left" vertical="center"/>
    </xf>
    <xf numFmtId="0" fontId="91" fillId="29" borderId="142" xfId="0" applyFont="1" applyFill="1" applyBorder="1" applyAlignment="1">
      <alignment horizontal="center"/>
    </xf>
    <xf numFmtId="0" fontId="91" fillId="29" borderId="141" xfId="0" applyFont="1" applyFill="1" applyBorder="1" applyAlignment="1">
      <alignment horizontal="center"/>
    </xf>
    <xf numFmtId="6" fontId="91" fillId="3" borderId="0" xfId="0" applyNumberFormat="1" applyFont="1" applyFill="1" applyBorder="1" applyAlignment="1">
      <alignment horizontal="right" indent="1"/>
    </xf>
    <xf numFmtId="165" fontId="55" fillId="3" borderId="29" xfId="1" applyNumberFormat="1" applyFont="1" applyFill="1" applyBorder="1" applyAlignment="1" applyProtection="1">
      <alignment horizontal="right" vertical="center" indent="1"/>
      <protection locked="0"/>
    </xf>
    <xf numFmtId="0" fontId="17" fillId="3" borderId="76" xfId="0" applyFont="1" applyFill="1" applyBorder="1" applyAlignment="1" applyProtection="1">
      <alignment horizontal="center" vertical="center"/>
      <protection locked="0"/>
    </xf>
    <xf numFmtId="166" fontId="123" fillId="3" borderId="11" xfId="1" applyFont="1" applyFill="1" applyBorder="1" applyAlignment="1" applyProtection="1">
      <alignment horizontal="center" vertical="center"/>
      <protection locked="0"/>
    </xf>
    <xf numFmtId="14" fontId="123" fillId="3" borderId="11" xfId="0" applyNumberFormat="1" applyFont="1" applyFill="1" applyBorder="1" applyAlignment="1" applyProtection="1">
      <alignment horizontal="center" vertical="center"/>
      <protection locked="0"/>
    </xf>
    <xf numFmtId="166" fontId="123" fillId="3" borderId="1" xfId="1" applyFont="1" applyFill="1" applyBorder="1" applyAlignment="1" applyProtection="1">
      <alignment horizontal="center" vertical="center"/>
      <protection locked="0"/>
    </xf>
    <xf numFmtId="14" fontId="123" fillId="3" borderId="1" xfId="0" applyNumberFormat="1" applyFont="1" applyFill="1" applyBorder="1" applyAlignment="1" applyProtection="1">
      <alignment horizontal="center" vertical="center"/>
      <protection locked="0"/>
    </xf>
    <xf numFmtId="10" fontId="128" fillId="14" borderId="11" xfId="3" applyNumberFormat="1" applyFont="1" applyFill="1" applyBorder="1" applyAlignment="1">
      <alignment horizontal="center" vertical="center"/>
    </xf>
    <xf numFmtId="10" fontId="128" fillId="14" borderId="1" xfId="3" applyNumberFormat="1" applyFont="1" applyFill="1" applyBorder="1" applyAlignment="1">
      <alignment horizontal="center" vertical="center"/>
    </xf>
    <xf numFmtId="0" fontId="16" fillId="2" borderId="76" xfId="0" applyFont="1" applyFill="1" applyBorder="1" applyAlignment="1" applyProtection="1">
      <alignment horizontal="left" vertical="center"/>
    </xf>
    <xf numFmtId="0" fontId="91" fillId="3" borderId="0" xfId="0" applyFont="1" applyFill="1" applyBorder="1" applyProtection="1"/>
    <xf numFmtId="0" fontId="91" fillId="3" borderId="0" xfId="0" applyFont="1" applyFill="1" applyBorder="1" applyAlignment="1" applyProtection="1">
      <alignment horizontal="center" vertical="center"/>
    </xf>
    <xf numFmtId="0" fontId="98" fillId="3" borderId="0" xfId="0" applyFont="1" applyFill="1" applyAlignment="1">
      <alignment horizontal="left" vertical="top"/>
    </xf>
    <xf numFmtId="0" fontId="180" fillId="3" borderId="0" xfId="0" applyFont="1" applyFill="1"/>
    <xf numFmtId="0" fontId="15" fillId="3" borderId="76" xfId="0" applyFont="1" applyFill="1" applyBorder="1" applyAlignment="1" applyProtection="1">
      <alignment horizontal="center" vertical="center"/>
    </xf>
    <xf numFmtId="0" fontId="52" fillId="17" borderId="60" xfId="0" applyFont="1" applyFill="1" applyBorder="1" applyAlignment="1">
      <alignment horizontal="center"/>
    </xf>
    <xf numFmtId="0" fontId="110" fillId="3" borderId="0" xfId="0" applyFont="1" applyFill="1" applyAlignment="1">
      <alignment horizontal="left" wrapText="1" indent="2"/>
    </xf>
    <xf numFmtId="166" fontId="74" fillId="0" borderId="0" xfId="1" applyFont="1" applyBorder="1" applyProtection="1">
      <alignment horizontal="right"/>
      <protection locked="0"/>
    </xf>
    <xf numFmtId="0" fontId="52" fillId="4" borderId="71" xfId="0" applyFont="1" applyFill="1" applyBorder="1" applyAlignment="1"/>
    <xf numFmtId="171" fontId="147" fillId="22" borderId="144" xfId="0" applyNumberFormat="1" applyFont="1" applyFill="1" applyBorder="1" applyAlignment="1" applyProtection="1">
      <alignment horizontal="center"/>
      <protection locked="0"/>
    </xf>
    <xf numFmtId="171" fontId="52" fillId="3" borderId="110" xfId="3" applyNumberFormat="1" applyFont="1" applyFill="1" applyBorder="1" applyAlignment="1" applyProtection="1">
      <alignment horizontal="center"/>
      <protection locked="0"/>
    </xf>
    <xf numFmtId="10" fontId="52" fillId="4" borderId="71" xfId="0" applyNumberFormat="1" applyFont="1" applyFill="1" applyBorder="1" applyAlignment="1" applyProtection="1">
      <alignment horizontal="center"/>
    </xf>
    <xf numFmtId="0" fontId="179" fillId="3" borderId="143" xfId="2" applyFont="1" applyFill="1" applyBorder="1" applyAlignment="1" applyProtection="1">
      <alignment vertical="center"/>
    </xf>
    <xf numFmtId="0" fontId="13" fillId="26" borderId="76" xfId="0" applyFont="1" applyFill="1" applyBorder="1" applyAlignment="1" applyProtection="1">
      <alignment horizontal="center" vertical="center"/>
    </xf>
    <xf numFmtId="0" fontId="59" fillId="3" borderId="0" xfId="0" applyFont="1" applyFill="1"/>
    <xf numFmtId="0" fontId="12" fillId="3" borderId="76" xfId="0" applyFont="1" applyFill="1" applyBorder="1" applyProtection="1"/>
    <xf numFmtId="0" fontId="171" fillId="0" borderId="0" xfId="0" applyFont="1" applyBorder="1" applyAlignment="1">
      <alignment vertical="top" wrapText="1"/>
    </xf>
    <xf numFmtId="0" fontId="171" fillId="0" borderId="0" xfId="0" applyFont="1" applyBorder="1" applyAlignment="1"/>
    <xf numFmtId="0" fontId="74" fillId="0" borderId="0" xfId="0" applyFont="1" applyBorder="1"/>
    <xf numFmtId="0" fontId="181" fillId="0" borderId="0" xfId="0" applyFont="1" applyAlignment="1"/>
    <xf numFmtId="0" fontId="182" fillId="0" borderId="0" xfId="0" applyFont="1" applyBorder="1" applyAlignment="1">
      <alignment vertical="center" wrapText="1"/>
    </xf>
    <xf numFmtId="0" fontId="183" fillId="0" borderId="0" xfId="0" applyFont="1" applyBorder="1" applyAlignment="1"/>
    <xf numFmtId="0" fontId="164" fillId="0" borderId="0" xfId="0" applyFont="1" applyBorder="1" applyAlignment="1"/>
    <xf numFmtId="0" fontId="184" fillId="0" borderId="0" xfId="0" applyFont="1" applyBorder="1" applyAlignment="1">
      <alignment vertical="top"/>
    </xf>
    <xf numFmtId="0" fontId="74" fillId="0" borderId="145" xfId="0" applyFont="1" applyBorder="1"/>
    <xf numFmtId="0" fontId="169" fillId="0" borderId="0" xfId="0" applyFont="1" applyAlignment="1">
      <alignment horizontal="right"/>
    </xf>
    <xf numFmtId="0" fontId="105" fillId="0" borderId="0" xfId="0" applyFont="1" applyBorder="1" applyAlignment="1">
      <alignment horizontal="left" vertical="center"/>
    </xf>
    <xf numFmtId="0" fontId="111" fillId="3" borderId="0" xfId="0" applyFont="1" applyFill="1" applyBorder="1" applyAlignment="1" applyProtection="1">
      <alignment horizontal="left" vertical="top" indent="2"/>
    </xf>
    <xf numFmtId="0" fontId="117" fillId="3" borderId="0" xfId="0" applyFont="1" applyFill="1" applyBorder="1" applyAlignment="1" applyProtection="1">
      <alignment horizontal="left" vertical="center"/>
    </xf>
    <xf numFmtId="0" fontId="40" fillId="3" borderId="110" xfId="0" applyFont="1" applyFill="1" applyBorder="1"/>
    <xf numFmtId="0" fontId="40" fillId="3" borderId="95" xfId="0" applyFont="1" applyFill="1" applyBorder="1" applyAlignment="1">
      <alignment horizontal="center" vertical="center"/>
    </xf>
    <xf numFmtId="165" fontId="40" fillId="3" borderId="76" xfId="1" applyNumberFormat="1" applyFont="1" applyFill="1" applyBorder="1" applyAlignment="1">
      <alignment horizontal="center" vertical="center"/>
    </xf>
    <xf numFmtId="165" fontId="188" fillId="0" borderId="76" xfId="1" applyNumberFormat="1" applyFont="1" applyBorder="1" applyAlignment="1">
      <alignment horizontal="center"/>
    </xf>
    <xf numFmtId="0" fontId="40" fillId="4" borderId="25" xfId="0" applyFont="1" applyFill="1" applyBorder="1" applyAlignment="1">
      <alignment horizontal="center" vertical="center"/>
    </xf>
    <xf numFmtId="0" fontId="40" fillId="4" borderId="95" xfId="0" applyFont="1" applyFill="1" applyBorder="1" applyAlignment="1">
      <alignment horizontal="center" vertical="center"/>
    </xf>
    <xf numFmtId="165" fontId="40" fillId="3" borderId="95" xfId="0" applyNumberFormat="1" applyFont="1" applyFill="1" applyBorder="1" applyAlignment="1">
      <alignment horizontal="center"/>
    </xf>
    <xf numFmtId="165" fontId="40" fillId="3" borderId="87" xfId="0" applyNumberFormat="1" applyFont="1" applyFill="1" applyBorder="1" applyAlignment="1">
      <alignment horizontal="center"/>
    </xf>
    <xf numFmtId="0" fontId="40" fillId="4" borderId="76" xfId="0" applyFont="1" applyFill="1" applyBorder="1" applyAlignment="1">
      <alignment horizontal="center"/>
    </xf>
    <xf numFmtId="0" fontId="40" fillId="4" borderId="76" xfId="0" applyFont="1" applyFill="1" applyBorder="1" applyAlignment="1">
      <alignment horizontal="center" vertical="center"/>
    </xf>
    <xf numFmtId="0" fontId="0" fillId="3" borderId="0" xfId="0" applyFill="1" applyBorder="1" applyAlignment="1" applyProtection="1">
      <alignment horizontal="center"/>
      <protection locked="0"/>
    </xf>
    <xf numFmtId="0" fontId="11" fillId="26" borderId="76" xfId="0" applyFont="1" applyFill="1" applyBorder="1" applyAlignment="1" applyProtection="1">
      <alignment horizontal="center" vertical="center"/>
    </xf>
    <xf numFmtId="1" fontId="83" fillId="3" borderId="76" xfId="3" applyNumberFormat="1" applyFont="1" applyFill="1" applyBorder="1" applyAlignment="1" applyProtection="1">
      <alignment horizontal="center"/>
      <protection locked="0"/>
    </xf>
    <xf numFmtId="1" fontId="0" fillId="3" borderId="76" xfId="3" applyNumberFormat="1" applyFont="1" applyFill="1" applyBorder="1" applyAlignment="1" applyProtection="1">
      <alignment horizontal="center" vertical="center"/>
      <protection locked="0"/>
    </xf>
    <xf numFmtId="0" fontId="0" fillId="3" borderId="76" xfId="0" applyFill="1" applyBorder="1" applyAlignment="1" applyProtection="1">
      <alignment horizontal="center" vertical="center"/>
      <protection locked="0"/>
    </xf>
    <xf numFmtId="0" fontId="59" fillId="3" borderId="76" xfId="0" applyFont="1" applyFill="1" applyBorder="1" applyAlignment="1" applyProtection="1">
      <alignment horizontal="center" vertical="center"/>
      <protection locked="0"/>
    </xf>
    <xf numFmtId="166" fontId="79" fillId="7" borderId="0" xfId="0" applyNumberFormat="1" applyFont="1" applyFill="1" applyBorder="1" applyAlignment="1" applyProtection="1">
      <alignment vertical="center"/>
    </xf>
    <xf numFmtId="0" fontId="165" fillId="3" borderId="0" xfId="0" applyFont="1" applyFill="1" applyAlignment="1" applyProtection="1">
      <alignment vertical="top" wrapText="1"/>
    </xf>
    <xf numFmtId="0" fontId="119" fillId="3" borderId="131" xfId="0" applyFont="1" applyFill="1" applyBorder="1" applyAlignment="1" applyProtection="1">
      <alignment vertical="top" wrapText="1"/>
    </xf>
    <xf numFmtId="0" fontId="76" fillId="0" borderId="0" xfId="0" applyFont="1" applyBorder="1"/>
    <xf numFmtId="0" fontId="76" fillId="0" borderId="0" xfId="0" applyFont="1"/>
    <xf numFmtId="0" fontId="69" fillId="3" borderId="0" xfId="0" applyNumberFormat="1" applyFont="1" applyFill="1" applyBorder="1"/>
    <xf numFmtId="0" fontId="71" fillId="3" borderId="0" xfId="0" applyFont="1" applyFill="1" applyBorder="1" applyAlignment="1">
      <alignment horizontal="left" indent="1"/>
    </xf>
    <xf numFmtId="0" fontId="73" fillId="3" borderId="0" xfId="0" applyNumberFormat="1" applyFont="1" applyFill="1"/>
    <xf numFmtId="0" fontId="73" fillId="3" borderId="0" xfId="0" applyFont="1" applyFill="1" applyBorder="1"/>
    <xf numFmtId="0" fontId="9" fillId="3" borderId="76" xfId="0" applyFont="1" applyFill="1" applyBorder="1" applyAlignment="1" applyProtection="1">
      <alignment horizontal="center"/>
      <protection locked="0"/>
    </xf>
    <xf numFmtId="0" fontId="55" fillId="3" borderId="0" xfId="0" applyFont="1" applyFill="1" applyBorder="1" applyAlignment="1">
      <alignment horizontal="center" vertical="center"/>
    </xf>
    <xf numFmtId="0" fontId="76" fillId="4" borderId="0" xfId="0" applyFont="1" applyFill="1" applyBorder="1" applyAlignment="1">
      <alignment horizontal="center" vertical="center"/>
    </xf>
    <xf numFmtId="0" fontId="8" fillId="17" borderId="0" xfId="0" applyFont="1" applyFill="1" applyBorder="1" applyAlignment="1">
      <alignment horizontal="left" vertical="center"/>
    </xf>
    <xf numFmtId="0" fontId="8" fillId="17" borderId="0" xfId="0" applyFont="1" applyFill="1" applyBorder="1" applyAlignment="1" applyProtection="1">
      <alignment horizontal="left" vertical="center"/>
    </xf>
    <xf numFmtId="0" fontId="86" fillId="17" borderId="0" xfId="0" applyFont="1" applyFill="1" applyBorder="1" applyAlignment="1" applyProtection="1">
      <alignment horizontal="center"/>
    </xf>
    <xf numFmtId="1" fontId="86" fillId="17" borderId="0" xfId="0" applyNumberFormat="1" applyFont="1" applyFill="1" applyBorder="1" applyAlignment="1" applyProtection="1">
      <alignment horizontal="center"/>
    </xf>
    <xf numFmtId="165" fontId="86" fillId="17" borderId="0" xfId="0" applyNumberFormat="1" applyFont="1" applyFill="1" applyBorder="1" applyAlignment="1" applyProtection="1">
      <alignment horizontal="center"/>
    </xf>
    <xf numFmtId="0" fontId="8" fillId="3" borderId="0" xfId="0" applyFont="1" applyFill="1" applyBorder="1" applyAlignment="1" applyProtection="1">
      <alignment horizontal="left" vertical="center"/>
    </xf>
    <xf numFmtId="0" fontId="191" fillId="3" borderId="0" xfId="0" applyFont="1" applyFill="1" applyBorder="1" applyAlignment="1" applyProtection="1">
      <alignment horizontal="center"/>
    </xf>
    <xf numFmtId="1" fontId="191" fillId="3" borderId="0" xfId="0" applyNumberFormat="1" applyFont="1" applyFill="1" applyBorder="1" applyAlignment="1" applyProtection="1">
      <alignment horizontal="center"/>
    </xf>
    <xf numFmtId="165" fontId="191" fillId="3" borderId="0" xfId="0" applyNumberFormat="1" applyFont="1" applyFill="1" applyBorder="1" applyAlignment="1" applyProtection="1">
      <alignment horizontal="center"/>
    </xf>
    <xf numFmtId="165" fontId="91" fillId="3" borderId="0" xfId="0" applyNumberFormat="1" applyFont="1" applyFill="1" applyBorder="1"/>
    <xf numFmtId="0" fontId="85" fillId="3" borderId="0" xfId="0" applyFont="1" applyFill="1" applyBorder="1" applyAlignment="1" applyProtection="1">
      <alignment horizontal="left" indent="1"/>
    </xf>
    <xf numFmtId="1" fontId="86" fillId="3" borderId="0" xfId="1" applyNumberFormat="1" applyFont="1" applyFill="1" applyBorder="1" applyAlignment="1" applyProtection="1">
      <alignment horizontal="center"/>
    </xf>
    <xf numFmtId="0" fontId="76" fillId="3" borderId="0" xfId="0" applyFont="1" applyFill="1" applyBorder="1" applyAlignment="1">
      <alignment horizontal="center"/>
    </xf>
    <xf numFmtId="0" fontId="76" fillId="3" borderId="0" xfId="0" applyFont="1" applyFill="1" applyBorder="1" applyAlignment="1">
      <alignment horizontal="center" vertical="center"/>
    </xf>
    <xf numFmtId="1" fontId="86" fillId="14" borderId="146" xfId="1" applyNumberFormat="1" applyFont="1" applyFill="1" applyBorder="1" applyAlignment="1" applyProtection="1">
      <alignment horizontal="center"/>
    </xf>
    <xf numFmtId="0" fontId="8" fillId="3" borderId="25" xfId="0" applyFont="1" applyFill="1" applyBorder="1" applyAlignment="1">
      <alignment horizontal="center"/>
    </xf>
    <xf numFmtId="165" fontId="91" fillId="3" borderId="0" xfId="0" applyNumberFormat="1" applyFont="1" applyFill="1"/>
    <xf numFmtId="0" fontId="40" fillId="3" borderId="0" xfId="0" applyFont="1" applyFill="1" applyAlignment="1">
      <alignment horizontal="center" vertical="center" wrapText="1"/>
    </xf>
    <xf numFmtId="0" fontId="8" fillId="3" borderId="76" xfId="0" applyFont="1" applyFill="1" applyBorder="1" applyAlignment="1">
      <alignment horizontal="center" vertical="center" wrapText="1"/>
    </xf>
    <xf numFmtId="0" fontId="8" fillId="3" borderId="0" xfId="0" applyFont="1" applyFill="1" applyAlignment="1">
      <alignment horizontal="center" vertical="center" wrapText="1"/>
    </xf>
    <xf numFmtId="0" fontId="111" fillId="3" borderId="0" xfId="0" applyFont="1" applyFill="1" applyBorder="1" applyAlignment="1" applyProtection="1">
      <alignment horizontal="left" indent="2"/>
    </xf>
    <xf numFmtId="0" fontId="111" fillId="3" borderId="0" xfId="0" applyFont="1" applyFill="1" applyBorder="1" applyAlignment="1" applyProtection="1">
      <alignment horizontal="left" vertical="top" indent="2"/>
    </xf>
    <xf numFmtId="0" fontId="52" fillId="4" borderId="0" xfId="0" applyFont="1" applyFill="1" applyBorder="1" applyAlignment="1">
      <alignment horizontal="center"/>
    </xf>
    <xf numFmtId="0" fontId="7" fillId="4" borderId="60" xfId="0" applyFont="1" applyFill="1" applyBorder="1" applyAlignment="1" applyProtection="1">
      <alignment vertical="center"/>
    </xf>
    <xf numFmtId="0" fontId="92" fillId="14" borderId="76" xfId="0" applyFont="1" applyFill="1" applyBorder="1" applyAlignment="1" applyProtection="1">
      <alignment horizontal="center" vertical="center"/>
    </xf>
    <xf numFmtId="10" fontId="92" fillId="14" borderId="76" xfId="3" applyNumberFormat="1" applyFont="1" applyFill="1" applyBorder="1" applyAlignment="1" applyProtection="1">
      <alignment horizontal="center" vertical="center"/>
    </xf>
    <xf numFmtId="0" fontId="7" fillId="3" borderId="0" xfId="0" applyFont="1" applyFill="1" applyBorder="1" applyAlignment="1" applyProtection="1">
      <alignment horizontal="left" vertical="center"/>
    </xf>
    <xf numFmtId="0" fontId="7" fillId="26" borderId="65" xfId="0" applyFont="1" applyFill="1" applyBorder="1" applyAlignment="1" applyProtection="1">
      <alignment horizontal="left" vertical="center"/>
    </xf>
    <xf numFmtId="0" fontId="7" fillId="26" borderId="65" xfId="0" applyFont="1" applyFill="1" applyBorder="1" applyAlignment="1" applyProtection="1">
      <alignment vertical="center"/>
    </xf>
    <xf numFmtId="0" fontId="7" fillId="26" borderId="70" xfId="0" applyFont="1" applyFill="1" applyBorder="1" applyAlignment="1" applyProtection="1">
      <alignment horizontal="left" vertical="center"/>
    </xf>
    <xf numFmtId="165" fontId="92" fillId="3" borderId="65" xfId="1" applyNumberFormat="1" applyFont="1" applyFill="1" applyBorder="1" applyAlignment="1">
      <alignment horizontal="right" indent="1"/>
    </xf>
    <xf numFmtId="165" fontId="92" fillId="17" borderId="65" xfId="1" applyNumberFormat="1" applyFont="1" applyFill="1" applyBorder="1" applyAlignment="1">
      <alignment horizontal="right" indent="1"/>
    </xf>
    <xf numFmtId="165" fontId="92" fillId="17" borderId="70" xfId="1" applyNumberFormat="1" applyFont="1" applyFill="1" applyBorder="1" applyAlignment="1">
      <alignment horizontal="right" indent="1"/>
    </xf>
    <xf numFmtId="165" fontId="92" fillId="3" borderId="72" xfId="1" applyNumberFormat="1" applyFont="1" applyFill="1" applyBorder="1" applyAlignment="1">
      <alignment horizontal="right" vertical="center" indent="1"/>
    </xf>
    <xf numFmtId="165" fontId="92" fillId="17" borderId="72" xfId="1" applyNumberFormat="1" applyFont="1" applyFill="1" applyBorder="1" applyAlignment="1">
      <alignment horizontal="right" vertical="center" indent="1"/>
    </xf>
    <xf numFmtId="165" fontId="92" fillId="17" borderId="71" xfId="1" applyNumberFormat="1" applyFont="1" applyFill="1" applyBorder="1" applyAlignment="1">
      <alignment horizontal="right" vertical="center" indent="1"/>
    </xf>
    <xf numFmtId="1" fontId="92" fillId="3" borderId="65" xfId="1" applyNumberFormat="1" applyFont="1" applyFill="1" applyBorder="1" applyAlignment="1">
      <alignment horizontal="center" vertical="center"/>
    </xf>
    <xf numFmtId="1" fontId="92" fillId="17" borderId="65" xfId="1" applyNumberFormat="1" applyFont="1" applyFill="1" applyBorder="1" applyAlignment="1">
      <alignment horizontal="center" vertical="center"/>
    </xf>
    <xf numFmtId="1" fontId="92" fillId="17" borderId="70" xfId="1" applyNumberFormat="1" applyFont="1" applyFill="1" applyBorder="1" applyAlignment="1">
      <alignment horizontal="center" vertical="center"/>
    </xf>
    <xf numFmtId="1" fontId="40" fillId="3" borderId="0" xfId="0" applyNumberFormat="1" applyFont="1" applyFill="1" applyBorder="1" applyAlignment="1">
      <alignment horizontal="center" vertical="center" wrapText="1"/>
    </xf>
    <xf numFmtId="0" fontId="6" fillId="4" borderId="0" xfId="0" applyFont="1" applyFill="1" applyBorder="1" applyAlignment="1" applyProtection="1">
      <alignment horizontal="center" vertical="center"/>
    </xf>
    <xf numFmtId="0" fontId="6" fillId="4" borderId="73" xfId="0" applyFont="1" applyFill="1" applyBorder="1" applyAlignment="1" applyProtection="1">
      <alignment horizontal="center" vertical="center"/>
    </xf>
    <xf numFmtId="1" fontId="92" fillId="3" borderId="73" xfId="1" applyNumberFormat="1" applyFont="1" applyFill="1" applyBorder="1" applyAlignment="1">
      <alignment horizontal="center" vertical="center"/>
    </xf>
    <xf numFmtId="1" fontId="92" fillId="17" borderId="73" xfId="1" applyNumberFormat="1" applyFont="1" applyFill="1" applyBorder="1" applyAlignment="1">
      <alignment horizontal="center" vertical="center"/>
    </xf>
    <xf numFmtId="1" fontId="92" fillId="17" borderId="63" xfId="1" applyNumberFormat="1" applyFont="1" applyFill="1" applyBorder="1" applyAlignment="1">
      <alignment horizontal="center" vertical="center"/>
    </xf>
    <xf numFmtId="0" fontId="7" fillId="4" borderId="62" xfId="0" applyFont="1" applyFill="1" applyBorder="1" applyAlignment="1" applyProtection="1">
      <alignment horizontal="center" vertical="center" wrapText="1"/>
    </xf>
    <xf numFmtId="0" fontId="6" fillId="4" borderId="63" xfId="0" applyFont="1" applyFill="1" applyBorder="1" applyAlignment="1" applyProtection="1">
      <alignment horizontal="center" vertical="center" wrapText="1"/>
    </xf>
    <xf numFmtId="0" fontId="52" fillId="4" borderId="70" xfId="0" applyFont="1" applyFill="1" applyBorder="1" applyAlignment="1" applyProtection="1">
      <alignment horizontal="center" vertical="center"/>
    </xf>
    <xf numFmtId="0" fontId="52" fillId="4" borderId="62" xfId="0" applyFont="1" applyFill="1" applyBorder="1" applyAlignment="1" applyProtection="1">
      <alignment horizontal="center" vertical="center"/>
    </xf>
    <xf numFmtId="0" fontId="6" fillId="4" borderId="60" xfId="0" applyFont="1" applyFill="1" applyBorder="1" applyAlignment="1" applyProtection="1">
      <alignment horizontal="center" vertical="center"/>
    </xf>
    <xf numFmtId="0" fontId="6" fillId="4" borderId="75" xfId="0" applyFont="1" applyFill="1" applyBorder="1" applyAlignment="1" applyProtection="1">
      <alignment horizontal="center" vertical="center"/>
    </xf>
    <xf numFmtId="0" fontId="52" fillId="3" borderId="60" xfId="0" applyFont="1" applyFill="1" applyBorder="1" applyAlignment="1" applyProtection="1">
      <alignment horizontal="center" vertical="center" wrapText="1"/>
    </xf>
    <xf numFmtId="0" fontId="52" fillId="3" borderId="60" xfId="0" applyFont="1" applyFill="1" applyBorder="1" applyProtection="1"/>
    <xf numFmtId="0" fontId="52" fillId="3" borderId="62" xfId="0" applyFont="1" applyFill="1" applyBorder="1" applyAlignment="1" applyProtection="1">
      <alignment horizontal="center" vertical="center" wrapText="1"/>
    </xf>
    <xf numFmtId="0" fontId="52" fillId="3" borderId="62" xfId="0" applyFont="1" applyFill="1" applyBorder="1" applyProtection="1"/>
    <xf numFmtId="0" fontId="7" fillId="4" borderId="65" xfId="0" applyFont="1" applyFill="1" applyBorder="1" applyAlignment="1" applyProtection="1">
      <alignment horizontal="center" vertical="center"/>
    </xf>
    <xf numFmtId="0" fontId="92" fillId="3" borderId="110" xfId="0" applyFont="1" applyFill="1" applyBorder="1" applyAlignment="1" applyProtection="1">
      <alignment horizontal="center"/>
    </xf>
    <xf numFmtId="0" fontId="7" fillId="4" borderId="70" xfId="0" applyFont="1" applyFill="1" applyBorder="1" applyAlignment="1" applyProtection="1">
      <alignment horizontal="center" vertical="center"/>
    </xf>
    <xf numFmtId="1" fontId="92" fillId="3" borderId="110" xfId="3" applyNumberFormat="1" applyFont="1" applyFill="1" applyBorder="1" applyAlignment="1" applyProtection="1">
      <alignment horizontal="center"/>
    </xf>
    <xf numFmtId="0" fontId="92" fillId="3" borderId="76" xfId="0" applyFont="1" applyFill="1" applyBorder="1" applyAlignment="1" applyProtection="1">
      <alignment horizontal="center" vertical="center"/>
    </xf>
    <xf numFmtId="0" fontId="96" fillId="3" borderId="0" xfId="0" applyFont="1" applyFill="1" applyBorder="1" applyProtection="1"/>
    <xf numFmtId="0" fontId="111" fillId="3" borderId="0" xfId="0" applyFont="1" applyFill="1" applyBorder="1" applyProtection="1"/>
    <xf numFmtId="0" fontId="194" fillId="3" borderId="0" xfId="0" applyFont="1" applyFill="1" applyBorder="1" applyAlignment="1" applyProtection="1">
      <alignment vertical="top"/>
    </xf>
    <xf numFmtId="0" fontId="172" fillId="3" borderId="0" xfId="0" applyFont="1" applyFill="1" applyBorder="1" applyProtection="1"/>
    <xf numFmtId="0" fontId="170" fillId="3" borderId="0" xfId="0" applyFont="1" applyFill="1" applyBorder="1" applyAlignment="1" applyProtection="1">
      <alignment vertical="top"/>
    </xf>
    <xf numFmtId="0" fontId="103" fillId="3" borderId="0" xfId="0" applyFont="1" applyFill="1" applyBorder="1" applyProtection="1"/>
    <xf numFmtId="0" fontId="103" fillId="3" borderId="0" xfId="0" applyFont="1" applyFill="1" applyBorder="1" applyAlignment="1" applyProtection="1">
      <alignment vertical="center"/>
    </xf>
    <xf numFmtId="0" fontId="195" fillId="3" borderId="0" xfId="0" applyFont="1" applyFill="1" applyBorder="1" applyAlignment="1" applyProtection="1">
      <alignment horizontal="left"/>
    </xf>
    <xf numFmtId="0" fontId="103" fillId="3" borderId="0" xfId="0" applyFont="1" applyFill="1" applyBorder="1" applyAlignment="1" applyProtection="1">
      <alignment horizontal="left" vertical="top" indent="1"/>
    </xf>
    <xf numFmtId="0" fontId="6" fillId="26" borderId="0" xfId="0" applyFont="1" applyFill="1" applyBorder="1" applyAlignment="1" applyProtection="1">
      <alignment horizontal="center" vertical="center"/>
    </xf>
    <xf numFmtId="0" fontId="6" fillId="3" borderId="0" xfId="0" applyFont="1" applyFill="1" applyBorder="1" applyAlignment="1" applyProtection="1">
      <alignment horizontal="left" vertical="center"/>
    </xf>
    <xf numFmtId="0" fontId="78" fillId="0" borderId="0" xfId="0" applyFont="1" applyAlignment="1">
      <alignment horizontal="right"/>
    </xf>
    <xf numFmtId="0" fontId="167" fillId="16" borderId="0" xfId="0" applyFont="1" applyFill="1" applyBorder="1" applyAlignment="1" applyProtection="1">
      <alignment horizontal="right" wrapText="1"/>
      <protection locked="0"/>
    </xf>
    <xf numFmtId="0" fontId="78" fillId="3" borderId="0" xfId="0" applyFont="1" applyFill="1" applyBorder="1" applyAlignment="1" applyProtection="1">
      <alignment horizontal="right"/>
    </xf>
    <xf numFmtId="0" fontId="91" fillId="3" borderId="0" xfId="0" applyFont="1" applyFill="1" applyBorder="1" applyAlignment="1" applyProtection="1">
      <alignment horizontal="left" indent="2"/>
    </xf>
    <xf numFmtId="0" fontId="91" fillId="3" borderId="0" xfId="0" applyFont="1" applyFill="1" applyBorder="1" applyAlignment="1" applyProtection="1">
      <alignment horizontal="left" vertical="top" indent="2"/>
    </xf>
    <xf numFmtId="165" fontId="74" fillId="3" borderId="74" xfId="0" applyNumberFormat="1" applyFont="1" applyFill="1" applyBorder="1" applyAlignment="1" applyProtection="1">
      <alignment horizontal="center"/>
      <protection locked="0"/>
    </xf>
    <xf numFmtId="165" fontId="74" fillId="14" borderId="72" xfId="0" applyNumberFormat="1" applyFont="1" applyFill="1" applyBorder="1" applyAlignment="1" applyProtection="1">
      <alignment horizontal="center"/>
      <protection locked="0"/>
    </xf>
    <xf numFmtId="165" fontId="74" fillId="3" borderId="72" xfId="0" applyNumberFormat="1" applyFont="1" applyFill="1" applyBorder="1" applyAlignment="1" applyProtection="1">
      <alignment horizontal="center"/>
      <protection locked="0"/>
    </xf>
    <xf numFmtId="165" fontId="74" fillId="14" borderId="71" xfId="0" applyNumberFormat="1" applyFont="1" applyFill="1" applyBorder="1" applyAlignment="1" applyProtection="1">
      <alignment horizontal="center"/>
      <protection locked="0"/>
    </xf>
    <xf numFmtId="165" fontId="74" fillId="3" borderId="153" xfId="0" applyNumberFormat="1" applyFont="1" applyFill="1" applyBorder="1" applyAlignment="1" applyProtection="1">
      <alignment horizontal="center"/>
      <protection locked="0"/>
    </xf>
    <xf numFmtId="165" fontId="74" fillId="14" borderId="154" xfId="0" applyNumberFormat="1" applyFont="1" applyFill="1" applyBorder="1" applyAlignment="1" applyProtection="1">
      <alignment horizontal="center"/>
      <protection locked="0"/>
    </xf>
    <xf numFmtId="165" fontId="74" fillId="3" borderId="154" xfId="0" applyNumberFormat="1" applyFont="1" applyFill="1" applyBorder="1" applyAlignment="1" applyProtection="1">
      <alignment horizontal="center"/>
      <protection locked="0"/>
    </xf>
    <xf numFmtId="165" fontId="74" fillId="14" borderId="155" xfId="0" applyNumberFormat="1" applyFont="1" applyFill="1" applyBorder="1" applyAlignment="1" applyProtection="1">
      <alignment horizontal="center"/>
      <protection locked="0"/>
    </xf>
    <xf numFmtId="171" fontId="55" fillId="3" borderId="27" xfId="3" applyNumberFormat="1" applyFont="1" applyFill="1" applyBorder="1" applyAlignment="1" applyProtection="1">
      <alignment horizontal="center"/>
      <protection locked="0"/>
    </xf>
    <xf numFmtId="0" fontId="5" fillId="2" borderId="76" xfId="0" applyFont="1" applyFill="1" applyBorder="1" applyAlignment="1" applyProtection="1">
      <alignment vertical="center"/>
    </xf>
    <xf numFmtId="0" fontId="81" fillId="3" borderId="0" xfId="0" applyFont="1" applyFill="1" applyAlignment="1">
      <alignment horizontal="left" vertical="center"/>
    </xf>
    <xf numFmtId="0" fontId="200" fillId="3" borderId="0" xfId="0" applyFont="1" applyFill="1" applyAlignment="1">
      <alignment horizontal="center" vertical="center"/>
    </xf>
    <xf numFmtId="1" fontId="5" fillId="3" borderId="0" xfId="0" applyNumberFormat="1" applyFont="1" applyFill="1" applyBorder="1" applyAlignment="1">
      <alignment horizontal="center" vertical="center" wrapText="1"/>
    </xf>
    <xf numFmtId="0" fontId="5" fillId="3" borderId="0" xfId="0" applyFont="1" applyFill="1" applyAlignment="1">
      <alignment horizontal="right" vertical="center"/>
    </xf>
    <xf numFmtId="0" fontId="100" fillId="3" borderId="0" xfId="0" applyFont="1" applyFill="1" applyAlignment="1">
      <alignment horizontal="left" vertical="center"/>
    </xf>
    <xf numFmtId="0" fontId="79" fillId="3" borderId="0" xfId="0" applyFont="1" applyFill="1" applyAlignment="1">
      <alignment horizontal="center" vertical="center"/>
    </xf>
    <xf numFmtId="0" fontId="201" fillId="3" borderId="0" xfId="0" applyFont="1" applyFill="1" applyAlignment="1" applyProtection="1">
      <alignment vertical="center"/>
    </xf>
    <xf numFmtId="0" fontId="5" fillId="3" borderId="0" xfId="0" applyFont="1" applyFill="1" applyBorder="1" applyAlignment="1" applyProtection="1">
      <alignment horizontal="center" vertical="center"/>
    </xf>
    <xf numFmtId="0" fontId="5" fillId="3" borderId="0" xfId="0" applyFont="1" applyFill="1" applyBorder="1" applyAlignment="1" applyProtection="1">
      <alignment horizontal="left" vertical="center"/>
    </xf>
    <xf numFmtId="0" fontId="115" fillId="3" borderId="0" xfId="0" applyFont="1" applyFill="1" applyBorder="1" applyAlignment="1" applyProtection="1">
      <alignment horizontal="left" vertical="center"/>
    </xf>
    <xf numFmtId="0" fontId="4" fillId="3" borderId="46" xfId="0" applyNumberFormat="1" applyFont="1" applyFill="1" applyBorder="1" applyAlignment="1" applyProtection="1">
      <protection locked="0"/>
    </xf>
    <xf numFmtId="0" fontId="4" fillId="14" borderId="46" xfId="0" applyNumberFormat="1" applyFont="1" applyFill="1" applyBorder="1" applyAlignment="1" applyProtection="1">
      <protection locked="0"/>
    </xf>
    <xf numFmtId="0" fontId="91" fillId="3" borderId="0" xfId="0" applyFont="1" applyFill="1" applyBorder="1" applyAlignment="1" applyProtection="1">
      <alignment horizontal="center"/>
    </xf>
    <xf numFmtId="0" fontId="52" fillId="3" borderId="0" xfId="0" applyFont="1" applyFill="1" applyBorder="1" applyAlignment="1" applyProtection="1">
      <alignment horizontal="left" wrapText="1"/>
    </xf>
    <xf numFmtId="0" fontId="52" fillId="4" borderId="0" xfId="0" applyFont="1" applyFill="1" applyBorder="1" applyAlignment="1" applyProtection="1">
      <alignment horizontal="center" vertical="center"/>
    </xf>
    <xf numFmtId="0" fontId="40" fillId="4" borderId="0" xfId="0" applyFont="1" applyFill="1" applyBorder="1" applyAlignment="1" applyProtection="1">
      <alignment horizontal="center" vertical="top" wrapText="1"/>
    </xf>
    <xf numFmtId="0" fontId="69" fillId="3" borderId="0" xfId="0" applyNumberFormat="1" applyFont="1" applyFill="1" applyBorder="1" applyAlignment="1" applyProtection="1">
      <alignment horizontal="center" vertical="center"/>
    </xf>
    <xf numFmtId="0" fontId="69" fillId="3" borderId="0" xfId="0" applyNumberFormat="1" applyFont="1" applyFill="1" applyBorder="1" applyAlignment="1" applyProtection="1">
      <alignment horizontal="center" wrapText="1"/>
    </xf>
    <xf numFmtId="0" fontId="69" fillId="3" borderId="0" xfId="0" applyNumberFormat="1" applyFont="1" applyFill="1" applyBorder="1" applyAlignment="1" applyProtection="1">
      <alignment horizontal="center"/>
    </xf>
    <xf numFmtId="0" fontId="3" fillId="14" borderId="48" xfId="0" applyNumberFormat="1" applyFont="1" applyFill="1" applyBorder="1" applyAlignment="1" applyProtection="1">
      <protection locked="0"/>
    </xf>
    <xf numFmtId="10" fontId="52" fillId="3" borderId="0" xfId="3" applyNumberFormat="1" applyFont="1" applyFill="1" applyBorder="1" applyAlignment="1" applyProtection="1">
      <alignment horizontal="center"/>
      <protection locked="0"/>
    </xf>
    <xf numFmtId="0" fontId="79" fillId="0" borderId="0" xfId="0" applyNumberFormat="1" applyFont="1" applyFill="1" applyBorder="1" applyAlignment="1" applyProtection="1"/>
    <xf numFmtId="0" fontId="79" fillId="0" borderId="0" xfId="0" applyNumberFormat="1" applyFont="1" applyFill="1" applyBorder="1" applyAlignment="1" applyProtection="1">
      <alignment vertical="center"/>
    </xf>
    <xf numFmtId="0" fontId="79" fillId="0" borderId="0" xfId="0" applyNumberFormat="1" applyFont="1" applyFill="1" applyBorder="1" applyAlignment="1" applyProtection="1">
      <alignment horizontal="center" wrapText="1"/>
    </xf>
    <xf numFmtId="0" fontId="191" fillId="0" borderId="0" xfId="0" applyNumberFormat="1" applyFont="1" applyFill="1" applyBorder="1" applyAlignment="1" applyProtection="1"/>
    <xf numFmtId="0" fontId="3" fillId="10" borderId="76" xfId="0" applyFont="1" applyFill="1" applyBorder="1" applyAlignment="1" applyProtection="1">
      <alignment horizontal="center" wrapText="1"/>
    </xf>
    <xf numFmtId="166" fontId="92" fillId="3" borderId="76" xfId="1" applyNumberFormat="1" applyFont="1" applyFill="1" applyBorder="1" applyAlignment="1" applyProtection="1">
      <alignment horizontal="left" vertical="center"/>
    </xf>
    <xf numFmtId="165" fontId="92" fillId="3" borderId="76" xfId="1" applyNumberFormat="1" applyFont="1" applyFill="1" applyBorder="1" applyAlignment="1" applyProtection="1">
      <alignment horizontal="right" vertical="center"/>
    </xf>
    <xf numFmtId="165" fontId="92" fillId="3" borderId="0" xfId="1" applyNumberFormat="1" applyFont="1" applyFill="1" applyBorder="1" applyAlignment="1" applyProtection="1">
      <alignment horizontal="right" vertical="center"/>
    </xf>
    <xf numFmtId="165" fontId="92" fillId="3" borderId="76" xfId="1" applyNumberFormat="1" applyFont="1" applyFill="1" applyBorder="1" applyProtection="1">
      <alignment horizontal="right"/>
    </xf>
    <xf numFmtId="0" fontId="92" fillId="3" borderId="0" xfId="0" applyFont="1" applyFill="1" applyBorder="1"/>
    <xf numFmtId="165" fontId="92" fillId="3" borderId="76" xfId="1" applyNumberFormat="1" applyFont="1" applyFill="1" applyBorder="1" applyAlignment="1" applyProtection="1"/>
    <xf numFmtId="171" fontId="92" fillId="3" borderId="76" xfId="3" applyNumberFormat="1" applyFont="1" applyFill="1" applyBorder="1" applyAlignment="1" applyProtection="1"/>
    <xf numFmtId="165" fontId="92" fillId="3" borderId="0" xfId="1" applyNumberFormat="1" applyFont="1" applyFill="1" applyBorder="1" applyAlignment="1" applyProtection="1"/>
    <xf numFmtId="165" fontId="92" fillId="3" borderId="71" xfId="1" applyNumberFormat="1" applyFont="1" applyFill="1" applyBorder="1" applyAlignment="1" applyProtection="1"/>
    <xf numFmtId="171" fontId="92" fillId="3" borderId="71" xfId="3" applyNumberFormat="1" applyFont="1" applyFill="1" applyBorder="1" applyAlignment="1" applyProtection="1"/>
    <xf numFmtId="165" fontId="92" fillId="0" borderId="76" xfId="1" applyNumberFormat="1" applyFont="1" applyBorder="1">
      <alignment horizontal="right"/>
    </xf>
    <xf numFmtId="165" fontId="92" fillId="3" borderId="76" xfId="0" applyNumberFormat="1" applyFont="1" applyFill="1" applyBorder="1"/>
    <xf numFmtId="166" fontId="92" fillId="17" borderId="76" xfId="1" applyNumberFormat="1" applyFont="1" applyFill="1" applyBorder="1" applyAlignment="1" applyProtection="1">
      <alignment horizontal="left" vertical="center"/>
    </xf>
    <xf numFmtId="165" fontId="92" fillId="17" borderId="76" xfId="1" applyNumberFormat="1" applyFont="1" applyFill="1" applyBorder="1" applyAlignment="1" applyProtection="1">
      <alignment horizontal="right" vertical="center"/>
    </xf>
    <xf numFmtId="165" fontId="92" fillId="17" borderId="76" xfId="1" applyNumberFormat="1" applyFont="1" applyFill="1" applyBorder="1" applyProtection="1">
      <alignment horizontal="right"/>
    </xf>
    <xf numFmtId="165" fontId="92" fillId="17" borderId="76" xfId="1" applyNumberFormat="1" applyFont="1" applyFill="1" applyBorder="1" applyAlignment="1" applyProtection="1"/>
    <xf numFmtId="171" fontId="92" fillId="17" borderId="76" xfId="3" applyNumberFormat="1" applyFont="1" applyFill="1" applyBorder="1" applyProtection="1"/>
    <xf numFmtId="171" fontId="92" fillId="17" borderId="76" xfId="3" applyNumberFormat="1" applyFont="1" applyFill="1" applyBorder="1" applyAlignment="1" applyProtection="1"/>
    <xf numFmtId="165" fontId="92" fillId="17" borderId="76" xfId="1" applyNumberFormat="1" applyFont="1" applyFill="1" applyBorder="1">
      <alignment horizontal="right"/>
    </xf>
    <xf numFmtId="165" fontId="92" fillId="17" borderId="76" xfId="0" applyNumberFormat="1" applyFont="1" applyFill="1" applyBorder="1"/>
    <xf numFmtId="171" fontId="92" fillId="3" borderId="76" xfId="3" applyNumberFormat="1" applyFont="1" applyFill="1" applyBorder="1" applyProtection="1"/>
    <xf numFmtId="166" fontId="92" fillId="17" borderId="74" xfId="1" applyNumberFormat="1" applyFont="1" applyFill="1" applyBorder="1" applyAlignment="1" applyProtection="1">
      <alignment horizontal="left" vertical="center"/>
    </xf>
    <xf numFmtId="165" fontId="92" fillId="17" borderId="74" xfId="1" applyNumberFormat="1" applyFont="1" applyFill="1" applyBorder="1" applyAlignment="1" applyProtection="1">
      <alignment horizontal="right" vertical="center"/>
    </xf>
    <xf numFmtId="165" fontId="92" fillId="17" borderId="74" xfId="1" applyNumberFormat="1" applyFont="1" applyFill="1" applyBorder="1" applyProtection="1">
      <alignment horizontal="right"/>
    </xf>
    <xf numFmtId="165" fontId="92" fillId="17" borderId="74" xfId="1" applyNumberFormat="1" applyFont="1" applyFill="1" applyBorder="1" applyAlignment="1" applyProtection="1"/>
    <xf numFmtId="171" fontId="92" fillId="17" borderId="74" xfId="3" applyNumberFormat="1" applyFont="1" applyFill="1" applyBorder="1" applyProtection="1"/>
    <xf numFmtId="171" fontId="92" fillId="17" borderId="74" xfId="3" applyNumberFormat="1" applyFont="1" applyFill="1" applyBorder="1" applyAlignment="1" applyProtection="1"/>
    <xf numFmtId="165" fontId="92" fillId="17" borderId="74" xfId="1" applyNumberFormat="1" applyFont="1" applyFill="1" applyBorder="1">
      <alignment horizontal="right"/>
    </xf>
    <xf numFmtId="165" fontId="92" fillId="17" borderId="74" xfId="0" applyNumberFormat="1" applyFont="1" applyFill="1" applyBorder="1"/>
    <xf numFmtId="10" fontId="69" fillId="3" borderId="0" xfId="3" applyNumberFormat="1" applyFont="1" applyFill="1" applyBorder="1" applyAlignment="1" applyProtection="1">
      <alignment horizontal="center"/>
      <protection locked="0"/>
    </xf>
    <xf numFmtId="165" fontId="69" fillId="3" borderId="0" xfId="0" applyNumberFormat="1" applyFont="1" applyFill="1" applyBorder="1" applyAlignment="1" applyProtection="1">
      <alignment horizontal="center" wrapText="1"/>
    </xf>
    <xf numFmtId="165" fontId="106" fillId="3" borderId="0" xfId="1" applyNumberFormat="1" applyFont="1" applyFill="1" applyBorder="1" applyProtection="1">
      <alignment horizontal="right"/>
    </xf>
    <xf numFmtId="0" fontId="59" fillId="4" borderId="0" xfId="0" applyFont="1" applyFill="1"/>
    <xf numFmtId="0" fontId="0" fillId="4" borderId="0" xfId="0" applyFill="1"/>
    <xf numFmtId="166" fontId="93" fillId="7" borderId="0" xfId="0" applyNumberFormat="1" applyFont="1" applyFill="1" applyBorder="1" applyAlignment="1" applyProtection="1"/>
    <xf numFmtId="0" fontId="89" fillId="4" borderId="75" xfId="0" applyFont="1" applyFill="1" applyBorder="1" applyAlignment="1">
      <alignment horizontal="center" vertical="center"/>
    </xf>
    <xf numFmtId="166" fontId="88" fillId="4" borderId="32" xfId="0" applyNumberFormat="1" applyFont="1" applyFill="1" applyBorder="1" applyAlignment="1" applyProtection="1">
      <alignment horizontal="center" wrapText="1"/>
    </xf>
    <xf numFmtId="166" fontId="88" fillId="4" borderId="32" xfId="0" applyNumberFormat="1" applyFont="1" applyFill="1" applyBorder="1" applyAlignment="1" applyProtection="1">
      <alignment horizontal="center" vertical="center" wrapText="1"/>
    </xf>
    <xf numFmtId="0" fontId="202" fillId="3" borderId="0" xfId="0" applyFont="1" applyFill="1" applyBorder="1" applyAlignment="1" applyProtection="1"/>
    <xf numFmtId="0" fontId="101" fillId="3" borderId="0" xfId="0" applyFont="1" applyFill="1" applyBorder="1" applyProtection="1"/>
    <xf numFmtId="0" fontId="202" fillId="3" borderId="0" xfId="0" applyFont="1" applyFill="1" applyBorder="1" applyAlignment="1" applyProtection="1">
      <alignment wrapText="1"/>
    </xf>
    <xf numFmtId="0" fontId="101" fillId="3" borderId="0" xfId="0" applyFont="1" applyFill="1" applyBorder="1" applyAlignment="1" applyProtection="1"/>
    <xf numFmtId="0" fontId="202" fillId="3" borderId="0" xfId="0" applyFont="1" applyFill="1" applyBorder="1" applyProtection="1"/>
    <xf numFmtId="0" fontId="170" fillId="3" borderId="0" xfId="0" applyFont="1" applyFill="1" applyBorder="1" applyProtection="1"/>
    <xf numFmtId="0" fontId="170" fillId="3" borderId="0" xfId="0" applyFont="1" applyFill="1" applyBorder="1" applyAlignment="1" applyProtection="1">
      <alignment horizontal="right"/>
    </xf>
    <xf numFmtId="1" fontId="170" fillId="3" borderId="0" xfId="0" applyNumberFormat="1" applyFont="1" applyFill="1" applyBorder="1" applyAlignment="1" applyProtection="1">
      <alignment horizontal="center"/>
    </xf>
    <xf numFmtId="0" fontId="170" fillId="3" borderId="0" xfId="0" applyFont="1" applyFill="1" applyBorder="1" applyAlignment="1" applyProtection="1">
      <alignment vertical="center"/>
    </xf>
    <xf numFmtId="0" fontId="170" fillId="3" borderId="0" xfId="0" applyFont="1" applyFill="1" applyBorder="1" applyAlignment="1" applyProtection="1">
      <alignment horizontal="center" vertical="center"/>
    </xf>
    <xf numFmtId="0" fontId="170" fillId="3" borderId="0" xfId="0" applyFont="1" applyFill="1" applyBorder="1" applyAlignment="1" applyProtection="1">
      <alignment vertical="center" wrapText="1"/>
    </xf>
    <xf numFmtId="0" fontId="170" fillId="3" borderId="0" xfId="0" applyFont="1" applyFill="1" applyBorder="1" applyAlignment="1" applyProtection="1"/>
    <xf numFmtId="0" fontId="123" fillId="0" borderId="0" xfId="0" applyFont="1"/>
    <xf numFmtId="0" fontId="123" fillId="0" borderId="0" xfId="0" applyFont="1" applyAlignment="1">
      <alignment horizontal="center"/>
    </xf>
    <xf numFmtId="0" fontId="89" fillId="0" borderId="0" xfId="0" applyFont="1"/>
    <xf numFmtId="0" fontId="89" fillId="0" borderId="0" xfId="0" applyFont="1" applyAlignment="1">
      <alignment horizontal="center"/>
    </xf>
    <xf numFmtId="14" fontId="123" fillId="0" borderId="0" xfId="0" applyNumberFormat="1" applyFont="1" applyAlignment="1">
      <alignment horizontal="center"/>
    </xf>
    <xf numFmtId="1" fontId="89" fillId="0" borderId="0" xfId="0" applyNumberFormat="1" applyFont="1" applyAlignment="1">
      <alignment horizontal="center"/>
    </xf>
    <xf numFmtId="7" fontId="123" fillId="0" borderId="0" xfId="0" applyNumberFormat="1" applyFont="1"/>
    <xf numFmtId="14" fontId="123" fillId="0" borderId="0" xfId="0" applyNumberFormat="1" applyFont="1"/>
    <xf numFmtId="0" fontId="123" fillId="0" borderId="0" xfId="0" applyFont="1" applyAlignment="1">
      <alignment horizontal="right"/>
    </xf>
    <xf numFmtId="0" fontId="89" fillId="0" borderId="0" xfId="0" applyFont="1" applyAlignment="1">
      <alignment horizontal="right"/>
    </xf>
    <xf numFmtId="0" fontId="74" fillId="0" borderId="0" xfId="0" applyNumberFormat="1" applyFont="1" applyFill="1"/>
    <xf numFmtId="10" fontId="74" fillId="0" borderId="0" xfId="3" applyNumberFormat="1" applyFont="1" applyFill="1"/>
    <xf numFmtId="0" fontId="74" fillId="0" borderId="0" xfId="0" applyFont="1" applyFill="1" applyProtection="1">
      <protection locked="0"/>
    </xf>
    <xf numFmtId="178" fontId="52" fillId="3" borderId="62" xfId="0" applyNumberFormat="1" applyFont="1" applyFill="1" applyBorder="1" applyAlignment="1" applyProtection="1">
      <alignment horizontal="center" vertical="center"/>
      <protection locked="0"/>
    </xf>
    <xf numFmtId="178" fontId="52" fillId="3" borderId="63" xfId="0" applyNumberFormat="1" applyFont="1" applyFill="1" applyBorder="1" applyAlignment="1" applyProtection="1">
      <alignment horizontal="center" vertical="center"/>
      <protection locked="0"/>
    </xf>
    <xf numFmtId="0" fontId="2" fillId="3" borderId="0" xfId="0" applyFont="1" applyFill="1" applyBorder="1" applyProtection="1">
      <protection locked="0"/>
    </xf>
    <xf numFmtId="0" fontId="2" fillId="14" borderId="0" xfId="0" applyFont="1" applyFill="1" applyBorder="1" applyProtection="1">
      <protection locked="0"/>
    </xf>
    <xf numFmtId="1" fontId="2" fillId="14" borderId="48" xfId="0" applyNumberFormat="1" applyFont="1" applyFill="1" applyBorder="1" applyAlignment="1" applyProtection="1">
      <alignment horizontal="center"/>
      <protection locked="0"/>
    </xf>
    <xf numFmtId="166" fontId="2" fillId="14" borderId="46" xfId="0" applyNumberFormat="1" applyFont="1" applyFill="1" applyBorder="1" applyAlignment="1" applyProtection="1">
      <alignment horizontal="center"/>
      <protection locked="0"/>
    </xf>
    <xf numFmtId="166" fontId="2" fillId="3" borderId="46" xfId="0" applyNumberFormat="1" applyFont="1" applyFill="1" applyBorder="1" applyAlignment="1" applyProtection="1">
      <alignment horizontal="center"/>
      <protection locked="0"/>
    </xf>
    <xf numFmtId="166" fontId="2" fillId="14" borderId="48" xfId="0" applyNumberFormat="1" applyFont="1" applyFill="1" applyBorder="1" applyAlignment="1" applyProtection="1">
      <alignment horizontal="center"/>
      <protection locked="0"/>
    </xf>
    <xf numFmtId="1" fontId="2" fillId="3" borderId="46" xfId="0" applyNumberFormat="1" applyFont="1" applyFill="1" applyBorder="1" applyAlignment="1" applyProtection="1">
      <alignment horizontal="center"/>
      <protection locked="0"/>
    </xf>
    <xf numFmtId="1" fontId="2" fillId="14" borderId="46" xfId="0" applyNumberFormat="1" applyFont="1" applyFill="1" applyBorder="1" applyAlignment="1" applyProtection="1">
      <alignment horizontal="center"/>
      <protection locked="0"/>
    </xf>
    <xf numFmtId="166" fontId="2" fillId="14" borderId="31" xfId="0" applyNumberFormat="1" applyFont="1" applyFill="1" applyBorder="1" applyAlignment="1" applyProtection="1">
      <alignment horizontal="center"/>
      <protection locked="0"/>
    </xf>
    <xf numFmtId="166" fontId="2" fillId="14" borderId="0" xfId="0" applyNumberFormat="1" applyFont="1" applyFill="1" applyBorder="1" applyAlignment="1" applyProtection="1">
      <alignment horizontal="center"/>
      <protection locked="0"/>
    </xf>
    <xf numFmtId="166" fontId="2" fillId="3" borderId="0" xfId="0" applyNumberFormat="1" applyFont="1" applyFill="1" applyBorder="1" applyAlignment="1" applyProtection="1">
      <alignment horizontal="center"/>
      <protection locked="0"/>
    </xf>
    <xf numFmtId="166" fontId="2" fillId="3" borderId="0" xfId="0" applyNumberFormat="1" applyFont="1" applyFill="1" applyBorder="1" applyAlignment="1" applyProtection="1">
      <alignment horizontal="left" vertical="center"/>
    </xf>
    <xf numFmtId="166" fontId="2" fillId="17" borderId="0" xfId="0" applyNumberFormat="1" applyFont="1" applyFill="1" applyBorder="1" applyAlignment="1" applyProtection="1">
      <alignment horizontal="left" vertical="center"/>
    </xf>
    <xf numFmtId="9" fontId="74" fillId="0" borderId="0" xfId="3" applyFont="1" applyFill="1"/>
    <xf numFmtId="0" fontId="116" fillId="3" borderId="157" xfId="0" applyFont="1" applyFill="1" applyBorder="1" applyProtection="1"/>
    <xf numFmtId="0" fontId="116" fillId="3" borderId="159" xfId="0" applyFont="1" applyFill="1" applyBorder="1" applyProtection="1"/>
    <xf numFmtId="0" fontId="116" fillId="3" borderId="28" xfId="0" applyFont="1" applyFill="1" applyBorder="1" applyProtection="1"/>
    <xf numFmtId="0" fontId="119" fillId="3" borderId="28" xfId="0" applyFont="1" applyFill="1" applyBorder="1" applyAlignment="1" applyProtection="1">
      <alignment horizontal="left" vertical="top" wrapText="1"/>
    </xf>
    <xf numFmtId="0" fontId="119" fillId="3" borderId="28" xfId="0" applyFont="1" applyFill="1" applyBorder="1" applyAlignment="1" applyProtection="1">
      <alignment horizontal="left" vertical="top"/>
    </xf>
    <xf numFmtId="0" fontId="119" fillId="3" borderId="158" xfId="0" applyFont="1" applyFill="1" applyBorder="1" applyAlignment="1" applyProtection="1">
      <alignment vertical="top" wrapText="1"/>
    </xf>
    <xf numFmtId="0" fontId="119" fillId="3" borderId="161" xfId="0" applyFont="1" applyFill="1" applyBorder="1" applyAlignment="1" applyProtection="1">
      <alignment horizontal="left" vertical="top"/>
    </xf>
    <xf numFmtId="0" fontId="119" fillId="3" borderId="160" xfId="0" applyFont="1" applyFill="1" applyBorder="1" applyAlignment="1" applyProtection="1">
      <alignment vertical="top"/>
    </xf>
    <xf numFmtId="0" fontId="2" fillId="14" borderId="38" xfId="0" applyFont="1" applyFill="1" applyBorder="1" applyAlignment="1" applyProtection="1">
      <alignment horizontal="center"/>
      <protection locked="0"/>
    </xf>
    <xf numFmtId="0" fontId="2" fillId="3" borderId="76" xfId="0" applyFont="1" applyFill="1" applyBorder="1" applyAlignment="1" applyProtection="1">
      <alignment horizontal="center"/>
      <protection locked="0"/>
    </xf>
    <xf numFmtId="0" fontId="2" fillId="3" borderId="46" xfId="0" applyFont="1" applyFill="1" applyBorder="1" applyAlignment="1" applyProtection="1">
      <alignment horizontal="left" indent="1"/>
      <protection locked="0"/>
    </xf>
    <xf numFmtId="0" fontId="2" fillId="3" borderId="46" xfId="0" applyFont="1" applyFill="1" applyBorder="1" applyAlignment="1" applyProtection="1">
      <alignment horizontal="center"/>
      <protection locked="0"/>
    </xf>
    <xf numFmtId="166" fontId="2" fillId="14" borderId="46" xfId="0" applyNumberFormat="1" applyFont="1" applyFill="1" applyBorder="1" applyAlignment="1" applyProtection="1">
      <alignment vertical="center"/>
      <protection locked="0"/>
    </xf>
    <xf numFmtId="0" fontId="2" fillId="14" borderId="46" xfId="0" applyFont="1" applyFill="1" applyBorder="1" applyAlignment="1" applyProtection="1">
      <alignment horizontal="center" vertical="center"/>
      <protection locked="0"/>
    </xf>
    <xf numFmtId="0" fontId="19" fillId="3" borderId="76" xfId="0" applyFont="1" applyFill="1" applyBorder="1" applyAlignment="1" applyProtection="1">
      <alignment horizontal="left" vertical="center"/>
      <protection locked="0"/>
    </xf>
    <xf numFmtId="0" fontId="45" fillId="3" borderId="76" xfId="0" applyFont="1" applyFill="1" applyBorder="1" applyAlignment="1" applyProtection="1">
      <alignment horizontal="left" vertical="center"/>
      <protection locked="0"/>
    </xf>
    <xf numFmtId="0" fontId="36" fillId="3" borderId="76" xfId="0" applyFont="1" applyFill="1" applyBorder="1" applyAlignment="1" applyProtection="1">
      <alignment horizontal="left" vertical="center"/>
      <protection locked="0"/>
    </xf>
    <xf numFmtId="0" fontId="33" fillId="26" borderId="76" xfId="0" applyFont="1" applyFill="1" applyBorder="1" applyAlignment="1" applyProtection="1">
      <alignment horizontal="center" wrapText="1"/>
    </xf>
    <xf numFmtId="0" fontId="45" fillId="26" borderId="76" xfId="0" applyFont="1" applyFill="1" applyBorder="1" applyAlignment="1" applyProtection="1">
      <alignment horizontal="center" wrapText="1"/>
    </xf>
    <xf numFmtId="0" fontId="83" fillId="26" borderId="126" xfId="0" applyFont="1" applyFill="1" applyBorder="1" applyAlignment="1" applyProtection="1">
      <alignment horizontal="center" vertical="center"/>
    </xf>
    <xf numFmtId="0" fontId="83" fillId="26" borderId="127" xfId="0" applyFont="1" applyFill="1" applyBorder="1" applyAlignment="1" applyProtection="1">
      <alignment horizontal="center" vertical="center"/>
    </xf>
    <xf numFmtId="0" fontId="83" fillId="26" borderId="128" xfId="0" applyFont="1" applyFill="1" applyBorder="1" applyAlignment="1" applyProtection="1">
      <alignment horizontal="center" vertical="center"/>
    </xf>
    <xf numFmtId="0" fontId="12" fillId="26" borderId="76" xfId="0" applyFont="1" applyFill="1" applyBorder="1" applyAlignment="1" applyProtection="1">
      <alignment horizontal="center" wrapText="1"/>
    </xf>
    <xf numFmtId="0" fontId="27" fillId="3" borderId="76" xfId="0" applyFont="1" applyFill="1" applyBorder="1" applyAlignment="1" applyProtection="1">
      <alignment horizontal="left" vertical="center"/>
      <protection locked="0"/>
    </xf>
    <xf numFmtId="0" fontId="45" fillId="3" borderId="109" xfId="0" applyFont="1" applyFill="1" applyBorder="1" applyAlignment="1" applyProtection="1">
      <alignment horizontal="left" vertical="center"/>
      <protection locked="0"/>
    </xf>
    <xf numFmtId="0" fontId="17" fillId="3" borderId="76" xfId="0" applyFont="1" applyFill="1" applyBorder="1" applyAlignment="1" applyProtection="1">
      <alignment horizontal="left" vertical="center"/>
      <protection locked="0"/>
    </xf>
    <xf numFmtId="0" fontId="83" fillId="26" borderId="27" xfId="0" applyFont="1" applyFill="1" applyBorder="1" applyAlignment="1" applyProtection="1">
      <alignment horizontal="center" vertical="center"/>
    </xf>
    <xf numFmtId="0" fontId="83" fillId="26" borderId="28" xfId="0" applyFont="1" applyFill="1" applyBorder="1" applyAlignment="1" applyProtection="1">
      <alignment horizontal="center" vertical="center"/>
    </xf>
    <xf numFmtId="0" fontId="83" fillId="26" borderId="33" xfId="0" applyFont="1" applyFill="1" applyBorder="1" applyAlignment="1" applyProtection="1">
      <alignment horizontal="center" vertical="center"/>
    </xf>
    <xf numFmtId="0" fontId="69" fillId="26" borderId="76" xfId="0" applyFont="1" applyFill="1" applyBorder="1" applyAlignment="1" applyProtection="1">
      <alignment horizontal="center" vertical="center"/>
    </xf>
    <xf numFmtId="0" fontId="25" fillId="3" borderId="76" xfId="0" applyFont="1" applyFill="1" applyBorder="1" applyAlignment="1" applyProtection="1">
      <alignment horizontal="left" vertical="center"/>
      <protection locked="0"/>
    </xf>
    <xf numFmtId="0" fontId="23" fillId="3" borderId="76" xfId="0" applyFont="1" applyFill="1" applyBorder="1" applyAlignment="1" applyProtection="1">
      <alignment horizontal="left" vertical="center"/>
      <protection locked="0"/>
    </xf>
    <xf numFmtId="0" fontId="2" fillId="3" borderId="76" xfId="0" applyFont="1" applyFill="1" applyBorder="1" applyAlignment="1" applyProtection="1">
      <alignment horizontal="left" vertical="center"/>
      <protection locked="0"/>
    </xf>
    <xf numFmtId="0" fontId="145" fillId="14" borderId="116" xfId="0" applyFont="1" applyFill="1" applyBorder="1" applyAlignment="1" applyProtection="1">
      <alignment horizontal="center" vertical="top" wrapText="1"/>
    </xf>
    <xf numFmtId="0" fontId="145" fillId="14" borderId="117" xfId="0" applyFont="1" applyFill="1" applyBorder="1" applyAlignment="1" applyProtection="1">
      <alignment horizontal="center" vertical="top" wrapText="1"/>
    </xf>
    <xf numFmtId="0" fontId="145" fillId="14" borderId="118" xfId="0" applyFont="1" applyFill="1" applyBorder="1" applyAlignment="1" applyProtection="1">
      <alignment horizontal="center" vertical="top" wrapText="1"/>
    </xf>
    <xf numFmtId="0" fontId="111" fillId="3" borderId="0" xfId="0" applyFont="1" applyFill="1" applyBorder="1" applyAlignment="1" applyProtection="1">
      <alignment horizontal="left" indent="2"/>
    </xf>
    <xf numFmtId="0" fontId="111" fillId="3" borderId="0" xfId="0" applyFont="1" applyFill="1" applyBorder="1" applyAlignment="1" applyProtection="1">
      <alignment horizontal="left" vertical="top" indent="2"/>
    </xf>
    <xf numFmtId="0" fontId="186" fillId="4" borderId="0" xfId="0" applyFont="1" applyFill="1" applyBorder="1" applyAlignment="1">
      <alignment horizontal="center" vertical="center" wrapText="1"/>
    </xf>
    <xf numFmtId="0" fontId="185" fillId="0" borderId="0" xfId="0" applyFont="1" applyBorder="1" applyAlignment="1">
      <alignment horizontal="left"/>
    </xf>
    <xf numFmtId="0" fontId="184" fillId="0" borderId="0" xfId="0" applyFont="1" applyBorder="1" applyAlignment="1">
      <alignment horizontal="left" vertical="top" wrapText="1"/>
    </xf>
    <xf numFmtId="0" fontId="190" fillId="0" borderId="0" xfId="0" applyFont="1" applyAlignment="1">
      <alignment horizontal="left" vertical="top" wrapText="1"/>
    </xf>
    <xf numFmtId="0" fontId="76" fillId="0" borderId="0" xfId="0" applyFont="1" applyBorder="1" applyAlignment="1">
      <alignment horizontal="left" wrapText="1"/>
    </xf>
    <xf numFmtId="0" fontId="161" fillId="0" borderId="0" xfId="0" applyFont="1" applyBorder="1" applyAlignment="1">
      <alignment horizontal="left" vertical="top" wrapText="1"/>
    </xf>
    <xf numFmtId="0" fontId="190" fillId="0" borderId="0" xfId="0" applyFont="1" applyAlignment="1">
      <alignment horizontal="left" vertical="top"/>
    </xf>
    <xf numFmtId="0" fontId="161" fillId="0" borderId="0" xfId="0" applyFont="1" applyAlignment="1">
      <alignment horizontal="left" vertical="top" wrapText="1"/>
    </xf>
    <xf numFmtId="0" fontId="119" fillId="3" borderId="28" xfId="0" applyFont="1" applyFill="1" applyBorder="1" applyAlignment="1" applyProtection="1">
      <alignment horizontal="left" vertical="top" wrapText="1"/>
    </xf>
    <xf numFmtId="0" fontId="119" fillId="3" borderId="158" xfId="0" applyFont="1" applyFill="1" applyBorder="1" applyAlignment="1" applyProtection="1">
      <alignment horizontal="left" vertical="top" wrapText="1"/>
    </xf>
    <xf numFmtId="0" fontId="136" fillId="3" borderId="50" xfId="0" applyFont="1" applyFill="1" applyBorder="1" applyAlignment="1" applyProtection="1">
      <alignment horizontal="left" vertical="top" wrapText="1"/>
    </xf>
    <xf numFmtId="0" fontId="119" fillId="3" borderId="160" xfId="0" applyFont="1" applyFill="1" applyBorder="1" applyAlignment="1" applyProtection="1">
      <alignment horizontal="left" vertical="top" wrapText="1"/>
    </xf>
    <xf numFmtId="0" fontId="119" fillId="3" borderId="50" xfId="0" applyFont="1" applyFill="1" applyBorder="1" applyAlignment="1" applyProtection="1">
      <alignment horizontal="left" vertical="top" wrapText="1"/>
    </xf>
    <xf numFmtId="0" fontId="119" fillId="3" borderId="50" xfId="0" applyFont="1" applyFill="1" applyBorder="1" applyAlignment="1" applyProtection="1">
      <alignment horizontal="left" vertical="top"/>
    </xf>
    <xf numFmtId="0" fontId="138" fillId="3" borderId="28" xfId="0" applyFont="1" applyFill="1" applyBorder="1" applyAlignment="1" applyProtection="1">
      <alignment horizontal="left" vertical="top" wrapText="1"/>
    </xf>
    <xf numFmtId="0" fontId="178" fillId="3" borderId="0" xfId="0" applyFont="1" applyFill="1" applyAlignment="1" applyProtection="1">
      <alignment horizontal="left" vertical="top" wrapText="1"/>
    </xf>
    <xf numFmtId="0" fontId="116" fillId="3" borderId="0" xfId="0" applyFont="1" applyFill="1" applyAlignment="1" applyProtection="1">
      <alignment horizontal="center"/>
    </xf>
    <xf numFmtId="0" fontId="119" fillId="3" borderId="0" xfId="0" applyFont="1" applyFill="1" applyBorder="1" applyAlignment="1" applyProtection="1">
      <alignment horizontal="left" wrapText="1"/>
    </xf>
    <xf numFmtId="0" fontId="120" fillId="3" borderId="130" xfId="0" applyFont="1" applyFill="1" applyBorder="1" applyAlignment="1" applyProtection="1">
      <alignment vertical="top" wrapText="1"/>
    </xf>
    <xf numFmtId="0" fontId="0" fillId="0" borderId="130" xfId="0" applyBorder="1" applyAlignment="1" applyProtection="1"/>
    <xf numFmtId="0" fontId="0" fillId="0" borderId="0" xfId="0" applyFill="1"/>
    <xf numFmtId="0" fontId="165" fillId="3" borderId="0" xfId="0" applyFont="1" applyFill="1" applyAlignment="1" applyProtection="1">
      <alignment horizontal="left" vertical="top" wrapText="1"/>
    </xf>
    <xf numFmtId="0" fontId="14" fillId="3" borderId="0" xfId="0" applyFont="1" applyFill="1" applyBorder="1" applyAlignment="1" applyProtection="1">
      <alignment horizontal="left" vertical="center"/>
    </xf>
    <xf numFmtId="0" fontId="52" fillId="3" borderId="0" xfId="0" applyFont="1" applyFill="1" applyBorder="1" applyAlignment="1" applyProtection="1">
      <alignment horizontal="left" vertical="center"/>
    </xf>
    <xf numFmtId="0" fontId="168" fillId="3" borderId="0" xfId="0" applyFont="1" applyFill="1" applyAlignment="1" applyProtection="1">
      <alignment horizontal="left" vertical="top" wrapText="1"/>
    </xf>
    <xf numFmtId="0" fontId="83" fillId="17" borderId="0" xfId="0" applyFont="1" applyFill="1" applyBorder="1" applyAlignment="1" applyProtection="1">
      <alignment horizontal="left" vertical="center"/>
    </xf>
    <xf numFmtId="0" fontId="180" fillId="3" borderId="0" xfId="0" applyFont="1" applyFill="1" applyAlignment="1">
      <alignment horizontal="left" vertical="top" wrapText="1"/>
    </xf>
    <xf numFmtId="170" fontId="69" fillId="7" borderId="0" xfId="0" applyNumberFormat="1" applyFont="1" applyFill="1" applyBorder="1" applyAlignment="1" applyProtection="1">
      <alignment horizontal="center" vertical="center"/>
    </xf>
    <xf numFmtId="0" fontId="141" fillId="17" borderId="0" xfId="0" applyFont="1" applyFill="1" applyBorder="1" applyAlignment="1" applyProtection="1">
      <alignment horizontal="left" vertical="center" wrapText="1" indent="1"/>
    </xf>
    <xf numFmtId="0" fontId="19" fillId="3" borderId="0" xfId="0" applyFont="1" applyFill="1" applyBorder="1" applyAlignment="1" applyProtection="1">
      <alignment horizontal="left" vertical="top" wrapText="1"/>
    </xf>
    <xf numFmtId="0" fontId="111" fillId="3" borderId="0" xfId="0" applyFont="1" applyFill="1" applyBorder="1" applyAlignment="1" applyProtection="1">
      <alignment horizontal="center"/>
    </xf>
    <xf numFmtId="0" fontId="76" fillId="3" borderId="0" xfId="0" applyFont="1" applyFill="1" applyBorder="1" applyAlignment="1" applyProtection="1">
      <alignment horizontal="center" vertical="center" wrapText="1"/>
    </xf>
    <xf numFmtId="0" fontId="89" fillId="4" borderId="25" xfId="0" applyFont="1" applyFill="1" applyBorder="1" applyAlignment="1" applyProtection="1">
      <alignment horizontal="center" vertical="center"/>
    </xf>
    <xf numFmtId="0" fontId="76" fillId="3" borderId="0" xfId="0" applyFont="1" applyFill="1" applyBorder="1" applyAlignment="1" applyProtection="1">
      <alignment horizontal="left"/>
    </xf>
    <xf numFmtId="0" fontId="197" fillId="3" borderId="0" xfId="0" applyFont="1" applyFill="1" applyBorder="1" applyAlignment="1" applyProtection="1">
      <alignment horizontal="center" vertical="center"/>
    </xf>
    <xf numFmtId="0" fontId="111" fillId="3" borderId="0" xfId="0" applyFont="1" applyFill="1" applyBorder="1" applyAlignment="1" applyProtection="1">
      <alignment horizontal="center" vertical="center" wrapText="1"/>
    </xf>
    <xf numFmtId="0" fontId="111" fillId="3" borderId="0" xfId="0" applyFont="1" applyFill="1" applyBorder="1" applyAlignment="1" applyProtection="1">
      <alignment horizontal="center" vertical="center"/>
    </xf>
    <xf numFmtId="0" fontId="76" fillId="3" borderId="119" xfId="0" applyFont="1" applyFill="1" applyBorder="1" applyAlignment="1" applyProtection="1">
      <alignment horizontal="center"/>
    </xf>
    <xf numFmtId="0" fontId="76" fillId="3" borderId="120" xfId="0" applyFont="1" applyFill="1" applyBorder="1" applyAlignment="1" applyProtection="1">
      <alignment horizontal="center"/>
    </xf>
    <xf numFmtId="0" fontId="76" fillId="3" borderId="121" xfId="0" applyFont="1" applyFill="1" applyBorder="1" applyAlignment="1" applyProtection="1">
      <alignment horizontal="center"/>
    </xf>
    <xf numFmtId="0" fontId="170" fillId="3" borderId="0" xfId="0" applyFont="1" applyFill="1" applyBorder="1" applyAlignment="1" applyProtection="1">
      <alignment horizontal="center" vertical="center"/>
    </xf>
    <xf numFmtId="0" fontId="170" fillId="3" borderId="0" xfId="0" applyFont="1" applyFill="1" applyBorder="1" applyAlignment="1" applyProtection="1">
      <alignment horizontal="center" vertical="center" wrapText="1"/>
    </xf>
    <xf numFmtId="0" fontId="76" fillId="3" borderId="15" xfId="0" applyFont="1" applyFill="1" applyBorder="1" applyAlignment="1" applyProtection="1">
      <alignment horizontal="center"/>
    </xf>
    <xf numFmtId="0" fontId="76" fillId="3" borderId="16" xfId="0" applyFont="1" applyFill="1" applyBorder="1" applyAlignment="1" applyProtection="1">
      <alignment horizontal="center"/>
    </xf>
    <xf numFmtId="0" fontId="76" fillId="3" borderId="147" xfId="0" applyFont="1" applyFill="1" applyBorder="1" applyAlignment="1" applyProtection="1">
      <alignment horizontal="center"/>
    </xf>
    <xf numFmtId="0" fontId="76" fillId="3" borderId="17" xfId="0" applyFont="1" applyFill="1" applyBorder="1" applyAlignment="1" applyProtection="1">
      <alignment horizontal="center"/>
    </xf>
    <xf numFmtId="0" fontId="76" fillId="3" borderId="18" xfId="0" applyFont="1" applyFill="1" applyBorder="1" applyAlignment="1" applyProtection="1">
      <alignment horizontal="center"/>
    </xf>
    <xf numFmtId="0" fontId="76" fillId="3" borderId="148" xfId="0" applyFont="1" applyFill="1" applyBorder="1" applyAlignment="1" applyProtection="1">
      <alignment horizontal="center"/>
    </xf>
    <xf numFmtId="0" fontId="76" fillId="3" borderId="19" xfId="0" applyFont="1" applyFill="1" applyBorder="1" applyAlignment="1" applyProtection="1">
      <alignment horizontal="center"/>
    </xf>
    <xf numFmtId="0" fontId="76" fillId="3" borderId="20" xfId="0" applyFont="1" applyFill="1" applyBorder="1" applyAlignment="1" applyProtection="1">
      <alignment horizontal="center"/>
    </xf>
    <xf numFmtId="0" fontId="76" fillId="3" borderId="149" xfId="0" applyFont="1" applyFill="1" applyBorder="1" applyAlignment="1" applyProtection="1">
      <alignment horizontal="center"/>
    </xf>
    <xf numFmtId="0" fontId="76" fillId="3" borderId="21" xfId="0" applyFont="1" applyFill="1" applyBorder="1" applyAlignment="1" applyProtection="1">
      <alignment horizontal="center"/>
    </xf>
    <xf numFmtId="0" fontId="76" fillId="3" borderId="22" xfId="0" applyFont="1" applyFill="1" applyBorder="1" applyAlignment="1" applyProtection="1">
      <alignment horizontal="center"/>
    </xf>
    <xf numFmtId="0" fontId="76" fillId="3" borderId="150" xfId="0" applyFont="1" applyFill="1" applyBorder="1" applyAlignment="1" applyProtection="1">
      <alignment horizontal="center"/>
    </xf>
    <xf numFmtId="0" fontId="76" fillId="3" borderId="77" xfId="0" applyFont="1" applyFill="1" applyBorder="1" applyAlignment="1" applyProtection="1">
      <alignment horizontal="center"/>
    </xf>
    <xf numFmtId="0" fontId="76" fillId="3" borderId="78" xfId="0" applyFont="1" applyFill="1" applyBorder="1" applyAlignment="1" applyProtection="1">
      <alignment horizontal="center"/>
    </xf>
    <xf numFmtId="0" fontId="76" fillId="3" borderId="151" xfId="0" applyFont="1" applyFill="1" applyBorder="1" applyAlignment="1" applyProtection="1">
      <alignment horizontal="center"/>
    </xf>
    <xf numFmtId="0" fontId="76" fillId="3" borderId="23" xfId="0" applyFont="1" applyFill="1" applyBorder="1" applyAlignment="1" applyProtection="1">
      <alignment horizontal="center"/>
    </xf>
    <xf numFmtId="0" fontId="76" fillId="3" borderId="24" xfId="0" applyFont="1" applyFill="1" applyBorder="1" applyAlignment="1" applyProtection="1">
      <alignment horizontal="center"/>
    </xf>
    <xf numFmtId="0" fontId="76" fillId="3" borderId="152" xfId="0" applyFont="1" applyFill="1" applyBorder="1" applyAlignment="1" applyProtection="1">
      <alignment horizontal="center"/>
    </xf>
    <xf numFmtId="0" fontId="170" fillId="3" borderId="156" xfId="0" applyFont="1" applyFill="1" applyBorder="1" applyAlignment="1" applyProtection="1">
      <alignment horizontal="left" vertical="center" wrapText="1"/>
    </xf>
    <xf numFmtId="0" fontId="135" fillId="21" borderId="115" xfId="306" applyAlignment="1">
      <alignment horizontal="center" vertical="center"/>
    </xf>
    <xf numFmtId="0" fontId="40" fillId="3" borderId="76" xfId="0" applyFont="1" applyFill="1" applyBorder="1" applyAlignment="1">
      <alignment horizontal="center"/>
    </xf>
    <xf numFmtId="0" fontId="52" fillId="4" borderId="62" xfId="0" applyFont="1" applyFill="1" applyBorder="1" applyAlignment="1" applyProtection="1">
      <alignment horizontal="center"/>
    </xf>
    <xf numFmtId="0" fontId="83" fillId="17" borderId="0" xfId="0" applyFont="1" applyFill="1" applyBorder="1" applyAlignment="1" applyProtection="1">
      <alignment horizontal="left" vertical="center" wrapText="1"/>
    </xf>
    <xf numFmtId="0" fontId="23" fillId="17" borderId="0" xfId="0" applyFont="1" applyFill="1" applyBorder="1" applyAlignment="1" applyProtection="1">
      <alignment horizontal="left" vertical="top" wrapText="1" indent="1"/>
    </xf>
    <xf numFmtId="0" fontId="52" fillId="17" borderId="0" xfId="0" applyFont="1" applyFill="1" applyBorder="1" applyAlignment="1" applyProtection="1">
      <alignment horizontal="left" vertical="top" wrapText="1" indent="1"/>
    </xf>
    <xf numFmtId="0" fontId="54" fillId="4" borderId="0" xfId="0" applyFont="1" applyFill="1" applyBorder="1" applyAlignment="1">
      <alignment horizontal="center" vertical="center"/>
    </xf>
    <xf numFmtId="0" fontId="6" fillId="3" borderId="62" xfId="0" applyFont="1" applyFill="1" applyBorder="1" applyAlignment="1" applyProtection="1">
      <alignment horizontal="center" vertical="center"/>
      <protection locked="0"/>
    </xf>
    <xf numFmtId="0" fontId="54" fillId="3" borderId="63" xfId="0" applyFont="1" applyFill="1" applyBorder="1" applyAlignment="1" applyProtection="1">
      <alignment horizontal="center" vertical="center"/>
      <protection locked="0"/>
    </xf>
    <xf numFmtId="0" fontId="52" fillId="4" borderId="0" xfId="0" applyFont="1" applyFill="1" applyBorder="1" applyAlignment="1">
      <alignment horizontal="center" vertical="center"/>
    </xf>
    <xf numFmtId="0" fontId="27" fillId="3" borderId="62" xfId="0" applyFont="1" applyFill="1" applyBorder="1" applyAlignment="1" applyProtection="1">
      <alignment horizontal="center" vertical="center"/>
      <protection locked="0"/>
    </xf>
    <xf numFmtId="0" fontId="54" fillId="3" borderId="62" xfId="0" applyFont="1" applyFill="1" applyBorder="1" applyAlignment="1" applyProtection="1">
      <alignment horizontal="center" vertical="center"/>
      <protection locked="0"/>
    </xf>
    <xf numFmtId="0" fontId="69" fillId="3" borderId="60" xfId="0" applyFont="1" applyFill="1" applyBorder="1" applyAlignment="1" applyProtection="1">
      <alignment horizontal="left" vertical="center"/>
    </xf>
    <xf numFmtId="0" fontId="52" fillId="17" borderId="0" xfId="0" applyFont="1" applyFill="1" applyBorder="1" applyAlignment="1" applyProtection="1">
      <alignment horizontal="left" wrapText="1" indent="1"/>
    </xf>
    <xf numFmtId="0" fontId="51" fillId="4" borderId="62" xfId="0" applyFont="1" applyFill="1" applyBorder="1" applyAlignment="1" applyProtection="1">
      <alignment horizontal="left" vertical="center"/>
    </xf>
    <xf numFmtId="0" fontId="52" fillId="4" borderId="62" xfId="0" applyFont="1" applyFill="1" applyBorder="1" applyAlignment="1" applyProtection="1">
      <alignment horizontal="left" vertical="center"/>
    </xf>
    <xf numFmtId="0" fontId="52" fillId="4" borderId="63" xfId="0" applyFont="1" applyFill="1" applyBorder="1" applyAlignment="1" applyProtection="1">
      <alignment horizontal="left" vertical="center"/>
    </xf>
    <xf numFmtId="0" fontId="51" fillId="17" borderId="0" xfId="0" applyFont="1" applyFill="1" applyBorder="1" applyAlignment="1" applyProtection="1">
      <alignment horizontal="left" vertical="center" wrapText="1" indent="1"/>
    </xf>
    <xf numFmtId="0" fontId="52" fillId="17" borderId="0" xfId="0" applyFont="1" applyFill="1" applyBorder="1" applyAlignment="1" applyProtection="1">
      <alignment horizontal="left" vertical="center" wrapText="1" indent="1"/>
    </xf>
    <xf numFmtId="0" fontId="52" fillId="17" borderId="62" xfId="0" applyFont="1" applyFill="1" applyBorder="1" applyAlignment="1" applyProtection="1">
      <alignment horizontal="left" vertical="top" wrapText="1"/>
    </xf>
    <xf numFmtId="0" fontId="52" fillId="3" borderId="0" xfId="0" applyFont="1" applyFill="1" applyAlignment="1" applyProtection="1">
      <alignment horizontal="left" vertical="center" indent="1"/>
    </xf>
    <xf numFmtId="0" fontId="0" fillId="0" borderId="0" xfId="0" applyAlignment="1">
      <alignment horizontal="left" vertical="center" indent="1"/>
    </xf>
    <xf numFmtId="0" fontId="69" fillId="3" borderId="0" xfId="0" applyFont="1" applyFill="1" applyAlignment="1" applyProtection="1"/>
    <xf numFmtId="0" fontId="140" fillId="0" borderId="0" xfId="0" applyFont="1" applyAlignment="1"/>
    <xf numFmtId="0" fontId="69" fillId="3" borderId="0" xfId="0" applyFont="1" applyFill="1" applyAlignment="1" applyProtection="1">
      <alignment horizontal="center"/>
    </xf>
    <xf numFmtId="0" fontId="140" fillId="0" borderId="0" xfId="0" applyFont="1" applyAlignment="1">
      <alignment horizontal="center"/>
    </xf>
    <xf numFmtId="0" fontId="91" fillId="3" borderId="0" xfId="0" applyFont="1" applyFill="1" applyBorder="1" applyAlignment="1" applyProtection="1">
      <alignment horizontal="center"/>
    </xf>
    <xf numFmtId="164" fontId="20" fillId="3" borderId="0" xfId="0" applyNumberFormat="1" applyFont="1" applyFill="1" applyBorder="1" applyAlignment="1" applyProtection="1">
      <alignment horizontal="left" vertical="center" wrapText="1"/>
    </xf>
    <xf numFmtId="0" fontId="20" fillId="17" borderId="0" xfId="0" applyNumberFormat="1" applyFont="1" applyFill="1" applyBorder="1" applyAlignment="1" applyProtection="1">
      <alignment horizontal="left" vertical="center" wrapText="1" indent="2"/>
    </xf>
    <xf numFmtId="0" fontId="23" fillId="17" borderId="0" xfId="0" applyNumberFormat="1" applyFont="1" applyFill="1" applyBorder="1" applyAlignment="1" applyProtection="1">
      <alignment horizontal="left" vertical="center" wrapText="1" indent="2"/>
    </xf>
    <xf numFmtId="164" fontId="20" fillId="3" borderId="28" xfId="0" applyNumberFormat="1" applyFont="1" applyFill="1" applyBorder="1" applyAlignment="1" applyProtection="1">
      <alignment horizontal="left" vertical="center" wrapText="1"/>
    </xf>
    <xf numFmtId="0" fontId="114" fillId="3" borderId="0" xfId="0" applyNumberFormat="1" applyFont="1" applyFill="1" applyBorder="1" applyAlignment="1" applyProtection="1">
      <alignment horizontal="center" textRotation="90"/>
    </xf>
    <xf numFmtId="164" fontId="52" fillId="4" borderId="50" xfId="0" applyNumberFormat="1" applyFont="1" applyFill="1" applyBorder="1" applyAlignment="1" applyProtection="1">
      <alignment horizontal="center"/>
    </xf>
    <xf numFmtId="164" fontId="54" fillId="4" borderId="50" xfId="0" applyNumberFormat="1" applyFont="1" applyFill="1" applyBorder="1" applyAlignment="1" applyProtection="1">
      <alignment horizontal="center"/>
    </xf>
    <xf numFmtId="0" fontId="52" fillId="3" borderId="28" xfId="0" applyNumberFormat="1" applyFont="1" applyFill="1" applyBorder="1" applyAlignment="1" applyProtection="1">
      <alignment horizontal="left" indent="1"/>
    </xf>
    <xf numFmtId="0" fontId="54" fillId="3" borderId="33" xfId="0" applyNumberFormat="1" applyFont="1" applyFill="1" applyBorder="1" applyAlignment="1" applyProtection="1">
      <alignment horizontal="left" indent="1"/>
    </xf>
    <xf numFmtId="0" fontId="52" fillId="14" borderId="0" xfId="0" applyNumberFormat="1" applyFont="1" applyFill="1" applyBorder="1" applyAlignment="1" applyProtection="1">
      <alignment horizontal="left" indent="1"/>
    </xf>
    <xf numFmtId="0" fontId="54" fillId="14" borderId="46" xfId="0" applyNumberFormat="1" applyFont="1" applyFill="1" applyBorder="1" applyAlignment="1" applyProtection="1">
      <alignment horizontal="left" indent="1"/>
    </xf>
    <xf numFmtId="0" fontId="52" fillId="3" borderId="31" xfId="0" applyNumberFormat="1" applyFont="1" applyFill="1" applyBorder="1" applyAlignment="1" applyProtection="1">
      <alignment horizontal="left" indent="1"/>
    </xf>
    <xf numFmtId="0" fontId="54" fillId="3" borderId="48" xfId="0" applyNumberFormat="1" applyFont="1" applyFill="1" applyBorder="1" applyAlignment="1" applyProtection="1">
      <alignment horizontal="left" indent="1"/>
    </xf>
    <xf numFmtId="0" fontId="54" fillId="3" borderId="29" xfId="0" applyNumberFormat="1" applyFont="1" applyFill="1" applyBorder="1" applyAlignment="1" applyProtection="1">
      <alignment horizontal="left"/>
    </xf>
    <xf numFmtId="0" fontId="54" fillId="3" borderId="0" xfId="0" applyNumberFormat="1" applyFont="1" applyFill="1" applyBorder="1" applyAlignment="1" applyProtection="1">
      <alignment horizontal="left"/>
    </xf>
    <xf numFmtId="164" fontId="54" fillId="14" borderId="29" xfId="0" quotePrefix="1" applyNumberFormat="1" applyFont="1" applyFill="1" applyBorder="1" applyAlignment="1" applyProtection="1">
      <alignment horizontal="left"/>
      <protection locked="0"/>
    </xf>
    <xf numFmtId="164" fontId="54" fillId="14" borderId="0" xfId="0" quotePrefix="1" applyNumberFormat="1" applyFont="1" applyFill="1" applyBorder="1" applyAlignment="1" applyProtection="1">
      <alignment horizontal="left"/>
      <protection locked="0"/>
    </xf>
    <xf numFmtId="165" fontId="54" fillId="14" borderId="30" xfId="0" applyNumberFormat="1" applyFont="1" applyFill="1" applyBorder="1" applyAlignment="1" applyProtection="1">
      <alignment horizontal="left"/>
      <protection locked="0"/>
    </xf>
    <xf numFmtId="165" fontId="54" fillId="14" borderId="31" xfId="0" applyNumberFormat="1" applyFont="1" applyFill="1" applyBorder="1" applyAlignment="1" applyProtection="1">
      <alignment horizontal="left"/>
      <protection locked="0"/>
    </xf>
    <xf numFmtId="165" fontId="54" fillId="14" borderId="48" xfId="0" applyNumberFormat="1" applyFont="1" applyFill="1" applyBorder="1" applyAlignment="1" applyProtection="1">
      <alignment horizontal="left"/>
      <protection locked="0"/>
    </xf>
    <xf numFmtId="165" fontId="54" fillId="3" borderId="29" xfId="0" applyNumberFormat="1" applyFont="1" applyFill="1" applyBorder="1" applyAlignment="1" applyProtection="1">
      <alignment horizontal="left"/>
      <protection locked="0"/>
    </xf>
    <xf numFmtId="165" fontId="54" fillId="3" borderId="0" xfId="0" applyNumberFormat="1" applyFont="1" applyFill="1" applyBorder="1" applyAlignment="1" applyProtection="1">
      <alignment horizontal="left"/>
      <protection locked="0"/>
    </xf>
    <xf numFmtId="165" fontId="54" fillId="3" borderId="46" xfId="0" applyNumberFormat="1" applyFont="1" applyFill="1" applyBorder="1" applyAlignment="1" applyProtection="1">
      <alignment horizontal="left"/>
      <protection locked="0"/>
    </xf>
    <xf numFmtId="0" fontId="54" fillId="17" borderId="0" xfId="0" applyNumberFormat="1" applyFont="1" applyFill="1" applyBorder="1" applyAlignment="1" applyProtection="1">
      <alignment horizontal="left" indent="1"/>
    </xf>
    <xf numFmtId="0" fontId="54" fillId="17" borderId="0" xfId="0" applyNumberFormat="1" applyFont="1" applyFill="1" applyBorder="1" applyAlignment="1" applyProtection="1">
      <alignment horizontal="left" vertical="center" wrapText="1" indent="2"/>
    </xf>
    <xf numFmtId="2" fontId="54" fillId="14" borderId="29" xfId="0" applyNumberFormat="1" applyFont="1" applyFill="1" applyBorder="1" applyAlignment="1" applyProtection="1">
      <alignment horizontal="left"/>
      <protection locked="0"/>
    </xf>
    <xf numFmtId="2" fontId="54" fillId="14" borderId="0" xfId="0" applyNumberFormat="1" applyFont="1" applyFill="1" applyBorder="1" applyAlignment="1" applyProtection="1">
      <alignment horizontal="left"/>
      <protection locked="0"/>
    </xf>
    <xf numFmtId="2" fontId="54" fillId="14" borderId="46" xfId="0" applyNumberFormat="1" applyFont="1" applyFill="1" applyBorder="1" applyAlignment="1" applyProtection="1">
      <alignment horizontal="left"/>
      <protection locked="0"/>
    </xf>
    <xf numFmtId="0" fontId="174" fillId="3" borderId="0" xfId="0" applyNumberFormat="1" applyFont="1" applyFill="1" applyBorder="1" applyAlignment="1" applyProtection="1">
      <alignment horizontal="center" textRotation="90"/>
    </xf>
    <xf numFmtId="0" fontId="103" fillId="3" borderId="0" xfId="0" applyNumberFormat="1" applyFont="1" applyFill="1" applyBorder="1" applyAlignment="1" applyProtection="1">
      <alignment horizontal="left" vertical="center" wrapText="1"/>
    </xf>
    <xf numFmtId="0" fontId="71" fillId="3" borderId="0" xfId="0" applyNumberFormat="1" applyFont="1" applyFill="1" applyBorder="1" applyAlignment="1" applyProtection="1">
      <alignment horizontal="left" vertical="center"/>
    </xf>
    <xf numFmtId="14" fontId="54" fillId="4" borderId="0" xfId="0" applyNumberFormat="1" applyFont="1" applyFill="1" applyBorder="1" applyAlignment="1" applyProtection="1">
      <alignment horizontal="center" vertical="center"/>
    </xf>
    <xf numFmtId="0" fontId="10" fillId="17" borderId="0" xfId="0" applyNumberFormat="1" applyFont="1" applyFill="1" applyBorder="1" applyAlignment="1" applyProtection="1">
      <alignment horizontal="left" vertical="center" wrapText="1" indent="2"/>
    </xf>
    <xf numFmtId="0" fontId="79" fillId="3" borderId="0" xfId="0" applyNumberFormat="1" applyFont="1" applyFill="1" applyBorder="1" applyAlignment="1" applyProtection="1">
      <alignment horizontal="center" vertical="top" textRotation="180"/>
    </xf>
    <xf numFmtId="0" fontId="3" fillId="3" borderId="0" xfId="0" applyNumberFormat="1" applyFont="1" applyFill="1" applyBorder="1" applyAlignment="1" applyProtection="1">
      <alignment horizontal="left" vertical="top" wrapText="1"/>
    </xf>
    <xf numFmtId="0" fontId="54" fillId="3" borderId="0" xfId="0" applyNumberFormat="1" applyFont="1" applyFill="1" applyBorder="1" applyAlignment="1" applyProtection="1">
      <alignment horizontal="left" vertical="top" wrapText="1"/>
    </xf>
    <xf numFmtId="164" fontId="21" fillId="14" borderId="29" xfId="0" applyNumberFormat="1" applyFont="1" applyFill="1" applyBorder="1" applyAlignment="1" applyProtection="1">
      <alignment horizontal="left" vertical="center"/>
      <protection locked="0"/>
    </xf>
    <xf numFmtId="164" fontId="54" fillId="14" borderId="0" xfId="0" applyNumberFormat="1" applyFont="1" applyFill="1" applyBorder="1" applyAlignment="1" applyProtection="1">
      <alignment horizontal="left" vertical="center"/>
      <protection locked="0"/>
    </xf>
    <xf numFmtId="164" fontId="21" fillId="3" borderId="29" xfId="0" applyNumberFormat="1" applyFont="1" applyFill="1" applyBorder="1" applyAlignment="1" applyProtection="1">
      <alignment horizontal="left" vertical="center"/>
      <protection locked="0"/>
    </xf>
    <xf numFmtId="164" fontId="54" fillId="3" borderId="0" xfId="0" applyNumberFormat="1" applyFont="1" applyFill="1" applyBorder="1" applyAlignment="1" applyProtection="1">
      <alignment horizontal="left" vertical="center"/>
      <protection locked="0"/>
    </xf>
    <xf numFmtId="164" fontId="54" fillId="3" borderId="46" xfId="0" applyNumberFormat="1" applyFont="1" applyFill="1" applyBorder="1" applyAlignment="1" applyProtection="1">
      <alignment horizontal="left" vertical="center"/>
      <protection locked="0"/>
    </xf>
    <xf numFmtId="164" fontId="21" fillId="3" borderId="30" xfId="0" applyNumberFormat="1" applyFont="1" applyFill="1" applyBorder="1" applyAlignment="1" applyProtection="1">
      <alignment horizontal="left" vertical="center"/>
      <protection locked="0"/>
    </xf>
    <xf numFmtId="164" fontId="54" fillId="3" borderId="31" xfId="0" applyNumberFormat="1" applyFont="1" applyFill="1" applyBorder="1" applyAlignment="1" applyProtection="1">
      <alignment horizontal="left" vertical="center"/>
      <protection locked="0"/>
    </xf>
    <xf numFmtId="0" fontId="54" fillId="4" borderId="0" xfId="0" applyNumberFormat="1" applyFont="1" applyFill="1" applyBorder="1" applyAlignment="1" applyProtection="1">
      <alignment horizontal="center" vertical="center" wrapText="1"/>
    </xf>
    <xf numFmtId="2" fontId="54" fillId="3" borderId="29" xfId="0" applyNumberFormat="1" applyFont="1" applyFill="1" applyBorder="1" applyAlignment="1" applyProtection="1">
      <alignment horizontal="left"/>
      <protection locked="0"/>
    </xf>
    <xf numFmtId="2" fontId="54" fillId="3" borderId="0" xfId="0" applyNumberFormat="1" applyFont="1" applyFill="1" applyBorder="1" applyAlignment="1" applyProtection="1">
      <alignment horizontal="left"/>
      <protection locked="0"/>
    </xf>
    <xf numFmtId="2" fontId="54" fillId="3" borderId="46" xfId="0" applyNumberFormat="1" applyFont="1" applyFill="1" applyBorder="1" applyAlignment="1" applyProtection="1">
      <alignment horizontal="left"/>
      <protection locked="0"/>
    </xf>
    <xf numFmtId="2" fontId="54" fillId="14" borderId="30" xfId="0" applyNumberFormat="1" applyFont="1" applyFill="1" applyBorder="1" applyAlignment="1" applyProtection="1">
      <alignment horizontal="left"/>
      <protection locked="0"/>
    </xf>
    <xf numFmtId="2" fontId="54" fillId="14" borderId="31" xfId="0" applyNumberFormat="1" applyFont="1" applyFill="1" applyBorder="1" applyAlignment="1" applyProtection="1">
      <alignment horizontal="left"/>
      <protection locked="0"/>
    </xf>
    <xf numFmtId="2" fontId="54" fillId="14" borderId="48" xfId="0" applyNumberFormat="1" applyFont="1" applyFill="1" applyBorder="1" applyAlignment="1" applyProtection="1">
      <alignment horizontal="left"/>
      <protection locked="0"/>
    </xf>
    <xf numFmtId="164" fontId="19" fillId="3" borderId="29" xfId="0" applyNumberFormat="1" applyFont="1" applyFill="1" applyBorder="1" applyAlignment="1" applyProtection="1">
      <alignment horizontal="left"/>
      <protection locked="0"/>
    </xf>
    <xf numFmtId="164" fontId="54" fillId="3" borderId="0" xfId="0" applyNumberFormat="1" applyFont="1" applyFill="1" applyBorder="1" applyAlignment="1" applyProtection="1">
      <alignment horizontal="left"/>
      <protection locked="0"/>
    </xf>
    <xf numFmtId="164" fontId="54" fillId="14" borderId="29" xfId="0" applyNumberFormat="1" applyFont="1" applyFill="1" applyBorder="1" applyAlignment="1" applyProtection="1">
      <alignment horizontal="left"/>
      <protection locked="0"/>
    </xf>
    <xf numFmtId="164" fontId="54" fillId="14" borderId="0" xfId="0" applyNumberFormat="1" applyFont="1" applyFill="1" applyBorder="1" applyAlignment="1" applyProtection="1">
      <alignment horizontal="left"/>
      <protection locked="0"/>
    </xf>
    <xf numFmtId="164" fontId="54" fillId="3" borderId="29" xfId="0" applyNumberFormat="1" applyFont="1" applyFill="1" applyBorder="1" applyAlignment="1" applyProtection="1">
      <alignment horizontal="left" vertical="center"/>
      <protection locked="0"/>
    </xf>
    <xf numFmtId="164" fontId="54" fillId="14" borderId="29" xfId="0" applyNumberFormat="1" applyFont="1" applyFill="1" applyBorder="1" applyAlignment="1" applyProtection="1">
      <alignment horizontal="left" vertical="center"/>
      <protection locked="0"/>
    </xf>
    <xf numFmtId="164" fontId="54" fillId="14" borderId="46" xfId="0" applyNumberFormat="1" applyFont="1" applyFill="1" applyBorder="1" applyAlignment="1" applyProtection="1">
      <alignment horizontal="left" vertical="center"/>
      <protection locked="0"/>
    </xf>
    <xf numFmtId="164" fontId="42" fillId="3" borderId="29"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6" xfId="0" applyBorder="1" applyAlignment="1" applyProtection="1">
      <alignment horizontal="left"/>
      <protection locked="0"/>
    </xf>
    <xf numFmtId="164" fontId="42" fillId="14" borderId="30" xfId="0" applyNumberFormat="1" applyFont="1" applyFill="1" applyBorder="1" applyAlignment="1" applyProtection="1">
      <alignment horizontal="left" vertical="center"/>
      <protection locked="0"/>
    </xf>
    <xf numFmtId="0" fontId="0" fillId="0" borderId="31" xfId="0" applyBorder="1" applyAlignment="1" applyProtection="1">
      <alignment horizontal="left"/>
      <protection locked="0"/>
    </xf>
    <xf numFmtId="0" fontId="0" fillId="0" borderId="48" xfId="0" applyBorder="1" applyAlignment="1" applyProtection="1">
      <alignment horizontal="left"/>
      <protection locked="0"/>
    </xf>
    <xf numFmtId="0" fontId="54" fillId="4" borderId="0" xfId="0" applyNumberFormat="1" applyFont="1" applyFill="1" applyBorder="1" applyAlignment="1" applyProtection="1">
      <alignment horizontal="center" vertical="center"/>
    </xf>
    <xf numFmtId="0" fontId="40" fillId="4" borderId="0" xfId="0" applyFont="1" applyFill="1" applyBorder="1" applyAlignment="1" applyProtection="1">
      <alignment horizontal="center" vertical="top" wrapText="1"/>
    </xf>
    <xf numFmtId="165" fontId="40" fillId="4" borderId="76" xfId="1" applyNumberFormat="1" applyFont="1" applyFill="1" applyBorder="1" applyAlignment="1" applyProtection="1">
      <alignment horizontal="left" vertical="center"/>
    </xf>
    <xf numFmtId="171" fontId="40" fillId="4" borderId="76" xfId="3" applyNumberFormat="1" applyFont="1" applyFill="1" applyBorder="1" applyAlignment="1" applyProtection="1">
      <alignment horizontal="left"/>
    </xf>
    <xf numFmtId="0" fontId="69" fillId="3" borderId="0" xfId="0" applyFont="1" applyFill="1" applyBorder="1" applyAlignment="1" applyProtection="1">
      <alignment horizontal="left"/>
    </xf>
    <xf numFmtId="0" fontId="52" fillId="4" borderId="0" xfId="0" applyFont="1" applyFill="1" applyBorder="1" applyAlignment="1" applyProtection="1">
      <alignment horizontal="center" vertical="center" wrapText="1"/>
    </xf>
    <xf numFmtId="0" fontId="98" fillId="3" borderId="0" xfId="0" applyFont="1" applyFill="1" applyBorder="1" applyAlignment="1" applyProtection="1">
      <alignment horizontal="center" vertical="center" wrapText="1"/>
    </xf>
    <xf numFmtId="0" fontId="23" fillId="3" borderId="0" xfId="0" applyFont="1" applyFill="1" applyBorder="1" applyAlignment="1" applyProtection="1">
      <alignment horizontal="left" wrapText="1"/>
    </xf>
    <xf numFmtId="0" fontId="52" fillId="3" borderId="0" xfId="0" applyFont="1" applyFill="1" applyBorder="1" applyAlignment="1" applyProtection="1">
      <alignment horizontal="left" wrapText="1"/>
    </xf>
    <xf numFmtId="0" fontId="23" fillId="4" borderId="0" xfId="0" applyFont="1" applyFill="1" applyBorder="1" applyAlignment="1" applyProtection="1">
      <alignment horizontal="center" vertical="center" wrapText="1"/>
    </xf>
    <xf numFmtId="0" fontId="52" fillId="4" borderId="0" xfId="0" applyFont="1" applyFill="1" applyBorder="1" applyAlignment="1" applyProtection="1">
      <alignment horizontal="center" vertical="center"/>
    </xf>
    <xf numFmtId="0" fontId="23" fillId="4" borderId="0" xfId="0" applyFont="1" applyFill="1" applyBorder="1" applyAlignment="1" applyProtection="1">
      <alignment horizontal="center" vertical="center"/>
    </xf>
    <xf numFmtId="0" fontId="52" fillId="17" borderId="76" xfId="0" applyFont="1" applyFill="1" applyBorder="1" applyAlignment="1" applyProtection="1">
      <alignment horizontal="center" vertical="center"/>
    </xf>
    <xf numFmtId="0" fontId="20" fillId="3" borderId="76" xfId="0" applyFont="1" applyFill="1" applyBorder="1" applyAlignment="1" applyProtection="1">
      <alignment horizontal="left" vertical="center"/>
      <protection locked="0"/>
    </xf>
    <xf numFmtId="0" fontId="52" fillId="3" borderId="76" xfId="0" applyFont="1" applyFill="1" applyBorder="1" applyAlignment="1" applyProtection="1">
      <alignment horizontal="left" vertical="center"/>
      <protection locked="0"/>
    </xf>
    <xf numFmtId="0" fontId="110" fillId="3" borderId="0" xfId="0" applyFont="1" applyFill="1" applyBorder="1" applyAlignment="1" applyProtection="1">
      <alignment horizontal="center" vertical="center" wrapText="1"/>
    </xf>
    <xf numFmtId="0" fontId="28" fillId="3" borderId="76" xfId="0" applyFont="1" applyFill="1" applyBorder="1" applyAlignment="1" applyProtection="1">
      <alignment horizontal="left" vertical="center"/>
      <protection locked="0"/>
    </xf>
    <xf numFmtId="0" fontId="52" fillId="3" borderId="76" xfId="0" applyFont="1" applyFill="1" applyBorder="1" applyAlignment="1" applyProtection="1">
      <alignment horizontal="center" vertical="center"/>
      <protection locked="0"/>
    </xf>
    <xf numFmtId="0" fontId="52" fillId="17" borderId="61" xfId="0" applyFont="1" applyFill="1" applyBorder="1" applyAlignment="1" applyProtection="1">
      <alignment horizontal="center"/>
    </xf>
    <xf numFmtId="0" fontId="52" fillId="17" borderId="60" xfId="0" applyFont="1" applyFill="1" applyBorder="1" applyAlignment="1" applyProtection="1">
      <alignment horizontal="center"/>
    </xf>
    <xf numFmtId="0" fontId="52" fillId="17" borderId="75" xfId="0" applyFont="1" applyFill="1" applyBorder="1" applyAlignment="1" applyProtection="1">
      <alignment horizontal="center"/>
    </xf>
    <xf numFmtId="0" fontId="52" fillId="17" borderId="61" xfId="0" applyFont="1" applyFill="1" applyBorder="1" applyAlignment="1" applyProtection="1">
      <alignment horizontal="center" vertical="center"/>
    </xf>
    <xf numFmtId="0" fontId="52" fillId="17" borderId="60" xfId="0" applyFont="1" applyFill="1" applyBorder="1" applyAlignment="1" applyProtection="1">
      <alignment horizontal="center" vertical="center"/>
    </xf>
    <xf numFmtId="0" fontId="52" fillId="17" borderId="75" xfId="0" applyFont="1" applyFill="1" applyBorder="1" applyAlignment="1" applyProtection="1">
      <alignment horizontal="center" vertical="center"/>
    </xf>
    <xf numFmtId="0" fontId="52" fillId="4" borderId="0" xfId="0" applyFont="1" applyFill="1" applyBorder="1" applyAlignment="1" applyProtection="1">
      <alignment horizontal="left" vertical="center"/>
    </xf>
    <xf numFmtId="0" fontId="52" fillId="4" borderId="73" xfId="0" applyFont="1" applyFill="1" applyBorder="1" applyAlignment="1" applyProtection="1">
      <alignment horizontal="left" vertical="center"/>
    </xf>
    <xf numFmtId="0" fontId="52" fillId="4" borderId="62" xfId="0" applyFont="1" applyFill="1" applyBorder="1" applyAlignment="1" applyProtection="1">
      <alignment horizontal="left" vertical="center" indent="2"/>
    </xf>
    <xf numFmtId="0" fontId="52" fillId="4" borderId="63" xfId="0" applyFont="1" applyFill="1" applyBorder="1" applyAlignment="1" applyProtection="1">
      <alignment horizontal="left" vertical="center" indent="2"/>
    </xf>
    <xf numFmtId="0" fontId="3" fillId="4" borderId="0" xfId="0" applyFont="1" applyFill="1" applyBorder="1" applyAlignment="1" applyProtection="1">
      <alignment horizontal="center" vertical="top" wrapText="1"/>
    </xf>
    <xf numFmtId="0" fontId="69" fillId="3" borderId="0" xfId="0" applyNumberFormat="1" applyFont="1" applyFill="1" applyBorder="1" applyAlignment="1" applyProtection="1">
      <alignment horizontal="center" wrapText="1"/>
    </xf>
    <xf numFmtId="165" fontId="69" fillId="3" borderId="0" xfId="0" applyNumberFormat="1" applyFont="1" applyFill="1" applyBorder="1" applyAlignment="1" applyProtection="1">
      <alignment horizontal="center" vertical="center" wrapText="1"/>
    </xf>
    <xf numFmtId="0" fontId="74" fillId="3" borderId="0" xfId="0" applyNumberFormat="1" applyFont="1" applyFill="1" applyBorder="1" applyAlignment="1" applyProtection="1">
      <alignment horizontal="left" vertical="top" wrapText="1"/>
    </xf>
    <xf numFmtId="0" fontId="69" fillId="3" borderId="0" xfId="0" applyNumberFormat="1" applyFont="1" applyFill="1" applyBorder="1" applyAlignment="1" applyProtection="1">
      <alignment vertical="center" wrapText="1"/>
    </xf>
    <xf numFmtId="0" fontId="52" fillId="3" borderId="0" xfId="0" applyNumberFormat="1" applyFont="1" applyFill="1" applyBorder="1" applyAlignment="1" applyProtection="1">
      <alignment horizontal="left" vertical="top" wrapText="1"/>
    </xf>
    <xf numFmtId="0" fontId="69" fillId="3" borderId="0" xfId="0" applyNumberFormat="1" applyFont="1" applyFill="1" applyBorder="1" applyAlignment="1" applyProtection="1">
      <alignment horizontal="center" vertical="center"/>
    </xf>
    <xf numFmtId="0" fontId="52" fillId="4" borderId="0" xfId="0" applyNumberFormat="1" applyFont="1" applyFill="1" applyBorder="1" applyAlignment="1" applyProtection="1">
      <alignment horizontal="center" vertical="center"/>
    </xf>
    <xf numFmtId="0" fontId="52" fillId="4" borderId="0" xfId="0" quotePrefix="1" applyNumberFormat="1" applyFont="1" applyFill="1" applyBorder="1" applyAlignment="1" applyProtection="1">
      <alignment horizontal="center" vertical="center"/>
    </xf>
    <xf numFmtId="0" fontId="52" fillId="4" borderId="0" xfId="0" applyNumberFormat="1" applyFont="1" applyFill="1" applyBorder="1" applyAlignment="1" applyProtection="1">
      <alignment horizontal="center" vertical="center" wrapText="1"/>
    </xf>
    <xf numFmtId="0" fontId="18" fillId="3" borderId="0" xfId="0" applyFont="1" applyFill="1" applyBorder="1" applyAlignment="1">
      <alignment horizontal="left" vertical="top" wrapText="1"/>
    </xf>
    <xf numFmtId="0" fontId="52" fillId="3" borderId="0" xfId="0" applyFont="1" applyFill="1" applyBorder="1" applyAlignment="1">
      <alignment horizontal="left" vertical="top" wrapText="1"/>
    </xf>
    <xf numFmtId="0" fontId="111" fillId="4" borderId="73" xfId="0" applyFont="1" applyFill="1" applyBorder="1" applyAlignment="1">
      <alignment horizontal="center" vertical="top" wrapText="1"/>
    </xf>
    <xf numFmtId="0" fontId="111" fillId="4" borderId="0" xfId="0" applyFont="1" applyFill="1" applyBorder="1" applyAlignment="1">
      <alignment horizontal="center" vertical="top" wrapText="1"/>
    </xf>
    <xf numFmtId="0" fontId="89" fillId="4" borderId="60" xfId="0" applyFont="1" applyFill="1" applyBorder="1" applyAlignment="1">
      <alignment horizontal="center" vertical="center"/>
    </xf>
    <xf numFmtId="0" fontId="52" fillId="17" borderId="60" xfId="0" applyFont="1" applyFill="1" applyBorder="1" applyAlignment="1">
      <alignment horizontal="center"/>
    </xf>
    <xf numFmtId="0" fontId="52" fillId="17" borderId="75" xfId="0" applyFont="1" applyFill="1" applyBorder="1" applyAlignment="1">
      <alignment horizontal="center"/>
    </xf>
    <xf numFmtId="0" fontId="52" fillId="17" borderId="61" xfId="0" applyFont="1" applyFill="1" applyBorder="1" applyAlignment="1">
      <alignment horizontal="left" vertical="center"/>
    </xf>
    <xf numFmtId="0" fontId="52" fillId="17" borderId="60" xfId="0" applyFont="1" applyFill="1" applyBorder="1" applyAlignment="1">
      <alignment horizontal="left" vertical="center"/>
    </xf>
    <xf numFmtId="0" fontId="57" fillId="3" borderId="0" xfId="2" applyFill="1" applyBorder="1" applyAlignment="1" applyProtection="1">
      <alignment horizontal="left" vertical="center" wrapText="1"/>
    </xf>
    <xf numFmtId="0" fontId="40" fillId="3" borderId="60" xfId="0" applyFont="1" applyFill="1" applyBorder="1" applyAlignment="1">
      <alignment horizontal="center"/>
    </xf>
    <xf numFmtId="0" fontId="52" fillId="3" borderId="60" xfId="0" applyFont="1" applyFill="1" applyBorder="1" applyAlignment="1">
      <alignment horizontal="center"/>
    </xf>
    <xf numFmtId="0" fontId="52" fillId="3" borderId="75" xfId="0" applyFont="1" applyFill="1" applyBorder="1" applyAlignment="1">
      <alignment horizontal="center"/>
    </xf>
    <xf numFmtId="10" fontId="40" fillId="4" borderId="0" xfId="0" applyNumberFormat="1" applyFont="1" applyFill="1" applyBorder="1" applyAlignment="1">
      <alignment horizontal="center" vertical="center" wrapText="1"/>
    </xf>
    <xf numFmtId="10" fontId="52" fillId="4" borderId="0" xfId="0" applyNumberFormat="1" applyFont="1" applyFill="1" applyBorder="1" applyAlignment="1">
      <alignment horizontal="center" vertical="center" wrapText="1"/>
    </xf>
    <xf numFmtId="10" fontId="52" fillId="4" borderId="62" xfId="0" applyNumberFormat="1" applyFont="1" applyFill="1" applyBorder="1" applyAlignment="1">
      <alignment horizontal="center" vertical="center" wrapText="1"/>
    </xf>
    <xf numFmtId="0" fontId="40" fillId="4" borderId="73" xfId="0" applyFont="1" applyFill="1" applyBorder="1" applyAlignment="1">
      <alignment horizontal="center" vertical="center" wrapText="1"/>
    </xf>
    <xf numFmtId="0" fontId="52" fillId="4" borderId="73" xfId="0" applyFont="1" applyFill="1" applyBorder="1" applyAlignment="1">
      <alignment horizontal="center" vertical="center" wrapText="1"/>
    </xf>
    <xf numFmtId="0" fontId="52" fillId="4" borderId="63" xfId="0" applyFont="1" applyFill="1" applyBorder="1" applyAlignment="1">
      <alignment horizontal="center" vertical="center" wrapText="1"/>
    </xf>
    <xf numFmtId="0" fontId="163" fillId="3" borderId="0" xfId="0" applyFont="1" applyFill="1" applyBorder="1" applyAlignment="1">
      <alignment horizontal="center" vertical="top" wrapText="1"/>
    </xf>
    <xf numFmtId="0" fontId="98" fillId="3" borderId="0" xfId="0" applyFont="1" applyFill="1" applyBorder="1" applyAlignment="1">
      <alignment horizontal="center" vertical="center" wrapText="1"/>
    </xf>
    <xf numFmtId="0" fontId="52" fillId="4" borderId="65" xfId="0" applyFont="1" applyFill="1" applyBorder="1" applyAlignment="1">
      <alignment horizontal="center" vertical="center" wrapText="1"/>
    </xf>
    <xf numFmtId="0" fontId="52" fillId="4" borderId="70" xfId="0" applyFont="1" applyFill="1" applyBorder="1" applyAlignment="1">
      <alignment horizontal="center" vertical="center" wrapText="1"/>
    </xf>
    <xf numFmtId="0" fontId="52" fillId="4" borderId="0" xfId="0" applyFont="1" applyFill="1" applyBorder="1" applyAlignment="1">
      <alignment horizontal="center" vertical="center" wrapText="1"/>
    </xf>
    <xf numFmtId="0" fontId="52" fillId="4" borderId="62" xfId="0" applyFont="1" applyFill="1" applyBorder="1" applyAlignment="1">
      <alignment horizontal="center" vertical="center" wrapText="1"/>
    </xf>
    <xf numFmtId="0" fontId="50" fillId="4" borderId="0" xfId="0" applyFont="1" applyFill="1" applyBorder="1" applyAlignment="1">
      <alignment horizontal="center" vertical="center" wrapText="1"/>
    </xf>
    <xf numFmtId="0" fontId="52" fillId="4" borderId="0" xfId="0" applyFont="1" applyFill="1" applyBorder="1" applyAlignment="1">
      <alignment horizontal="left"/>
    </xf>
    <xf numFmtId="0" fontId="52" fillId="4" borderId="0" xfId="0" applyFont="1" applyFill="1" applyBorder="1" applyAlignment="1">
      <alignment horizontal="center"/>
    </xf>
    <xf numFmtId="166" fontId="2" fillId="14" borderId="30" xfId="0" applyNumberFormat="1" applyFont="1" applyFill="1" applyBorder="1" applyAlignment="1" applyProtection="1">
      <alignment horizontal="left" vertical="center"/>
      <protection locked="0"/>
    </xf>
    <xf numFmtId="166" fontId="2" fillId="14" borderId="31" xfId="0" applyNumberFormat="1" applyFont="1" applyFill="1" applyBorder="1" applyAlignment="1" applyProtection="1">
      <alignment horizontal="left" vertical="center"/>
      <protection locked="0"/>
    </xf>
    <xf numFmtId="166" fontId="2" fillId="3" borderId="29" xfId="0" applyNumberFormat="1" applyFont="1" applyFill="1" applyBorder="1" applyAlignment="1" applyProtection="1">
      <alignment horizontal="left" vertical="center"/>
      <protection locked="0"/>
    </xf>
    <xf numFmtId="166" fontId="2" fillId="3" borderId="0" xfId="0" applyNumberFormat="1" applyFont="1" applyFill="1" applyBorder="1" applyAlignment="1" applyProtection="1">
      <alignment horizontal="left" vertical="center"/>
      <protection locked="0"/>
    </xf>
    <xf numFmtId="166" fontId="2" fillId="14" borderId="29" xfId="0" applyNumberFormat="1" applyFont="1" applyFill="1" applyBorder="1" applyAlignment="1" applyProtection="1">
      <alignment horizontal="left" vertical="center"/>
      <protection locked="0"/>
    </xf>
    <xf numFmtId="166" fontId="2" fillId="14" borderId="0" xfId="0" applyNumberFormat="1" applyFont="1" applyFill="1" applyBorder="1" applyAlignment="1" applyProtection="1">
      <alignment horizontal="left" vertical="center"/>
      <protection locked="0"/>
    </xf>
    <xf numFmtId="166" fontId="2" fillId="3" borderId="30" xfId="0" applyNumberFormat="1" applyFont="1" applyFill="1" applyBorder="1" applyAlignment="1" applyProtection="1">
      <alignment horizontal="left" vertical="center"/>
      <protection locked="0"/>
    </xf>
    <xf numFmtId="166" fontId="2" fillId="3" borderId="31" xfId="0" applyNumberFormat="1" applyFont="1" applyFill="1" applyBorder="1" applyAlignment="1" applyProtection="1">
      <alignment horizontal="left" vertical="center"/>
      <protection locked="0"/>
    </xf>
    <xf numFmtId="166" fontId="2" fillId="14" borderId="68" xfId="0" applyNumberFormat="1" applyFont="1" applyFill="1" applyBorder="1" applyAlignment="1" applyProtection="1">
      <alignment horizontal="left" vertical="center"/>
      <protection locked="0"/>
    </xf>
    <xf numFmtId="166" fontId="2" fillId="14" borderId="62" xfId="0" applyNumberFormat="1" applyFont="1" applyFill="1" applyBorder="1" applyAlignment="1" applyProtection="1">
      <alignment horizontal="left" vertical="center"/>
      <protection locked="0"/>
    </xf>
    <xf numFmtId="0" fontId="88" fillId="4" borderId="0" xfId="0" applyNumberFormat="1" applyFont="1" applyFill="1" applyBorder="1" applyAlignment="1" applyProtection="1">
      <alignment horizontal="center" vertical="center" wrapText="1"/>
    </xf>
    <xf numFmtId="166" fontId="79" fillId="3" borderId="0" xfId="0" applyNumberFormat="1" applyFont="1" applyFill="1" applyBorder="1" applyAlignment="1" applyProtection="1">
      <alignment horizontal="center"/>
    </xf>
    <xf numFmtId="0" fontId="69" fillId="3" borderId="0" xfId="0" applyNumberFormat="1" applyFont="1" applyFill="1" applyBorder="1" applyAlignment="1" applyProtection="1">
      <alignment horizontal="center" vertical="center" wrapText="1"/>
    </xf>
    <xf numFmtId="0" fontId="69" fillId="3" borderId="0" xfId="0" applyNumberFormat="1" applyFont="1" applyFill="1" applyBorder="1" applyAlignment="1" applyProtection="1">
      <alignment horizontal="center"/>
    </xf>
    <xf numFmtId="166" fontId="88" fillId="4" borderId="0" xfId="0" applyNumberFormat="1" applyFont="1" applyFill="1" applyBorder="1" applyAlignment="1" applyProtection="1">
      <alignment horizontal="center" vertical="center"/>
    </xf>
    <xf numFmtId="0" fontId="20" fillId="3" borderId="0" xfId="0" applyNumberFormat="1" applyFont="1" applyFill="1" applyBorder="1" applyAlignment="1" applyProtection="1">
      <alignment horizontal="left" vertical="center" wrapText="1"/>
    </xf>
    <xf numFmtId="0" fontId="55" fillId="3" borderId="110" xfId="0" applyNumberFormat="1" applyFont="1" applyFill="1" applyBorder="1" applyAlignment="1" applyProtection="1">
      <alignment horizontal="center"/>
      <protection locked="0"/>
    </xf>
    <xf numFmtId="0" fontId="55" fillId="17" borderId="0" xfId="0" applyNumberFormat="1" applyFont="1" applyFill="1" applyBorder="1" applyAlignment="1" applyProtection="1">
      <alignment horizontal="center"/>
    </xf>
    <xf numFmtId="0" fontId="6" fillId="17" borderId="0" xfId="0" applyNumberFormat="1" applyFont="1" applyFill="1" applyBorder="1" applyAlignment="1" applyProtection="1">
      <alignment horizontal="center"/>
    </xf>
    <xf numFmtId="0" fontId="85" fillId="3" borderId="28" xfId="0" applyFont="1" applyFill="1" applyBorder="1" applyAlignment="1">
      <alignment horizontal="left" indent="1"/>
    </xf>
    <xf numFmtId="0" fontId="85" fillId="3" borderId="33" xfId="0" applyFont="1" applyFill="1" applyBorder="1" applyAlignment="1">
      <alignment horizontal="left" indent="1"/>
    </xf>
    <xf numFmtId="0" fontId="85" fillId="14" borderId="0" xfId="0" applyFont="1" applyFill="1" applyBorder="1" applyAlignment="1">
      <alignment horizontal="left" indent="1"/>
    </xf>
    <xf numFmtId="0" fontId="85" fillId="14" borderId="46" xfId="0" applyFont="1" applyFill="1" applyBorder="1" applyAlignment="1">
      <alignment horizontal="left" indent="1"/>
    </xf>
    <xf numFmtId="0" fontId="85" fillId="3" borderId="0" xfId="0" applyFont="1" applyFill="1" applyBorder="1" applyAlignment="1">
      <alignment horizontal="left" indent="1"/>
    </xf>
    <xf numFmtId="0" fontId="85" fillId="3" borderId="46" xfId="0" applyFont="1" applyFill="1" applyBorder="1" applyAlignment="1">
      <alignment horizontal="left" indent="1"/>
    </xf>
    <xf numFmtId="0" fontId="85" fillId="14" borderId="31" xfId="0" applyFont="1" applyFill="1" applyBorder="1" applyAlignment="1">
      <alignment horizontal="left" indent="1"/>
    </xf>
    <xf numFmtId="0" fontId="85" fillId="14" borderId="48" xfId="0" applyFont="1" applyFill="1" applyBorder="1" applyAlignment="1">
      <alignment horizontal="left" indent="1"/>
    </xf>
    <xf numFmtId="0" fontId="76" fillId="4" borderId="0" xfId="0" applyFont="1" applyFill="1" applyBorder="1" applyAlignment="1">
      <alignment horizontal="center" vertical="center"/>
    </xf>
    <xf numFmtId="0" fontId="23" fillId="17" borderId="0" xfId="0" applyFont="1" applyFill="1" applyBorder="1" applyAlignment="1">
      <alignment horizontal="left" vertical="center" wrapText="1" indent="1"/>
    </xf>
    <xf numFmtId="0" fontId="55" fillId="17" borderId="0" xfId="0" applyFont="1" applyFill="1" applyBorder="1" applyAlignment="1">
      <alignment horizontal="left" vertical="center" wrapText="1" indent="1"/>
    </xf>
    <xf numFmtId="0" fontId="23" fillId="17" borderId="0" xfId="0" applyFont="1" applyFill="1" applyBorder="1" applyAlignment="1">
      <alignment vertical="center"/>
    </xf>
    <xf numFmtId="0" fontId="55" fillId="17" borderId="0" xfId="0" applyFont="1" applyFill="1" applyBorder="1" applyAlignment="1">
      <alignment vertical="center"/>
    </xf>
    <xf numFmtId="0" fontId="55" fillId="3" borderId="0" xfId="0" applyFont="1" applyFill="1" applyBorder="1" applyAlignment="1">
      <alignment vertical="center"/>
    </xf>
    <xf numFmtId="0" fontId="85" fillId="3" borderId="0" xfId="0" applyFont="1" applyFill="1" applyBorder="1" applyAlignment="1">
      <alignment horizontal="left" vertical="center" indent="1"/>
    </xf>
    <xf numFmtId="0" fontId="85" fillId="3" borderId="41" xfId="0" applyFont="1" applyFill="1" applyBorder="1" applyAlignment="1">
      <alignment horizontal="left" vertical="center" indent="1"/>
    </xf>
    <xf numFmtId="0" fontId="85" fillId="14" borderId="0" xfId="0" applyFont="1" applyFill="1" applyBorder="1" applyAlignment="1">
      <alignment horizontal="left" vertical="center" indent="1"/>
    </xf>
    <xf numFmtId="0" fontId="85" fillId="14" borderId="41" xfId="0" applyFont="1" applyFill="1" applyBorder="1" applyAlignment="1">
      <alignment horizontal="left" vertical="center" indent="1"/>
    </xf>
    <xf numFmtId="0" fontId="85" fillId="3" borderId="55" xfId="0" applyFont="1" applyFill="1" applyBorder="1" applyAlignment="1">
      <alignment horizontal="left" indent="1"/>
    </xf>
    <xf numFmtId="0" fontId="55" fillId="3" borderId="0" xfId="0" applyFont="1" applyFill="1" applyBorder="1" applyAlignment="1">
      <alignment horizontal="left" vertical="center" wrapText="1"/>
    </xf>
    <xf numFmtId="0" fontId="20" fillId="17" borderId="0" xfId="0" applyFont="1" applyFill="1" applyBorder="1" applyAlignment="1">
      <alignment horizontal="left" vertical="center" wrapText="1" indent="1"/>
    </xf>
    <xf numFmtId="0" fontId="83" fillId="17" borderId="0" xfId="0" applyFont="1" applyFill="1" applyBorder="1" applyAlignment="1">
      <alignment horizontal="left" vertical="center"/>
    </xf>
    <xf numFmtId="0" fontId="55" fillId="3" borderId="0" xfId="0" applyFont="1" applyFill="1" applyBorder="1" applyAlignment="1">
      <alignment horizontal="center" vertical="center"/>
    </xf>
    <xf numFmtId="0" fontId="85" fillId="3" borderId="0" xfId="0" applyFont="1" applyFill="1" applyBorder="1" applyAlignment="1">
      <alignment horizontal="left"/>
    </xf>
    <xf numFmtId="0" fontId="33" fillId="17" borderId="39" xfId="0" applyFont="1" applyFill="1" applyBorder="1" applyAlignment="1">
      <alignment horizontal="left" vertical="center"/>
    </xf>
    <xf numFmtId="0" fontId="85" fillId="3" borderId="28" xfId="0" applyFont="1" applyFill="1" applyBorder="1" applyAlignment="1">
      <alignment horizontal="left"/>
    </xf>
    <xf numFmtId="0" fontId="85" fillId="3" borderId="28" xfId="0" applyFont="1" applyFill="1" applyBorder="1" applyAlignment="1" applyProtection="1">
      <alignment horizontal="left" indent="1"/>
    </xf>
    <xf numFmtId="0" fontId="85" fillId="3" borderId="33" xfId="0" applyFont="1" applyFill="1" applyBorder="1" applyAlignment="1" applyProtection="1">
      <alignment horizontal="left" indent="1"/>
    </xf>
    <xf numFmtId="0" fontId="85" fillId="14" borderId="31" xfId="0" applyFont="1" applyFill="1" applyBorder="1" applyAlignment="1" applyProtection="1">
      <alignment horizontal="left" indent="1"/>
    </xf>
    <xf numFmtId="0" fontId="23" fillId="17" borderId="0" xfId="0" applyFont="1" applyFill="1" applyBorder="1" applyAlignment="1">
      <alignment horizontal="left" vertical="center" indent="1"/>
    </xf>
    <xf numFmtId="0" fontId="55" fillId="17" borderId="0" xfId="0" applyFont="1" applyFill="1" applyBorder="1" applyAlignment="1">
      <alignment horizontal="left" vertical="center" indent="1"/>
    </xf>
    <xf numFmtId="0" fontId="85" fillId="14" borderId="0" xfId="0" applyFont="1" applyFill="1" applyBorder="1" applyAlignment="1">
      <alignment horizontal="left"/>
    </xf>
    <xf numFmtId="0" fontId="20" fillId="17" borderId="0" xfId="0" applyFont="1" applyFill="1" applyBorder="1" applyAlignment="1">
      <alignment horizontal="left" vertical="center" indent="1"/>
    </xf>
    <xf numFmtId="0" fontId="85" fillId="3" borderId="50" xfId="0" applyFont="1" applyFill="1" applyBorder="1" applyAlignment="1">
      <alignment horizontal="left"/>
    </xf>
    <xf numFmtId="0" fontId="85" fillId="3" borderId="51" xfId="0" applyFont="1" applyFill="1" applyBorder="1" applyAlignment="1">
      <alignment horizontal="left"/>
    </xf>
    <xf numFmtId="0" fontId="85" fillId="14" borderId="53" xfId="0" applyFont="1" applyFill="1" applyBorder="1" applyAlignment="1">
      <alignment horizontal="left" indent="1"/>
    </xf>
    <xf numFmtId="0" fontId="85" fillId="14" borderId="28" xfId="0" applyFont="1" applyFill="1" applyBorder="1" applyAlignment="1">
      <alignment horizontal="left" vertical="center" indent="1"/>
    </xf>
    <xf numFmtId="0" fontId="85" fillId="14" borderId="55" xfId="0" applyFont="1" applyFill="1" applyBorder="1" applyAlignment="1">
      <alignment horizontal="left" vertical="center" indent="1"/>
    </xf>
    <xf numFmtId="0" fontId="33" fillId="17" borderId="0" xfId="0" applyFont="1" applyFill="1" applyBorder="1" applyAlignment="1">
      <alignment horizontal="left" vertical="center"/>
    </xf>
    <xf numFmtId="0" fontId="86" fillId="3" borderId="29" xfId="0" applyFont="1" applyFill="1" applyBorder="1" applyAlignment="1" applyProtection="1">
      <alignment horizontal="center"/>
    </xf>
    <xf numFmtId="0" fontId="86" fillId="3" borderId="46" xfId="0" applyFont="1" applyFill="1" applyBorder="1" applyAlignment="1" applyProtection="1">
      <alignment horizontal="center"/>
    </xf>
    <xf numFmtId="0" fontId="86" fillId="14" borderId="29" xfId="0" applyFont="1" applyFill="1" applyBorder="1" applyAlignment="1" applyProtection="1">
      <alignment horizontal="center"/>
    </xf>
    <xf numFmtId="0" fontId="86" fillId="14" borderId="46" xfId="0" applyFont="1" applyFill="1" applyBorder="1" applyAlignment="1" applyProtection="1">
      <alignment horizontal="center"/>
    </xf>
    <xf numFmtId="165" fontId="86" fillId="0" borderId="29" xfId="1" applyNumberFormat="1" applyFont="1" applyBorder="1" applyAlignment="1">
      <alignment horizontal="center"/>
    </xf>
    <xf numFmtId="165" fontId="86" fillId="0" borderId="46" xfId="1" applyNumberFormat="1" applyFont="1" applyBorder="1" applyAlignment="1">
      <alignment horizontal="center"/>
    </xf>
    <xf numFmtId="165" fontId="86" fillId="14" borderId="30" xfId="1" applyNumberFormat="1" applyFont="1" applyFill="1" applyBorder="1" applyAlignment="1">
      <alignment horizontal="center"/>
    </xf>
    <xf numFmtId="165" fontId="86" fillId="14" borderId="48" xfId="1" applyNumberFormat="1" applyFont="1" applyFill="1" applyBorder="1" applyAlignment="1">
      <alignment horizontal="center"/>
    </xf>
    <xf numFmtId="0" fontId="54" fillId="4" borderId="0" xfId="0" applyFont="1" applyFill="1" applyBorder="1" applyAlignment="1">
      <alignment horizontal="center"/>
    </xf>
    <xf numFmtId="165" fontId="86" fillId="14" borderId="31" xfId="1" applyNumberFormat="1" applyFont="1" applyFill="1" applyBorder="1" applyAlignment="1">
      <alignment horizontal="center"/>
    </xf>
    <xf numFmtId="0" fontId="86" fillId="3" borderId="0" xfId="0" applyFont="1" applyFill="1" applyBorder="1" applyAlignment="1" applyProtection="1">
      <alignment horizontal="center"/>
    </xf>
    <xf numFmtId="0" fontId="86" fillId="14" borderId="0" xfId="0" applyFont="1" applyFill="1" applyBorder="1" applyAlignment="1" applyProtection="1">
      <alignment horizontal="center"/>
    </xf>
    <xf numFmtId="165" fontId="86" fillId="0" borderId="0" xfId="1" applyNumberFormat="1" applyFont="1" applyBorder="1" applyAlignment="1">
      <alignment horizontal="center"/>
    </xf>
    <xf numFmtId="0" fontId="55" fillId="4" borderId="49" xfId="0" applyFont="1" applyFill="1" applyBorder="1" applyAlignment="1">
      <alignment horizontal="left"/>
    </xf>
    <xf numFmtId="0" fontId="55" fillId="4" borderId="50" xfId="0" applyFont="1" applyFill="1" applyBorder="1" applyAlignment="1">
      <alignment horizontal="left"/>
    </xf>
    <xf numFmtId="0" fontId="55" fillId="4" borderId="51" xfId="0" applyFont="1" applyFill="1" applyBorder="1" applyAlignment="1">
      <alignment horizontal="left"/>
    </xf>
    <xf numFmtId="0" fontId="23" fillId="3" borderId="0" xfId="0" applyFont="1" applyFill="1" applyBorder="1" applyAlignment="1">
      <alignment horizontal="left" vertical="top"/>
    </xf>
    <xf numFmtId="0" fontId="54" fillId="3" borderId="0" xfId="0" applyFont="1" applyFill="1" applyBorder="1" applyAlignment="1">
      <alignment horizontal="left" vertical="top"/>
    </xf>
    <xf numFmtId="0" fontId="54" fillId="17" borderId="0" xfId="0" applyFont="1" applyFill="1" applyBorder="1" applyAlignment="1">
      <alignment horizontal="left"/>
    </xf>
    <xf numFmtId="0" fontId="54" fillId="17" borderId="0" xfId="0" applyFont="1" applyFill="1" applyBorder="1" applyAlignment="1">
      <alignment horizontal="left" indent="1"/>
    </xf>
    <xf numFmtId="0" fontId="5" fillId="17" borderId="0" xfId="0" applyFont="1" applyFill="1" applyBorder="1" applyAlignment="1">
      <alignment horizontal="left"/>
    </xf>
    <xf numFmtId="0" fontId="54" fillId="17" borderId="0" xfId="0" applyFont="1" applyFill="1" applyBorder="1" applyAlignment="1">
      <alignment horizontal="left" vertical="center" indent="1"/>
    </xf>
    <xf numFmtId="165" fontId="86" fillId="0" borderId="0" xfId="1" applyNumberFormat="1" applyFont="1" applyAlignment="1">
      <alignment horizontal="center"/>
    </xf>
    <xf numFmtId="0" fontId="55" fillId="3" borderId="30" xfId="0" applyFont="1" applyFill="1" applyBorder="1" applyAlignment="1" applyProtection="1">
      <alignment horizontal="left"/>
      <protection locked="0"/>
    </xf>
    <xf numFmtId="0" fontId="55" fillId="3" borderId="31" xfId="0" applyFont="1" applyFill="1" applyBorder="1" applyAlignment="1" applyProtection="1">
      <alignment horizontal="left"/>
      <protection locked="0"/>
    </xf>
    <xf numFmtId="0" fontId="55" fillId="3" borderId="48" xfId="0" applyFont="1" applyFill="1" applyBorder="1" applyAlignment="1" applyProtection="1">
      <alignment horizontal="left"/>
      <protection locked="0"/>
    </xf>
    <xf numFmtId="0" fontId="55" fillId="3" borderId="27" xfId="0" applyFont="1" applyFill="1" applyBorder="1" applyAlignment="1" applyProtection="1">
      <alignment horizontal="left"/>
      <protection locked="0"/>
    </xf>
    <xf numFmtId="0" fontId="55" fillId="3" borderId="28" xfId="0" applyFont="1" applyFill="1" applyBorder="1" applyAlignment="1" applyProtection="1">
      <alignment horizontal="left"/>
      <protection locked="0"/>
    </xf>
    <xf numFmtId="0" fontId="55" fillId="3" borderId="33" xfId="0" applyFont="1" applyFill="1" applyBorder="1" applyAlignment="1" applyProtection="1">
      <alignment horizontal="left"/>
      <protection locked="0"/>
    </xf>
    <xf numFmtId="0" fontId="55" fillId="3" borderId="29" xfId="0" applyFont="1" applyFill="1" applyBorder="1" applyAlignment="1" applyProtection="1">
      <alignment horizontal="left"/>
      <protection locked="0"/>
    </xf>
    <xf numFmtId="0" fontId="55" fillId="3" borderId="0" xfId="0" applyFont="1" applyFill="1" applyBorder="1" applyAlignment="1" applyProtection="1">
      <alignment horizontal="left"/>
      <protection locked="0"/>
    </xf>
    <xf numFmtId="0" fontId="55" fillId="3" borderId="46" xfId="0" applyFont="1" applyFill="1" applyBorder="1" applyAlignment="1" applyProtection="1">
      <alignment horizontal="left"/>
      <protection locked="0"/>
    </xf>
    <xf numFmtId="0" fontId="55" fillId="3" borderId="0" xfId="0" applyFont="1" applyFill="1" applyBorder="1" applyAlignment="1" applyProtection="1">
      <alignment horizontal="left" vertical="center"/>
    </xf>
    <xf numFmtId="166" fontId="55" fillId="3" borderId="0" xfId="1" applyFont="1" applyFill="1" applyBorder="1" applyAlignment="1" applyProtection="1">
      <alignment horizontal="center" vertical="center"/>
    </xf>
    <xf numFmtId="0" fontId="55" fillId="17" borderId="0" xfId="0" applyFont="1" applyFill="1" applyBorder="1" applyAlignment="1" applyProtection="1">
      <alignment horizontal="left" vertical="center" indent="1"/>
    </xf>
    <xf numFmtId="0" fontId="74" fillId="3" borderId="129"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54" fillId="3" borderId="0" xfId="0" applyFont="1" applyFill="1" applyBorder="1" applyAlignment="1">
      <alignment horizontal="left" vertical="center" wrapText="1"/>
    </xf>
    <xf numFmtId="0" fontId="155" fillId="3" borderId="0" xfId="0" applyFont="1" applyFill="1" applyAlignment="1">
      <alignment horizontal="center" wrapText="1"/>
    </xf>
    <xf numFmtId="0" fontId="85" fillId="3" borderId="0" xfId="0" applyNumberFormat="1" applyFont="1" applyFill="1" applyBorder="1" applyAlignment="1" applyProtection="1">
      <alignment horizontal="left" vertical="center"/>
    </xf>
    <xf numFmtId="0" fontId="54" fillId="4" borderId="27" xfId="0" applyFont="1" applyFill="1" applyBorder="1" applyAlignment="1">
      <alignment horizontal="center"/>
    </xf>
    <xf numFmtId="0" fontId="54" fillId="4" borderId="28" xfId="0" applyFont="1" applyFill="1" applyBorder="1" applyAlignment="1">
      <alignment horizontal="center"/>
    </xf>
    <xf numFmtId="0" fontId="54" fillId="4" borderId="33" xfId="0" applyFont="1" applyFill="1" applyBorder="1" applyAlignment="1">
      <alignment horizontal="center"/>
    </xf>
    <xf numFmtId="0" fontId="52" fillId="17" borderId="0" xfId="0" applyFont="1" applyFill="1" applyBorder="1" applyAlignment="1">
      <alignment horizontal="center" wrapText="1"/>
    </xf>
    <xf numFmtId="0" fontId="54" fillId="17" borderId="0" xfId="0" applyFont="1" applyFill="1" applyBorder="1" applyAlignment="1">
      <alignment horizontal="center" wrapText="1"/>
    </xf>
    <xf numFmtId="0" fontId="143" fillId="28" borderId="0" xfId="307" applyNumberFormat="1" applyBorder="1" applyAlignment="1">
      <alignment horizontal="center" vertical="center"/>
    </xf>
    <xf numFmtId="0" fontId="54" fillId="4" borderId="28" xfId="0" applyNumberFormat="1" applyFont="1" applyFill="1" applyBorder="1" applyAlignment="1">
      <alignment horizontal="center"/>
    </xf>
    <xf numFmtId="0" fontId="54" fillId="4" borderId="33" xfId="0" applyNumberFormat="1" applyFont="1" applyFill="1" applyBorder="1" applyAlignment="1">
      <alignment horizontal="center"/>
    </xf>
    <xf numFmtId="0" fontId="54" fillId="4" borderId="27" xfId="0" applyNumberFormat="1" applyFont="1" applyFill="1" applyBorder="1" applyAlignment="1">
      <alignment horizontal="center"/>
    </xf>
    <xf numFmtId="0" fontId="54" fillId="3" borderId="0" xfId="0" applyNumberFormat="1" applyFont="1" applyFill="1" applyAlignment="1">
      <alignment horizontal="center"/>
    </xf>
    <xf numFmtId="0" fontId="83" fillId="3" borderId="0" xfId="0" applyFont="1" applyFill="1" applyBorder="1" applyAlignment="1">
      <alignment horizontal="left" vertical="center"/>
    </xf>
    <xf numFmtId="0" fontId="73" fillId="3" borderId="0" xfId="0" applyNumberFormat="1" applyFont="1" applyFill="1" applyAlignment="1">
      <alignment horizontal="center"/>
    </xf>
    <xf numFmtId="165" fontId="6" fillId="19" borderId="61" xfId="3" applyNumberFormat="1" applyFont="1" applyFill="1" applyBorder="1" applyAlignment="1">
      <alignment horizontal="center"/>
    </xf>
    <xf numFmtId="165" fontId="40" fillId="19" borderId="60" xfId="3" applyNumberFormat="1" applyFont="1" applyFill="1" applyBorder="1" applyAlignment="1">
      <alignment horizontal="center"/>
    </xf>
    <xf numFmtId="165" fontId="40" fillId="19" borderId="75" xfId="3" applyNumberFormat="1" applyFont="1" applyFill="1" applyBorder="1" applyAlignment="1">
      <alignment horizontal="center"/>
    </xf>
    <xf numFmtId="0" fontId="76" fillId="24" borderId="76" xfId="0" applyFont="1" applyFill="1" applyBorder="1" applyAlignment="1">
      <alignment horizontal="center" vertical="center"/>
    </xf>
    <xf numFmtId="0" fontId="76" fillId="24" borderId="76" xfId="0" applyFont="1" applyFill="1" applyBorder="1" applyAlignment="1" applyProtection="1">
      <alignment horizontal="center" vertical="center" wrapText="1"/>
    </xf>
    <xf numFmtId="0" fontId="76" fillId="24" borderId="76" xfId="0" applyFont="1" applyFill="1" applyBorder="1" applyAlignment="1">
      <alignment horizontal="center" vertical="center" wrapText="1"/>
    </xf>
    <xf numFmtId="0" fontId="51" fillId="23" borderId="76" xfId="0" applyFont="1" applyFill="1" applyBorder="1" applyAlignment="1" applyProtection="1">
      <alignment horizontal="center" vertical="center" wrapText="1"/>
    </xf>
    <xf numFmtId="0" fontId="49" fillId="25" borderId="76" xfId="0" applyFont="1" applyFill="1" applyBorder="1" applyAlignment="1" applyProtection="1">
      <alignment horizontal="center" vertical="center" wrapText="1"/>
    </xf>
    <xf numFmtId="0" fontId="51" fillId="25" borderId="76" xfId="0" applyFont="1" applyFill="1" applyBorder="1" applyAlignment="1" applyProtection="1">
      <alignment horizontal="center" vertical="center" wrapText="1"/>
    </xf>
    <xf numFmtId="0" fontId="40" fillId="10" borderId="76" xfId="0" applyFont="1" applyFill="1" applyBorder="1" applyAlignment="1" applyProtection="1">
      <alignment horizontal="center" wrapText="1"/>
    </xf>
    <xf numFmtId="0" fontId="51" fillId="10" borderId="76" xfId="0" applyFont="1" applyFill="1" applyBorder="1" applyAlignment="1" applyProtection="1">
      <alignment horizontal="center" wrapText="1"/>
    </xf>
    <xf numFmtId="0" fontId="51" fillId="4" borderId="75" xfId="0" applyFont="1" applyFill="1" applyBorder="1" applyAlignment="1">
      <alignment horizontal="center" vertical="center" wrapText="1"/>
    </xf>
    <xf numFmtId="0" fontId="51" fillId="4" borderId="63" xfId="0" applyFont="1" applyFill="1" applyBorder="1" applyAlignment="1">
      <alignment horizontal="center" vertical="center" wrapText="1"/>
    </xf>
    <xf numFmtId="0" fontId="40" fillId="25" borderId="76" xfId="0" applyFont="1" applyFill="1" applyBorder="1" applyAlignment="1" applyProtection="1">
      <alignment horizontal="center" vertical="center" wrapText="1"/>
    </xf>
    <xf numFmtId="0" fontId="89" fillId="3" borderId="0" xfId="0" applyFont="1" applyFill="1" applyBorder="1" applyAlignment="1">
      <alignment horizontal="center" vertical="center" wrapText="1"/>
    </xf>
    <xf numFmtId="0" fontId="6" fillId="4" borderId="72" xfId="0" applyFont="1" applyFill="1" applyBorder="1" applyAlignment="1">
      <alignment horizontal="center" vertical="top" wrapText="1"/>
    </xf>
    <xf numFmtId="0" fontId="51" fillId="4" borderId="72" xfId="0" applyFont="1" applyFill="1" applyBorder="1" applyAlignment="1">
      <alignment horizontal="center" vertical="top" wrapText="1"/>
    </xf>
    <xf numFmtId="0" fontId="82" fillId="3" borderId="0" xfId="0" applyFont="1" applyFill="1" applyBorder="1" applyAlignment="1">
      <alignment horizontal="left" vertical="center" wrapText="1"/>
    </xf>
    <xf numFmtId="0" fontId="6" fillId="3" borderId="0" xfId="0" applyFont="1" applyFill="1" applyBorder="1" applyAlignment="1">
      <alignment horizontal="left" vertical="top" wrapText="1"/>
    </xf>
    <xf numFmtId="0" fontId="51" fillId="3" borderId="0" xfId="0" applyFont="1" applyFill="1" applyBorder="1" applyAlignment="1">
      <alignment horizontal="left" vertical="top" wrapText="1"/>
    </xf>
    <xf numFmtId="0" fontId="51" fillId="4" borderId="60" xfId="0" applyFont="1" applyFill="1" applyBorder="1" applyAlignment="1">
      <alignment horizontal="center" vertical="center" wrapText="1"/>
    </xf>
    <xf numFmtId="0" fontId="51" fillId="4" borderId="62" xfId="0" applyFont="1" applyFill="1" applyBorder="1" applyAlignment="1">
      <alignment horizontal="center" vertical="center" wrapText="1"/>
    </xf>
    <xf numFmtId="0" fontId="23" fillId="4" borderId="61" xfId="0" applyFont="1" applyFill="1" applyBorder="1" applyAlignment="1">
      <alignment horizontal="center" vertical="center" wrapText="1"/>
    </xf>
    <xf numFmtId="0" fontId="51" fillId="4" borderId="70" xfId="0" applyFont="1" applyFill="1" applyBorder="1" applyAlignment="1">
      <alignment horizontal="center" vertical="center" wrapText="1"/>
    </xf>
    <xf numFmtId="0" fontId="47" fillId="4" borderId="61" xfId="0" applyFont="1" applyFill="1" applyBorder="1" applyAlignment="1">
      <alignment horizontal="center" vertical="center" wrapText="1"/>
    </xf>
    <xf numFmtId="0" fontId="152" fillId="3" borderId="0" xfId="0" applyFont="1" applyFill="1" applyBorder="1" applyAlignment="1">
      <alignment horizontal="center" vertical="center" wrapText="1"/>
    </xf>
    <xf numFmtId="0" fontId="81" fillId="3" borderId="0" xfId="0" applyFont="1" applyFill="1" applyBorder="1" applyAlignment="1">
      <alignment horizontal="center" vertical="center" wrapText="1"/>
    </xf>
    <xf numFmtId="0" fontId="40" fillId="4" borderId="60" xfId="0" applyFont="1" applyFill="1" applyBorder="1" applyAlignment="1">
      <alignment horizontal="center" vertical="center" wrapText="1"/>
    </xf>
    <xf numFmtId="0" fontId="47" fillId="4" borderId="75" xfId="0" applyFont="1" applyFill="1" applyBorder="1" applyAlignment="1">
      <alignment horizontal="center" vertical="center" wrapText="1"/>
    </xf>
    <xf numFmtId="0" fontId="51" fillId="4" borderId="61" xfId="0" applyFont="1" applyFill="1" applyBorder="1" applyAlignment="1">
      <alignment horizontal="center" vertical="center" wrapText="1"/>
    </xf>
    <xf numFmtId="0" fontId="51" fillId="4" borderId="74" xfId="0" applyFont="1" applyFill="1" applyBorder="1" applyAlignment="1">
      <alignment horizontal="center" vertical="center" wrapText="1"/>
    </xf>
    <xf numFmtId="0" fontId="51" fillId="4" borderId="71" xfId="0" applyFont="1" applyFill="1" applyBorder="1" applyAlignment="1">
      <alignment horizontal="center" vertical="center" wrapText="1"/>
    </xf>
    <xf numFmtId="0" fontId="33" fillId="4" borderId="75" xfId="0" applyFont="1" applyFill="1" applyBorder="1" applyAlignment="1">
      <alignment horizontal="center" vertical="center" wrapText="1"/>
    </xf>
    <xf numFmtId="0" fontId="33" fillId="4" borderId="61" xfId="0" applyFont="1" applyFill="1" applyBorder="1" applyAlignment="1">
      <alignment horizontal="center" vertical="center" wrapText="1"/>
    </xf>
    <xf numFmtId="0" fontId="49" fillId="4" borderId="61" xfId="0" applyFont="1" applyFill="1" applyBorder="1" applyAlignment="1">
      <alignment horizontal="center" vertical="center" wrapText="1"/>
    </xf>
    <xf numFmtId="0" fontId="48" fillId="25" borderId="76" xfId="0" applyFont="1" applyFill="1" applyBorder="1" applyAlignment="1" applyProtection="1">
      <alignment horizontal="center" vertical="center" wrapText="1"/>
    </xf>
    <xf numFmtId="0" fontId="51" fillId="3" borderId="0" xfId="0" applyFont="1" applyFill="1" applyBorder="1" applyAlignment="1">
      <alignment horizontal="center" vertical="center"/>
    </xf>
    <xf numFmtId="0" fontId="51" fillId="4" borderId="74" xfId="0" applyFont="1" applyFill="1" applyBorder="1" applyAlignment="1">
      <alignment horizontal="center" vertical="center"/>
    </xf>
    <xf numFmtId="0" fontId="51" fillId="4" borderId="72" xfId="0" applyFont="1" applyFill="1" applyBorder="1" applyAlignment="1">
      <alignment horizontal="center" vertical="center"/>
    </xf>
    <xf numFmtId="0" fontId="76" fillId="30" borderId="76" xfId="0" applyFont="1" applyFill="1" applyBorder="1" applyAlignment="1">
      <alignment horizontal="center" vertical="center" wrapText="1"/>
    </xf>
    <xf numFmtId="0" fontId="76" fillId="30" borderId="76" xfId="0" applyFont="1" applyFill="1" applyBorder="1" applyAlignment="1">
      <alignment horizontal="center" vertical="center"/>
    </xf>
    <xf numFmtId="0" fontId="110" fillId="3" borderId="0" xfId="0" applyFont="1" applyFill="1" applyBorder="1" applyAlignment="1">
      <alignment horizontal="center" vertical="top" wrapText="1"/>
    </xf>
    <xf numFmtId="0" fontId="40" fillId="25" borderId="76" xfId="0" applyFont="1" applyFill="1" applyBorder="1" applyAlignment="1" applyProtection="1">
      <alignment horizontal="center" vertical="center"/>
    </xf>
    <xf numFmtId="0" fontId="49" fillId="25" borderId="76" xfId="0" applyFont="1" applyFill="1" applyBorder="1" applyAlignment="1" applyProtection="1">
      <alignment horizontal="center" vertical="center"/>
    </xf>
    <xf numFmtId="0" fontId="40" fillId="13" borderId="76" xfId="0" applyFont="1" applyFill="1" applyBorder="1" applyAlignment="1" applyProtection="1">
      <alignment horizontal="center" vertical="center" wrapText="1"/>
    </xf>
    <xf numFmtId="0" fontId="40" fillId="23" borderId="76" xfId="0" applyFont="1" applyFill="1" applyBorder="1" applyAlignment="1" applyProtection="1">
      <alignment horizontal="center" vertical="center"/>
    </xf>
    <xf numFmtId="0" fontId="40" fillId="13" borderId="76" xfId="0" applyFont="1" applyFill="1" applyBorder="1" applyAlignment="1" applyProtection="1">
      <alignment horizontal="center" vertical="center"/>
    </xf>
    <xf numFmtId="0" fontId="6" fillId="10" borderId="61" xfId="0" applyFont="1" applyFill="1" applyBorder="1" applyAlignment="1">
      <alignment horizontal="center"/>
    </xf>
    <xf numFmtId="0" fontId="40" fillId="10" borderId="60" xfId="0" applyFont="1" applyFill="1" applyBorder="1" applyAlignment="1">
      <alignment horizontal="center"/>
    </xf>
    <xf numFmtId="0" fontId="40" fillId="10" borderId="75" xfId="0" applyFont="1" applyFill="1" applyBorder="1" applyAlignment="1">
      <alignment horizontal="center"/>
    </xf>
    <xf numFmtId="0" fontId="6" fillId="4" borderId="60" xfId="0" applyFont="1" applyFill="1" applyBorder="1" applyAlignment="1" applyProtection="1">
      <alignment horizontal="center" vertical="center" wrapText="1"/>
    </xf>
    <xf numFmtId="0" fontId="52" fillId="4" borderId="62" xfId="0" applyFont="1" applyFill="1" applyBorder="1" applyAlignment="1" applyProtection="1">
      <alignment horizontal="center" vertical="center" wrapText="1"/>
    </xf>
    <xf numFmtId="0" fontId="6" fillId="4" borderId="61" xfId="0" applyFont="1" applyFill="1" applyBorder="1" applyAlignment="1" applyProtection="1">
      <alignment horizontal="center" vertical="center" wrapText="1"/>
    </xf>
    <xf numFmtId="0" fontId="52" fillId="4" borderId="65" xfId="0" applyFont="1" applyFill="1" applyBorder="1" applyAlignment="1" applyProtection="1">
      <alignment horizontal="center" vertical="center" wrapText="1"/>
    </xf>
    <xf numFmtId="0" fontId="52" fillId="4" borderId="70" xfId="0" applyFont="1" applyFill="1" applyBorder="1" applyAlignment="1" applyProtection="1">
      <alignment horizontal="center" vertical="center" wrapText="1"/>
    </xf>
    <xf numFmtId="0" fontId="6" fillId="4" borderId="0" xfId="0" applyFont="1" applyFill="1" applyBorder="1" applyAlignment="1" applyProtection="1">
      <alignment horizontal="center" vertical="center"/>
    </xf>
    <xf numFmtId="0" fontId="52" fillId="4" borderId="73" xfId="0" applyFont="1" applyFill="1" applyBorder="1" applyAlignment="1" applyProtection="1">
      <alignment horizontal="center" vertical="center"/>
    </xf>
    <xf numFmtId="0" fontId="7" fillId="4" borderId="75" xfId="0" applyFont="1" applyFill="1" applyBorder="1" applyAlignment="1" applyProtection="1">
      <alignment horizontal="center" vertical="center" wrapText="1"/>
    </xf>
    <xf numFmtId="0" fontId="52" fillId="4" borderId="73" xfId="0" applyFont="1" applyFill="1" applyBorder="1" applyAlignment="1" applyProtection="1">
      <alignment horizontal="center" vertical="center" wrapText="1"/>
    </xf>
    <xf numFmtId="0" fontId="52" fillId="4" borderId="63" xfId="0" applyFont="1" applyFill="1" applyBorder="1" applyAlignment="1" applyProtection="1">
      <alignment horizontal="center" vertical="center" wrapText="1"/>
    </xf>
    <xf numFmtId="0" fontId="7" fillId="4" borderId="6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7" fillId="4" borderId="62" xfId="0" applyFont="1" applyFill="1" applyBorder="1" applyAlignment="1">
      <alignment horizontal="center" vertical="center" wrapText="1"/>
    </xf>
    <xf numFmtId="0" fontId="52" fillId="4" borderId="60" xfId="0" applyFont="1" applyFill="1" applyBorder="1" applyAlignment="1" applyProtection="1">
      <alignment horizontal="center" vertical="center" wrapText="1"/>
    </xf>
    <xf numFmtId="0" fontId="7" fillId="4" borderId="60" xfId="0" applyFont="1" applyFill="1" applyBorder="1" applyAlignment="1" applyProtection="1">
      <alignment horizontal="center" vertical="center" wrapText="1"/>
    </xf>
    <xf numFmtId="0" fontId="7" fillId="3" borderId="0" xfId="0" applyFont="1" applyFill="1" applyBorder="1" applyAlignment="1" applyProtection="1">
      <alignment horizontal="left" vertical="top" wrapText="1"/>
    </xf>
    <xf numFmtId="0" fontId="52" fillId="3" borderId="0" xfId="0" applyFont="1" applyFill="1" applyBorder="1" applyAlignment="1" applyProtection="1">
      <alignment horizontal="left" vertical="top" wrapText="1"/>
    </xf>
    <xf numFmtId="6" fontId="52" fillId="3" borderId="0" xfId="0" applyNumberFormat="1" applyFont="1" applyFill="1" applyBorder="1" applyAlignment="1" applyProtection="1">
      <alignment horizontal="left" vertical="center" wrapText="1"/>
    </xf>
    <xf numFmtId="0" fontId="7" fillId="4" borderId="61" xfId="0" applyFont="1" applyFill="1" applyBorder="1" applyAlignment="1" applyProtection="1">
      <alignment horizontal="center" vertical="center"/>
    </xf>
    <xf numFmtId="0" fontId="52" fillId="4" borderId="75" xfId="0" applyFont="1" applyFill="1" applyBorder="1" applyAlignment="1" applyProtection="1">
      <alignment horizontal="center" vertical="center"/>
    </xf>
    <xf numFmtId="0" fontId="52" fillId="4" borderId="61" xfId="0" applyFont="1" applyFill="1" applyBorder="1" applyAlignment="1" applyProtection="1">
      <alignment horizontal="center" vertical="center"/>
    </xf>
    <xf numFmtId="0" fontId="52" fillId="4" borderId="60" xfId="0" applyFont="1" applyFill="1" applyBorder="1" applyAlignment="1" applyProtection="1">
      <alignment horizontal="center" vertical="center"/>
    </xf>
    <xf numFmtId="0" fontId="52" fillId="4" borderId="65" xfId="0" applyFont="1" applyFill="1" applyBorder="1" applyAlignment="1" applyProtection="1">
      <alignment horizontal="center" vertical="center"/>
    </xf>
    <xf numFmtId="0" fontId="52" fillId="4" borderId="75" xfId="0" applyFont="1" applyFill="1" applyBorder="1" applyAlignment="1" applyProtection="1">
      <alignment horizontal="center" vertical="center" wrapText="1"/>
    </xf>
    <xf numFmtId="0" fontId="23" fillId="3" borderId="0" xfId="295" applyFont="1" applyFill="1" applyBorder="1" applyAlignment="1" applyProtection="1">
      <alignment horizontal="left" vertical="top" wrapText="1"/>
    </xf>
    <xf numFmtId="0" fontId="46" fillId="3" borderId="0" xfId="295" applyFont="1" applyFill="1" applyBorder="1" applyAlignment="1" applyProtection="1">
      <alignment horizontal="left" vertical="top" wrapText="1"/>
    </xf>
    <xf numFmtId="0" fontId="78" fillId="3" borderId="0" xfId="0" applyFont="1" applyFill="1" applyBorder="1" applyAlignment="1" applyProtection="1">
      <alignment horizontal="center" vertical="top" wrapText="1"/>
    </xf>
    <xf numFmtId="0" fontId="78" fillId="3" borderId="0" xfId="0" applyFont="1" applyFill="1" applyBorder="1" applyAlignment="1" applyProtection="1">
      <alignment horizontal="center" vertical="top"/>
    </xf>
    <xf numFmtId="0" fontId="78" fillId="3" borderId="0" xfId="295" applyFont="1" applyFill="1" applyBorder="1" applyAlignment="1" applyProtection="1">
      <alignment horizontal="center" vertical="top" wrapText="1"/>
    </xf>
    <xf numFmtId="0" fontId="32" fillId="3" borderId="0" xfId="0" applyFont="1" applyFill="1" applyBorder="1" applyAlignment="1" applyProtection="1">
      <alignment horizontal="left" vertical="top" wrapText="1"/>
    </xf>
    <xf numFmtId="166" fontId="43" fillId="4" borderId="87" xfId="1" applyFont="1" applyFill="1" applyBorder="1" applyAlignment="1" applyProtection="1">
      <alignment horizontal="center" vertical="center"/>
    </xf>
    <xf numFmtId="166" fontId="43" fillId="4" borderId="88" xfId="1" applyFont="1" applyFill="1" applyBorder="1" applyAlignment="1" applyProtection="1">
      <alignment horizontal="center" vertical="center"/>
    </xf>
    <xf numFmtId="166" fontId="43" fillId="4" borderId="89" xfId="1" applyFont="1" applyFill="1" applyBorder="1" applyAlignment="1" applyProtection="1">
      <alignment horizontal="center" vertical="center"/>
    </xf>
    <xf numFmtId="166" fontId="43" fillId="4" borderId="26" xfId="1" applyFont="1" applyFill="1" applyBorder="1" applyAlignment="1" applyProtection="1">
      <alignment horizontal="center" vertical="center"/>
    </xf>
    <xf numFmtId="166" fontId="43" fillId="4" borderId="85" xfId="1" applyFont="1" applyFill="1" applyBorder="1" applyAlignment="1" applyProtection="1">
      <alignment horizontal="center" vertical="center"/>
    </xf>
    <xf numFmtId="166" fontId="43" fillId="4" borderId="86" xfId="1" applyFont="1" applyFill="1" applyBorder="1" applyAlignment="1" applyProtection="1">
      <alignment horizontal="center" vertical="center"/>
    </xf>
    <xf numFmtId="0" fontId="121" fillId="0" borderId="0" xfId="0" applyFont="1" applyAlignment="1" applyProtection="1">
      <alignment vertical="top" wrapText="1"/>
    </xf>
    <xf numFmtId="0" fontId="0" fillId="0" borderId="0" xfId="0" applyAlignment="1" applyProtection="1">
      <alignment vertical="top" wrapText="1"/>
    </xf>
    <xf numFmtId="0" fontId="74" fillId="4" borderId="87" xfId="0" applyFont="1" applyFill="1" applyBorder="1" applyAlignment="1" applyProtection="1">
      <alignment horizontal="center" vertical="center"/>
    </xf>
    <xf numFmtId="0" fontId="74" fillId="0" borderId="88" xfId="0" applyFont="1" applyBorder="1" applyAlignment="1" applyProtection="1">
      <alignment horizontal="center" vertical="center"/>
    </xf>
    <xf numFmtId="0" fontId="74" fillId="0" borderId="89" xfId="0" applyFont="1" applyBorder="1" applyAlignment="1" applyProtection="1">
      <alignment horizontal="center" vertical="center"/>
    </xf>
    <xf numFmtId="0" fontId="116" fillId="3" borderId="0" xfId="0" applyFont="1" applyFill="1" applyBorder="1" applyAlignment="1" applyProtection="1">
      <alignment horizontal="left" vertical="center" wrapText="1"/>
    </xf>
    <xf numFmtId="0" fontId="74" fillId="10" borderId="122" xfId="0" applyFont="1" applyFill="1" applyBorder="1" applyAlignment="1" applyProtection="1">
      <alignment horizontal="center" vertical="center"/>
    </xf>
    <xf numFmtId="0" fontId="74" fillId="10" borderId="123" xfId="0" applyFont="1" applyFill="1" applyBorder="1" applyAlignment="1" applyProtection="1">
      <alignment horizontal="center" vertical="center"/>
    </xf>
    <xf numFmtId="0" fontId="74" fillId="10" borderId="124" xfId="0" applyFont="1" applyFill="1" applyBorder="1" applyAlignment="1" applyProtection="1">
      <alignment horizontal="center" vertical="center"/>
    </xf>
    <xf numFmtId="0" fontId="83" fillId="3" borderId="0" xfId="0" applyFont="1" applyFill="1" applyBorder="1" applyAlignment="1" applyProtection="1">
      <alignment horizontal="left" vertical="center"/>
    </xf>
    <xf numFmtId="0" fontId="107" fillId="3" borderId="0" xfId="2" applyFont="1" applyFill="1" applyBorder="1" applyAlignment="1" applyProtection="1">
      <alignment horizontal="left" vertical="center"/>
      <protection locked="0"/>
    </xf>
    <xf numFmtId="0" fontId="52" fillId="3" borderId="0" xfId="295" applyFont="1" applyFill="1" applyBorder="1" applyAlignment="1" applyProtection="1">
      <alignment horizontal="left" vertical="top" wrapText="1"/>
    </xf>
    <xf numFmtId="10" fontId="74" fillId="3" borderId="0" xfId="0" applyNumberFormat="1" applyFont="1" applyFill="1" applyBorder="1" applyAlignment="1" applyProtection="1">
      <alignment horizontal="center" vertical="center"/>
    </xf>
    <xf numFmtId="0" fontId="74" fillId="3" borderId="0" xfId="0" applyFont="1" applyFill="1" applyBorder="1" applyAlignment="1" applyProtection="1">
      <alignment horizontal="center" vertical="center" wrapText="1"/>
    </xf>
    <xf numFmtId="0" fontId="43" fillId="3" borderId="0" xfId="0" applyFont="1" applyFill="1" applyBorder="1" applyAlignment="1" applyProtection="1">
      <alignment horizontal="left" vertical="center"/>
    </xf>
    <xf numFmtId="0" fontId="64" fillId="3" borderId="0" xfId="2" applyFont="1" applyFill="1" applyBorder="1" applyAlignment="1" applyProtection="1">
      <alignment horizontal="left" vertical="center"/>
    </xf>
    <xf numFmtId="0" fontId="107" fillId="3" borderId="0" xfId="2" applyFont="1" applyFill="1" applyBorder="1" applyAlignment="1" applyProtection="1">
      <alignment horizontal="left" vertical="center"/>
    </xf>
    <xf numFmtId="0" fontId="52" fillId="14" borderId="60" xfId="0" applyFont="1" applyFill="1" applyBorder="1" applyAlignment="1" applyProtection="1">
      <alignment horizontal="center" vertical="center"/>
    </xf>
    <xf numFmtId="0" fontId="52" fillId="14" borderId="60" xfId="0" applyFont="1" applyFill="1" applyBorder="1" applyAlignment="1" applyProtection="1">
      <alignment horizontal="center" vertical="center" wrapText="1"/>
    </xf>
    <xf numFmtId="0" fontId="52" fillId="14" borderId="0" xfId="0" applyFont="1" applyFill="1" applyBorder="1" applyAlignment="1" applyProtection="1">
      <alignment horizontal="center" vertical="center" wrapText="1"/>
    </xf>
    <xf numFmtId="0" fontId="74" fillId="3" borderId="0" xfId="0" applyFont="1" applyFill="1" applyBorder="1" applyAlignment="1" applyProtection="1">
      <alignment horizontal="left" vertical="center" wrapText="1"/>
    </xf>
    <xf numFmtId="0" fontId="59" fillId="0" borderId="0" xfId="0" applyFont="1" applyAlignment="1">
      <alignment horizontal="left" vertical="center"/>
    </xf>
    <xf numFmtId="0" fontId="74" fillId="14" borderId="109" xfId="0" applyFont="1" applyFill="1" applyBorder="1" applyAlignment="1" applyProtection="1">
      <alignment horizontal="center" vertical="center"/>
    </xf>
    <xf numFmtId="0" fontId="0" fillId="0" borderId="64" xfId="0" applyBorder="1" applyAlignment="1">
      <alignment horizontal="center" vertical="center"/>
    </xf>
    <xf numFmtId="0" fontId="0" fillId="0" borderId="110" xfId="0" applyBorder="1" applyAlignment="1">
      <alignment horizontal="center" vertical="center"/>
    </xf>
    <xf numFmtId="0" fontId="64" fillId="3" borderId="65"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3" xfId="0" applyBorder="1" applyAlignment="1" applyProtection="1">
      <alignment horizontal="left" vertical="center"/>
      <protection locked="0"/>
    </xf>
    <xf numFmtId="0" fontId="64" fillId="3" borderId="70" xfId="2" applyFont="1" applyFill="1" applyBorder="1" applyAlignment="1" applyProtection="1">
      <alignment horizontal="left" vertical="center"/>
      <protection locked="0"/>
    </xf>
    <xf numFmtId="0" fontId="0" fillId="0" borderId="62" xfId="0"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64" fillId="3" borderId="109" xfId="2" applyFont="1" applyFill="1"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0" fillId="0" borderId="110" xfId="0" applyBorder="1" applyAlignment="1" applyProtection="1">
      <alignment horizontal="left" vertical="center"/>
      <protection locked="0"/>
    </xf>
    <xf numFmtId="0" fontId="64" fillId="3" borderId="61" xfId="2" applyFont="1" applyFill="1" applyBorder="1" applyAlignment="1" applyProtection="1">
      <alignment horizontal="left" vertical="center"/>
      <protection locked="0"/>
    </xf>
    <xf numFmtId="0" fontId="0" fillId="0" borderId="60" xfId="0" applyBorder="1" applyAlignment="1" applyProtection="1">
      <alignment horizontal="left" vertical="center"/>
      <protection locked="0"/>
    </xf>
    <xf numFmtId="0" fontId="0" fillId="0" borderId="75" xfId="0" applyBorder="1" applyAlignment="1" applyProtection="1">
      <alignment horizontal="left" vertical="center"/>
      <protection locked="0"/>
    </xf>
    <xf numFmtId="0" fontId="74" fillId="10" borderId="126" xfId="0" applyFont="1" applyFill="1" applyBorder="1" applyAlignment="1" applyProtection="1">
      <alignment horizontal="center"/>
    </xf>
    <xf numFmtId="0" fontId="74" fillId="10" borderId="127" xfId="0" applyFont="1" applyFill="1" applyBorder="1" applyAlignment="1" applyProtection="1">
      <alignment horizontal="center"/>
    </xf>
    <xf numFmtId="0" fontId="74" fillId="10" borderId="128" xfId="0" applyFont="1" applyFill="1" applyBorder="1" applyAlignment="1" applyProtection="1">
      <alignment horizontal="center"/>
    </xf>
    <xf numFmtId="0" fontId="74" fillId="3" borderId="134" xfId="0" applyFont="1" applyFill="1" applyBorder="1" applyAlignment="1" applyProtection="1">
      <alignment horizontal="left" vertical="center" wrapText="1" indent="1"/>
    </xf>
    <xf numFmtId="0" fontId="74" fillId="3" borderId="0" xfId="0" applyFont="1" applyFill="1" applyBorder="1" applyAlignment="1" applyProtection="1">
      <alignment horizontal="left" vertical="center" wrapText="1" indent="1"/>
    </xf>
    <xf numFmtId="0" fontId="74" fillId="3" borderId="135" xfId="0" applyFont="1" applyFill="1" applyBorder="1" applyAlignment="1" applyProtection="1">
      <alignment horizontal="left" vertical="center" wrapText="1" indent="1"/>
    </xf>
    <xf numFmtId="0" fontId="74" fillId="3" borderId="136" xfId="0" applyFont="1" applyFill="1" applyBorder="1" applyAlignment="1" applyProtection="1">
      <alignment horizontal="left" vertical="center" wrapText="1" indent="1"/>
    </xf>
    <xf numFmtId="0" fontId="74" fillId="3" borderId="129" xfId="0" applyFont="1" applyFill="1" applyBorder="1" applyAlignment="1" applyProtection="1">
      <alignment horizontal="left" vertical="center" wrapText="1" indent="1"/>
    </xf>
    <xf numFmtId="0" fontId="74" fillId="3" borderId="137" xfId="0" applyFont="1" applyFill="1" applyBorder="1" applyAlignment="1" applyProtection="1">
      <alignment horizontal="left" vertical="center" wrapText="1" indent="1"/>
    </xf>
    <xf numFmtId="0" fontId="123" fillId="3" borderId="0" xfId="0" applyFont="1" applyFill="1" applyBorder="1" applyAlignment="1">
      <alignment horizontal="center" vertical="center"/>
    </xf>
    <xf numFmtId="0" fontId="89" fillId="4" borderId="8" xfId="0" applyFont="1" applyFill="1" applyBorder="1" applyAlignment="1">
      <alignment horizontal="center" vertical="center"/>
    </xf>
    <xf numFmtId="0" fontId="89" fillId="4" borderId="9" xfId="0" applyFont="1" applyFill="1" applyBorder="1" applyAlignment="1">
      <alignment horizontal="center" vertical="center"/>
    </xf>
    <xf numFmtId="0" fontId="89" fillId="4" borderId="10" xfId="0" applyFont="1" applyFill="1" applyBorder="1" applyAlignment="1">
      <alignment horizontal="center" vertical="center"/>
    </xf>
    <xf numFmtId="0" fontId="1" fillId="3" borderId="46" xfId="0" applyNumberFormat="1" applyFont="1" applyFill="1" applyBorder="1" applyAlignment="1" applyProtection="1">
      <protection locked="0"/>
    </xf>
    <xf numFmtId="0" fontId="1" fillId="14" borderId="38" xfId="0" applyFont="1" applyFill="1" applyBorder="1" applyAlignment="1" applyProtection="1">
      <alignment horizontal="center"/>
      <protection locked="0"/>
    </xf>
    <xf numFmtId="0" fontId="1" fillId="3" borderId="109" xfId="0" applyNumberFormat="1" applyFont="1" applyFill="1" applyBorder="1" applyAlignment="1" applyProtection="1">
      <alignment horizontal="center"/>
      <protection locked="0"/>
    </xf>
    <xf numFmtId="0" fontId="1" fillId="3" borderId="0" xfId="0" applyFont="1" applyFill="1" applyBorder="1" applyProtection="1">
      <protection locked="0"/>
    </xf>
    <xf numFmtId="0" fontId="1" fillId="14" borderId="0" xfId="0" applyFont="1" applyFill="1" applyBorder="1" applyProtection="1">
      <protection locked="0"/>
    </xf>
    <xf numFmtId="1" fontId="1" fillId="3" borderId="46" xfId="0" applyNumberFormat="1" applyFont="1" applyFill="1" applyBorder="1" applyAlignment="1" applyProtection="1">
      <alignment horizontal="center"/>
      <protection locked="0"/>
    </xf>
    <xf numFmtId="1" fontId="1" fillId="14" borderId="48" xfId="0" applyNumberFormat="1" applyFont="1" applyFill="1" applyBorder="1" applyAlignment="1" applyProtection="1">
      <alignment horizontal="center"/>
      <protection locked="0"/>
    </xf>
    <xf numFmtId="166" fontId="1" fillId="3" borderId="46" xfId="0" applyNumberFormat="1" applyFont="1" applyFill="1" applyBorder="1" applyAlignment="1" applyProtection="1">
      <alignment horizontal="center"/>
      <protection locked="0"/>
    </xf>
    <xf numFmtId="166" fontId="1" fillId="14" borderId="46" xfId="0" applyNumberFormat="1" applyFont="1" applyFill="1" applyBorder="1" applyAlignment="1" applyProtection="1">
      <alignment horizontal="center"/>
      <protection locked="0"/>
    </xf>
    <xf numFmtId="0" fontId="1" fillId="3" borderId="76" xfId="1" applyNumberFormat="1" applyFont="1" applyFill="1" applyBorder="1" applyAlignment="1" applyProtection="1">
      <alignment horizontal="left" vertical="center" indent="1"/>
      <protection locked="0"/>
    </xf>
    <xf numFmtId="7" fontId="42" fillId="3" borderId="76" xfId="0" applyNumberFormat="1" applyFont="1" applyFill="1" applyBorder="1" applyAlignment="1" applyProtection="1">
      <alignment horizontal="right" indent="1"/>
      <protection locked="0"/>
    </xf>
    <xf numFmtId="1" fontId="1" fillId="14" borderId="46" xfId="0" applyNumberFormat="1" applyFont="1" applyFill="1" applyBorder="1" applyAlignment="1" applyProtection="1">
      <alignment horizontal="center"/>
      <protection locked="0"/>
    </xf>
    <xf numFmtId="166" fontId="1" fillId="14" borderId="48" xfId="0" applyNumberFormat="1" applyFont="1" applyFill="1" applyBorder="1" applyAlignment="1" applyProtection="1">
      <alignment horizontal="center"/>
      <protection locked="0"/>
    </xf>
    <xf numFmtId="0" fontId="1" fillId="14" borderId="31" xfId="0" applyFont="1" applyFill="1" applyBorder="1" applyProtection="1">
      <protection locked="0"/>
    </xf>
    <xf numFmtId="1" fontId="1" fillId="14" borderId="46" xfId="0" applyNumberFormat="1" applyFont="1" applyFill="1" applyBorder="1" applyAlignment="1" applyProtection="1">
      <alignment horizontal="center" vertical="center"/>
      <protection locked="0"/>
    </xf>
    <xf numFmtId="1" fontId="1" fillId="3" borderId="48" xfId="0" applyNumberFormat="1" applyFont="1" applyFill="1" applyBorder="1" applyAlignment="1" applyProtection="1">
      <alignment horizontal="center" vertical="center"/>
      <protection locked="0"/>
    </xf>
    <xf numFmtId="166" fontId="1" fillId="3" borderId="69" xfId="0" applyNumberFormat="1" applyFont="1" applyFill="1" applyBorder="1" applyAlignment="1" applyProtection="1">
      <alignment horizontal="center"/>
      <protection locked="0"/>
    </xf>
    <xf numFmtId="0" fontId="1" fillId="3" borderId="46" xfId="0" applyFont="1" applyFill="1" applyBorder="1" applyAlignment="1" applyProtection="1">
      <alignment vertical="center"/>
      <protection locked="0"/>
    </xf>
    <xf numFmtId="0" fontId="1" fillId="14" borderId="46" xfId="0" applyFont="1" applyFill="1" applyBorder="1" applyAlignment="1" applyProtection="1">
      <alignment vertical="center"/>
      <protection locked="0"/>
    </xf>
    <xf numFmtId="0" fontId="1" fillId="14" borderId="0" xfId="0" applyFont="1" applyFill="1" applyBorder="1" applyAlignment="1" applyProtection="1">
      <alignment horizontal="center" vertical="center"/>
      <protection locked="0"/>
    </xf>
    <xf numFmtId="0" fontId="1" fillId="3" borderId="0" xfId="0" applyFont="1" applyFill="1" applyBorder="1" applyAlignment="1" applyProtection="1">
      <alignment horizontal="center" vertical="center"/>
      <protection locked="0"/>
    </xf>
    <xf numFmtId="0" fontId="1" fillId="3" borderId="46" xfId="0" applyFont="1" applyFill="1" applyBorder="1" applyAlignment="1" applyProtection="1">
      <alignment horizontal="left" indent="1"/>
      <protection locked="0"/>
    </xf>
    <xf numFmtId="0" fontId="1" fillId="14" borderId="46" xfId="0" applyFont="1" applyFill="1" applyBorder="1" applyAlignment="1" applyProtection="1">
      <alignment horizontal="left" indent="1"/>
      <protection locked="0"/>
    </xf>
    <xf numFmtId="0" fontId="1" fillId="3" borderId="45" xfId="0" applyFont="1" applyFill="1" applyBorder="1" applyAlignment="1" applyProtection="1">
      <alignment horizontal="center"/>
      <protection locked="0"/>
    </xf>
    <xf numFmtId="0" fontId="1" fillId="14" borderId="45" xfId="0" applyFont="1" applyFill="1" applyBorder="1" applyAlignment="1" applyProtection="1">
      <alignment horizontal="center"/>
      <protection locked="0"/>
    </xf>
    <xf numFmtId="0" fontId="1" fillId="3" borderId="46" xfId="0" applyFont="1" applyFill="1" applyBorder="1" applyAlignment="1" applyProtection="1">
      <alignment horizontal="center"/>
      <protection locked="0"/>
    </xf>
    <xf numFmtId="0" fontId="1" fillId="14" borderId="46" xfId="0" applyFont="1" applyFill="1" applyBorder="1" applyAlignment="1" applyProtection="1">
      <alignment horizontal="center"/>
      <protection locked="0"/>
    </xf>
    <xf numFmtId="0" fontId="1" fillId="3" borderId="38" xfId="0" applyFont="1" applyFill="1" applyBorder="1" applyAlignment="1" applyProtection="1">
      <alignment horizontal="center"/>
      <protection locked="0"/>
    </xf>
    <xf numFmtId="0" fontId="1" fillId="3" borderId="28" xfId="0" applyFont="1" applyFill="1" applyBorder="1" applyProtection="1">
      <protection locked="0"/>
    </xf>
    <xf numFmtId="0" fontId="1" fillId="3" borderId="48" xfId="0" applyFont="1" applyFill="1" applyBorder="1" applyAlignment="1" applyProtection="1">
      <alignment horizontal="center" vertical="center"/>
      <protection locked="0"/>
    </xf>
    <xf numFmtId="0" fontId="119" fillId="3" borderId="160" xfId="0" applyFont="1" applyFill="1" applyBorder="1" applyAlignment="1" applyProtection="1">
      <alignment vertical="top" wrapText="1"/>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22">
    <dxf>
      <fill>
        <patternFill>
          <bgColor rgb="FFFFFF00"/>
        </patternFill>
      </fill>
    </dxf>
    <dxf>
      <fill>
        <patternFill>
          <bgColor rgb="FFFFFF00"/>
        </patternFill>
      </fill>
    </dxf>
    <dxf>
      <font>
        <color theme="0"/>
      </font>
      <fill>
        <patternFill>
          <bgColor rgb="FFFF0000"/>
        </patternFill>
      </fill>
    </dxf>
    <dxf>
      <font>
        <strike val="0"/>
        <color theme="0"/>
      </font>
      <fill>
        <patternFill>
          <bgColor rgb="FFFF0000"/>
        </patternFill>
      </fill>
    </dxf>
    <dxf>
      <font>
        <color theme="1" tint="0.34998626667073579"/>
      </font>
    </dxf>
    <dxf>
      <fill>
        <patternFill>
          <bgColor rgb="FFFFFF00"/>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0"/>
      </font>
      <fill>
        <patternFill>
          <bgColor rgb="FF00B050"/>
        </patternFill>
      </fill>
    </dxf>
    <dxf>
      <font>
        <color rgb="FF9C0006"/>
      </font>
      <fill>
        <patternFill>
          <bgColor rgb="FFFFC7CE"/>
        </patternFill>
      </fill>
    </dxf>
    <dxf>
      <font>
        <color theme="0"/>
      </font>
      <fill>
        <patternFill>
          <bgColor theme="0" tint="-0.499984740745262"/>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theme="0"/>
      </font>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AE56"/>
      <color rgb="FFF9E79F"/>
      <color rgb="FFA2D9CE"/>
      <color rgb="FF5DADE2"/>
      <color rgb="FFD7BDE2"/>
      <color rgb="FFEC7063"/>
      <color rgb="FF45B39D"/>
      <color rgb="FFAF7AC5"/>
      <color rgb="FF82E0AA"/>
      <color rgb="FFEDBB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Investments &amp; Assets</a:t>
            </a:r>
          </a:p>
          <a:p>
            <a:pPr>
              <a:defRPr sz="2000"/>
            </a:pPr>
            <a:r>
              <a:rPr lang="en-US" sz="2000"/>
              <a:t>(To age 100 of youngest individual )</a:t>
            </a:r>
          </a:p>
        </c:rich>
      </c:tx>
      <c:overlay val="0"/>
    </c:title>
    <c:autoTitleDeleted val="0"/>
    <c:plotArea>
      <c:layout/>
      <c:barChart>
        <c:barDir val="col"/>
        <c:grouping val="stacked"/>
        <c:varyColors val="0"/>
        <c:ser>
          <c:idx val="0"/>
          <c:order val="0"/>
          <c:tx>
            <c:v>Before Tax $</c:v>
          </c:tx>
          <c:invertIfNegative val="0"/>
          <c:cat>
            <c:numRef>
              <c:f>HomeChart!$E$206:$E$254</c:f>
              <c:numCache>
                <c:formatCode>0</c:formatCode>
                <c:ptCount val="4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formatCode="General">
                  <c:v>2056</c:v>
                </c:pt>
                <c:pt idx="35" formatCode="General">
                  <c:v>2057</c:v>
                </c:pt>
                <c:pt idx="36" formatCode="General">
                  <c:v>2058</c:v>
                </c:pt>
                <c:pt idx="37" formatCode="General">
                  <c:v>2059</c:v>
                </c:pt>
                <c:pt idx="38" formatCode="General">
                  <c:v>2060</c:v>
                </c:pt>
                <c:pt idx="39" formatCode="General">
                  <c:v>2061</c:v>
                </c:pt>
                <c:pt idx="40" formatCode="General">
                  <c:v>2062</c:v>
                </c:pt>
                <c:pt idx="41" formatCode="General">
                  <c:v>2063</c:v>
                </c:pt>
                <c:pt idx="42" formatCode="General">
                  <c:v>2064</c:v>
                </c:pt>
                <c:pt idx="43" formatCode="General">
                  <c:v>2065</c:v>
                </c:pt>
                <c:pt idx="44" formatCode="General">
                  <c:v>2066</c:v>
                </c:pt>
                <c:pt idx="45" formatCode="General">
                  <c:v>2067</c:v>
                </c:pt>
                <c:pt idx="46" formatCode="General">
                  <c:v>2068</c:v>
                </c:pt>
                <c:pt idx="47" formatCode="General">
                  <c:v>2069</c:v>
                </c:pt>
                <c:pt idx="48" formatCode="General">
                  <c:v>2070</c:v>
                </c:pt>
              </c:numCache>
            </c:numRef>
          </c:cat>
          <c:val>
            <c:numRef>
              <c:f>HomeChart!$F$206:$F$254</c:f>
              <c:numCache>
                <c:formatCode>"$"#,##0</c:formatCode>
                <c:ptCount val="49"/>
                <c:pt idx="0">
                  <c:v>475000</c:v>
                </c:pt>
                <c:pt idx="1">
                  <c:v>503500</c:v>
                </c:pt>
                <c:pt idx="2">
                  <c:v>533503.75</c:v>
                </c:pt>
                <c:pt idx="3">
                  <c:v>565090.76875000005</c:v>
                </c:pt>
                <c:pt idx="4">
                  <c:v>598344.78915624996</c:v>
                </c:pt>
                <c:pt idx="5">
                  <c:v>633353.98209109367</c:v>
                </c:pt>
                <c:pt idx="6">
                  <c:v>670211.19211391639</c:v>
                </c:pt>
                <c:pt idx="7">
                  <c:v>709014.18573838496</c:v>
                </c:pt>
                <c:pt idx="8">
                  <c:v>749865.91291510942</c:v>
                </c:pt>
                <c:pt idx="9">
                  <c:v>792874.78243460949</c:v>
                </c:pt>
                <c:pt idx="10">
                  <c:v>838154.95199314039</c:v>
                </c:pt>
                <c:pt idx="11">
                  <c:v>885826.6337036218</c:v>
                </c:pt>
                <c:pt idx="12">
                  <c:v>954679.96251075156</c:v>
                </c:pt>
                <c:pt idx="13">
                  <c:v>974090.05101118167</c:v>
                </c:pt>
                <c:pt idx="14">
                  <c:v>987521.48305162892</c:v>
                </c:pt>
                <c:pt idx="15">
                  <c:v>934652.34237369406</c:v>
                </c:pt>
                <c:pt idx="16">
                  <c:v>875450.43606864184</c:v>
                </c:pt>
                <c:pt idx="17">
                  <c:v>809860.45351138746</c:v>
                </c:pt>
                <c:pt idx="18">
                  <c:v>737938.87165184296</c:v>
                </c:pt>
                <c:pt idx="19">
                  <c:v>659864.42651791673</c:v>
                </c:pt>
                <c:pt idx="20">
                  <c:v>575985.00357863342</c:v>
                </c:pt>
                <c:pt idx="21">
                  <c:v>486842.40372177877</c:v>
                </c:pt>
                <c:pt idx="22">
                  <c:v>393312.09987064992</c:v>
                </c:pt>
                <c:pt idx="23">
                  <c:v>296634.5838654759</c:v>
                </c:pt>
                <c:pt idx="24">
                  <c:v>198537.96722009493</c:v>
                </c:pt>
                <c:pt idx="25">
                  <c:v>101347.48590889873</c:v>
                </c:pt>
                <c:pt idx="26">
                  <c:v>7997.3853452546755</c:v>
                </c:pt>
                <c:pt idx="27">
                  <c:v>319.89545906486273</c:v>
                </c:pt>
                <c:pt idx="28">
                  <c:v>12.79577742745721</c:v>
                </c:pt>
                <c:pt idx="29">
                  <c:v>0.51180852455549797</c:v>
                </c:pt>
                <c:pt idx="30">
                  <c:v>2.0480865537717885E-2</c:v>
                </c:pt>
                <c:pt idx="31">
                  <c:v>8.0010015922659869E-4</c:v>
                </c:pt>
                <c:pt idx="32">
                  <c:v>3.2104165595662646E-5</c:v>
                </c:pt>
                <c:pt idx="33">
                  <c:v>3.3388332219489155E-5</c:v>
                </c:pt>
                <c:pt idx="34">
                  <c:v>3.4723865508268719E-5</c:v>
                </c:pt>
                <c:pt idx="35">
                  <c:v>3.6112820128599468E-5</c:v>
                </c:pt>
                <c:pt idx="36">
                  <c:v>3.7557332933743447E-5</c:v>
                </c:pt>
                <c:pt idx="37">
                  <c:v>3.9059626251093185E-5</c:v>
                </c:pt>
                <c:pt idx="38">
                  <c:v>4.0622011301136911E-5</c:v>
                </c:pt>
                <c:pt idx="39">
                  <c:v>4.2246891753182387E-5</c:v>
                </c:pt>
                <c:pt idx="40">
                  <c:v>4.3936767423309681E-5</c:v>
                </c:pt>
                <c:pt idx="41">
                  <c:v>4.5694238120242071E-5</c:v>
                </c:pt>
                <c:pt idx="42">
                  <c:v>4.7522007645051757E-5</c:v>
                </c:pt>
                <c:pt idx="43">
                  <c:v>4.9422887950853825E-5</c:v>
                </c:pt>
                <c:pt idx="44">
                  <c:v>5.139980346888798E-5</c:v>
                </c:pt>
                <c:pt idx="45">
                  <c:v>5.3455795607643497E-5</c:v>
                </c:pt>
                <c:pt idx="46">
                  <c:v>5.5594027431949239E-5</c:v>
                </c:pt>
                <c:pt idx="47">
                  <c:v>5.781778852922721E-5</c:v>
                </c:pt>
                <c:pt idx="48">
                  <c:v>6.0130500070396301E-5</c:v>
                </c:pt>
              </c:numCache>
            </c:numRef>
          </c:val>
          <c:extLst>
            <c:ext xmlns:c16="http://schemas.microsoft.com/office/drawing/2014/chart" uri="{C3380CC4-5D6E-409C-BE32-E72D297353CC}">
              <c16:uniqueId val="{00000000-FE02-0F40-8AF5-9545167F3339}"/>
            </c:ext>
          </c:extLst>
        </c:ser>
        <c:ser>
          <c:idx val="1"/>
          <c:order val="1"/>
          <c:tx>
            <c:v>After Tax $</c:v>
          </c:tx>
          <c:invertIfNegative val="0"/>
          <c:val>
            <c:numRef>
              <c:f>HomeChart!$G$206:$G$254</c:f>
              <c:numCache>
                <c:formatCode>"$"#,##0</c:formatCode>
                <c:ptCount val="49"/>
                <c:pt idx="0">
                  <c:v>75000</c:v>
                </c:pt>
                <c:pt idx="1">
                  <c:v>79750</c:v>
                </c:pt>
                <c:pt idx="2">
                  <c:v>84785</c:v>
                </c:pt>
                <c:pt idx="3">
                  <c:v>90122.1</c:v>
                </c:pt>
                <c:pt idx="4">
                  <c:v>95779.426000000007</c:v>
                </c:pt>
                <c:pt idx="5">
                  <c:v>101776.19156000001</c:v>
                </c:pt>
                <c:pt idx="6">
                  <c:v>108132.76305360001</c:v>
                </c:pt>
                <c:pt idx="7">
                  <c:v>114870.72883681601</c:v>
                </c:pt>
                <c:pt idx="8">
                  <c:v>122012.97256702496</c:v>
                </c:pt>
                <c:pt idx="9">
                  <c:v>129583.75092104646</c:v>
                </c:pt>
                <c:pt idx="10">
                  <c:v>137608.77597630926</c:v>
                </c:pt>
                <c:pt idx="11">
                  <c:v>146115.30253488783</c:v>
                </c:pt>
                <c:pt idx="12">
                  <c:v>155132.22068698111</c:v>
                </c:pt>
                <c:pt idx="13">
                  <c:v>161337.50951446034</c:v>
                </c:pt>
                <c:pt idx="14">
                  <c:v>167791.00989503876</c:v>
                </c:pt>
                <c:pt idx="15">
                  <c:v>174502.65029084031</c:v>
                </c:pt>
                <c:pt idx="16">
                  <c:v>181482.75630247392</c:v>
                </c:pt>
                <c:pt idx="17">
                  <c:v>188742.06655457287</c:v>
                </c:pt>
                <c:pt idx="18">
                  <c:v>196291.74921675579</c:v>
                </c:pt>
                <c:pt idx="19">
                  <c:v>204143.41918542603</c:v>
                </c:pt>
                <c:pt idx="20">
                  <c:v>212309.15595284308</c:v>
                </c:pt>
                <c:pt idx="21">
                  <c:v>220801.52219095681</c:v>
                </c:pt>
                <c:pt idx="22">
                  <c:v>229633.58307859508</c:v>
                </c:pt>
                <c:pt idx="23">
                  <c:v>238818.92640173889</c:v>
                </c:pt>
                <c:pt idx="24">
                  <c:v>248371.68345780845</c:v>
                </c:pt>
                <c:pt idx="25">
                  <c:v>258306.55079612078</c:v>
                </c:pt>
                <c:pt idx="26">
                  <c:v>268638.81282796559</c:v>
                </c:pt>
                <c:pt idx="27">
                  <c:v>200957.75534108421</c:v>
                </c:pt>
                <c:pt idx="28">
                  <c:v>826868.80316277605</c:v>
                </c:pt>
                <c:pt idx="29">
                  <c:v>756948.35528928717</c:v>
                </c:pt>
                <c:pt idx="30">
                  <c:v>679586.79950085864</c:v>
                </c:pt>
                <c:pt idx="31">
                  <c:v>594330.29148089304</c:v>
                </c:pt>
                <c:pt idx="32">
                  <c:v>500707.5031401288</c:v>
                </c:pt>
                <c:pt idx="33">
                  <c:v>398227.80326573394</c:v>
                </c:pt>
                <c:pt idx="34">
                  <c:v>286368.9153963633</c:v>
                </c:pt>
                <c:pt idx="35">
                  <c:v>164587.67201221781</c:v>
                </c:pt>
                <c:pt idx="36">
                  <c:v>32295.178892706521</c:v>
                </c:pt>
                <c:pt idx="37">
                  <c:v>33586.986048414779</c:v>
                </c:pt>
                <c:pt idx="38">
                  <c:v>34930.465490351373</c:v>
                </c:pt>
                <c:pt idx="39">
                  <c:v>36327.684109965427</c:v>
                </c:pt>
                <c:pt idx="40">
                  <c:v>37780.791474364043</c:v>
                </c:pt>
                <c:pt idx="41">
                  <c:v>39292.023133338604</c:v>
                </c:pt>
                <c:pt idx="42">
                  <c:v>40863.704058672149</c:v>
                </c:pt>
                <c:pt idx="43">
                  <c:v>42498.252221019036</c:v>
                </c:pt>
                <c:pt idx="44">
                  <c:v>44198.182309859796</c:v>
                </c:pt>
                <c:pt idx="45">
                  <c:v>45966.10960225419</c:v>
                </c:pt>
                <c:pt idx="46">
                  <c:v>47804.75398634436</c:v>
                </c:pt>
                <c:pt idx="47">
                  <c:v>49716.944145798137</c:v>
                </c:pt>
                <c:pt idx="48">
                  <c:v>51705.621911630064</c:v>
                </c:pt>
              </c:numCache>
            </c:numRef>
          </c:val>
          <c:extLst>
            <c:ext xmlns:c16="http://schemas.microsoft.com/office/drawing/2014/chart" uri="{C3380CC4-5D6E-409C-BE32-E72D297353CC}">
              <c16:uniqueId val="{00000001-FE02-0F40-8AF5-9545167F3339}"/>
            </c:ext>
          </c:extLst>
        </c:ser>
        <c:ser>
          <c:idx val="2"/>
          <c:order val="2"/>
          <c:tx>
            <c:v>House</c:v>
          </c:tx>
          <c:invertIfNegative val="0"/>
          <c:val>
            <c:numRef>
              <c:f>HomeChart!$H$206:$H$254</c:f>
              <c:numCache>
                <c:formatCode>"$"#,##0</c:formatCode>
                <c:ptCount val="49"/>
                <c:pt idx="0">
                  <c:v>450000</c:v>
                </c:pt>
                <c:pt idx="1">
                  <c:v>458325</c:v>
                </c:pt>
                <c:pt idx="2">
                  <c:v>466804.01250000001</c:v>
                </c:pt>
                <c:pt idx="3">
                  <c:v>475439.88673125004</c:v>
                </c:pt>
                <c:pt idx="4">
                  <c:v>484235.52463577816</c:v>
                </c:pt>
                <c:pt idx="5">
                  <c:v>493193.88184154005</c:v>
                </c:pt>
                <c:pt idx="6">
                  <c:v>502317.96865560854</c:v>
                </c:pt>
                <c:pt idx="7">
                  <c:v>511610.85107573727</c:v>
                </c:pt>
                <c:pt idx="8">
                  <c:v>521075.65182063839</c:v>
                </c:pt>
                <c:pt idx="9">
                  <c:v>530715.55137932021</c:v>
                </c:pt>
                <c:pt idx="10">
                  <c:v>540533.78907983762</c:v>
                </c:pt>
                <c:pt idx="11">
                  <c:v>550533.66417781461</c:v>
                </c:pt>
                <c:pt idx="12">
                  <c:v>560718.53696510417</c:v>
                </c:pt>
                <c:pt idx="13">
                  <c:v>571091.82989895856</c:v>
                </c:pt>
                <c:pt idx="14">
                  <c:v>581657.02875208925</c:v>
                </c:pt>
                <c:pt idx="15">
                  <c:v>592417.6837840029</c:v>
                </c:pt>
                <c:pt idx="16">
                  <c:v>603377.41093400691</c:v>
                </c:pt>
                <c:pt idx="17">
                  <c:v>614539.893036286</c:v>
                </c:pt>
                <c:pt idx="18">
                  <c:v>625908.8810574573</c:v>
                </c:pt>
                <c:pt idx="19">
                  <c:v>637488.19535702025</c:v>
                </c:pt>
                <c:pt idx="20">
                  <c:v>649281.72697112511</c:v>
                </c:pt>
                <c:pt idx="21">
                  <c:v>661293.43892009091</c:v>
                </c:pt>
                <c:pt idx="22">
                  <c:v>673527.36754011258</c:v>
                </c:pt>
                <c:pt idx="23">
                  <c:v>685987.62383960467</c:v>
                </c:pt>
                <c:pt idx="24">
                  <c:v>698678.39488063741</c:v>
                </c:pt>
                <c:pt idx="25">
                  <c:v>711603.94518592919</c:v>
                </c:pt>
                <c:pt idx="26">
                  <c:v>724768.61817186885</c:v>
                </c:pt>
                <c:pt idx="27">
                  <c:v>738176.83760804846</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02-FE02-0F40-8AF5-9545167F3339}"/>
            </c:ext>
          </c:extLst>
        </c:ser>
        <c:dLbls>
          <c:showLegendKey val="0"/>
          <c:showVal val="0"/>
          <c:showCatName val="0"/>
          <c:showSerName val="0"/>
          <c:showPercent val="0"/>
          <c:showBubbleSize val="0"/>
        </c:dLbls>
        <c:gapWidth val="150"/>
        <c:overlap val="100"/>
        <c:axId val="48493711"/>
        <c:axId val="48895023"/>
      </c:barChart>
      <c:catAx>
        <c:axId val="48493711"/>
        <c:scaling>
          <c:orientation val="minMax"/>
        </c:scaling>
        <c:delete val="0"/>
        <c:axPos val="b"/>
        <c:numFmt formatCode="0" sourceLinked="1"/>
        <c:majorTickMark val="out"/>
        <c:minorTickMark val="none"/>
        <c:tickLblPos val="nextTo"/>
        <c:crossAx val="48895023"/>
        <c:crosses val="autoZero"/>
        <c:auto val="1"/>
        <c:lblAlgn val="ctr"/>
        <c:lblOffset val="100"/>
        <c:noMultiLvlLbl val="0"/>
      </c:catAx>
      <c:valAx>
        <c:axId val="48895023"/>
        <c:scaling>
          <c:orientation val="minMax"/>
        </c:scaling>
        <c:delete val="0"/>
        <c:axPos val="l"/>
        <c:majorGridlines/>
        <c:numFmt formatCode="&quot;$&quot;#,##0" sourceLinked="1"/>
        <c:majorTickMark val="out"/>
        <c:minorTickMark val="none"/>
        <c:tickLblPos val="nextTo"/>
        <c:crossAx val="48493711"/>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DF2E3"/>
    </a:solidFill>
  </c:spPr>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3000</c:v>
                </c:pt>
                <c:pt idx="1">
                  <c:v>400000</c:v>
                </c:pt>
                <c:pt idx="2">
                  <c:v>475837.18003114674</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9350.464683803626</c:v>
                </c:pt>
                <c:pt idx="1">
                  <c:v>12000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0.53</c:v>
                </c:pt>
                <c:pt idx="1">
                  <c:v>6.4242424242424254E-2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image" Target="../media/image27.svg"/><Relationship Id="rId3" Type="http://schemas.openxmlformats.org/officeDocument/2006/relationships/hyperlink" Target="#Income!A1"/><Relationship Id="rId21" Type="http://schemas.openxmlformats.org/officeDocument/2006/relationships/image" Target="../media/image22.sv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hyperlink" Target="#Budget!A1"/><Relationship Id="rId16" Type="http://schemas.openxmlformats.org/officeDocument/2006/relationships/image" Target="../media/image17.svg"/><Relationship Id="rId20" Type="http://schemas.openxmlformats.org/officeDocument/2006/relationships/image" Target="../media/image21.svg"/><Relationship Id="rId29" Type="http://schemas.openxmlformats.org/officeDocument/2006/relationships/image" Target="../media/image30.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12.png"/><Relationship Id="rId24" Type="http://schemas.openxmlformats.org/officeDocument/2006/relationships/image" Target="../media/image25.svg"/><Relationship Id="rId5" Type="http://schemas.openxmlformats.org/officeDocument/2006/relationships/hyperlink" Target="#Retire!A1"/><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svg"/><Relationship Id="rId10" Type="http://schemas.openxmlformats.org/officeDocument/2006/relationships/image" Target="../media/image11.svg"/><Relationship Id="rId19" Type="http://schemas.openxmlformats.org/officeDocument/2006/relationships/image" Target="../media/image20.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gif"/><Relationship Id="rId27" Type="http://schemas.openxmlformats.org/officeDocument/2006/relationships/image" Target="../media/image28.png"/><Relationship Id="rId30" Type="http://schemas.openxmlformats.org/officeDocument/2006/relationships/image" Target="../media/image31.svg"/></Relationships>
</file>

<file path=xl/drawings/_rels/drawing5.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6.png"/><Relationship Id="rId7" Type="http://schemas.openxmlformats.org/officeDocument/2006/relationships/hyperlink" Target="#Home!A1"/><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image" Target="../media/image17.svg"/><Relationship Id="rId9" Type="http://schemas.openxmlformats.org/officeDocument/2006/relationships/image" Target="../media/image7.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5.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34.png"/><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3.svg"/><Relationship Id="rId2" Type="http://schemas.openxmlformats.org/officeDocument/2006/relationships/image" Target="../media/image35.svg"/><Relationship Id="rId1" Type="http://schemas.openxmlformats.org/officeDocument/2006/relationships/image" Target="../media/image34.png"/><Relationship Id="rId6" Type="http://schemas.openxmlformats.org/officeDocument/2006/relationships/image" Target="../media/image32.png"/><Relationship Id="rId5" Type="http://schemas.openxmlformats.org/officeDocument/2006/relationships/image" Target="../media/image7.sv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34.png"/><Relationship Id="rId7" Type="http://schemas.openxmlformats.org/officeDocument/2006/relationships/image" Target="../media/image7.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6.png"/><Relationship Id="rId5" Type="http://schemas.openxmlformats.org/officeDocument/2006/relationships/hyperlink" Target="#Home!A1"/><Relationship Id="rId4" Type="http://schemas.openxmlformats.org/officeDocument/2006/relationships/image" Target="../media/image35.svg"/></Relationships>
</file>

<file path=xl/drawings/_rels/drawing9.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25.svg"/><Relationship Id="rId3" Type="http://schemas.openxmlformats.org/officeDocument/2006/relationships/image" Target="../media/image20.png"/><Relationship Id="rId7" Type="http://schemas.openxmlformats.org/officeDocument/2006/relationships/image" Target="../media/image35.svg"/><Relationship Id="rId12" Type="http://schemas.openxmlformats.org/officeDocument/2006/relationships/image" Target="../media/image24.png"/><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6.jpeg"/><Relationship Id="rId5" Type="http://schemas.openxmlformats.org/officeDocument/2006/relationships/image" Target="../media/image21.svg"/><Relationship Id="rId10" Type="http://schemas.openxmlformats.org/officeDocument/2006/relationships/image" Target="../media/image7.svg"/><Relationship Id="rId4" Type="http://schemas.openxmlformats.org/officeDocument/2006/relationships/image" Target="../media/image22.svg"/><Relationship Id="rId9" Type="http://schemas.openxmlformats.org/officeDocument/2006/relationships/image" Target="../media/image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41.svg"/><Relationship Id="rId13" Type="http://schemas.openxmlformats.org/officeDocument/2006/relationships/image" Target="../media/image46.svg"/><Relationship Id="rId3" Type="http://schemas.openxmlformats.org/officeDocument/2006/relationships/image" Target="../media/image7.svg"/><Relationship Id="rId7" Type="http://schemas.openxmlformats.org/officeDocument/2006/relationships/image" Target="../media/image40.svg"/><Relationship Id="rId12" Type="http://schemas.openxmlformats.org/officeDocument/2006/relationships/image" Target="../media/image45.png"/><Relationship Id="rId17" Type="http://schemas.openxmlformats.org/officeDocument/2006/relationships/image" Target="../media/image50.svg"/><Relationship Id="rId2" Type="http://schemas.openxmlformats.org/officeDocument/2006/relationships/image" Target="../media/image6.png"/><Relationship Id="rId16" Type="http://schemas.openxmlformats.org/officeDocument/2006/relationships/image" Target="../media/image49.png"/><Relationship Id="rId1" Type="http://schemas.openxmlformats.org/officeDocument/2006/relationships/hyperlink" Target="#Home!A1"/><Relationship Id="rId6" Type="http://schemas.openxmlformats.org/officeDocument/2006/relationships/image" Target="../media/image39.png"/><Relationship Id="rId11" Type="http://schemas.openxmlformats.org/officeDocument/2006/relationships/image" Target="../media/image44.svg"/><Relationship Id="rId5" Type="http://schemas.openxmlformats.org/officeDocument/2006/relationships/image" Target="../media/image38.svg"/><Relationship Id="rId15" Type="http://schemas.openxmlformats.org/officeDocument/2006/relationships/image" Target="../media/image48.svg"/><Relationship Id="rId10" Type="http://schemas.openxmlformats.org/officeDocument/2006/relationships/image" Target="../media/image43.svg"/><Relationship Id="rId4" Type="http://schemas.openxmlformats.org/officeDocument/2006/relationships/image" Target="../media/image37.png"/><Relationship Id="rId9" Type="http://schemas.openxmlformats.org/officeDocument/2006/relationships/image" Target="../media/image42.png"/><Relationship Id="rId14" Type="http://schemas.openxmlformats.org/officeDocument/2006/relationships/image" Target="../media/image4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8.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3.xml"/><Relationship Id="rId5" Type="http://schemas.openxmlformats.org/officeDocument/2006/relationships/image" Target="../media/image48.svg"/><Relationship Id="rId10" Type="http://schemas.openxmlformats.org/officeDocument/2006/relationships/chart" Target="../charts/chart7.xml"/><Relationship Id="rId4" Type="http://schemas.openxmlformats.org/officeDocument/2006/relationships/image" Target="../media/image47.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2.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3.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6.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1</xdr:row>
      <xdr:rowOff>42333</xdr:rowOff>
    </xdr:from>
    <xdr:to>
      <xdr:col>1</xdr:col>
      <xdr:colOff>12700</xdr:colOff>
      <xdr:row>2</xdr:row>
      <xdr:rowOff>50800</xdr:rowOff>
    </xdr:to>
    <xdr:pic>
      <xdr:nvPicPr>
        <xdr:cNvPr id="7" name="Graphic 6" descr="Home with solid fill">
          <a:hlinkClick xmlns:r="http://schemas.openxmlformats.org/officeDocument/2006/relationships" r:id="rId1"/>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143933"/>
          <a:ext cx="406400" cy="402167"/>
        </a:xfrm>
        <a:prstGeom prst="rect">
          <a:avLst/>
        </a:prstGeom>
      </xdr:spPr>
    </xdr:pic>
    <xdr:clientData/>
  </xdr:twoCellAnchor>
  <xdr:twoCellAnchor editAs="oneCell">
    <xdr:from>
      <xdr:col>12</xdr:col>
      <xdr:colOff>152400</xdr:colOff>
      <xdr:row>14</xdr:row>
      <xdr:rowOff>1231900</xdr:rowOff>
    </xdr:from>
    <xdr:to>
      <xdr:col>18</xdr:col>
      <xdr:colOff>243887</xdr:colOff>
      <xdr:row>20</xdr:row>
      <xdr:rowOff>38100</xdr:rowOff>
    </xdr:to>
    <xdr:pic>
      <xdr:nvPicPr>
        <xdr:cNvPr id="17" name="Picture 16">
          <a:extLst>
            <a:ext uri="{FF2B5EF4-FFF2-40B4-BE49-F238E27FC236}">
              <a16:creationId xmlns:a16="http://schemas.microsoft.com/office/drawing/2014/main" id="{D563B265-3754-2326-574C-A747AAA3EDA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817100" y="11176000"/>
          <a:ext cx="5171487" cy="410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0</xdr:colOff>
      <xdr:row>7</xdr:row>
      <xdr:rowOff>0</xdr:rowOff>
    </xdr:from>
    <xdr:to>
      <xdr:col>21</xdr:col>
      <xdr:colOff>304800</xdr:colOff>
      <xdr:row>7</xdr:row>
      <xdr:rowOff>304800</xdr:rowOff>
    </xdr:to>
    <xdr:sp macro="" textlink="">
      <xdr:nvSpPr>
        <xdr:cNvPr id="1025" name="AutoShape 1">
          <a:extLst>
            <a:ext uri="{FF2B5EF4-FFF2-40B4-BE49-F238E27FC236}">
              <a16:creationId xmlns:a16="http://schemas.microsoft.com/office/drawing/2014/main" id="{82137317-A3DA-6A04-BC6B-BFE92F70D825}"/>
            </a:ext>
          </a:extLst>
        </xdr:cNvPr>
        <xdr:cNvSpPr>
          <a:spLocks noChangeAspect="1" noChangeArrowheads="1"/>
        </xdr:cNvSpPr>
      </xdr:nvSpPr>
      <xdr:spPr bwMode="auto">
        <a:xfrm>
          <a:off x="16802100" y="198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47</xdr:row>
      <xdr:rowOff>0</xdr:rowOff>
    </xdr:from>
    <xdr:to>
      <xdr:col>6</xdr:col>
      <xdr:colOff>304800</xdr:colOff>
      <xdr:row>48</xdr:row>
      <xdr:rowOff>0</xdr:rowOff>
    </xdr:to>
    <xdr:sp macro="" textlink="">
      <xdr:nvSpPr>
        <xdr:cNvPr id="1026" name="AutoShape 2">
          <a:extLst>
            <a:ext uri="{FF2B5EF4-FFF2-40B4-BE49-F238E27FC236}">
              <a16:creationId xmlns:a16="http://schemas.microsoft.com/office/drawing/2014/main" id="{1BA9B943-C33D-EBA2-78EF-D658A9A0C932}"/>
            </a:ext>
          </a:extLst>
        </xdr:cNvPr>
        <xdr:cNvSpPr>
          <a:spLocks noChangeAspect="1" noChangeArrowheads="1"/>
        </xdr:cNvSpPr>
      </xdr:nvSpPr>
      <xdr:spPr bwMode="auto">
        <a:xfrm>
          <a:off x="3949700" y="254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50800</xdr:colOff>
      <xdr:row>1</xdr:row>
      <xdr:rowOff>195580</xdr:rowOff>
    </xdr:from>
    <xdr:to>
      <xdr:col>18</xdr:col>
      <xdr:colOff>883920</xdr:colOff>
      <xdr:row>4</xdr:row>
      <xdr:rowOff>172101</xdr:rowOff>
    </xdr:to>
    <xdr:pic>
      <xdr:nvPicPr>
        <xdr:cNvPr id="2" name="Picture 1">
          <a:extLst>
            <a:ext uri="{FF2B5EF4-FFF2-40B4-BE49-F238E27FC236}">
              <a16:creationId xmlns:a16="http://schemas.microsoft.com/office/drawing/2014/main" id="{7F229933-DBB5-DA7C-4670-CA72AD0C1824}"/>
            </a:ext>
          </a:extLst>
        </xdr:cNvPr>
        <xdr:cNvPicPr>
          <a:picLocks noChangeAspect="1"/>
        </xdr:cNvPicPr>
      </xdr:nvPicPr>
      <xdr:blipFill>
        <a:blip xmlns:r="http://schemas.openxmlformats.org/officeDocument/2006/relationships" r:embed="rId5"/>
        <a:stretch>
          <a:fillRect/>
        </a:stretch>
      </xdr:blipFill>
      <xdr:spPr>
        <a:xfrm>
          <a:off x="14833600" y="297180"/>
          <a:ext cx="833120" cy="840121"/>
        </a:xfrm>
        <a:prstGeom prst="rect">
          <a:avLst/>
        </a:prstGeom>
      </xdr:spPr>
    </xdr:pic>
    <xdr:clientData/>
  </xdr:twoCellAnchor>
  <xdr:twoCellAnchor editAs="oneCell">
    <xdr:from>
      <xdr:col>11</xdr:col>
      <xdr:colOff>162560</xdr:colOff>
      <xdr:row>5</xdr:row>
      <xdr:rowOff>132080</xdr:rowOff>
    </xdr:from>
    <xdr:to>
      <xdr:col>18</xdr:col>
      <xdr:colOff>193040</xdr:colOff>
      <xdr:row>7</xdr:row>
      <xdr:rowOff>5181600</xdr:rowOff>
    </xdr:to>
    <xdr:pic>
      <xdr:nvPicPr>
        <xdr:cNvPr id="3" name="Picture 2">
          <a:extLst>
            <a:ext uri="{FF2B5EF4-FFF2-40B4-BE49-F238E27FC236}">
              <a16:creationId xmlns:a16="http://schemas.microsoft.com/office/drawing/2014/main" id="{85AA5496-0E54-0F43-B31B-3C77EFADC308}"/>
            </a:ext>
          </a:extLst>
        </xdr:cNvPr>
        <xdr:cNvPicPr>
          <a:picLocks noChangeAspect="1"/>
        </xdr:cNvPicPr>
      </xdr:nvPicPr>
      <xdr:blipFill>
        <a:blip xmlns:r="http://schemas.openxmlformats.org/officeDocument/2006/relationships" r:embed="rId6"/>
        <a:stretch>
          <a:fillRect/>
        </a:stretch>
      </xdr:blipFill>
      <xdr:spPr>
        <a:xfrm>
          <a:off x="8900160" y="1493520"/>
          <a:ext cx="6075680" cy="60756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812800</xdr:colOff>
      <xdr:row>12</xdr:row>
      <xdr:rowOff>101600</xdr:rowOff>
    </xdr:from>
    <xdr:to>
      <xdr:col>3</xdr:col>
      <xdr:colOff>596900</xdr:colOff>
      <xdr:row>12</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12</xdr:row>
      <xdr:rowOff>101600</xdr:rowOff>
    </xdr:from>
    <xdr:to>
      <xdr:col>6</xdr:col>
      <xdr:colOff>596900</xdr:colOff>
      <xdr:row>12</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95808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12</xdr:row>
      <xdr:rowOff>101600</xdr:rowOff>
    </xdr:from>
    <xdr:to>
      <xdr:col>9</xdr:col>
      <xdr:colOff>596900</xdr:colOff>
      <xdr:row>12</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844296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1016000</xdr:colOff>
      <xdr:row>12</xdr:row>
      <xdr:rowOff>101600</xdr:rowOff>
    </xdr:from>
    <xdr:to>
      <xdr:col>12</xdr:col>
      <xdr:colOff>774700</xdr:colOff>
      <xdr:row>12</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2131040" y="6847840"/>
          <a:ext cx="14249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editAs="oneCell">
    <xdr:from>
      <xdr:col>0</xdr:col>
      <xdr:colOff>114302</xdr:colOff>
      <xdr:row>1</xdr:row>
      <xdr:rowOff>42336</xdr:rowOff>
    </xdr:from>
    <xdr:to>
      <xdr:col>1</xdr:col>
      <xdr:colOff>12702</xdr:colOff>
      <xdr:row>2</xdr:row>
      <xdr:rowOff>50803</xdr:rowOff>
    </xdr:to>
    <xdr:pic>
      <xdr:nvPicPr>
        <xdr:cNvPr id="26" name="Graphic 25" descr="Home with solid fill">
          <a:hlinkClick xmlns:r="http://schemas.openxmlformats.org/officeDocument/2006/relationships" r:id="rId1"/>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2" y="169336"/>
          <a:ext cx="406400" cy="402167"/>
        </a:xfrm>
        <a:prstGeom prst="rect">
          <a:avLst/>
        </a:prstGeom>
      </xdr:spPr>
    </xdr:pic>
    <xdr:clientData/>
  </xdr:twoCellAnchor>
  <xdr:twoCellAnchor>
    <xdr:from>
      <xdr:col>5</xdr:col>
      <xdr:colOff>812800</xdr:colOff>
      <xdr:row>8</xdr:row>
      <xdr:rowOff>127000</xdr:rowOff>
    </xdr:from>
    <xdr:to>
      <xdr:col>9</xdr:col>
      <xdr:colOff>901700</xdr:colOff>
      <xdr:row>8</xdr:row>
      <xdr:rowOff>472209</xdr:rowOff>
    </xdr:to>
    <xdr:sp macro="[0]!ThisWorkbook.openDocumentation" textlink="">
      <xdr:nvSpPr>
        <xdr:cNvPr id="2" name="Rounded Rectangle 1">
          <a:extLst>
            <a:ext uri="{FF2B5EF4-FFF2-40B4-BE49-F238E27FC236}">
              <a16:creationId xmlns:a16="http://schemas.microsoft.com/office/drawing/2014/main" id="{CB142217-B0B9-684F-8F7C-113DF1050D04}"/>
            </a:ext>
          </a:extLst>
        </xdr:cNvPr>
        <xdr:cNvSpPr/>
      </xdr:nvSpPr>
      <xdr:spPr>
        <a:xfrm>
          <a:off x="4958080" y="3540760"/>
          <a:ext cx="52400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Retirement Planner documentation web site</a:t>
          </a:r>
          <a:endParaRPr lang="en-US" sz="1400">
            <a:solidFill>
              <a:schemeClr val="tx1">
                <a:lumMod val="65000"/>
                <a:lumOff val="35000"/>
              </a:schemeClr>
            </a:solidFill>
          </a:endParaRPr>
        </a:p>
      </xdr:txBody>
    </xdr:sp>
    <xdr:clientData/>
  </xdr:twoCellAnchor>
  <xdr:twoCellAnchor editAs="oneCell">
    <xdr:from>
      <xdr:col>15</xdr:col>
      <xdr:colOff>30480</xdr:colOff>
      <xdr:row>1</xdr:row>
      <xdr:rowOff>203200</xdr:rowOff>
    </xdr:from>
    <xdr:to>
      <xdr:col>16</xdr:col>
      <xdr:colOff>233680</xdr:colOff>
      <xdr:row>4</xdr:row>
      <xdr:rowOff>241193</xdr:rowOff>
    </xdr:to>
    <xdr:pic>
      <xdr:nvPicPr>
        <xdr:cNvPr id="3" name="Picture 2">
          <a:extLst>
            <a:ext uri="{FF2B5EF4-FFF2-40B4-BE49-F238E27FC236}">
              <a16:creationId xmlns:a16="http://schemas.microsoft.com/office/drawing/2014/main" id="{4D2A6D6A-B10C-0246-A7B2-1D66DBF5AA35}"/>
            </a:ext>
          </a:extLst>
        </xdr:cNvPr>
        <xdr:cNvPicPr>
          <a:picLocks noChangeAspect="1"/>
        </xdr:cNvPicPr>
      </xdr:nvPicPr>
      <xdr:blipFill>
        <a:blip xmlns:r="http://schemas.openxmlformats.org/officeDocument/2006/relationships" r:embed="rId4"/>
        <a:stretch>
          <a:fillRect/>
        </a:stretch>
      </xdr:blipFill>
      <xdr:spPr>
        <a:xfrm>
          <a:off x="14833600" y="304800"/>
          <a:ext cx="894080" cy="9015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50800</xdr:colOff>
      <xdr:row>1</xdr:row>
      <xdr:rowOff>12700</xdr:rowOff>
    </xdr:from>
    <xdr:to>
      <xdr:col>0</xdr:col>
      <xdr:colOff>416560</xdr:colOff>
      <xdr:row>1</xdr:row>
      <xdr:rowOff>378460</xdr:rowOff>
    </xdr:to>
    <xdr:pic macro="[0]!ThisWorkbook.closeSettings">
      <xdr:nvPicPr>
        <xdr:cNvPr id="2" name="Graphic 1" descr="Back with solid fill">
          <a:extLst>
            <a:ext uri="{FF2B5EF4-FFF2-40B4-BE49-F238E27FC236}">
              <a16:creationId xmlns:a16="http://schemas.microsoft.com/office/drawing/2014/main" id="{697FB682-6258-5944-9074-C3FBAE81BA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114300"/>
          <a:ext cx="365760" cy="365760"/>
        </a:xfrm>
        <a:prstGeom prst="rect">
          <a:avLst/>
        </a:prstGeom>
      </xdr:spPr>
    </xdr:pic>
    <xdr:clientData/>
  </xdr:twoCellAnchor>
  <xdr:twoCellAnchor>
    <xdr:from>
      <xdr:col>4</xdr:col>
      <xdr:colOff>431800</xdr:colOff>
      <xdr:row>18</xdr:row>
      <xdr:rowOff>4419600</xdr:rowOff>
    </xdr:from>
    <xdr:to>
      <xdr:col>5</xdr:col>
      <xdr:colOff>736600</xdr:colOff>
      <xdr:row>18</xdr:row>
      <xdr:rowOff>4828309</xdr:rowOff>
    </xdr:to>
    <xdr:sp macro="[0]!exportData" textlink="">
      <xdr:nvSpPr>
        <xdr:cNvPr id="3" name="Rounded Rectangle 2">
          <a:extLst>
            <a:ext uri="{FF2B5EF4-FFF2-40B4-BE49-F238E27FC236}">
              <a16:creationId xmlns:a16="http://schemas.microsoft.com/office/drawing/2014/main" id="{AF15C76D-DA71-BB45-BFCA-33427DEE48D1}"/>
            </a:ext>
          </a:extLst>
        </xdr:cNvPr>
        <xdr:cNvSpPr/>
      </xdr:nvSpPr>
      <xdr:spPr>
        <a:xfrm>
          <a:off x="2997200" y="8788400"/>
          <a:ext cx="12573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7</xdr:col>
      <xdr:colOff>556491</xdr:colOff>
      <xdr:row>18</xdr:row>
      <xdr:rowOff>4419600</xdr:rowOff>
    </xdr:from>
    <xdr:to>
      <xdr:col>8</xdr:col>
      <xdr:colOff>823191</xdr:colOff>
      <xdr:row>18</xdr:row>
      <xdr:rowOff>4828309</xdr:rowOff>
    </xdr:to>
    <xdr:sp macro="[0]!importRequest" textlink="">
      <xdr:nvSpPr>
        <xdr:cNvPr id="4" name="Rounded Rectangle 3">
          <a:extLst>
            <a:ext uri="{FF2B5EF4-FFF2-40B4-BE49-F238E27FC236}">
              <a16:creationId xmlns:a16="http://schemas.microsoft.com/office/drawing/2014/main" id="{97CCCA6C-616D-3A43-81D4-B739F8E577D6}"/>
            </a:ext>
          </a:extLst>
        </xdr:cNvPr>
        <xdr:cNvSpPr/>
      </xdr:nvSpPr>
      <xdr:spPr>
        <a:xfrm>
          <a:off x="5979391" y="8788400"/>
          <a:ext cx="12192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10</xdr:col>
      <xdr:colOff>706582</xdr:colOff>
      <xdr:row>18</xdr:row>
      <xdr:rowOff>4419600</xdr:rowOff>
    </xdr:from>
    <xdr:to>
      <xdr:col>12</xdr:col>
      <xdr:colOff>18473</xdr:colOff>
      <xdr:row>18</xdr:row>
      <xdr:rowOff>4828309</xdr:rowOff>
    </xdr:to>
    <xdr:sp macro="[0]!openEData" textlink="">
      <xdr:nvSpPr>
        <xdr:cNvPr id="5" name="Rounded Rectangle 4">
          <a:extLst>
            <a:ext uri="{FF2B5EF4-FFF2-40B4-BE49-F238E27FC236}">
              <a16:creationId xmlns:a16="http://schemas.microsoft.com/office/drawing/2014/main" id="{E182F893-87B0-224B-A50F-6CC1E6618A4B}"/>
            </a:ext>
          </a:extLst>
        </xdr:cNvPr>
        <xdr:cNvSpPr/>
      </xdr:nvSpPr>
      <xdr:spPr>
        <a:xfrm>
          <a:off x="8986982" y="8788400"/>
          <a:ext cx="1216891"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6</xdr:col>
      <xdr:colOff>937260</xdr:colOff>
      <xdr:row>14</xdr:row>
      <xdr:rowOff>40641</xdr:rowOff>
    </xdr:from>
    <xdr:to>
      <xdr:col>8</xdr:col>
      <xdr:colOff>30480</xdr:colOff>
      <xdr:row>15</xdr:row>
      <xdr:rowOff>50800</xdr:rowOff>
    </xdr:to>
    <xdr:sp macro="[0]!ThisWorkbook.setZoom" textlink="">
      <xdr:nvSpPr>
        <xdr:cNvPr id="6" name="Rounded Rectangle 5">
          <a:extLst>
            <a:ext uri="{FF2B5EF4-FFF2-40B4-BE49-F238E27FC236}">
              <a16:creationId xmlns:a16="http://schemas.microsoft.com/office/drawing/2014/main" id="{ADEF1C85-6C5E-0C47-BE56-9F2EA9994FA6}"/>
            </a:ext>
          </a:extLst>
        </xdr:cNvPr>
        <xdr:cNvSpPr/>
      </xdr:nvSpPr>
      <xdr:spPr>
        <a:xfrm>
          <a:off x="5814060" y="3840481"/>
          <a:ext cx="1003300" cy="26415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solidFill>
                <a:schemeClr val="tx1">
                  <a:lumMod val="65000"/>
                  <a:lumOff val="35000"/>
                </a:schemeClr>
              </a:solidFill>
            </a:rPr>
            <a:t>Apply zoom</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21218</xdr:rowOff>
    </xdr:from>
    <xdr:to>
      <xdr:col>4</xdr:col>
      <xdr:colOff>120831</xdr:colOff>
      <xdr:row>9</xdr:row>
      <xdr:rowOff>176158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104018"/>
          <a:ext cx="1096191" cy="347980"/>
        </a:xfrm>
        <a:prstGeom prst="roundRect">
          <a:avLst>
            <a:gd name="adj" fmla="val 0"/>
          </a:avLst>
        </a:prstGeom>
        <a:solidFill>
          <a:srgbClr val="F9E79F"/>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baseline="0">
              <a:solidFill>
                <a:schemeClr val="tx1">
                  <a:lumMod val="75000"/>
                  <a:lumOff val="25000"/>
                </a:schemeClr>
              </a:solidFill>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5DADE2"/>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A2D9CE"/>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EC7063"/>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D7BDE2"/>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Retire</a:t>
          </a:r>
        </a:p>
      </xdr:txBody>
    </xdr:sp>
    <xdr:clientData/>
  </xdr:twoCellAnchor>
  <xdr:twoCellAnchor>
    <xdr:from>
      <xdr:col>1</xdr:col>
      <xdr:colOff>50800</xdr:colOff>
      <xdr:row>6</xdr:row>
      <xdr:rowOff>5081</xdr:rowOff>
    </xdr:from>
    <xdr:to>
      <xdr:col>4</xdr:col>
      <xdr:colOff>127000</xdr:colOff>
      <xdr:row>7</xdr:row>
      <xdr:rowOff>172721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701801"/>
          <a:ext cx="1102360" cy="360680"/>
        </a:xfrm>
        <a:prstGeom prst="roundRect">
          <a:avLst>
            <a:gd name="adj" fmla="val 0"/>
          </a:avLst>
        </a:prstGeom>
        <a:solidFill>
          <a:srgbClr val="EDBB99"/>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AndRental">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sAndAdjustments">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AndFuture">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9</xdr:col>
      <xdr:colOff>55327</xdr:colOff>
      <xdr:row>34</xdr:row>
      <xdr:rowOff>68489</xdr:rowOff>
    </xdr:from>
    <xdr:to>
      <xdr:col>9</xdr:col>
      <xdr:colOff>772160</xdr:colOff>
      <xdr:row>37</xdr:row>
      <xdr:rowOff>125240</xdr:rowOff>
    </xdr:to>
    <xdr:pic macro="[0]!chartRetirementFinancials">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190447" y="7170329"/>
          <a:ext cx="716833" cy="635871"/>
        </a:xfrm>
        <a:prstGeom prst="rect">
          <a:avLst/>
        </a:prstGeom>
      </xdr:spPr>
    </xdr:pic>
    <xdr:clientData/>
  </xdr:twoCellAnchor>
  <xdr:twoCellAnchor editAs="oneCell">
    <xdr:from>
      <xdr:col>7</xdr:col>
      <xdr:colOff>48260</xdr:colOff>
      <xdr:row>34</xdr:row>
      <xdr:rowOff>31750</xdr:rowOff>
    </xdr:from>
    <xdr:to>
      <xdr:col>7</xdr:col>
      <xdr:colOff>772160</xdr:colOff>
      <xdr:row>37</xdr:row>
      <xdr:rowOff>183162</xdr:rowOff>
    </xdr:to>
    <xdr:pic macro="[0]!chartInvestmentsAndAsset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2537460" y="7133590"/>
          <a:ext cx="723900" cy="730532"/>
        </a:xfrm>
        <a:prstGeom prst="rect">
          <a:avLst/>
        </a:prstGeom>
      </xdr:spPr>
    </xdr:pic>
    <xdr:clientData/>
  </xdr:twoCellAnchor>
  <xdr:twoCellAnchor editAs="oneCell">
    <xdr:from>
      <xdr:col>22</xdr:col>
      <xdr:colOff>8467</xdr:colOff>
      <xdr:row>1</xdr:row>
      <xdr:rowOff>16933</xdr:rowOff>
    </xdr:from>
    <xdr:to>
      <xdr:col>22</xdr:col>
      <xdr:colOff>491067</xdr:colOff>
      <xdr:row>2</xdr:row>
      <xdr:rowOff>104775</xdr:rowOff>
    </xdr:to>
    <xdr:pic macro="[0]!ThisWorkbook.openSettings">
      <xdr:nvPicPr>
        <xdr:cNvPr id="3" name="Graphic 2" descr="Gears outline">
          <a:extLst>
            <a:ext uri="{FF2B5EF4-FFF2-40B4-BE49-F238E27FC236}">
              <a16:creationId xmlns:a16="http://schemas.microsoft.com/office/drawing/2014/main" id="{E19D516C-76BC-FE44-943D-77C8E4FA0E3A}"/>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4960600" y="143933"/>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45" name="Chart 44">
          <a:extLst>
            <a:ext uri="{FF2B5EF4-FFF2-40B4-BE49-F238E27FC236}">
              <a16:creationId xmlns:a16="http://schemas.microsoft.com/office/drawing/2014/main" id="{20A306AC-AEC1-6CF7-C610-6724D4FA55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Vehicle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Vehicle">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24</xdr:col>
      <xdr:colOff>689420</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74346" y="3859106"/>
          <a:ext cx="7957303" cy="3048971"/>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76200</xdr:colOff>
      <xdr:row>7</xdr:row>
      <xdr:rowOff>160020</xdr:rowOff>
    </xdr:from>
    <xdr:to>
      <xdr:col>28</xdr:col>
      <xdr:colOff>442587</xdr:colOff>
      <xdr:row>7</xdr:row>
      <xdr:rowOff>520628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91240" y="1938020"/>
          <a:ext cx="366387" cy="360608"/>
        </a:xfrm>
        <a:prstGeom prst="rect">
          <a:avLst/>
        </a:prstGeom>
      </xdr:spPr>
    </xdr:pic>
    <xdr:clientData/>
  </xdr:twoCellAnchor>
  <xdr:twoCellAnchor editAs="oneCell">
    <xdr:from>
      <xdr:col>0</xdr:col>
      <xdr:colOff>88900</xdr:colOff>
      <xdr:row>38</xdr:row>
      <xdr:rowOff>25400</xdr:rowOff>
    </xdr:from>
    <xdr:to>
      <xdr:col>0</xdr:col>
      <xdr:colOff>455287</xdr:colOff>
      <xdr:row>39</xdr:row>
      <xdr:rowOff>157408</xdr:rowOff>
    </xdr:to>
    <xdr:pic macro="[0]!toggleRetireDetail">
      <xdr:nvPicPr>
        <xdr:cNvPr id="2" name="Graphic 1" descr="Eye outline">
          <a:extLst>
            <a:ext uri="{FF2B5EF4-FFF2-40B4-BE49-F238E27FC236}">
              <a16:creationId xmlns:a16="http://schemas.microsoft.com/office/drawing/2014/main" id="{B292AA57-ADEC-E540-BED2-1B81728AE9C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8900" y="9258300"/>
          <a:ext cx="366387" cy="3606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69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49233</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37</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208</xdr:row>
      <xdr:rowOff>49759</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twoCellAnchor editAs="oneCell">
    <xdr:from>
      <xdr:col>0</xdr:col>
      <xdr:colOff>60960</xdr:colOff>
      <xdr:row>208</xdr:row>
      <xdr:rowOff>121920</xdr:rowOff>
    </xdr:from>
    <xdr:to>
      <xdr:col>0</xdr:col>
      <xdr:colOff>427347</xdr:colOff>
      <xdr:row>343</xdr:row>
      <xdr:rowOff>82779</xdr:rowOff>
    </xdr:to>
    <xdr:pic macro="[0]!toggleHousingPurchase">
      <xdr:nvPicPr>
        <xdr:cNvPr id="2" name="Graphic 1" descr="Eye outline">
          <a:extLst>
            <a:ext uri="{FF2B5EF4-FFF2-40B4-BE49-F238E27FC236}">
              <a16:creationId xmlns:a16="http://schemas.microsoft.com/office/drawing/2014/main" id="{958EFA3C-01B8-F545-BD83-C4848836E1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4711680"/>
          <a:ext cx="366387" cy="36725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Vehicle">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96985</xdr:colOff>
      <xdr:row>1</xdr:row>
      <xdr:rowOff>88900</xdr:rowOff>
    </xdr:from>
    <xdr:to>
      <xdr:col>0</xdr:col>
      <xdr:colOff>466442</xdr:colOff>
      <xdr:row>1</xdr:row>
      <xdr:rowOff>458357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985" y="192809"/>
          <a:ext cx="369457" cy="369457"/>
        </a:xfrm>
        <a:prstGeom prst="rect">
          <a:avLst/>
        </a:prstGeom>
      </xdr:spPr>
    </xdr:pic>
    <xdr:clientData/>
  </xdr:twoCellAnchor>
  <xdr:twoCellAnchor>
    <xdr:from>
      <xdr:col>3</xdr:col>
      <xdr:colOff>702733</xdr:colOff>
      <xdr:row>1</xdr:row>
      <xdr:rowOff>101600</xdr:rowOff>
    </xdr:from>
    <xdr:to>
      <xdr:col>5</xdr:col>
      <xdr:colOff>8467</xdr:colOff>
      <xdr:row>2</xdr:row>
      <xdr:rowOff>8467</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2</xdr:row>
      <xdr:rowOff>8467</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7" y="188618"/>
          <a:ext cx="365760" cy="36576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www.ssa.gov/benefits/retirement/planner/taxes.html"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topLeftCell="A5" zoomScale="125" zoomScaleNormal="125" workbookViewId="0">
      <selection activeCell="G48" sqref="G48:W48"/>
    </sheetView>
  </sheetViews>
  <sheetFormatPr baseColWidth="10" defaultRowHeight="16"/>
  <cols>
    <col min="1" max="1" width="5.7109375" style="869" customWidth="1"/>
    <col min="2" max="2" width="21.42578125" style="869" customWidth="1"/>
    <col min="3" max="3" width="10.7109375" style="870"/>
    <col min="4" max="4" width="3.140625" style="870" customWidth="1"/>
    <col min="5" max="5" width="8" style="870" customWidth="1"/>
    <col min="6" max="6" width="4" style="870" customWidth="1"/>
    <col min="7" max="7" width="8.5703125" style="870" customWidth="1"/>
    <col min="8" max="8" width="3.42578125" style="870" customWidth="1"/>
    <col min="9" max="9" width="10.7109375" style="870"/>
    <col min="10" max="10" width="3.42578125" style="870" customWidth="1"/>
    <col min="11" max="11" width="12.28515625" style="870" customWidth="1"/>
    <col min="12" max="12" width="3.42578125" style="870" customWidth="1"/>
    <col min="13" max="13" width="12.5703125" style="870" customWidth="1"/>
    <col min="14" max="14" width="3.42578125" style="870" customWidth="1"/>
    <col min="15" max="15" width="12.7109375" style="870" customWidth="1"/>
    <col min="16" max="16" width="14.42578125" style="869" customWidth="1"/>
    <col min="17" max="17" width="8.5703125" style="869" customWidth="1"/>
    <col min="18" max="19" width="8.7109375" style="869" customWidth="1"/>
    <col min="20" max="21" width="10.7109375" style="869"/>
    <col min="22" max="22" width="11.28515625" style="869" customWidth="1"/>
    <col min="23" max="25" width="10.7109375" style="869"/>
    <col min="26" max="26" width="12.7109375" style="869" customWidth="1"/>
    <col min="27" max="29" width="8.42578125" style="869" customWidth="1"/>
    <col min="30" max="16384" width="10.7109375" style="869"/>
  </cols>
  <sheetData>
    <row r="1" spans="1:30" ht="8" customHeight="1">
      <c r="A1" s="526"/>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row>
    <row r="2" spans="1:30" ht="40" customHeight="1">
      <c r="B2" s="890" t="s">
        <v>1404</v>
      </c>
      <c r="G2" s="1954" t="s">
        <v>2594</v>
      </c>
      <c r="K2" s="871"/>
      <c r="L2" s="871"/>
      <c r="M2" s="871"/>
    </row>
    <row r="3" spans="1:30" ht="40" customHeight="1">
      <c r="B3" s="1433" t="s">
        <v>421</v>
      </c>
      <c r="C3" s="1434"/>
      <c r="D3" s="872"/>
      <c r="E3" s="1400"/>
      <c r="F3" s="872"/>
      <c r="G3" s="1400"/>
      <c r="H3" s="872"/>
      <c r="I3" s="1400"/>
      <c r="J3" s="874"/>
      <c r="K3" s="2079" t="s">
        <v>441</v>
      </c>
      <c r="L3" s="2080"/>
      <c r="M3" s="2081"/>
      <c r="N3" s="874"/>
      <c r="O3" s="2070" t="s">
        <v>2287</v>
      </c>
      <c r="X3" s="2075" t="s">
        <v>2509</v>
      </c>
      <c r="Z3" s="2072" t="s">
        <v>445</v>
      </c>
      <c r="AA3" s="2073"/>
      <c r="AB3" s="2073"/>
      <c r="AC3" s="2074"/>
    </row>
    <row r="4" spans="1:30" ht="32" customHeight="1">
      <c r="B4" s="1435" t="s">
        <v>86</v>
      </c>
      <c r="C4" s="1436" t="s">
        <v>106</v>
      </c>
      <c r="D4" s="872"/>
      <c r="E4" s="1437" t="s">
        <v>79</v>
      </c>
      <c r="F4" s="872"/>
      <c r="G4" s="1437" t="s">
        <v>401</v>
      </c>
      <c r="H4" s="872"/>
      <c r="I4" s="1401" t="s">
        <v>403</v>
      </c>
      <c r="J4" s="874"/>
      <c r="K4" s="1359" t="s">
        <v>429</v>
      </c>
      <c r="L4" s="873"/>
      <c r="M4" s="1359" t="s">
        <v>428</v>
      </c>
      <c r="N4" s="874"/>
      <c r="O4" s="2071"/>
      <c r="X4" s="2071"/>
      <c r="Z4" s="1404" t="s">
        <v>438</v>
      </c>
      <c r="AA4" s="1404" t="s">
        <v>439</v>
      </c>
      <c r="AB4" s="1405" t="s">
        <v>442</v>
      </c>
      <c r="AC4" s="1406" t="s">
        <v>2190</v>
      </c>
    </row>
    <row r="5" spans="1:30">
      <c r="B5" s="1391" t="s">
        <v>145</v>
      </c>
      <c r="C5" s="1392" t="s">
        <v>96</v>
      </c>
      <c r="D5" s="871"/>
      <c r="E5" s="1394" t="s">
        <v>202</v>
      </c>
      <c r="G5" s="1394" t="s">
        <v>42</v>
      </c>
      <c r="H5" s="871"/>
      <c r="I5" s="1394" t="s">
        <v>395</v>
      </c>
      <c r="J5" s="871"/>
      <c r="K5" s="1392">
        <v>5.0000000000000001E-4</v>
      </c>
      <c r="L5" s="871"/>
      <c r="M5" s="1392">
        <v>5.0000000000000001E-4</v>
      </c>
      <c r="N5" s="871"/>
      <c r="O5" s="1394" t="b">
        <v>0</v>
      </c>
      <c r="X5" s="1820" t="s">
        <v>381</v>
      </c>
      <c r="Z5" s="1407" t="s">
        <v>381</v>
      </c>
      <c r="AA5" s="1408" t="s">
        <v>43</v>
      </c>
      <c r="AB5" s="1730" t="s">
        <v>42</v>
      </c>
      <c r="AC5" s="1409"/>
    </row>
    <row r="6" spans="1:30">
      <c r="B6" s="1393" t="s">
        <v>146</v>
      </c>
      <c r="C6" s="1392" t="s">
        <v>97</v>
      </c>
      <c r="D6" s="871"/>
      <c r="E6" s="1394" t="s">
        <v>75</v>
      </c>
      <c r="G6" s="1394" t="s">
        <v>43</v>
      </c>
      <c r="H6" s="871"/>
      <c r="I6" s="1394" t="s">
        <v>402</v>
      </c>
      <c r="J6" s="871"/>
      <c r="K6" s="871"/>
      <c r="L6" s="871"/>
      <c r="M6" s="871"/>
      <c r="N6" s="871"/>
      <c r="X6" s="1820" t="s">
        <v>2369</v>
      </c>
      <c r="Z6" s="1407" t="s">
        <v>430</v>
      </c>
      <c r="AA6" s="1408" t="s">
        <v>43</v>
      </c>
      <c r="AB6" s="1730" t="s">
        <v>42</v>
      </c>
      <c r="AC6" s="1409"/>
    </row>
    <row r="7" spans="1:30" ht="19">
      <c r="B7" s="1393" t="s">
        <v>147</v>
      </c>
      <c r="C7" s="1392" t="s">
        <v>98</v>
      </c>
      <c r="D7" s="871"/>
      <c r="G7" s="871"/>
      <c r="H7" s="871"/>
      <c r="I7" s="871"/>
      <c r="J7" s="871"/>
      <c r="K7" s="871"/>
      <c r="L7" s="871"/>
      <c r="M7" s="871"/>
      <c r="N7" s="871"/>
      <c r="U7" s="1402" t="s">
        <v>444</v>
      </c>
      <c r="V7" s="1403" t="s">
        <v>2502</v>
      </c>
      <c r="X7" s="1356"/>
      <c r="Y7" s="1356"/>
      <c r="Z7" s="1407" t="s">
        <v>423</v>
      </c>
      <c r="AA7" s="1408" t="s">
        <v>43</v>
      </c>
      <c r="AB7" s="1730" t="s">
        <v>42</v>
      </c>
      <c r="AC7" s="1409"/>
    </row>
    <row r="8" spans="1:30">
      <c r="B8" s="1393" t="s">
        <v>148</v>
      </c>
      <c r="C8" s="1392" t="s">
        <v>99</v>
      </c>
      <c r="D8" s="871"/>
      <c r="E8" s="1888" t="s">
        <v>2553</v>
      </c>
      <c r="G8" s="871"/>
      <c r="H8" s="871"/>
      <c r="I8" s="871"/>
      <c r="K8" s="1888"/>
      <c r="L8" s="871"/>
      <c r="M8" s="871"/>
      <c r="N8" s="871"/>
      <c r="U8" s="1357" t="s">
        <v>443</v>
      </c>
      <c r="Z8" s="1407" t="s">
        <v>431</v>
      </c>
      <c r="AA8" s="1408" t="s">
        <v>42</v>
      </c>
      <c r="AB8" s="1730" t="s">
        <v>42</v>
      </c>
      <c r="AC8" s="1409"/>
    </row>
    <row r="9" spans="1:30">
      <c r="B9" s="1393" t="s">
        <v>149</v>
      </c>
      <c r="C9" s="1392" t="s">
        <v>100</v>
      </c>
      <c r="D9" s="871"/>
      <c r="E9" s="1424" t="s">
        <v>472</v>
      </c>
      <c r="F9" s="1425"/>
      <c r="G9" s="1425"/>
      <c r="H9" s="1425"/>
      <c r="I9" s="1426"/>
      <c r="J9" s="1394" t="s">
        <v>42</v>
      </c>
      <c r="K9" s="1395" t="s">
        <v>500</v>
      </c>
      <c r="L9" s="871"/>
      <c r="M9" s="871"/>
      <c r="N9" s="871"/>
      <c r="O9" s="1556" t="s">
        <v>2368</v>
      </c>
      <c r="P9" s="1557" t="s">
        <v>2410</v>
      </c>
      <c r="U9" s="1357" t="s">
        <v>461</v>
      </c>
      <c r="Z9" s="1407" t="s">
        <v>70</v>
      </c>
      <c r="AA9" s="1408" t="s">
        <v>43</v>
      </c>
      <c r="AB9" s="1730" t="s">
        <v>42</v>
      </c>
      <c r="AC9" s="1409"/>
    </row>
    <row r="10" spans="1:30">
      <c r="B10" s="1393" t="s">
        <v>150</v>
      </c>
      <c r="C10" s="1392" t="s">
        <v>101</v>
      </c>
      <c r="D10" s="871"/>
      <c r="E10" s="1427" t="s">
        <v>473</v>
      </c>
      <c r="F10" s="1360"/>
      <c r="G10" s="1360"/>
      <c r="H10" s="1360"/>
      <c r="I10" s="1428"/>
      <c r="J10" s="1394" t="s">
        <v>480</v>
      </c>
      <c r="K10" s="1395" t="s">
        <v>499</v>
      </c>
      <c r="L10" s="871"/>
      <c r="M10" s="871"/>
      <c r="N10" s="871"/>
      <c r="Z10" s="1407" t="s">
        <v>76</v>
      </c>
      <c r="AA10" s="1408" t="s">
        <v>43</v>
      </c>
      <c r="AB10" s="1730" t="s">
        <v>42</v>
      </c>
      <c r="AC10" s="1409"/>
    </row>
    <row r="11" spans="1:30">
      <c r="B11" s="1393" t="s">
        <v>151</v>
      </c>
      <c r="C11" s="1392" t="s">
        <v>102</v>
      </c>
      <c r="D11" s="871"/>
      <c r="E11" s="1429" t="s">
        <v>474</v>
      </c>
      <c r="F11" s="1360"/>
      <c r="G11" s="1360"/>
      <c r="H11" s="1360"/>
      <c r="I11" s="1428"/>
      <c r="J11" s="1394" t="s">
        <v>1387</v>
      </c>
      <c r="K11" s="1395" t="s">
        <v>1385</v>
      </c>
      <c r="L11" s="871"/>
      <c r="M11" s="871"/>
      <c r="N11" s="871"/>
      <c r="O11" s="1630" t="s">
        <v>2411</v>
      </c>
      <c r="Z11" s="1407" t="s">
        <v>432</v>
      </c>
      <c r="AA11" s="1408" t="s">
        <v>42</v>
      </c>
      <c r="AB11" s="1730" t="s">
        <v>42</v>
      </c>
      <c r="AC11" s="1603" t="s">
        <v>42</v>
      </c>
    </row>
    <row r="12" spans="1:30" ht="19">
      <c r="B12" s="1393" t="s">
        <v>144</v>
      </c>
      <c r="C12" s="1392" t="s">
        <v>144</v>
      </c>
      <c r="D12" s="871"/>
      <c r="E12" s="1427" t="s">
        <v>476</v>
      </c>
      <c r="F12" s="1361"/>
      <c r="G12" s="1361"/>
      <c r="H12" s="1361"/>
      <c r="I12" s="1430"/>
      <c r="J12" s="1394" t="s">
        <v>549</v>
      </c>
      <c r="K12" s="1395" t="s">
        <v>1386</v>
      </c>
      <c r="L12" s="871"/>
      <c r="M12" s="871"/>
      <c r="N12" s="871"/>
      <c r="O12" s="1626" t="s">
        <v>2399</v>
      </c>
      <c r="P12" s="1631"/>
      <c r="Q12" s="1637"/>
      <c r="R12" s="1697" t="s">
        <v>2448</v>
      </c>
      <c r="U12" s="1818" t="s">
        <v>2505</v>
      </c>
      <c r="V12" s="1403" t="s">
        <v>2506</v>
      </c>
      <c r="Z12" s="1407" t="s">
        <v>415</v>
      </c>
      <c r="AA12" s="1408" t="s">
        <v>42</v>
      </c>
      <c r="AB12" s="1730" t="s">
        <v>42</v>
      </c>
      <c r="AC12" s="1603" t="s">
        <v>42</v>
      </c>
    </row>
    <row r="13" spans="1:30">
      <c r="B13" s="1393" t="s">
        <v>152</v>
      </c>
      <c r="C13" s="1392" t="s">
        <v>153</v>
      </c>
      <c r="D13" s="871"/>
      <c r="E13" s="1889" t="s">
        <v>2547</v>
      </c>
      <c r="F13" s="1361"/>
      <c r="G13" s="1361"/>
      <c r="H13" s="1361"/>
      <c r="I13" s="1430"/>
      <c r="J13" s="1396" t="s">
        <v>2171</v>
      </c>
      <c r="K13" s="1395"/>
      <c r="L13" s="871"/>
      <c r="M13" s="871"/>
      <c r="N13" s="871"/>
      <c r="O13" s="1626" t="s">
        <v>70</v>
      </c>
      <c r="P13" s="1557">
        <v>106595</v>
      </c>
      <c r="Q13" s="1557" t="b">
        <v>0</v>
      </c>
      <c r="R13" s="1629" t="s">
        <v>2404</v>
      </c>
      <c r="Z13" s="1407" t="s">
        <v>433</v>
      </c>
      <c r="AA13" s="1408" t="s">
        <v>42</v>
      </c>
      <c r="AB13" s="1730" t="s">
        <v>42</v>
      </c>
      <c r="AC13" s="1603" t="s">
        <v>42</v>
      </c>
    </row>
    <row r="14" spans="1:30">
      <c r="B14" s="1393" t="s">
        <v>154</v>
      </c>
      <c r="C14" s="1392" t="s">
        <v>103</v>
      </c>
      <c r="D14" s="871"/>
      <c r="E14" s="1889" t="s">
        <v>2548</v>
      </c>
      <c r="F14" s="1361"/>
      <c r="G14" s="1361"/>
      <c r="H14" s="1361"/>
      <c r="I14" s="1430"/>
      <c r="J14" s="1396" t="s">
        <v>98</v>
      </c>
      <c r="K14" s="1395"/>
      <c r="L14" s="871"/>
      <c r="M14" s="871"/>
      <c r="N14" s="871"/>
      <c r="O14" s="1626" t="s">
        <v>76</v>
      </c>
      <c r="P14" s="1557">
        <v>39379.786199999995</v>
      </c>
      <c r="Q14" s="1557" t="b">
        <v>0</v>
      </c>
      <c r="R14" s="1629" t="s">
        <v>2403</v>
      </c>
      <c r="Z14" s="1947" t="s">
        <v>1298</v>
      </c>
      <c r="AA14" s="1410" t="s">
        <v>42</v>
      </c>
      <c r="AB14" s="1730" t="s">
        <v>42</v>
      </c>
      <c r="AC14" s="1603" t="s">
        <v>42</v>
      </c>
    </row>
    <row r="15" spans="1:30">
      <c r="B15" s="1393" t="s">
        <v>155</v>
      </c>
      <c r="C15" s="1392" t="s">
        <v>104</v>
      </c>
      <c r="D15" s="871"/>
      <c r="E15" s="1427"/>
      <c r="F15" s="1361"/>
      <c r="G15" s="1361"/>
      <c r="H15" s="1361"/>
      <c r="I15" s="1430"/>
      <c r="J15" s="1394"/>
      <c r="K15" s="1395"/>
      <c r="L15" s="871"/>
      <c r="M15" s="871"/>
      <c r="N15" s="871"/>
      <c r="O15" s="1626" t="s">
        <v>423</v>
      </c>
      <c r="P15" s="1557">
        <v>1076000</v>
      </c>
      <c r="Q15" s="1557" t="b">
        <v>0</v>
      </c>
      <c r="R15" s="1629" t="s">
        <v>2405</v>
      </c>
      <c r="Z15" s="1407" t="s">
        <v>434</v>
      </c>
      <c r="AA15" s="1408" t="s">
        <v>43</v>
      </c>
      <c r="AB15" s="1730" t="s">
        <v>42</v>
      </c>
      <c r="AC15" s="1409"/>
    </row>
    <row r="16" spans="1:30" ht="19">
      <c r="B16" s="1393" t="s">
        <v>156</v>
      </c>
      <c r="C16" s="1392" t="s">
        <v>105</v>
      </c>
      <c r="D16" s="871"/>
      <c r="E16" s="1427"/>
      <c r="F16" s="1361"/>
      <c r="G16" s="1361"/>
      <c r="H16" s="1361"/>
      <c r="I16" s="1430"/>
      <c r="J16" s="1394"/>
      <c r="K16" s="1397"/>
      <c r="L16" s="871"/>
      <c r="M16" s="871"/>
      <c r="N16" s="871"/>
      <c r="O16" s="1626" t="s">
        <v>434</v>
      </c>
      <c r="P16" s="1654">
        <v>0</v>
      </c>
      <c r="Q16" s="1557" t="b">
        <v>0</v>
      </c>
      <c r="R16" s="1629" t="s">
        <v>2406</v>
      </c>
      <c r="U16" s="1845" t="s">
        <v>2524</v>
      </c>
      <c r="V16" s="1846">
        <v>125</v>
      </c>
      <c r="Z16" s="1407" t="s">
        <v>244</v>
      </c>
      <c r="AA16" s="1408" t="s">
        <v>42</v>
      </c>
      <c r="AB16" s="1730" t="s">
        <v>42</v>
      </c>
      <c r="AC16" s="1603" t="s">
        <v>42</v>
      </c>
    </row>
    <row r="17" spans="2:29">
      <c r="B17" s="1393" t="s">
        <v>157</v>
      </c>
      <c r="C17" s="1392" t="s">
        <v>106</v>
      </c>
      <c r="D17" s="871"/>
      <c r="E17" s="1890" t="s">
        <v>2549</v>
      </c>
      <c r="F17" s="1360"/>
      <c r="G17" s="1360"/>
      <c r="H17" s="1360"/>
      <c r="I17" s="1428"/>
      <c r="J17" s="1398" t="s">
        <v>510</v>
      </c>
      <c r="K17" s="1399" t="s">
        <v>506</v>
      </c>
      <c r="L17" s="871"/>
      <c r="M17" s="871"/>
      <c r="N17" s="871"/>
      <c r="O17" s="1626" t="s">
        <v>2400</v>
      </c>
      <c r="P17" s="1653">
        <v>2276501.7400000002</v>
      </c>
      <c r="Q17" s="1557" t="b">
        <v>0</v>
      </c>
      <c r="R17" s="1629" t="s">
        <v>2407</v>
      </c>
      <c r="Z17" s="1407" t="s">
        <v>435</v>
      </c>
      <c r="AA17" s="1408" t="s">
        <v>43</v>
      </c>
      <c r="AB17" s="1730" t="s">
        <v>42</v>
      </c>
      <c r="AC17" s="1409"/>
    </row>
    <row r="18" spans="2:29">
      <c r="B18" s="1393" t="s">
        <v>158</v>
      </c>
      <c r="C18" s="1392" t="s">
        <v>107</v>
      </c>
      <c r="D18" s="871"/>
      <c r="E18" s="1890" t="s">
        <v>2550</v>
      </c>
      <c r="F18" s="1360"/>
      <c r="G18" s="1360"/>
      <c r="H18" s="1360"/>
      <c r="I18" s="1428"/>
      <c r="J18" s="1398" t="s">
        <v>2124</v>
      </c>
      <c r="K18" s="1399" t="s">
        <v>507</v>
      </c>
      <c r="L18" s="871"/>
      <c r="M18" s="871"/>
      <c r="N18" s="871"/>
      <c r="O18" s="1777" t="s">
        <v>415</v>
      </c>
      <c r="P18" s="1557">
        <v>1013.15</v>
      </c>
      <c r="Q18" s="1557" t="b">
        <v>1</v>
      </c>
      <c r="R18" s="1782" t="s">
        <v>650</v>
      </c>
      <c r="Z18" s="1407" t="s">
        <v>204</v>
      </c>
      <c r="AA18" s="1408" t="s">
        <v>42</v>
      </c>
      <c r="AB18" s="1730" t="s">
        <v>42</v>
      </c>
      <c r="AC18" s="1603" t="s">
        <v>42</v>
      </c>
    </row>
    <row r="19" spans="2:29">
      <c r="B19" s="1393" t="s">
        <v>159</v>
      </c>
      <c r="C19" s="1392" t="s">
        <v>108</v>
      </c>
      <c r="D19" s="871"/>
      <c r="E19" s="1889" t="s">
        <v>2551</v>
      </c>
      <c r="F19" s="1361"/>
      <c r="G19" s="1361"/>
      <c r="H19" s="1361"/>
      <c r="I19" s="1430"/>
      <c r="J19" s="1398" t="s">
        <v>2123</v>
      </c>
      <c r="K19" s="1399" t="s">
        <v>508</v>
      </c>
      <c r="L19" s="871"/>
      <c r="M19" s="871"/>
      <c r="N19" s="871"/>
      <c r="O19" s="1626"/>
      <c r="P19" s="1557"/>
      <c r="Q19" s="1557"/>
      <c r="R19" s="1409"/>
      <c r="Z19" s="1407" t="s">
        <v>446</v>
      </c>
      <c r="AA19" s="1408" t="s">
        <v>42</v>
      </c>
      <c r="AB19" s="1730" t="s">
        <v>42</v>
      </c>
      <c r="AC19" s="1603" t="s">
        <v>42</v>
      </c>
    </row>
    <row r="20" spans="2:29">
      <c r="B20" s="1393" t="s">
        <v>160</v>
      </c>
      <c r="C20" s="1392" t="s">
        <v>109</v>
      </c>
      <c r="D20" s="871"/>
      <c r="E20" s="1891" t="s">
        <v>2552</v>
      </c>
      <c r="F20" s="1431"/>
      <c r="G20" s="1431"/>
      <c r="H20" s="1431"/>
      <c r="I20" s="1432"/>
      <c r="J20" s="1398" t="s">
        <v>1388</v>
      </c>
      <c r="K20" s="1399" t="s">
        <v>509</v>
      </c>
      <c r="L20" s="871"/>
      <c r="M20" s="871"/>
      <c r="N20" s="871"/>
      <c r="O20" s="1626"/>
      <c r="P20" s="1557"/>
      <c r="Q20" s="1557"/>
      <c r="R20" s="1409"/>
      <c r="Z20" s="1407" t="s">
        <v>458</v>
      </c>
      <c r="AA20" s="1408" t="s">
        <v>42</v>
      </c>
      <c r="AB20" s="1730" t="s">
        <v>42</v>
      </c>
      <c r="AC20" s="1603" t="s">
        <v>42</v>
      </c>
    </row>
    <row r="21" spans="2:29">
      <c r="B21" s="1393" t="s">
        <v>161</v>
      </c>
      <c r="C21" s="1392" t="s">
        <v>110</v>
      </c>
      <c r="D21" s="871"/>
      <c r="E21" s="871"/>
      <c r="F21" s="871"/>
      <c r="G21" s="871"/>
      <c r="H21" s="871"/>
      <c r="I21" s="871"/>
      <c r="J21" s="871"/>
      <c r="K21" s="871"/>
      <c r="L21" s="871"/>
      <c r="M21" s="871"/>
      <c r="N21" s="871"/>
      <c r="O21" s="1626" t="s">
        <v>244</v>
      </c>
      <c r="P21" s="1653">
        <v>0</v>
      </c>
      <c r="Q21" s="1557" t="b">
        <v>0</v>
      </c>
      <c r="R21" s="1629" t="s">
        <v>639</v>
      </c>
      <c r="Z21" s="1559" t="s">
        <v>2369</v>
      </c>
      <c r="AA21" s="1408" t="s">
        <v>43</v>
      </c>
      <c r="AB21" s="1730" t="s">
        <v>42</v>
      </c>
      <c r="AC21" s="1409"/>
    </row>
    <row r="22" spans="2:29">
      <c r="B22" s="1393" t="s">
        <v>162</v>
      </c>
      <c r="C22" s="1392" t="s">
        <v>111</v>
      </c>
      <c r="D22" s="871"/>
      <c r="E22" s="871"/>
      <c r="F22" s="871"/>
      <c r="G22" s="871"/>
      <c r="H22" s="871"/>
      <c r="I22" s="871"/>
      <c r="J22" s="871"/>
      <c r="K22" s="871"/>
      <c r="L22" s="871"/>
      <c r="M22" s="871"/>
      <c r="N22" s="871"/>
      <c r="O22" s="1626" t="s">
        <v>63</v>
      </c>
      <c r="P22" s="1557" t="s">
        <v>2691</v>
      </c>
      <c r="Q22" s="1557" t="b">
        <v>0</v>
      </c>
      <c r="R22" s="1629" t="s">
        <v>579</v>
      </c>
      <c r="Z22" s="1411" t="s">
        <v>440</v>
      </c>
      <c r="AA22" s="1408" t="s">
        <v>42</v>
      </c>
      <c r="AB22" s="1730" t="s">
        <v>42</v>
      </c>
      <c r="AC22" s="1412" t="s">
        <v>42</v>
      </c>
    </row>
    <row r="23" spans="2:29">
      <c r="B23" s="1393" t="s">
        <v>163</v>
      </c>
      <c r="C23" s="1392" t="s">
        <v>112</v>
      </c>
      <c r="D23" s="871"/>
      <c r="E23" s="1931" t="s">
        <v>2505</v>
      </c>
      <c r="F23" s="871"/>
      <c r="G23" s="871"/>
      <c r="H23" s="871"/>
      <c r="I23" s="871"/>
      <c r="J23" s="871"/>
      <c r="K23" s="871"/>
      <c r="L23" s="871"/>
      <c r="M23" s="871"/>
      <c r="N23" s="871"/>
      <c r="Z23" s="1413" t="s">
        <v>451</v>
      </c>
      <c r="AA23" s="1408" t="s">
        <v>42</v>
      </c>
      <c r="AB23" s="1730" t="s">
        <v>42</v>
      </c>
      <c r="AC23" s="1603" t="s">
        <v>42</v>
      </c>
    </row>
    <row r="24" spans="2:29">
      <c r="B24" s="1393" t="s">
        <v>87</v>
      </c>
      <c r="C24" s="1392" t="s">
        <v>89</v>
      </c>
      <c r="D24" s="871"/>
      <c r="E24" s="1932" t="s">
        <v>2581</v>
      </c>
      <c r="F24" s="871"/>
      <c r="G24" s="871"/>
      <c r="H24" s="871"/>
      <c r="I24" s="871"/>
      <c r="J24" s="871"/>
      <c r="K24" s="871"/>
      <c r="L24" s="871"/>
      <c r="M24" s="871"/>
      <c r="N24" s="871"/>
      <c r="O24" s="871"/>
      <c r="Z24" s="1411" t="s">
        <v>1401</v>
      </c>
      <c r="AA24" s="1394" t="s">
        <v>42</v>
      </c>
      <c r="AB24" s="1730" t="s">
        <v>42</v>
      </c>
      <c r="AC24" s="1603" t="s">
        <v>42</v>
      </c>
    </row>
    <row r="25" spans="2:29">
      <c r="B25" s="1393" t="s">
        <v>164</v>
      </c>
      <c r="C25" s="1392" t="s">
        <v>113</v>
      </c>
      <c r="D25" s="871"/>
      <c r="E25" s="871"/>
      <c r="F25" s="871"/>
      <c r="G25" s="871"/>
      <c r="H25" s="871"/>
      <c r="I25" s="871"/>
      <c r="J25" s="871"/>
      <c r="K25" s="871"/>
      <c r="L25" s="871"/>
      <c r="M25" s="871"/>
      <c r="N25" s="871"/>
      <c r="Z25" s="1411" t="s">
        <v>1402</v>
      </c>
      <c r="AA25" s="1394" t="s">
        <v>42</v>
      </c>
      <c r="AB25" s="1730" t="s">
        <v>42</v>
      </c>
      <c r="AC25" s="1603" t="s">
        <v>42</v>
      </c>
    </row>
    <row r="26" spans="2:29">
      <c r="B26" s="1393" t="s">
        <v>165</v>
      </c>
      <c r="C26" s="1392" t="s">
        <v>114</v>
      </c>
      <c r="D26" s="871"/>
      <c r="E26" s="871"/>
      <c r="F26" s="871"/>
      <c r="G26" s="871"/>
      <c r="H26" s="871"/>
      <c r="I26" s="871"/>
      <c r="J26" s="871"/>
      <c r="K26" s="871"/>
      <c r="L26" s="871"/>
      <c r="M26" s="871"/>
      <c r="N26" s="871"/>
      <c r="Z26" s="1411" t="s">
        <v>1403</v>
      </c>
      <c r="AA26" s="1394" t="s">
        <v>42</v>
      </c>
      <c r="AB26" s="1730" t="s">
        <v>42</v>
      </c>
      <c r="AC26" s="1603" t="s">
        <v>42</v>
      </c>
    </row>
    <row r="27" spans="2:29">
      <c r="B27" s="1393" t="s">
        <v>166</v>
      </c>
      <c r="C27" s="1392" t="s">
        <v>115</v>
      </c>
      <c r="D27" s="871"/>
      <c r="E27" s="871"/>
      <c r="F27" s="871"/>
      <c r="G27" s="871"/>
      <c r="H27" s="871"/>
      <c r="I27" s="871"/>
      <c r="J27" s="871"/>
      <c r="K27" s="871"/>
      <c r="L27" s="871"/>
      <c r="M27" s="871"/>
      <c r="N27" s="871"/>
      <c r="Z27" s="1411" t="s">
        <v>1396</v>
      </c>
      <c r="AA27" s="1394" t="s">
        <v>42</v>
      </c>
      <c r="AB27" s="1730" t="s">
        <v>42</v>
      </c>
      <c r="AC27" s="1603" t="s">
        <v>42</v>
      </c>
    </row>
    <row r="28" spans="2:29">
      <c r="B28" s="1393" t="s">
        <v>167</v>
      </c>
      <c r="C28" s="1392" t="s">
        <v>116</v>
      </c>
      <c r="D28" s="871"/>
      <c r="E28" s="871"/>
      <c r="F28" s="1955" t="s">
        <v>2597</v>
      </c>
      <c r="G28" s="1956" t="s">
        <v>2598</v>
      </c>
      <c r="H28" s="874"/>
      <c r="I28" s="874"/>
      <c r="J28" s="874"/>
      <c r="K28" s="874"/>
      <c r="L28" s="871"/>
      <c r="M28" s="871"/>
      <c r="N28" s="871"/>
      <c r="Z28" s="1414" t="s">
        <v>2186</v>
      </c>
      <c r="AA28" s="1415" t="s">
        <v>42</v>
      </c>
      <c r="AB28" s="1730" t="s">
        <v>42</v>
      </c>
      <c r="AC28" s="1412" t="s">
        <v>42</v>
      </c>
    </row>
    <row r="29" spans="2:29" ht="19">
      <c r="B29" s="1393" t="s">
        <v>168</v>
      </c>
      <c r="C29" s="1392" t="s">
        <v>117</v>
      </c>
      <c r="D29" s="871"/>
      <c r="E29" s="1957" t="s">
        <v>2595</v>
      </c>
      <c r="F29" s="871"/>
      <c r="G29" s="871"/>
      <c r="H29" s="871"/>
      <c r="I29" s="871"/>
      <c r="J29" s="871"/>
      <c r="K29" s="871"/>
      <c r="L29" s="871"/>
      <c r="M29" s="871"/>
      <c r="N29" s="871"/>
      <c r="Z29" s="1699" t="s">
        <v>2449</v>
      </c>
      <c r="AA29" s="1416" t="s">
        <v>42</v>
      </c>
      <c r="AB29" s="1730" t="s">
        <v>43</v>
      </c>
      <c r="AC29" s="1412" t="s">
        <v>42</v>
      </c>
    </row>
    <row r="30" spans="2:29">
      <c r="B30" s="1393" t="s">
        <v>169</v>
      </c>
      <c r="C30" s="1392" t="s">
        <v>118</v>
      </c>
      <c r="D30" s="871"/>
      <c r="E30" s="1420" t="s">
        <v>447</v>
      </c>
      <c r="F30" s="1420" t="s">
        <v>2596</v>
      </c>
      <c r="G30" s="2082" t="s">
        <v>453</v>
      </c>
      <c r="H30" s="2082"/>
      <c r="I30" s="2082"/>
      <c r="J30" s="2082"/>
      <c r="K30" s="2082"/>
      <c r="L30" s="2082"/>
      <c r="M30" s="2082"/>
      <c r="N30" s="2082"/>
      <c r="O30" s="2082"/>
      <c r="P30" s="2082"/>
      <c r="Q30" s="2082"/>
      <c r="R30" s="2082"/>
      <c r="S30" s="2082"/>
      <c r="T30" s="2082"/>
      <c r="U30" s="2082"/>
      <c r="V30" s="2082"/>
      <c r="W30" s="2082"/>
      <c r="X30" s="1417" t="s">
        <v>2188</v>
      </c>
      <c r="Z30" s="1414" t="s">
        <v>2189</v>
      </c>
      <c r="AA30" s="1698" t="s">
        <v>42</v>
      </c>
      <c r="AB30" s="1730" t="s">
        <v>42</v>
      </c>
      <c r="AC30" s="1412" t="s">
        <v>42</v>
      </c>
    </row>
    <row r="31" spans="2:29" ht="17" customHeight="1">
      <c r="B31" s="1393" t="s">
        <v>170</v>
      </c>
      <c r="C31" s="1392" t="s">
        <v>119</v>
      </c>
      <c r="D31" s="871"/>
      <c r="E31" s="1421">
        <v>1</v>
      </c>
      <c r="F31" s="1392" t="s">
        <v>449</v>
      </c>
      <c r="G31" s="2069" t="s">
        <v>2154</v>
      </c>
      <c r="H31" s="2068"/>
      <c r="I31" s="2068"/>
      <c r="J31" s="2068"/>
      <c r="K31" s="2068"/>
      <c r="L31" s="2068"/>
      <c r="M31" s="2068"/>
      <c r="N31" s="2068"/>
      <c r="O31" s="2068"/>
      <c r="P31" s="2068"/>
      <c r="Q31" s="2068"/>
      <c r="R31" s="2068"/>
      <c r="S31" s="2068"/>
      <c r="T31" s="2068"/>
      <c r="U31" s="2068"/>
      <c r="V31" s="2068"/>
      <c r="W31" s="2068"/>
      <c r="X31" s="1418" t="s">
        <v>2187</v>
      </c>
      <c r="Z31" s="1558" t="s">
        <v>2309</v>
      </c>
      <c r="AA31" s="1416" t="s">
        <v>42</v>
      </c>
      <c r="AB31" s="1730" t="s">
        <v>42</v>
      </c>
      <c r="AC31" s="1603" t="s">
        <v>42</v>
      </c>
    </row>
    <row r="32" spans="2:29">
      <c r="B32" s="1393" t="s">
        <v>171</v>
      </c>
      <c r="C32" s="1392" t="s">
        <v>120</v>
      </c>
      <c r="D32" s="871"/>
      <c r="E32" s="1421">
        <v>2</v>
      </c>
      <c r="F32" s="1392" t="s">
        <v>448</v>
      </c>
      <c r="G32" s="2069" t="s">
        <v>2169</v>
      </c>
      <c r="H32" s="2068"/>
      <c r="I32" s="2068"/>
      <c r="J32" s="2068"/>
      <c r="K32" s="2068"/>
      <c r="L32" s="2068"/>
      <c r="M32" s="2068"/>
      <c r="N32" s="2068"/>
      <c r="O32" s="2068"/>
      <c r="P32" s="2068"/>
      <c r="Q32" s="2068"/>
      <c r="R32" s="2068"/>
      <c r="S32" s="2068"/>
      <c r="T32" s="2068"/>
      <c r="U32" s="2068"/>
      <c r="V32" s="2068"/>
      <c r="W32" s="2068"/>
      <c r="X32" s="1419">
        <v>1.8</v>
      </c>
      <c r="Z32" s="1671" t="s">
        <v>2392</v>
      </c>
      <c r="AA32" s="1672" t="s">
        <v>42</v>
      </c>
      <c r="AB32" s="1730" t="s">
        <v>42</v>
      </c>
      <c r="AC32" s="1673" t="s">
        <v>42</v>
      </c>
    </row>
    <row r="33" spans="2:29">
      <c r="B33" s="1393" t="s">
        <v>172</v>
      </c>
      <c r="C33" s="1392" t="s">
        <v>121</v>
      </c>
      <c r="D33" s="871"/>
      <c r="E33" s="1421">
        <v>3</v>
      </c>
      <c r="F33" s="1392" t="s">
        <v>448</v>
      </c>
      <c r="G33" s="2069" t="s">
        <v>2168</v>
      </c>
      <c r="H33" s="2068"/>
      <c r="I33" s="2068"/>
      <c r="J33" s="2068"/>
      <c r="K33" s="2068"/>
      <c r="L33" s="2068"/>
      <c r="M33" s="2068"/>
      <c r="N33" s="2068"/>
      <c r="O33" s="2068"/>
      <c r="P33" s="2068"/>
      <c r="Q33" s="2068"/>
      <c r="R33" s="2068"/>
      <c r="S33" s="2068"/>
      <c r="T33" s="2068"/>
      <c r="U33" s="2068"/>
      <c r="V33" s="2068"/>
      <c r="W33" s="2068"/>
      <c r="X33" s="1358"/>
      <c r="Z33" s="1674" t="s">
        <v>2410</v>
      </c>
      <c r="AA33" s="1416" t="s">
        <v>42</v>
      </c>
      <c r="AB33" s="1730" t="s">
        <v>42</v>
      </c>
      <c r="AC33" s="1603" t="s">
        <v>42</v>
      </c>
    </row>
    <row r="34" spans="2:29">
      <c r="B34" s="1393" t="s">
        <v>173</v>
      </c>
      <c r="C34" s="1392" t="s">
        <v>122</v>
      </c>
      <c r="D34" s="871"/>
      <c r="E34" s="1421">
        <v>4</v>
      </c>
      <c r="F34" s="1392" t="s">
        <v>448</v>
      </c>
      <c r="G34" s="2069" t="s">
        <v>2155</v>
      </c>
      <c r="H34" s="2068"/>
      <c r="I34" s="2068"/>
      <c r="J34" s="2068"/>
      <c r="K34" s="2068"/>
      <c r="L34" s="2068"/>
      <c r="M34" s="2068"/>
      <c r="N34" s="2068"/>
      <c r="O34" s="2068"/>
      <c r="P34" s="2068"/>
      <c r="Q34" s="2068"/>
      <c r="R34" s="2068"/>
      <c r="S34" s="2068"/>
      <c r="T34" s="2068"/>
      <c r="U34" s="2068"/>
      <c r="V34" s="2068"/>
      <c r="W34" s="2068"/>
      <c r="Z34" s="1724" t="s">
        <v>2465</v>
      </c>
      <c r="AA34" s="1725" t="s">
        <v>43</v>
      </c>
      <c r="AB34" s="1730" t="s">
        <v>42</v>
      </c>
      <c r="AC34" s="1603"/>
    </row>
    <row r="35" spans="2:29">
      <c r="B35" s="1393" t="s">
        <v>174</v>
      </c>
      <c r="C35" s="1392" t="s">
        <v>123</v>
      </c>
      <c r="D35" s="871"/>
      <c r="E35" s="1421">
        <v>5</v>
      </c>
      <c r="F35" s="1392" t="s">
        <v>449</v>
      </c>
      <c r="G35" s="2076" t="s">
        <v>2384</v>
      </c>
      <c r="H35" s="2068"/>
      <c r="I35" s="2068"/>
      <c r="J35" s="2068"/>
      <c r="K35" s="2068"/>
      <c r="L35" s="2068"/>
      <c r="M35" s="2068"/>
      <c r="N35" s="2068"/>
      <c r="O35" s="2068"/>
      <c r="P35" s="2068"/>
      <c r="Q35" s="2068"/>
      <c r="R35" s="2068"/>
      <c r="S35" s="2068"/>
      <c r="T35" s="2068"/>
      <c r="U35" s="2068"/>
      <c r="V35" s="2068"/>
      <c r="W35" s="2077"/>
      <c r="X35" s="1557">
        <v>943824</v>
      </c>
      <c r="Z35" s="1804" t="s">
        <v>2497</v>
      </c>
      <c r="AA35" s="1809" t="s">
        <v>42</v>
      </c>
      <c r="AB35" s="1730" t="s">
        <v>42</v>
      </c>
      <c r="AC35" s="1603" t="s">
        <v>42</v>
      </c>
    </row>
    <row r="36" spans="2:29">
      <c r="B36" s="1393" t="s">
        <v>175</v>
      </c>
      <c r="C36" s="1392" t="s">
        <v>124</v>
      </c>
      <c r="D36" s="871"/>
      <c r="E36" s="1421">
        <v>6</v>
      </c>
      <c r="F36" s="1392" t="s">
        <v>449</v>
      </c>
      <c r="G36" s="2069" t="s">
        <v>2156</v>
      </c>
      <c r="H36" s="2068"/>
      <c r="I36" s="2068"/>
      <c r="J36" s="2068"/>
      <c r="K36" s="2068"/>
      <c r="L36" s="2068"/>
      <c r="M36" s="2068"/>
      <c r="N36" s="2068"/>
      <c r="O36" s="2068"/>
      <c r="P36" s="2068"/>
      <c r="Q36" s="2068"/>
      <c r="R36" s="2068"/>
      <c r="S36" s="2068"/>
      <c r="T36" s="2068"/>
      <c r="U36" s="2068"/>
      <c r="V36" s="2068"/>
      <c r="W36" s="2068"/>
    </row>
    <row r="37" spans="2:29">
      <c r="B37" s="1393" t="s">
        <v>176</v>
      </c>
      <c r="C37" s="1392" t="s">
        <v>125</v>
      </c>
      <c r="D37" s="871"/>
      <c r="E37" s="1421">
        <v>7</v>
      </c>
      <c r="F37" s="1392" t="s">
        <v>449</v>
      </c>
      <c r="G37" s="2069" t="s">
        <v>2157</v>
      </c>
      <c r="H37" s="2068"/>
      <c r="I37" s="2068"/>
      <c r="J37" s="2068"/>
      <c r="K37" s="2068"/>
      <c r="L37" s="2068"/>
      <c r="M37" s="2068"/>
      <c r="N37" s="2068"/>
      <c r="O37" s="2068"/>
      <c r="P37" s="2068"/>
      <c r="Q37" s="2068"/>
      <c r="R37" s="2068"/>
      <c r="S37" s="2068"/>
      <c r="T37" s="2068"/>
      <c r="U37" s="2068"/>
      <c r="V37" s="2068"/>
      <c r="W37" s="2068"/>
    </row>
    <row r="38" spans="2:29">
      <c r="B38" s="1393" t="s">
        <v>177</v>
      </c>
      <c r="C38" s="1392" t="s">
        <v>126</v>
      </c>
      <c r="D38" s="871"/>
      <c r="E38" s="1421">
        <v>8</v>
      </c>
      <c r="F38" s="1392" t="s">
        <v>449</v>
      </c>
      <c r="G38" s="2069" t="s">
        <v>2158</v>
      </c>
      <c r="H38" s="2068"/>
      <c r="I38" s="2068"/>
      <c r="J38" s="2068"/>
      <c r="K38" s="2068"/>
      <c r="L38" s="2068"/>
      <c r="M38" s="2068"/>
      <c r="N38" s="2068"/>
      <c r="O38" s="2068"/>
      <c r="P38" s="2068"/>
      <c r="Q38" s="2068"/>
      <c r="R38" s="2068"/>
      <c r="S38" s="2068"/>
      <c r="T38" s="2068"/>
      <c r="U38" s="2068"/>
      <c r="V38" s="2068"/>
      <c r="W38" s="2068"/>
    </row>
    <row r="39" spans="2:29">
      <c r="B39" s="1393" t="s">
        <v>178</v>
      </c>
      <c r="C39" s="1392" t="s">
        <v>127</v>
      </c>
      <c r="D39" s="871"/>
      <c r="E39" s="1421">
        <v>9</v>
      </c>
      <c r="F39" s="1392" t="s">
        <v>449</v>
      </c>
      <c r="G39" s="2069" t="s">
        <v>2159</v>
      </c>
      <c r="H39" s="2068"/>
      <c r="I39" s="2068"/>
      <c r="J39" s="2068"/>
      <c r="K39" s="2068"/>
      <c r="L39" s="2068"/>
      <c r="M39" s="2068"/>
      <c r="N39" s="2068"/>
      <c r="O39" s="2068"/>
      <c r="P39" s="2068"/>
      <c r="Q39" s="2068"/>
      <c r="R39" s="2068"/>
      <c r="S39" s="2068"/>
      <c r="T39" s="2068"/>
      <c r="U39" s="2068"/>
      <c r="V39" s="2068"/>
      <c r="W39" s="2068"/>
    </row>
    <row r="40" spans="2:29">
      <c r="B40" s="1393" t="s">
        <v>179</v>
      </c>
      <c r="C40" s="1392" t="s">
        <v>128</v>
      </c>
      <c r="D40" s="871"/>
      <c r="E40" s="1421">
        <v>10</v>
      </c>
      <c r="F40" s="1392" t="s">
        <v>448</v>
      </c>
      <c r="G40" s="2069" t="s">
        <v>2160</v>
      </c>
      <c r="H40" s="2068"/>
      <c r="I40" s="2068"/>
      <c r="J40" s="2068"/>
      <c r="K40" s="2068"/>
      <c r="L40" s="2068"/>
      <c r="M40" s="2068"/>
      <c r="N40" s="2068"/>
      <c r="O40" s="2068"/>
      <c r="P40" s="2068"/>
      <c r="Q40" s="2068"/>
      <c r="R40" s="2068"/>
      <c r="S40" s="2068"/>
      <c r="T40" s="2068"/>
      <c r="U40" s="2068"/>
      <c r="V40" s="2068"/>
      <c r="W40" s="2068"/>
    </row>
    <row r="41" spans="2:29">
      <c r="B41" s="1393" t="s">
        <v>180</v>
      </c>
      <c r="C41" s="1392" t="s">
        <v>129</v>
      </c>
      <c r="D41" s="871"/>
      <c r="E41" s="1421">
        <v>11</v>
      </c>
      <c r="F41" s="1392" t="s">
        <v>448</v>
      </c>
      <c r="G41" s="2084" t="s">
        <v>2450</v>
      </c>
      <c r="H41" s="2068"/>
      <c r="I41" s="2068"/>
      <c r="J41" s="2068"/>
      <c r="K41" s="2068"/>
      <c r="L41" s="2068"/>
      <c r="M41" s="2068"/>
      <c r="N41" s="2068"/>
      <c r="O41" s="2068"/>
      <c r="P41" s="2068"/>
      <c r="Q41" s="2068"/>
      <c r="R41" s="2068"/>
      <c r="S41" s="2068"/>
      <c r="T41" s="2068"/>
      <c r="U41" s="2068"/>
      <c r="V41" s="2068"/>
      <c r="W41" s="2068"/>
      <c r="X41" s="1557"/>
    </row>
    <row r="42" spans="2:29">
      <c r="B42" s="1393" t="s">
        <v>181</v>
      </c>
      <c r="C42" s="1392" t="s">
        <v>130</v>
      </c>
      <c r="D42" s="871"/>
      <c r="E42" s="1421">
        <v>12</v>
      </c>
      <c r="F42" s="1392" t="s">
        <v>448</v>
      </c>
      <c r="G42" s="2069" t="s">
        <v>2161</v>
      </c>
      <c r="H42" s="2068"/>
      <c r="I42" s="2068"/>
      <c r="J42" s="2068"/>
      <c r="K42" s="2068"/>
      <c r="L42" s="2068"/>
      <c r="M42" s="2068"/>
      <c r="N42" s="2068"/>
      <c r="O42" s="2068"/>
      <c r="P42" s="2068"/>
      <c r="Q42" s="2068"/>
      <c r="R42" s="2068"/>
      <c r="S42" s="2068"/>
      <c r="T42" s="2068"/>
      <c r="U42" s="2068"/>
      <c r="V42" s="2068"/>
      <c r="W42" s="2068"/>
    </row>
    <row r="43" spans="2:29">
      <c r="B43" s="1393" t="s">
        <v>182</v>
      </c>
      <c r="C43" s="1392" t="s">
        <v>131</v>
      </c>
      <c r="D43" s="871"/>
      <c r="E43" s="1421">
        <v>13</v>
      </c>
      <c r="F43" s="1392" t="s">
        <v>448</v>
      </c>
      <c r="G43" s="2067" t="s">
        <v>2493</v>
      </c>
      <c r="H43" s="2068"/>
      <c r="I43" s="2068"/>
      <c r="J43" s="2068"/>
      <c r="K43" s="2068"/>
      <c r="L43" s="2068"/>
      <c r="M43" s="2068"/>
      <c r="N43" s="2068"/>
      <c r="O43" s="2068"/>
      <c r="P43" s="2068"/>
      <c r="Q43" s="2068"/>
      <c r="R43" s="2068"/>
      <c r="S43" s="2068"/>
      <c r="T43" s="2068"/>
      <c r="U43" s="2068"/>
      <c r="V43" s="2068"/>
      <c r="W43" s="2068"/>
    </row>
    <row r="44" spans="2:29">
      <c r="B44" s="1393" t="s">
        <v>183</v>
      </c>
      <c r="C44" s="1392" t="s">
        <v>132</v>
      </c>
      <c r="D44" s="871"/>
      <c r="E44" s="1421">
        <v>14</v>
      </c>
      <c r="F44" s="1616" t="s">
        <v>448</v>
      </c>
      <c r="G44" s="2067" t="s">
        <v>2492</v>
      </c>
      <c r="H44" s="2068"/>
      <c r="I44" s="2068"/>
      <c r="J44" s="2068"/>
      <c r="K44" s="2068"/>
      <c r="L44" s="2068"/>
      <c r="M44" s="2068"/>
      <c r="N44" s="2068"/>
      <c r="O44" s="2068"/>
      <c r="P44" s="2068"/>
      <c r="Q44" s="2068"/>
      <c r="R44" s="2068"/>
      <c r="S44" s="2068"/>
      <c r="T44" s="2068"/>
      <c r="U44" s="2068"/>
      <c r="V44" s="2068"/>
      <c r="W44" s="2068"/>
    </row>
    <row r="45" spans="2:29">
      <c r="B45" s="1393" t="s">
        <v>184</v>
      </c>
      <c r="C45" s="1392" t="s">
        <v>133</v>
      </c>
      <c r="D45" s="871"/>
      <c r="E45" s="1421">
        <v>15</v>
      </c>
      <c r="F45" s="1422" t="s">
        <v>448</v>
      </c>
      <c r="G45" s="2067" t="s">
        <v>2494</v>
      </c>
      <c r="H45" s="2068"/>
      <c r="I45" s="2068"/>
      <c r="J45" s="2068"/>
      <c r="K45" s="2068"/>
      <c r="L45" s="2068"/>
      <c r="M45" s="2068"/>
      <c r="N45" s="2068"/>
      <c r="O45" s="2068"/>
      <c r="P45" s="2068"/>
      <c r="Q45" s="2068"/>
      <c r="R45" s="2068"/>
      <c r="S45" s="2068"/>
      <c r="T45" s="2068"/>
      <c r="U45" s="2068"/>
      <c r="V45" s="2068"/>
      <c r="W45" s="2068"/>
    </row>
    <row r="46" spans="2:29">
      <c r="B46" s="1393" t="s">
        <v>185</v>
      </c>
      <c r="C46" s="1392" t="s">
        <v>134</v>
      </c>
      <c r="D46" s="871"/>
      <c r="E46" s="1421">
        <v>16</v>
      </c>
      <c r="F46" s="1422" t="s">
        <v>448</v>
      </c>
      <c r="G46" s="2083" t="s">
        <v>2394</v>
      </c>
      <c r="H46" s="2068"/>
      <c r="I46" s="2068"/>
      <c r="J46" s="2068"/>
      <c r="K46" s="2068"/>
      <c r="L46" s="2068"/>
      <c r="M46" s="2068"/>
      <c r="N46" s="2068"/>
      <c r="O46" s="2068"/>
      <c r="P46" s="2068"/>
      <c r="Q46" s="2068"/>
      <c r="R46" s="2068"/>
      <c r="S46" s="2068"/>
      <c r="T46" s="2068"/>
      <c r="U46" s="2068"/>
      <c r="V46" s="2068"/>
      <c r="W46" s="2068"/>
    </row>
    <row r="47" spans="2:29">
      <c r="B47" s="1393" t="s">
        <v>186</v>
      </c>
      <c r="C47" s="1392" t="s">
        <v>135</v>
      </c>
      <c r="D47" s="871"/>
      <c r="E47" s="1421">
        <v>17</v>
      </c>
      <c r="F47" s="1423" t="s">
        <v>449</v>
      </c>
      <c r="G47" s="2069" t="s">
        <v>2162</v>
      </c>
      <c r="H47" s="2068"/>
      <c r="I47" s="2068"/>
      <c r="J47" s="2068"/>
      <c r="K47" s="2068"/>
      <c r="L47" s="2068"/>
      <c r="M47" s="2068"/>
      <c r="N47" s="2068"/>
      <c r="O47" s="2068"/>
      <c r="P47" s="2068"/>
      <c r="Q47" s="2068"/>
      <c r="R47" s="2068"/>
      <c r="S47" s="2068"/>
      <c r="T47" s="2068"/>
      <c r="U47" s="2068"/>
      <c r="V47" s="2068"/>
      <c r="W47" s="2068"/>
    </row>
    <row r="48" spans="2:29">
      <c r="B48" s="1393" t="s">
        <v>187</v>
      </c>
      <c r="C48" s="1392" t="s">
        <v>136</v>
      </c>
      <c r="D48" s="871"/>
      <c r="E48" s="1421">
        <v>18</v>
      </c>
      <c r="F48" s="1392" t="s">
        <v>448</v>
      </c>
      <c r="G48" s="2085" t="s">
        <v>2647</v>
      </c>
      <c r="H48" s="2068"/>
      <c r="I48" s="2068"/>
      <c r="J48" s="2068"/>
      <c r="K48" s="2068"/>
      <c r="L48" s="2068"/>
      <c r="M48" s="2068"/>
      <c r="N48" s="2068"/>
      <c r="O48" s="2068"/>
      <c r="P48" s="2068"/>
      <c r="Q48" s="2068"/>
      <c r="R48" s="2068"/>
      <c r="S48" s="2068"/>
      <c r="T48" s="2068"/>
      <c r="U48" s="2068"/>
      <c r="V48" s="2068"/>
      <c r="W48" s="2068"/>
    </row>
    <row r="49" spans="2:23">
      <c r="B49" s="1393" t="s">
        <v>188</v>
      </c>
      <c r="C49" s="1392" t="s">
        <v>137</v>
      </c>
      <c r="D49" s="871"/>
      <c r="E49" s="1421">
        <v>19</v>
      </c>
      <c r="F49" s="1392" t="s">
        <v>449</v>
      </c>
      <c r="G49" s="2069" t="s">
        <v>2163</v>
      </c>
      <c r="H49" s="2068"/>
      <c r="I49" s="2068"/>
      <c r="J49" s="2068"/>
      <c r="K49" s="2068"/>
      <c r="L49" s="2068"/>
      <c r="M49" s="2068"/>
      <c r="N49" s="2068"/>
      <c r="O49" s="2068"/>
      <c r="P49" s="2068"/>
      <c r="Q49" s="2068"/>
      <c r="R49" s="2068"/>
      <c r="S49" s="2068"/>
      <c r="T49" s="2068"/>
      <c r="U49" s="2068"/>
      <c r="V49" s="2068"/>
      <c r="W49" s="2068"/>
    </row>
    <row r="50" spans="2:23">
      <c r="B50" s="1393" t="s">
        <v>189</v>
      </c>
      <c r="C50" s="1392" t="s">
        <v>138</v>
      </c>
      <c r="D50" s="871"/>
      <c r="E50" s="1421">
        <v>20</v>
      </c>
      <c r="F50" s="1392" t="s">
        <v>449</v>
      </c>
      <c r="G50" s="2069" t="s">
        <v>2164</v>
      </c>
      <c r="H50" s="2068"/>
      <c r="I50" s="2068"/>
      <c r="J50" s="2068"/>
      <c r="K50" s="2068"/>
      <c r="L50" s="2068"/>
      <c r="M50" s="2068"/>
      <c r="N50" s="2068"/>
      <c r="O50" s="2068"/>
      <c r="P50" s="2068"/>
      <c r="Q50" s="2068"/>
      <c r="R50" s="2068"/>
      <c r="S50" s="2068"/>
      <c r="T50" s="2068"/>
      <c r="U50" s="2068"/>
      <c r="V50" s="2068"/>
      <c r="W50" s="2068"/>
    </row>
    <row r="51" spans="2:23">
      <c r="B51" s="1393" t="s">
        <v>190</v>
      </c>
      <c r="C51" s="1392" t="s">
        <v>139</v>
      </c>
      <c r="D51" s="871"/>
      <c r="E51" s="1421">
        <v>21</v>
      </c>
      <c r="F51" s="1392" t="s">
        <v>448</v>
      </c>
      <c r="G51" s="2069" t="s">
        <v>2165</v>
      </c>
      <c r="H51" s="2068"/>
      <c r="I51" s="2068"/>
      <c r="J51" s="2068"/>
      <c r="K51" s="2068"/>
      <c r="L51" s="2068"/>
      <c r="M51" s="2068"/>
      <c r="N51" s="2068"/>
      <c r="O51" s="2068"/>
      <c r="P51" s="2068"/>
      <c r="Q51" s="2068"/>
      <c r="R51" s="2068"/>
      <c r="S51" s="2068"/>
      <c r="T51" s="2068"/>
      <c r="U51" s="2068"/>
      <c r="V51" s="2068"/>
      <c r="W51" s="2068"/>
    </row>
    <row r="52" spans="2:23">
      <c r="B52" s="1393" t="s">
        <v>191</v>
      </c>
      <c r="C52" s="1392" t="s">
        <v>140</v>
      </c>
      <c r="D52" s="871"/>
      <c r="E52" s="1421">
        <v>22</v>
      </c>
      <c r="F52" s="1392" t="s">
        <v>449</v>
      </c>
      <c r="G52" s="2069" t="s">
        <v>2166</v>
      </c>
      <c r="H52" s="2068"/>
      <c r="I52" s="2068"/>
      <c r="J52" s="2068"/>
      <c r="K52" s="2068"/>
      <c r="L52" s="2068"/>
      <c r="M52" s="2068"/>
      <c r="N52" s="2068"/>
      <c r="O52" s="2068"/>
      <c r="P52" s="2068"/>
      <c r="Q52" s="2068"/>
      <c r="R52" s="2068"/>
      <c r="S52" s="2068"/>
      <c r="T52" s="2068"/>
      <c r="U52" s="2068"/>
      <c r="V52" s="2068"/>
      <c r="W52" s="2068"/>
    </row>
    <row r="53" spans="2:23">
      <c r="B53" s="1393" t="s">
        <v>192</v>
      </c>
      <c r="C53" s="1392" t="s">
        <v>141</v>
      </c>
      <c r="D53" s="871"/>
      <c r="E53" s="1421">
        <v>23</v>
      </c>
      <c r="F53" s="1392" t="s">
        <v>455</v>
      </c>
      <c r="G53" s="2069" t="s">
        <v>2167</v>
      </c>
      <c r="H53" s="2068"/>
      <c r="I53" s="2068"/>
      <c r="J53" s="2068"/>
      <c r="K53" s="2068"/>
      <c r="L53" s="2068"/>
      <c r="M53" s="2068"/>
      <c r="N53" s="2068"/>
      <c r="O53" s="2068"/>
      <c r="P53" s="2068"/>
      <c r="Q53" s="2068"/>
      <c r="R53" s="2068"/>
      <c r="S53" s="2068"/>
      <c r="T53" s="2068"/>
      <c r="U53" s="2068"/>
      <c r="V53" s="2068"/>
      <c r="W53" s="2068"/>
    </row>
    <row r="54" spans="2:23">
      <c r="B54" s="1393" t="s">
        <v>193</v>
      </c>
      <c r="C54" s="1392" t="s">
        <v>142</v>
      </c>
      <c r="D54" s="871"/>
      <c r="E54" s="1421">
        <v>24</v>
      </c>
      <c r="F54" s="1768" t="s">
        <v>448</v>
      </c>
      <c r="G54" s="2067" t="s">
        <v>2487</v>
      </c>
      <c r="H54" s="2068"/>
      <c r="I54" s="2068"/>
      <c r="J54" s="2068"/>
      <c r="K54" s="2068"/>
      <c r="L54" s="2068"/>
      <c r="M54" s="2068"/>
      <c r="N54" s="2068"/>
      <c r="O54" s="2068"/>
      <c r="P54" s="2068"/>
      <c r="Q54" s="2068"/>
      <c r="R54" s="2068"/>
      <c r="S54" s="2068"/>
      <c r="T54" s="2068"/>
      <c r="U54" s="2068"/>
      <c r="V54" s="2068"/>
      <c r="W54" s="2068"/>
    </row>
    <row r="55" spans="2:23">
      <c r="B55" s="1393" t="s">
        <v>194</v>
      </c>
      <c r="C55" s="1392" t="s">
        <v>143</v>
      </c>
      <c r="D55" s="871"/>
      <c r="E55" s="1421">
        <v>25</v>
      </c>
      <c r="F55" s="1797" t="s">
        <v>449</v>
      </c>
      <c r="G55" s="2078" t="s">
        <v>2496</v>
      </c>
      <c r="H55" s="2068"/>
      <c r="I55" s="2068"/>
      <c r="J55" s="2068"/>
      <c r="K55" s="2068"/>
      <c r="L55" s="2068"/>
      <c r="M55" s="2068"/>
      <c r="N55" s="2068"/>
      <c r="O55" s="2068"/>
      <c r="P55" s="2068"/>
      <c r="Q55" s="2068"/>
      <c r="R55" s="2068"/>
      <c r="S55" s="2068"/>
      <c r="T55" s="2068"/>
      <c r="U55" s="2068"/>
      <c r="V55" s="2068"/>
      <c r="W55" s="2068"/>
    </row>
    <row r="56" spans="2:23">
      <c r="E56" s="1421">
        <v>26</v>
      </c>
      <c r="F56" s="1392"/>
      <c r="G56" s="2068"/>
      <c r="H56" s="2068"/>
      <c r="I56" s="2068"/>
      <c r="J56" s="2068"/>
      <c r="K56" s="2068"/>
      <c r="L56" s="2068"/>
      <c r="M56" s="2068"/>
      <c r="N56" s="2068"/>
      <c r="O56" s="2068"/>
      <c r="P56" s="2068"/>
      <c r="Q56" s="2068"/>
      <c r="R56" s="2068"/>
      <c r="S56" s="2068"/>
      <c r="T56" s="2068"/>
      <c r="U56" s="2068"/>
      <c r="V56" s="2068"/>
      <c r="W56" s="2068"/>
    </row>
    <row r="57" spans="2:23">
      <c r="E57" s="1421">
        <v>27</v>
      </c>
      <c r="F57" s="1392"/>
      <c r="G57" s="2068"/>
      <c r="H57" s="2068"/>
      <c r="I57" s="2068"/>
      <c r="J57" s="2068"/>
      <c r="K57" s="2068"/>
      <c r="L57" s="2068"/>
      <c r="M57" s="2068"/>
      <c r="N57" s="2068"/>
      <c r="O57" s="2068"/>
      <c r="P57" s="2068"/>
      <c r="Q57" s="2068"/>
      <c r="R57" s="2068"/>
      <c r="S57" s="2068"/>
      <c r="T57" s="2068"/>
      <c r="U57" s="2068"/>
      <c r="V57" s="2068"/>
      <c r="W57" s="2068"/>
    </row>
    <row r="58" spans="2:23">
      <c r="E58" s="1421">
        <v>28</v>
      </c>
      <c r="F58" s="1392"/>
      <c r="G58" s="2068"/>
      <c r="H58" s="2068"/>
      <c r="I58" s="2068"/>
      <c r="J58" s="2068"/>
      <c r="K58" s="2068"/>
      <c r="L58" s="2068"/>
      <c r="M58" s="2068"/>
      <c r="N58" s="2068"/>
      <c r="O58" s="2068"/>
      <c r="P58" s="2068"/>
      <c r="Q58" s="2068"/>
      <c r="R58" s="2068"/>
      <c r="S58" s="2068"/>
      <c r="T58" s="2068"/>
      <c r="U58" s="2068"/>
      <c r="V58" s="2068"/>
      <c r="W58" s="2068"/>
    </row>
    <row r="59" spans="2:23">
      <c r="E59" s="1421">
        <v>29</v>
      </c>
      <c r="F59" s="1392"/>
      <c r="G59" s="2068"/>
      <c r="H59" s="2068"/>
      <c r="I59" s="2068"/>
      <c r="J59" s="2068"/>
      <c r="K59" s="2068"/>
      <c r="L59" s="2068"/>
      <c r="M59" s="2068"/>
      <c r="N59" s="2068"/>
      <c r="O59" s="2068"/>
      <c r="P59" s="2068"/>
      <c r="Q59" s="2068"/>
      <c r="R59" s="2068"/>
      <c r="S59" s="2068"/>
      <c r="T59" s="2068"/>
      <c r="U59" s="2068"/>
      <c r="V59" s="2068"/>
      <c r="W59" s="2068"/>
    </row>
    <row r="60" spans="2:23">
      <c r="E60" s="1421">
        <v>30</v>
      </c>
      <c r="F60" s="1392"/>
      <c r="G60" s="2068"/>
      <c r="H60" s="2068"/>
      <c r="I60" s="2068"/>
      <c r="J60" s="2068"/>
      <c r="K60" s="2068"/>
      <c r="L60" s="2068"/>
      <c r="M60" s="2068"/>
      <c r="N60" s="2068"/>
      <c r="O60" s="2068"/>
      <c r="P60" s="2068"/>
      <c r="Q60" s="2068"/>
      <c r="R60" s="2068"/>
      <c r="S60" s="2068"/>
      <c r="T60" s="2068"/>
      <c r="U60" s="2068"/>
      <c r="V60" s="2068"/>
      <c r="W60" s="2068"/>
    </row>
  </sheetData>
  <sheetProtection algorithmName="SHA-512" hashValue="U8yu+yaalIJFwH1CGVYhnoLaTnZraMttb7LDvAe+QCcAPmB8B7IpsfrWquXwSe8GH8Qaby7892NSyq11RKIA9w==" saltValue="JjK3YvVky/lElGeYd8dw2g==" spinCount="100000" sheet="1" objects="1" scenarios="1" formatCells="0" formatColumns="0" formatRows="0" selectLockedCells="1"/>
  <mergeCells count="35">
    <mergeCell ref="G51:W51"/>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39:W39"/>
    <mergeCell ref="G60:W60"/>
    <mergeCell ref="G53:W53"/>
    <mergeCell ref="G54:W54"/>
    <mergeCell ref="G55:W55"/>
    <mergeCell ref="G52:W52"/>
    <mergeCell ref="G59:W59"/>
    <mergeCell ref="G45:W45"/>
    <mergeCell ref="G40:W40"/>
    <mergeCell ref="O3:O4"/>
    <mergeCell ref="Z3:AC3"/>
    <mergeCell ref="X3:X4"/>
    <mergeCell ref="G33:W33"/>
    <mergeCell ref="G34:W34"/>
    <mergeCell ref="G35:W35"/>
    <mergeCell ref="G36:W36"/>
    <mergeCell ref="G37:W37"/>
    <mergeCell ref="G42:W42"/>
    <mergeCell ref="G43:W43"/>
    <mergeCell ref="G44:W44"/>
  </mergeCells>
  <conditionalFormatting sqref="F31:F55">
    <cfRule type="cellIs" dxfId="2621" priority="7" operator="equal">
      <formula>"E"</formula>
    </cfRule>
    <cfRule type="cellIs" dxfId="2620" priority="8" operator="equal">
      <formula>"W"</formula>
    </cfRule>
    <cfRule type="cellIs" dxfId="2619" priority="9" operator="equal">
      <formula>"I"</formula>
    </cfRule>
  </conditionalFormatting>
  <conditionalFormatting sqref="F56:F59">
    <cfRule type="cellIs" dxfId="2618" priority="4" operator="equal">
      <formula>"E"</formula>
    </cfRule>
    <cfRule type="cellIs" dxfId="2617" priority="5" operator="equal">
      <formula>"W"</formula>
    </cfRule>
    <cfRule type="cellIs" dxfId="2616" priority="6" operator="equal">
      <formula>"I"</formula>
    </cfRule>
  </conditionalFormatting>
  <conditionalFormatting sqref="F60">
    <cfRule type="cellIs" dxfId="2615" priority="1" operator="equal">
      <formula>"E"</formula>
    </cfRule>
    <cfRule type="cellIs" dxfId="2614" priority="2" operator="equal">
      <formula>"W"</formula>
    </cfRule>
    <cfRule type="cellIs" dxfId="2613"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tabColor theme="0" tint="-0.249977111117893"/>
  </sheetPr>
  <dimension ref="A1:V51"/>
  <sheetViews>
    <sheetView showGridLines="0" showRowColHeaders="0" zoomScale="125" zoomScaleNormal="125" workbookViewId="0">
      <pane ySplit="5" topLeftCell="A6" activePane="bottomLeft" state="frozen"/>
      <selection pane="bottomLeft"/>
    </sheetView>
  </sheetViews>
  <sheetFormatPr baseColWidth="10" defaultRowHeight="16"/>
  <cols>
    <col min="1" max="1" width="5.7109375" customWidth="1"/>
    <col min="2" max="2" width="1.7109375" customWidth="1"/>
    <col min="3" max="3" width="10.7109375" style="1722"/>
    <col min="6" max="6" width="4.85546875" customWidth="1"/>
    <col min="10" max="11" width="10.7109375" style="1722"/>
    <col min="15" max="15" width="3.5703125" style="1722" customWidth="1"/>
    <col min="16" max="19" width="10.7109375" style="1722"/>
    <col min="20" max="20" width="1.7109375" style="1722" customWidth="1"/>
  </cols>
  <sheetData>
    <row r="1" spans="1:22" ht="8" customHeight="1">
      <c r="A1" s="1677"/>
      <c r="B1" s="1677"/>
      <c r="C1" s="1677"/>
      <c r="D1" s="1677"/>
      <c r="E1" s="1677"/>
      <c r="F1" s="1677"/>
      <c r="G1" s="1677"/>
      <c r="H1" s="1677"/>
      <c r="I1" s="1677"/>
      <c r="J1" s="1677"/>
      <c r="K1" s="1677"/>
      <c r="L1" s="1677"/>
      <c r="M1" s="1677"/>
      <c r="N1" s="1677"/>
      <c r="O1" s="1729"/>
      <c r="P1" s="1729"/>
      <c r="Q1" s="1729"/>
      <c r="R1" s="1729"/>
      <c r="S1" s="1729"/>
      <c r="T1" s="1729"/>
    </row>
    <row r="2" spans="1:22" ht="31" customHeight="1">
      <c r="C2" s="1831" t="s">
        <v>2504</v>
      </c>
    </row>
    <row r="3" spans="1:22" ht="18" customHeight="1">
      <c r="A3" s="1933" t="s">
        <v>381</v>
      </c>
      <c r="C3" s="2089" t="s">
        <v>2520</v>
      </c>
      <c r="D3" s="2089"/>
      <c r="E3" s="2089"/>
    </row>
    <row r="4" spans="1:22" ht="18" customHeight="1">
      <c r="A4" s="1830"/>
      <c r="C4" s="2090" t="str">
        <f>Config!E24</f>
        <v>Version 1.1.3</v>
      </c>
      <c r="D4" s="2090"/>
      <c r="E4" s="2090"/>
    </row>
    <row r="5" spans="1:22" ht="31" customHeight="1"/>
    <row r="6" spans="1:22" s="1071" customFormat="1" ht="20" customHeight="1">
      <c r="C6" s="1823"/>
      <c r="J6" s="1823"/>
      <c r="K6" s="1823"/>
      <c r="O6" s="1823"/>
      <c r="P6" s="1823"/>
      <c r="Q6" s="1823"/>
      <c r="R6" s="1823"/>
      <c r="S6" s="1823"/>
      <c r="T6" s="1823"/>
    </row>
    <row r="7" spans="1:22" s="1071" customFormat="1" ht="61" customHeight="1">
      <c r="C7" s="2097" t="s">
        <v>2512</v>
      </c>
      <c r="D7" s="2097"/>
      <c r="E7" s="2097"/>
      <c r="F7" s="2097"/>
      <c r="G7" s="2097"/>
      <c r="H7" s="2097"/>
      <c r="I7" s="2097"/>
      <c r="J7" s="2097"/>
      <c r="K7" s="2097"/>
      <c r="L7" s="2097"/>
      <c r="M7" s="2097"/>
      <c r="N7" s="2097"/>
      <c r="O7" s="2097"/>
      <c r="P7" s="2097"/>
      <c r="Q7" s="2097"/>
      <c r="R7" s="1823"/>
      <c r="S7" s="1823"/>
      <c r="T7" s="1823"/>
    </row>
    <row r="8" spans="1:22" s="1071" customFormat="1" ht="409" customHeight="1">
      <c r="C8" s="2096" t="s">
        <v>2534</v>
      </c>
      <c r="D8" s="2096"/>
      <c r="E8" s="2096"/>
      <c r="F8" s="2096"/>
      <c r="G8" s="2096"/>
      <c r="H8" s="2096"/>
      <c r="I8" s="2096"/>
      <c r="J8" s="2096"/>
      <c r="K8" s="1828"/>
      <c r="L8" s="1828"/>
      <c r="M8" s="1828"/>
      <c r="N8" s="1828"/>
      <c r="O8" s="1828"/>
      <c r="P8" s="1828"/>
      <c r="Q8" s="1828"/>
      <c r="R8" s="1823"/>
      <c r="S8" s="1823"/>
      <c r="T8" s="1823"/>
      <c r="V8"/>
    </row>
    <row r="9" spans="1:22" s="1071" customFormat="1" ht="20" customHeight="1" thickBot="1">
      <c r="B9" s="1829"/>
      <c r="C9" s="1829"/>
      <c r="D9" s="1829"/>
      <c r="E9" s="1829"/>
      <c r="F9" s="1829"/>
      <c r="G9" s="1829"/>
      <c r="H9" s="1829"/>
      <c r="I9" s="1829"/>
      <c r="J9" s="1829"/>
      <c r="K9" s="1829"/>
      <c r="L9" s="1829"/>
      <c r="M9" s="1829"/>
      <c r="N9" s="1829"/>
      <c r="O9" s="1829"/>
      <c r="P9" s="1829"/>
      <c r="Q9" s="1829"/>
      <c r="R9" s="1829"/>
      <c r="S9" s="1829"/>
      <c r="T9" s="1823"/>
    </row>
    <row r="10" spans="1:22" s="1071" customFormat="1" ht="20" customHeight="1" thickTop="1">
      <c r="C10" s="1823"/>
      <c r="J10" s="1823"/>
      <c r="K10" s="1823"/>
      <c r="O10" s="1823"/>
      <c r="P10" s="1823"/>
      <c r="Q10" s="1823"/>
      <c r="R10" s="1823"/>
      <c r="S10" s="1823"/>
      <c r="T10" s="1823"/>
    </row>
    <row r="11" spans="1:22" s="1071" customFormat="1" ht="82" customHeight="1">
      <c r="C11" s="2091" t="s">
        <v>2515</v>
      </c>
      <c r="D11" s="2091"/>
      <c r="E11" s="2091"/>
      <c r="F11" s="2091"/>
      <c r="G11" s="2091"/>
      <c r="H11" s="2091"/>
      <c r="I11" s="2091"/>
      <c r="J11" s="2091"/>
      <c r="K11" s="2091"/>
      <c r="L11" s="2091"/>
      <c r="M11" s="2091"/>
      <c r="N11" s="2091"/>
      <c r="O11" s="2091"/>
      <c r="P11" s="2091"/>
      <c r="Q11" s="2091"/>
      <c r="R11" s="2091"/>
      <c r="S11" s="2091"/>
      <c r="T11" s="1823"/>
    </row>
    <row r="12" spans="1:22" s="1071" customFormat="1" ht="20" customHeight="1" thickBot="1">
      <c r="B12" s="1829"/>
      <c r="C12" s="1829"/>
      <c r="D12" s="1829"/>
      <c r="E12" s="1829"/>
      <c r="F12" s="1829"/>
      <c r="G12" s="1829"/>
      <c r="H12" s="1829"/>
      <c r="I12" s="1829"/>
      <c r="J12" s="1829"/>
      <c r="K12" s="1829"/>
      <c r="L12" s="1829"/>
      <c r="M12" s="1829"/>
      <c r="N12" s="1829"/>
      <c r="O12" s="1829"/>
      <c r="P12" s="1829"/>
      <c r="Q12" s="1829"/>
      <c r="R12" s="1829"/>
      <c r="S12" s="1829"/>
      <c r="T12" s="1823"/>
    </row>
    <row r="13" spans="1:22" s="1071" customFormat="1" ht="20" customHeight="1" thickTop="1">
      <c r="C13" s="1823"/>
      <c r="J13" s="1823"/>
      <c r="K13" s="1823"/>
      <c r="O13" s="1823"/>
      <c r="P13" s="1823"/>
      <c r="Q13" s="1823"/>
      <c r="R13" s="1823"/>
      <c r="S13" s="1823"/>
      <c r="T13" s="1823"/>
    </row>
    <row r="14" spans="1:22" s="1071" customFormat="1" ht="56" customHeight="1">
      <c r="B14" s="1824"/>
      <c r="C14" s="2094" t="s">
        <v>2513</v>
      </c>
      <c r="D14" s="2094"/>
      <c r="E14" s="2094"/>
      <c r="F14" s="2094"/>
      <c r="G14" s="2094"/>
      <c r="H14" s="2094"/>
      <c r="I14" s="2094"/>
      <c r="J14" s="2094"/>
      <c r="K14" s="2094"/>
      <c r="L14" s="2094"/>
      <c r="M14" s="2094"/>
      <c r="N14" s="2094"/>
      <c r="O14" s="2094"/>
      <c r="P14" s="2094"/>
      <c r="Q14" s="2094"/>
      <c r="R14" s="2094"/>
      <c r="S14" s="2094"/>
      <c r="T14" s="1823"/>
    </row>
    <row r="15" spans="1:22" s="1071" customFormat="1" ht="99" customHeight="1">
      <c r="B15" s="1824"/>
      <c r="C15" s="2098" t="s">
        <v>2514</v>
      </c>
      <c r="D15" s="2098"/>
      <c r="E15" s="2098"/>
      <c r="F15" s="2098"/>
      <c r="G15" s="2098"/>
      <c r="H15" s="2098"/>
      <c r="I15" s="2098"/>
      <c r="J15" s="2098"/>
      <c r="K15" s="2098"/>
      <c r="L15" s="2098"/>
      <c r="M15" s="2098"/>
      <c r="N15" s="2098"/>
      <c r="O15" s="2098"/>
      <c r="P15" s="2098"/>
      <c r="Q15" s="2098"/>
      <c r="R15" s="2098"/>
      <c r="S15" s="2098"/>
      <c r="T15" s="1823"/>
    </row>
    <row r="16" spans="1:22" s="1071" customFormat="1" ht="39" customHeight="1">
      <c r="B16" s="1824"/>
      <c r="C16" s="2094" t="s">
        <v>2516</v>
      </c>
      <c r="D16" s="2094"/>
      <c r="E16" s="2094"/>
      <c r="F16" s="2094"/>
      <c r="G16" s="2094"/>
      <c r="H16" s="2094"/>
      <c r="I16" s="2094"/>
      <c r="J16" s="2094"/>
      <c r="K16" s="2094"/>
      <c r="L16" s="2094"/>
      <c r="M16" s="2094"/>
      <c r="N16" s="2094"/>
      <c r="O16" s="2094"/>
      <c r="P16" s="2094"/>
      <c r="Q16" s="2094"/>
      <c r="R16" s="2094"/>
      <c r="S16" s="2094"/>
      <c r="T16" s="1823"/>
    </row>
    <row r="17" spans="2:20" s="1071" customFormat="1" ht="20" customHeight="1">
      <c r="C17" s="2095"/>
      <c r="D17" s="2095"/>
      <c r="E17" s="2095"/>
      <c r="F17" s="2095"/>
      <c r="G17" s="2095"/>
      <c r="H17" s="2095"/>
      <c r="I17" s="2095"/>
      <c r="J17" s="2095"/>
      <c r="K17" s="1853"/>
      <c r="L17" s="1854"/>
      <c r="M17" s="1854"/>
      <c r="N17" s="1854"/>
      <c r="O17" s="1853"/>
      <c r="P17" s="1853"/>
      <c r="Q17" s="1853"/>
      <c r="R17" s="1853"/>
      <c r="S17" s="1853"/>
      <c r="T17" s="1823"/>
    </row>
    <row r="18" spans="2:20" s="1071" customFormat="1" ht="219" customHeight="1">
      <c r="C18" s="2096" t="s">
        <v>2517</v>
      </c>
      <c r="D18" s="2096"/>
      <c r="E18" s="2096"/>
      <c r="F18" s="2096"/>
      <c r="G18" s="2096"/>
      <c r="H18" s="2096"/>
      <c r="I18" s="2096"/>
      <c r="J18" s="2096"/>
      <c r="K18" s="2096"/>
      <c r="L18" s="1854"/>
      <c r="M18" s="1854"/>
      <c r="N18" s="1854"/>
      <c r="O18" s="1853"/>
      <c r="P18" s="1853"/>
      <c r="Q18" s="1853"/>
      <c r="R18" s="1853"/>
      <c r="S18" s="1853"/>
      <c r="T18" s="1823"/>
    </row>
    <row r="19" spans="2:20" s="1071" customFormat="1" ht="20" customHeight="1">
      <c r="C19" s="1825"/>
      <c r="D19" s="1825"/>
      <c r="E19" s="1825"/>
      <c r="J19" s="1823"/>
      <c r="K19" s="1823"/>
      <c r="O19" s="1823"/>
      <c r="P19" s="1823"/>
      <c r="Q19" s="1826"/>
      <c r="R19" s="1827"/>
      <c r="S19" s="1823"/>
      <c r="T19" s="1823"/>
    </row>
    <row r="20" spans="2:20" s="1071" customFormat="1" ht="20" customHeight="1">
      <c r="C20" s="1825"/>
      <c r="D20" s="1825"/>
      <c r="E20" s="1825"/>
      <c r="J20"/>
      <c r="K20" s="1823"/>
      <c r="O20" s="1823"/>
      <c r="P20" s="1823"/>
      <c r="Q20" s="1823"/>
      <c r="R20" s="1823"/>
      <c r="S20" s="1823"/>
      <c r="T20" s="1823"/>
    </row>
    <row r="21" spans="2:20" s="1071" customFormat="1" ht="20" customHeight="1">
      <c r="C21" s="1825"/>
      <c r="D21" s="1825"/>
      <c r="E21" s="1825"/>
      <c r="J21" s="1823"/>
      <c r="K21" s="1823"/>
      <c r="O21" s="1823"/>
      <c r="P21" s="1823"/>
      <c r="Q21" s="1823"/>
      <c r="R21" s="1823"/>
      <c r="S21" s="1823"/>
      <c r="T21" s="1823"/>
    </row>
    <row r="22" spans="2:20" s="1071" customFormat="1" ht="20" customHeight="1" thickBot="1">
      <c r="B22" s="1829"/>
      <c r="C22" s="1829"/>
      <c r="D22" s="1829"/>
      <c r="E22" s="1829"/>
      <c r="F22" s="1829"/>
      <c r="G22" s="1829"/>
      <c r="H22" s="1829"/>
      <c r="I22" s="1829"/>
      <c r="J22" s="1829"/>
      <c r="K22" s="1829"/>
      <c r="L22" s="1829"/>
      <c r="M22" s="1829"/>
      <c r="N22" s="1829"/>
      <c r="O22" s="1829"/>
      <c r="P22" s="1829"/>
      <c r="Q22" s="1829"/>
      <c r="R22" s="1829"/>
      <c r="S22" s="1829"/>
      <c r="T22" s="1823"/>
    </row>
    <row r="23" spans="2:20" s="1071" customFormat="1" ht="20" customHeight="1" thickTop="1">
      <c r="B23" s="1823"/>
      <c r="D23" s="1823"/>
      <c r="E23" s="1823"/>
      <c r="F23" s="1823"/>
      <c r="G23" s="1823"/>
      <c r="H23" s="1823"/>
      <c r="I23" s="1823"/>
      <c r="J23" s="1823"/>
      <c r="K23" s="1823"/>
      <c r="L23" s="1823"/>
      <c r="M23" s="1823"/>
      <c r="N23" s="1823"/>
      <c r="O23" s="1823"/>
      <c r="P23" s="1823"/>
      <c r="Q23" s="1823"/>
      <c r="R23" s="1823"/>
      <c r="S23" s="1823"/>
      <c r="T23" s="1823"/>
    </row>
    <row r="24" spans="2:20" s="1071" customFormat="1" ht="37" customHeight="1">
      <c r="B24" s="2092" t="s">
        <v>2518</v>
      </c>
      <c r="C24" s="2092"/>
      <c r="D24" s="2092"/>
      <c r="E24" s="2092"/>
      <c r="F24" s="2092"/>
      <c r="G24" s="2092"/>
      <c r="H24" s="2092"/>
      <c r="I24" s="2092"/>
      <c r="J24" s="2092"/>
      <c r="K24" s="2092"/>
      <c r="L24" s="2092"/>
      <c r="M24" s="1823"/>
      <c r="N24" s="1823"/>
      <c r="O24" s="1823"/>
      <c r="P24" s="1823"/>
      <c r="Q24" s="1823"/>
      <c r="R24" s="1823"/>
      <c r="S24" s="1823"/>
      <c r="T24" s="1823"/>
    </row>
    <row r="25" spans="2:20" s="1071" customFormat="1" ht="20" customHeight="1">
      <c r="B25" s="1823"/>
      <c r="C25" s="1823"/>
      <c r="D25" s="1823"/>
      <c r="E25" s="1823"/>
      <c r="F25" s="1823"/>
      <c r="G25" s="1823"/>
      <c r="H25" s="1823"/>
      <c r="I25" s="1823"/>
      <c r="J25" s="1823"/>
      <c r="K25" s="1823"/>
      <c r="L25" s="1823"/>
      <c r="M25" s="1823"/>
      <c r="N25" s="1823"/>
      <c r="O25" s="1823"/>
      <c r="P25" s="1823"/>
      <c r="Q25" s="1823"/>
      <c r="R25" s="1823"/>
      <c r="S25" s="1823"/>
      <c r="T25" s="1823"/>
    </row>
    <row r="26" spans="2:20" s="1071" customFormat="1" ht="59" customHeight="1">
      <c r="B26" s="1823"/>
      <c r="C26" s="2093" t="s">
        <v>2519</v>
      </c>
      <c r="D26" s="2093"/>
      <c r="E26" s="2093"/>
      <c r="F26" s="2093"/>
      <c r="G26" s="2093"/>
      <c r="H26" s="2093"/>
      <c r="I26" s="2093"/>
      <c r="J26" s="2093"/>
      <c r="K26" s="2093"/>
      <c r="L26" s="2093"/>
      <c r="M26" s="2093"/>
      <c r="N26" s="2093"/>
      <c r="O26" s="2093"/>
      <c r="P26" s="2093"/>
      <c r="Q26" s="2093"/>
      <c r="R26" s="2093"/>
      <c r="S26" s="2093"/>
      <c r="T26" s="1823"/>
    </row>
    <row r="27" spans="2:20" s="1071" customFormat="1" ht="20" customHeight="1" thickBot="1">
      <c r="B27" s="1829"/>
      <c r="C27" s="1829"/>
      <c r="D27" s="1829"/>
      <c r="E27" s="1829"/>
      <c r="F27" s="1829"/>
      <c r="G27" s="1829"/>
      <c r="H27" s="1829"/>
      <c r="I27" s="1829"/>
      <c r="J27" s="1829"/>
      <c r="K27" s="1829"/>
      <c r="L27" s="1829"/>
      <c r="M27" s="1829"/>
      <c r="N27" s="1829"/>
      <c r="O27" s="1829"/>
      <c r="P27" s="1829"/>
      <c r="Q27" s="1829"/>
      <c r="R27" s="1829"/>
      <c r="S27" s="1829"/>
      <c r="T27" s="1823"/>
    </row>
    <row r="28" spans="2:20" s="1071" customFormat="1" ht="20" customHeight="1" thickTop="1">
      <c r="B28" s="1823"/>
      <c r="C28" s="1823"/>
      <c r="D28" s="1823"/>
      <c r="E28" s="1823"/>
      <c r="F28" s="1823"/>
      <c r="G28" s="1823"/>
      <c r="H28" s="1823"/>
      <c r="I28" s="1823"/>
      <c r="J28" s="1823"/>
      <c r="K28" s="1823"/>
      <c r="L28" s="1823"/>
      <c r="M28" s="1823"/>
      <c r="N28" s="1823"/>
      <c r="O28" s="1823"/>
      <c r="P28" s="1823"/>
      <c r="Q28" s="1823"/>
      <c r="R28" s="1823"/>
      <c r="S28" s="1823"/>
      <c r="T28" s="1823"/>
    </row>
    <row r="29" spans="2:20" s="1757" customFormat="1" ht="20" customHeight="1">
      <c r="C29" s="1755"/>
      <c r="J29" s="1822"/>
      <c r="K29" s="1822"/>
      <c r="O29" s="1755"/>
      <c r="P29" s="1755"/>
      <c r="Q29" s="1755"/>
      <c r="R29" s="1755"/>
      <c r="S29" s="1755"/>
      <c r="T29" s="1755"/>
    </row>
    <row r="30" spans="2:20" s="1757" customFormat="1" ht="20" customHeight="1" thickBot="1">
      <c r="C30" s="1821"/>
      <c r="D30" s="1821"/>
      <c r="E30" s="1821"/>
      <c r="F30" s="1821"/>
      <c r="G30" s="1821"/>
      <c r="H30" s="1821"/>
      <c r="I30" s="1821"/>
      <c r="J30" s="1821"/>
      <c r="K30" s="1821"/>
      <c r="L30" s="1821"/>
      <c r="M30" s="1821"/>
      <c r="N30" s="1821"/>
      <c r="O30" s="1821"/>
      <c r="P30" s="1821"/>
      <c r="Q30" s="1821"/>
      <c r="R30" s="1821"/>
      <c r="S30" s="1755"/>
      <c r="T30" s="1755"/>
    </row>
    <row r="31" spans="2:20" s="1757" customFormat="1" ht="215" customHeight="1" thickTop="1" thickBot="1">
      <c r="C31" s="1755"/>
      <c r="G31" s="2086" t="s">
        <v>2458</v>
      </c>
      <c r="H31" s="2087"/>
      <c r="I31" s="2087"/>
      <c r="J31" s="2087"/>
      <c r="K31" s="2087"/>
      <c r="L31" s="2087"/>
      <c r="M31" s="2087"/>
      <c r="N31" s="2087"/>
      <c r="O31" s="2088"/>
      <c r="P31" s="1756"/>
      <c r="Q31" s="1756"/>
      <c r="R31" s="1755"/>
      <c r="S31" s="1755"/>
      <c r="T31" s="1755"/>
    </row>
    <row r="32" spans="2:20" ht="20" customHeight="1" thickTop="1"/>
    <row r="33" spans="3:20" s="1757" customFormat="1" ht="16" customHeight="1">
      <c r="C33" s="1755"/>
      <c r="J33" s="1755"/>
      <c r="K33" s="1755"/>
      <c r="O33" s="1756"/>
      <c r="P33" s="1756"/>
      <c r="Q33" s="1756"/>
      <c r="R33" s="1755"/>
      <c r="S33" s="1755"/>
      <c r="T33" s="1755"/>
    </row>
    <row r="34" spans="3:20" s="1757" customFormat="1" ht="16" customHeight="1">
      <c r="C34" s="1755"/>
      <c r="J34" s="1755"/>
      <c r="K34" s="1755"/>
      <c r="O34" s="1756"/>
      <c r="P34" s="1756"/>
      <c r="Q34" s="1756"/>
      <c r="R34" s="1755"/>
      <c r="S34" s="1755"/>
      <c r="T34" s="1755"/>
    </row>
    <row r="35" spans="3:20" s="1757" customFormat="1" ht="16" customHeight="1">
      <c r="C35" s="1755"/>
      <c r="J35" s="1755"/>
      <c r="K35" s="1755"/>
      <c r="O35" s="1756"/>
      <c r="P35" s="1756"/>
      <c r="Q35" s="1756"/>
      <c r="R35" s="1755"/>
      <c r="S35" s="1755"/>
      <c r="T35" s="1755"/>
    </row>
    <row r="36" spans="3:20" s="1757" customFormat="1" ht="16" customHeight="1">
      <c r="C36" s="1755"/>
      <c r="J36" s="1755"/>
      <c r="K36" s="1755"/>
      <c r="O36" s="1756"/>
      <c r="P36" s="1756"/>
      <c r="Q36" s="1756"/>
      <c r="R36" s="1755"/>
      <c r="S36" s="1755"/>
      <c r="T36" s="1755"/>
    </row>
    <row r="37" spans="3:20" s="1757" customFormat="1" ht="16" customHeight="1">
      <c r="C37" s="1755"/>
      <c r="J37" s="1755"/>
      <c r="K37" s="1755"/>
      <c r="O37" s="1756"/>
      <c r="P37" s="1756"/>
      <c r="Q37" s="1756"/>
      <c r="R37" s="1755"/>
      <c r="S37" s="1755"/>
      <c r="T37" s="1755"/>
    </row>
    <row r="38" spans="3:20" s="1757" customFormat="1" ht="16" customHeight="1">
      <c r="C38" s="1755"/>
      <c r="J38" s="1755"/>
      <c r="K38" s="1755"/>
      <c r="O38" s="1756"/>
      <c r="P38" s="1756"/>
      <c r="Q38" s="1756"/>
      <c r="R38" s="1755"/>
      <c r="S38" s="1755"/>
      <c r="T38" s="1755"/>
    </row>
    <row r="39" spans="3:20" s="1757" customFormat="1" ht="24">
      <c r="C39" s="1755"/>
      <c r="J39" s="1755"/>
      <c r="K39" s="1755"/>
      <c r="O39" s="1756"/>
      <c r="P39" s="1756"/>
      <c r="Q39" s="1756"/>
      <c r="R39" s="1755"/>
      <c r="S39" s="1755"/>
      <c r="T39" s="1755"/>
    </row>
    <row r="40" spans="3:20" s="1757" customFormat="1" ht="24">
      <c r="C40" s="1755"/>
      <c r="J40" s="1755"/>
      <c r="K40" s="1755"/>
      <c r="O40" s="1756"/>
      <c r="P40" s="1756"/>
      <c r="Q40" s="1756"/>
      <c r="R40" s="1755"/>
      <c r="S40" s="1755"/>
      <c r="T40" s="1755"/>
    </row>
    <row r="41" spans="3:20" s="1757" customFormat="1" ht="24">
      <c r="C41" s="1755"/>
      <c r="J41" s="1755"/>
      <c r="K41" s="1755"/>
      <c r="O41" s="1756"/>
      <c r="P41" s="1756"/>
      <c r="Q41" s="1756"/>
      <c r="R41" s="1755"/>
      <c r="S41" s="1755"/>
      <c r="T41" s="1755"/>
    </row>
    <row r="42" spans="3:20" s="1757" customFormat="1" ht="24">
      <c r="C42" s="1755"/>
      <c r="J42" s="1755"/>
      <c r="K42" s="1755"/>
      <c r="O42" s="1756"/>
      <c r="P42" s="1756"/>
      <c r="Q42" s="1756"/>
      <c r="R42" s="1755"/>
      <c r="S42" s="1755"/>
      <c r="T42" s="1755"/>
    </row>
    <row r="43" spans="3:20" s="1757" customFormat="1" ht="24">
      <c r="C43" s="1755"/>
      <c r="J43" s="1755"/>
      <c r="K43" s="1755"/>
      <c r="O43" s="1756"/>
      <c r="P43" s="1756"/>
      <c r="Q43" s="1756"/>
      <c r="R43" s="1755"/>
      <c r="S43" s="1755"/>
      <c r="T43" s="1755"/>
    </row>
    <row r="44" spans="3:20" ht="24">
      <c r="O44" s="1723"/>
      <c r="P44" s="1723"/>
      <c r="Q44" s="1723"/>
    </row>
    <row r="45" spans="3:20" ht="24">
      <c r="O45" s="1723"/>
      <c r="P45" s="1723"/>
      <c r="Q45" s="1723"/>
    </row>
    <row r="46" spans="3:20" ht="24">
      <c r="O46" s="1723"/>
      <c r="P46" s="1723"/>
      <c r="Q46" s="1723"/>
    </row>
    <row r="47" spans="3:20" ht="24">
      <c r="O47" s="1723"/>
      <c r="P47" s="1723"/>
      <c r="Q47" s="1723"/>
    </row>
    <row r="48" spans="3:20" ht="24">
      <c r="O48" s="1723"/>
      <c r="P48" s="1723"/>
      <c r="Q48" s="1723"/>
    </row>
    <row r="49" spans="15:17" ht="24">
      <c r="O49" s="1723"/>
      <c r="P49" s="1723"/>
      <c r="Q49" s="1723"/>
    </row>
    <row r="50" spans="15:17" ht="24">
      <c r="O50" s="1723"/>
      <c r="P50" s="1723"/>
      <c r="Q50" s="1723"/>
    </row>
    <row r="51" spans="15:17" ht="24">
      <c r="O51" s="1723"/>
      <c r="P51" s="1723"/>
      <c r="Q51" s="1723"/>
    </row>
  </sheetData>
  <sheetProtection algorithmName="SHA-512" hashValue="oJ2WLf6cxgmkVE/0fakmX90ZleEYqL8przLn8rLXZZYnzeC6NNUYo+8GaGPktZvui4gNFnITaZNeVwoD+7Wd0A==" saltValue="quAWoA4VZpvFVXGAJMjxHQ==" spinCount="100000" sheet="1" objects="1" scenarios="1" formatCells="0" formatColumns="0" formatRows="0" selectLockedCells="1"/>
  <mergeCells count="13">
    <mergeCell ref="G31:O31"/>
    <mergeCell ref="C3:E3"/>
    <mergeCell ref="C4:E4"/>
    <mergeCell ref="C11:S11"/>
    <mergeCell ref="B24:L24"/>
    <mergeCell ref="C26:S26"/>
    <mergeCell ref="C16:S16"/>
    <mergeCell ref="C17:J17"/>
    <mergeCell ref="C18:K18"/>
    <mergeCell ref="C7:Q7"/>
    <mergeCell ref="C8:J8"/>
    <mergeCell ref="C14:S14"/>
    <mergeCell ref="C15:S15"/>
  </mergeCells>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tabColor theme="0" tint="-0.249977111117893"/>
  </sheetPr>
  <dimension ref="A1:S22"/>
  <sheetViews>
    <sheetView showRowColHeaders="0" zoomScale="140" zoomScaleNormal="125" workbookViewId="0">
      <pane ySplit="5" topLeftCell="A7" activePane="bottomLeft" state="frozen"/>
      <selection pane="bottomLeft"/>
    </sheetView>
  </sheetViews>
  <sheetFormatPr baseColWidth="10" defaultRowHeight="19"/>
  <cols>
    <col min="1" max="1" width="5.7109375" style="1675" customWidth="1"/>
    <col min="2" max="2" width="1.7109375" style="1675" customWidth="1"/>
    <col min="3" max="4" width="18.7109375" style="1675" customWidth="1"/>
    <col min="5" max="5" width="1.7109375" style="1675" customWidth="1"/>
    <col min="6" max="7" width="18.7109375" style="1675" customWidth="1"/>
    <col min="8" max="8" width="1.7109375" style="1675" customWidth="1"/>
    <col min="9" max="10" width="18.7109375" style="1675" customWidth="1"/>
    <col min="11" max="11" width="1.7109375" style="1675" customWidth="1"/>
    <col min="12" max="13" width="18.7109375" style="1675" customWidth="1"/>
    <col min="14" max="14" width="2.28515625" style="1675" customWidth="1"/>
    <col min="15" max="15" width="1.7109375" style="1675" customWidth="1"/>
    <col min="16" max="16" width="7.7109375" style="1675" customWidth="1"/>
    <col min="17" max="17" width="3.85546875" style="1675" customWidth="1"/>
    <col min="18" max="16384" width="10.7109375" style="1675"/>
  </cols>
  <sheetData>
    <row r="1" spans="1:19" ht="8" customHeight="1">
      <c r="A1" s="1934"/>
      <c r="B1" s="1677"/>
      <c r="C1" s="1677"/>
      <c r="D1" s="1677"/>
      <c r="E1" s="1677"/>
      <c r="F1" s="1677"/>
      <c r="G1" s="1677"/>
      <c r="H1" s="1677"/>
      <c r="I1" s="1677"/>
      <c r="J1" s="1677"/>
      <c r="K1" s="1677"/>
      <c r="L1" s="1677"/>
      <c r="M1" s="1677"/>
      <c r="N1" s="1677"/>
      <c r="O1" s="1677"/>
      <c r="P1" s="1677"/>
      <c r="Q1" s="1677"/>
    </row>
    <row r="2" spans="1:19" ht="31" customHeight="1">
      <c r="C2" s="1833" t="s">
        <v>2499</v>
      </c>
      <c r="P2" s="1678"/>
      <c r="Q2" s="1678"/>
      <c r="R2" s="1678"/>
      <c r="S2" s="1678"/>
    </row>
    <row r="3" spans="1:19" ht="18" customHeight="1">
      <c r="A3" s="1935" t="s">
        <v>2580</v>
      </c>
      <c r="C3" s="1882" t="s">
        <v>2521</v>
      </c>
      <c r="P3" s="1678"/>
      <c r="Q3" s="1678"/>
      <c r="R3" s="1678"/>
      <c r="S3" s="1678"/>
    </row>
    <row r="4" spans="1:19" ht="18" customHeight="1">
      <c r="C4" s="1883" t="str">
        <f>Config!E24</f>
        <v>Version 1.1.3</v>
      </c>
      <c r="P4" s="1678"/>
      <c r="Q4" s="1678"/>
      <c r="R4" s="1678"/>
      <c r="S4" s="1678"/>
    </row>
    <row r="5" spans="1:19" s="1676" customFormat="1" ht="31" customHeight="1">
      <c r="A5" s="1930"/>
      <c r="C5" s="1832"/>
      <c r="P5" s="1679"/>
      <c r="Q5" s="1679"/>
      <c r="R5" s="1679"/>
      <c r="S5" s="1679"/>
    </row>
    <row r="6" spans="1:19" s="1676" customFormat="1" ht="38" customHeight="1">
      <c r="A6" s="1690"/>
      <c r="C6" s="1929" t="s">
        <v>2579</v>
      </c>
      <c r="D6" s="1679"/>
      <c r="E6" s="1679"/>
      <c r="F6" s="1679"/>
      <c r="G6" s="1679"/>
      <c r="H6" s="1679"/>
      <c r="I6" s="1679"/>
      <c r="J6" s="1679"/>
      <c r="K6" s="1679"/>
      <c r="L6" s="1679"/>
      <c r="M6" s="1679"/>
      <c r="N6" s="1679"/>
      <c r="O6" s="1679"/>
      <c r="P6" s="1679"/>
      <c r="Q6" s="1679"/>
      <c r="R6" s="1679"/>
      <c r="S6" s="1679"/>
    </row>
    <row r="7" spans="1:19" ht="18" customHeight="1">
      <c r="C7" s="1680"/>
      <c r="D7" s="1678"/>
      <c r="E7" s="1678"/>
      <c r="F7" s="1678"/>
      <c r="G7" s="1678"/>
      <c r="H7" s="1678"/>
      <c r="I7" s="1678"/>
      <c r="J7" s="1678"/>
      <c r="K7" s="1678"/>
      <c r="L7" s="1678"/>
      <c r="M7" s="1678"/>
      <c r="N7" s="1678"/>
      <c r="O7" s="1678"/>
    </row>
    <row r="8" spans="1:19" ht="36" customHeight="1">
      <c r="C8" s="2106" t="s">
        <v>2500</v>
      </c>
      <c r="D8" s="2106"/>
      <c r="E8" s="2106"/>
      <c r="F8" s="2106"/>
      <c r="G8" s="2106"/>
      <c r="H8" s="2106"/>
      <c r="I8" s="2106"/>
      <c r="J8" s="2106"/>
      <c r="K8" s="2106"/>
      <c r="L8" s="2106"/>
      <c r="M8" s="2106"/>
      <c r="N8" s="2106"/>
      <c r="O8" s="1678"/>
    </row>
    <row r="9" spans="1:19" ht="58" customHeight="1">
      <c r="C9" s="1817"/>
      <c r="D9" s="1817"/>
      <c r="E9" s="1817"/>
      <c r="F9" s="2111"/>
      <c r="G9" s="2111"/>
      <c r="H9" s="2111"/>
      <c r="I9" s="2111"/>
      <c r="J9" s="2111"/>
      <c r="K9" s="1817"/>
      <c r="L9" s="1817"/>
      <c r="M9" s="1817"/>
      <c r="N9" s="1817"/>
    </row>
    <row r="10" spans="1:19" ht="9" customHeight="1">
      <c r="C10" s="2109"/>
      <c r="D10" s="2110"/>
      <c r="E10" s="2110"/>
      <c r="F10" s="2110"/>
      <c r="G10" s="2110"/>
      <c r="H10" s="2110"/>
      <c r="I10" s="2110"/>
      <c r="J10" s="2110"/>
      <c r="K10" s="2110"/>
      <c r="L10" s="2110"/>
      <c r="M10" s="2110"/>
      <c r="N10" s="2110"/>
    </row>
    <row r="11" spans="1:19" ht="9" customHeight="1">
      <c r="C11" s="2108"/>
      <c r="D11" s="2108"/>
      <c r="E11" s="1681"/>
      <c r="F11" s="1681"/>
      <c r="G11" s="1681"/>
      <c r="H11" s="1681"/>
      <c r="I11" s="1681"/>
      <c r="J11" s="1681"/>
      <c r="K11" s="1681"/>
      <c r="L11" s="1681"/>
      <c r="M11" s="1726"/>
      <c r="N11" s="1681"/>
    </row>
    <row r="12" spans="1:19" ht="208" customHeight="1">
      <c r="C12" s="2112" t="s">
        <v>2680</v>
      </c>
      <c r="D12" s="2112"/>
      <c r="E12" s="2112"/>
      <c r="F12" s="2112"/>
      <c r="G12" s="2112"/>
      <c r="H12" s="2112"/>
      <c r="I12" s="2112"/>
      <c r="J12" s="2112"/>
      <c r="K12" s="2112"/>
      <c r="L12" s="2112"/>
      <c r="M12" s="2112"/>
      <c r="N12" s="1851"/>
    </row>
    <row r="13" spans="1:19" ht="64" customHeight="1">
      <c r="C13" s="2107"/>
      <c r="D13" s="2107"/>
      <c r="F13" s="2107"/>
      <c r="G13" s="2107"/>
      <c r="I13" s="2107"/>
      <c r="J13" s="2107"/>
      <c r="L13" s="2107"/>
      <c r="M13" s="2107"/>
      <c r="N13" s="2107"/>
    </row>
    <row r="14" spans="1:19" ht="236" customHeight="1">
      <c r="B14" s="2054"/>
      <c r="C14" s="2103" t="s">
        <v>2676</v>
      </c>
      <c r="D14" s="2103"/>
      <c r="E14" s="2059"/>
      <c r="F14" s="2103" t="s">
        <v>2664</v>
      </c>
      <c r="G14" s="2104"/>
      <c r="H14" s="2059"/>
      <c r="I14" s="2103" t="s">
        <v>2677</v>
      </c>
      <c r="J14" s="2104"/>
      <c r="K14" s="2059"/>
      <c r="L14" s="2103" t="s">
        <v>2685</v>
      </c>
      <c r="M14" s="2103"/>
      <c r="N14" s="2060"/>
      <c r="O14" s="1714"/>
    </row>
    <row r="15" spans="1:19" ht="48" customHeight="1">
      <c r="B15" s="2055"/>
      <c r="C15" s="2056"/>
      <c r="D15" s="2056"/>
      <c r="E15" s="2057"/>
      <c r="F15" s="2056"/>
      <c r="G15" s="2057"/>
      <c r="H15" s="2057"/>
      <c r="I15" s="2056"/>
      <c r="J15" s="2057"/>
      <c r="K15" s="2057"/>
      <c r="L15" s="2056"/>
      <c r="M15" s="2056"/>
      <c r="N15" s="2057"/>
    </row>
    <row r="16" spans="1:19" ht="243" customHeight="1">
      <c r="B16" s="2054"/>
      <c r="C16" s="2103" t="s">
        <v>2649</v>
      </c>
      <c r="D16" s="2102"/>
      <c r="E16" s="2053"/>
      <c r="F16" s="2105" t="s">
        <v>2655</v>
      </c>
      <c r="G16" s="2100"/>
      <c r="H16" s="2055"/>
      <c r="I16" s="2099" t="s">
        <v>2673</v>
      </c>
      <c r="J16" s="2100"/>
      <c r="K16" s="2055"/>
      <c r="L16" s="2099" t="s">
        <v>2686</v>
      </c>
      <c r="M16" s="2099"/>
      <c r="N16" s="2058"/>
    </row>
    <row r="17" spans="2:14" ht="216" customHeight="1">
      <c r="B17" s="2053"/>
      <c r="C17" s="2099" t="s">
        <v>2648</v>
      </c>
      <c r="D17" s="2100"/>
      <c r="E17" s="2053"/>
      <c r="F17" s="2099" t="s">
        <v>2666</v>
      </c>
      <c r="G17" s="2100"/>
      <c r="H17" s="2053"/>
      <c r="I17" s="2099" t="s">
        <v>2674</v>
      </c>
      <c r="J17" s="2100"/>
      <c r="K17" s="2055"/>
      <c r="L17" s="2099" t="s">
        <v>2687</v>
      </c>
      <c r="M17" s="2099"/>
      <c r="N17" s="2058"/>
    </row>
    <row r="18" spans="2:14" ht="282" customHeight="1">
      <c r="B18" s="2053"/>
      <c r="C18" s="2099" t="s">
        <v>2650</v>
      </c>
      <c r="D18" s="2100"/>
      <c r="E18" s="2054"/>
      <c r="F18" s="2101" t="s">
        <v>2654</v>
      </c>
      <c r="G18" s="2102"/>
      <c r="H18" s="2053"/>
      <c r="I18" s="2099" t="s">
        <v>2678</v>
      </c>
      <c r="J18" s="2100"/>
      <c r="K18" s="2054"/>
      <c r="L18" s="2099" t="s">
        <v>2688</v>
      </c>
      <c r="M18" s="2099"/>
      <c r="N18" s="2584"/>
    </row>
    <row r="19" spans="2:14" ht="218" customHeight="1">
      <c r="B19" s="2053"/>
      <c r="C19" s="2099" t="s">
        <v>2651</v>
      </c>
      <c r="D19" s="2100"/>
      <c r="E19" s="2053"/>
      <c r="F19" s="2099" t="s">
        <v>2665</v>
      </c>
      <c r="G19" s="2100"/>
      <c r="H19" s="2054"/>
      <c r="I19" s="2099" t="s">
        <v>2675</v>
      </c>
      <c r="J19" s="2100"/>
      <c r="L19" s="2099" t="s">
        <v>2689</v>
      </c>
      <c r="M19" s="2099"/>
      <c r="N19" s="1852"/>
    </row>
    <row r="20" spans="2:14" ht="272" customHeight="1">
      <c r="B20" s="2053"/>
      <c r="C20" s="2099" t="s">
        <v>2652</v>
      </c>
      <c r="D20" s="2100"/>
      <c r="E20" s="2053"/>
      <c r="F20" s="2099"/>
      <c r="G20" s="2100"/>
      <c r="H20" s="2053"/>
      <c r="I20" s="2099" t="s">
        <v>2679</v>
      </c>
      <c r="J20" s="2100"/>
      <c r="K20" s="2054"/>
      <c r="L20" s="2103"/>
      <c r="M20" s="2103"/>
      <c r="N20" s="2584"/>
    </row>
    <row r="21" spans="2:14" ht="271" customHeight="1">
      <c r="B21" s="2053"/>
      <c r="C21" s="2099" t="s">
        <v>2653</v>
      </c>
      <c r="D21" s="2100"/>
      <c r="E21" s="2054"/>
      <c r="F21" s="2101"/>
      <c r="G21" s="2102"/>
      <c r="H21" s="2054"/>
      <c r="I21" s="2103"/>
      <c r="J21" s="2102"/>
      <c r="K21" s="2054"/>
      <c r="L21" s="2103"/>
      <c r="M21" s="2103"/>
      <c r="N21" s="2584"/>
    </row>
    <row r="22" spans="2:14">
      <c r="B22" s="2055"/>
      <c r="C22" s="2055"/>
      <c r="D22" s="2055"/>
      <c r="E22" s="2055"/>
      <c r="F22" s="2055"/>
      <c r="G22" s="2055"/>
    </row>
  </sheetData>
  <sheetProtection algorithmName="SHA-512" hashValue="b9i5uoVPIfYC8B/iOXKj0ey5QdzXnZ+tLmqr9fQBTQUG0Kg4iS+jn4XQun6mWdWAWicm2X0o8NpzP+JcVJuzlw==" saltValue="XSoZiSGRqWdEdHDpK7kIYg==" spinCount="100000" sheet="1" objects="1" scenarios="1" formatCells="0" formatColumns="0" formatRows="0" selectLockedCells="1"/>
  <mergeCells count="37">
    <mergeCell ref="C8:N8"/>
    <mergeCell ref="C13:D13"/>
    <mergeCell ref="F13:G13"/>
    <mergeCell ref="I13:J13"/>
    <mergeCell ref="L13:N13"/>
    <mergeCell ref="C11:D11"/>
    <mergeCell ref="C10:N10"/>
    <mergeCell ref="F9:J9"/>
    <mergeCell ref="C12:M12"/>
    <mergeCell ref="L14:M14"/>
    <mergeCell ref="L16:M16"/>
    <mergeCell ref="C19:D19"/>
    <mergeCell ref="F19:G19"/>
    <mergeCell ref="I19:J19"/>
    <mergeCell ref="L19:M19"/>
    <mergeCell ref="C17:D17"/>
    <mergeCell ref="C18:D18"/>
    <mergeCell ref="I17:J17"/>
    <mergeCell ref="I18:J18"/>
    <mergeCell ref="L17:M17"/>
    <mergeCell ref="L18:M18"/>
    <mergeCell ref="C14:D14"/>
    <mergeCell ref="F14:G14"/>
    <mergeCell ref="I14:J14"/>
    <mergeCell ref="C16:D16"/>
    <mergeCell ref="F16:G16"/>
    <mergeCell ref="I16:J16"/>
    <mergeCell ref="L20:M20"/>
    <mergeCell ref="C21:D21"/>
    <mergeCell ref="F21:G21"/>
    <mergeCell ref="I21:J21"/>
    <mergeCell ref="L21:M21"/>
    <mergeCell ref="F17:G17"/>
    <mergeCell ref="F18:G18"/>
    <mergeCell ref="C20:D20"/>
    <mergeCell ref="F20:G20"/>
    <mergeCell ref="I20:J20"/>
  </mergeCells>
  <pageMargins left="0.7" right="0.7" top="0.75" bottom="0.75" header="0.3" footer="0.3"/>
  <pageSetup orientation="landscape"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9E089-0F06-E54B-8FEE-74B8E79057E1}">
  <sheetPr codeName="Sheet35"/>
  <dimension ref="A1:O23"/>
  <sheetViews>
    <sheetView showRowColHeaders="0" zoomScale="125" zoomScaleNormal="125" workbookViewId="0">
      <pane ySplit="3" topLeftCell="A4" activePane="bottomLeft" state="frozen"/>
      <selection pane="bottomLeft" activeCell="H14" sqref="H14"/>
    </sheetView>
  </sheetViews>
  <sheetFormatPr baseColWidth="10" defaultRowHeight="16"/>
  <cols>
    <col min="1" max="1" width="5.7109375" style="1554" customWidth="1"/>
    <col min="2" max="2" width="1.7109375" style="1554" customWidth="1"/>
    <col min="3" max="5" width="10.7109375" style="1554"/>
    <col min="6" max="6" width="15.140625" style="1554" customWidth="1"/>
    <col min="7" max="16384" width="10.7109375" style="1554"/>
  </cols>
  <sheetData>
    <row r="1" spans="1:15" ht="8" customHeight="1">
      <c r="A1" s="259"/>
      <c r="B1" s="259"/>
      <c r="C1" s="259"/>
      <c r="D1" s="259"/>
      <c r="E1" s="259"/>
      <c r="F1" s="259"/>
      <c r="G1" s="259"/>
      <c r="H1" s="259"/>
      <c r="I1" s="259"/>
      <c r="J1" s="259"/>
      <c r="K1" s="259"/>
      <c r="L1" s="259"/>
      <c r="M1" s="259"/>
      <c r="N1" s="259"/>
      <c r="O1" s="259"/>
    </row>
    <row r="2" spans="1:15" ht="30" customHeight="1">
      <c r="C2" s="435" t="s">
        <v>2497</v>
      </c>
    </row>
    <row r="3" spans="1:15" ht="30" customHeight="1">
      <c r="A3" s="779" t="s">
        <v>1310</v>
      </c>
      <c r="C3" s="2113" t="s">
        <v>2503</v>
      </c>
      <c r="D3" s="2114"/>
      <c r="E3" s="2114"/>
      <c r="F3" s="2114"/>
      <c r="G3" s="2114"/>
      <c r="H3" s="2114"/>
      <c r="I3" s="2114"/>
    </row>
    <row r="4" spans="1:15" ht="30" customHeight="1"/>
    <row r="5" spans="1:15" ht="20" customHeight="1">
      <c r="C5" s="2116" t="s">
        <v>2507</v>
      </c>
      <c r="D5" s="2116"/>
      <c r="E5" s="2116"/>
      <c r="F5" s="2116"/>
    </row>
    <row r="6" spans="1:15" ht="20" customHeight="1">
      <c r="C6" s="2006" t="s">
        <v>2508</v>
      </c>
      <c r="D6" s="2007"/>
      <c r="E6" s="2007"/>
      <c r="F6" s="2007"/>
      <c r="H6" s="1849" t="s">
        <v>2369</v>
      </c>
    </row>
    <row r="7" spans="1:15" ht="20" customHeight="1"/>
    <row r="8" spans="1:15" ht="20" customHeight="1"/>
    <row r="9" spans="1:15" ht="20" customHeight="1">
      <c r="C9" s="2116" t="s">
        <v>2510</v>
      </c>
      <c r="D9" s="2116"/>
      <c r="E9" s="2116"/>
      <c r="F9" s="2116"/>
    </row>
    <row r="10" spans="1:15" ht="20" customHeight="1">
      <c r="C10" s="2006" t="s">
        <v>2511</v>
      </c>
      <c r="D10" s="2007"/>
      <c r="E10" s="2007"/>
      <c r="F10" s="2007"/>
      <c r="H10" s="1848" t="s">
        <v>42</v>
      </c>
    </row>
    <row r="11" spans="1:15" ht="20" customHeight="1">
      <c r="C11" s="1819"/>
      <c r="H11" s="1844"/>
    </row>
    <row r="12" spans="1:15" ht="20" customHeight="1">
      <c r="C12" s="1819"/>
      <c r="H12" s="1844"/>
    </row>
    <row r="13" spans="1:15" ht="20" customHeight="1">
      <c r="C13" s="2116" t="s">
        <v>2523</v>
      </c>
      <c r="D13" s="2116"/>
      <c r="E13" s="2116"/>
      <c r="F13" s="2116"/>
      <c r="H13" s="1844"/>
    </row>
    <row r="14" spans="1:15" ht="20" customHeight="1">
      <c r="C14" s="2006" t="s">
        <v>2525</v>
      </c>
      <c r="D14" s="2007"/>
      <c r="E14" s="2007"/>
      <c r="F14" s="2007"/>
      <c r="H14" s="1847">
        <v>125</v>
      </c>
    </row>
    <row r="15" spans="1:15" ht="20" customHeight="1">
      <c r="C15" s="2006" t="s">
        <v>2614</v>
      </c>
      <c r="D15" s="2007"/>
      <c r="E15" s="2007"/>
      <c r="F15" s="2007"/>
    </row>
    <row r="16" spans="1:15" ht="20" customHeight="1"/>
    <row r="17" spans="2:15" ht="20" customHeight="1">
      <c r="C17" s="2116" t="s">
        <v>2498</v>
      </c>
      <c r="D17" s="2116"/>
      <c r="E17" s="2116"/>
      <c r="F17" s="2116"/>
    </row>
    <row r="18" spans="2:15" ht="20" customHeight="1"/>
    <row r="19" spans="2:15" ht="409" customHeight="1">
      <c r="C19" s="2115" t="s">
        <v>2501</v>
      </c>
      <c r="D19" s="2115"/>
      <c r="E19" s="2115"/>
      <c r="F19" s="2115"/>
      <c r="G19" s="2115"/>
      <c r="H19" s="2115"/>
      <c r="I19" s="2115"/>
      <c r="J19" s="2115"/>
      <c r="K19" s="2115"/>
      <c r="L19" s="2115"/>
      <c r="M19" s="2115"/>
      <c r="N19" s="2115"/>
    </row>
    <row r="21" spans="2:15" ht="48" customHeight="1">
      <c r="B21" s="1808"/>
      <c r="C21" s="2117" t="s">
        <v>2583</v>
      </c>
      <c r="D21" s="2117"/>
      <c r="E21" s="2117"/>
      <c r="F21" s="2117"/>
      <c r="G21" s="2117"/>
      <c r="H21" s="2117"/>
      <c r="I21" s="2117"/>
      <c r="J21" s="2117"/>
      <c r="K21" s="2117"/>
      <c r="L21" s="2117"/>
      <c r="M21" s="2117"/>
      <c r="N21" s="2117"/>
      <c r="O21" s="2117"/>
    </row>
    <row r="22" spans="2:15">
      <c r="B22" s="1808"/>
      <c r="C22" s="1808"/>
      <c r="D22" s="1808"/>
      <c r="E22" s="1808"/>
      <c r="F22" s="1808"/>
      <c r="G22" s="1808"/>
      <c r="H22" s="1808"/>
      <c r="I22" s="1808"/>
      <c r="J22" s="1808"/>
      <c r="K22" s="1808"/>
      <c r="L22" s="1808"/>
      <c r="M22" s="1808"/>
      <c r="N22" s="1808"/>
      <c r="O22" s="1808"/>
    </row>
    <row r="23" spans="2:15">
      <c r="B23" s="1808"/>
      <c r="C23" s="1808"/>
      <c r="D23" s="1808"/>
      <c r="E23" s="1808"/>
      <c r="F23" s="1808"/>
      <c r="G23" s="1808"/>
      <c r="H23" s="1808"/>
      <c r="I23" s="1808"/>
      <c r="J23" s="1808"/>
      <c r="K23" s="1808"/>
      <c r="L23" s="1808"/>
      <c r="M23" s="1808"/>
      <c r="N23" s="1808"/>
      <c r="O23" s="1808"/>
    </row>
  </sheetData>
  <sheetProtection algorithmName="SHA-512" hashValue="e8IU+48KZkgBWsgRNJ9HLuZQd3IN7DXCAi8a6ToJFgioJFjdtdCgWghd1pZMlTC1sbBfMdrhG/u6AHXr09V/sQ==" saltValue="c70iVtPRWEuzRCO897wkMA==" spinCount="100000" sheet="1" objects="1" scenarios="1" formatCells="0" formatColumns="0" formatRows="0" selectLockedCells="1"/>
  <mergeCells count="7">
    <mergeCell ref="C3:I3"/>
    <mergeCell ref="C19:N19"/>
    <mergeCell ref="C17:F17"/>
    <mergeCell ref="C21:O21"/>
    <mergeCell ref="C5:F5"/>
    <mergeCell ref="C9:F9"/>
    <mergeCell ref="C13:F13"/>
  </mergeCells>
  <dataValidations count="3">
    <dataValidation showInputMessage="1" showErrorMessage="1" error="_x000a_" sqref="H11 H13" xr:uid="{6587F195-9579-3C42-B760-AB05C6E4231B}"/>
    <dataValidation showInputMessage="1" sqref="H12" xr:uid="{81B34DA1-DBCC-5A43-BB68-33643CFF6D22}"/>
    <dataValidation type="whole" allowBlank="1" showInputMessage="1" showErrorMessage="1" error="Invalid value. Must be between 100% to 300%._x000a_" sqref="H14" xr:uid="{A149BF0A-30E1-BF44-AFAE-8D66783F04BF}">
      <formula1>100</formula1>
      <formula2>300</formula2>
    </dataValidation>
  </dataValidations>
  <pageMargins left="0.7" right="0.7" top="0.75" bottom="0.75" header="0.3" footer="0.3"/>
  <pageSetup orientation="landscape" horizontalDpi="0" verticalDpi="0"/>
  <drawing r:id="rId1"/>
  <extLst>
    <ext xmlns:x14="http://schemas.microsoft.com/office/spreadsheetml/2009/9/main" uri="{CCE6A557-97BC-4b89-ADB6-D9C93CAAB3DF}">
      <x14:dataValidations xmlns:xm="http://schemas.microsoft.com/office/excel/2006/main" count="2">
        <x14:dataValidation type="list" showInputMessage="1" showErrorMessage="1" error="Invalid value.  Select from the drop-down list." xr:uid="{FB882A8B-6F7A-6B4F-BA05-DC79D77B1C55}">
          <x14:formula1>
            <xm:f>Config!$X$5:$X$6</xm:f>
          </x14:formula1>
          <xm:sqref>H6</xm:sqref>
        </x14:dataValidation>
        <x14:dataValidation type="list" showInputMessage="1" showErrorMessage="1" error="Invalid value.  Select value from drop-down list." xr:uid="{FC515113-4B52-6F4B-A946-099EC33273AA}">
          <x14:formula1>
            <xm:f>Config!$G$5:$G$6</xm:f>
          </x14:formula1>
          <xm:sqref>H10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tabColor rgb="FF00AE56"/>
  </sheetPr>
  <dimension ref="A1:X52"/>
  <sheetViews>
    <sheetView showRowColHeaders="0" tabSelected="1" zoomScale="125" zoomScaleNormal="125" workbookViewId="0">
      <selection activeCell="G6" sqref="G6"/>
    </sheetView>
  </sheetViews>
  <sheetFormatPr baseColWidth="10" defaultRowHeight="16"/>
  <cols>
    <col min="1" max="2" width="1.7109375" style="552" customWidth="1"/>
    <col min="3" max="3" width="5.7109375" style="552" customWidth="1"/>
    <col min="4" max="4" width="4.140625" style="552" customWidth="1"/>
    <col min="5" max="5" width="1.5703125" style="552" customWidth="1"/>
    <col min="6" max="6" width="3.85546875" style="552" customWidth="1"/>
    <col min="7" max="22" width="9.28515625" style="552" customWidth="1"/>
    <col min="23" max="23" width="10.7109375" style="552" customWidth="1"/>
    <col min="24" max="27" width="9.28515625" style="552" customWidth="1"/>
    <col min="28" max="56" width="10.7109375" style="552" customWidth="1"/>
    <col min="57" max="16384" width="10.7109375" style="552"/>
  </cols>
  <sheetData>
    <row r="1" spans="1:24" ht="10" customHeight="1">
      <c r="A1" s="709"/>
      <c r="B1" s="709"/>
      <c r="C1" s="709"/>
      <c r="D1" s="709"/>
      <c r="E1" s="709"/>
      <c r="F1" s="709"/>
      <c r="G1" s="709"/>
      <c r="H1" s="709"/>
      <c r="I1" s="709"/>
      <c r="J1" s="709"/>
      <c r="K1" s="709"/>
      <c r="L1" s="709"/>
      <c r="M1" s="709"/>
      <c r="N1" s="709"/>
      <c r="O1" s="709"/>
      <c r="P1" s="709"/>
      <c r="Q1" s="709"/>
      <c r="R1" s="709"/>
      <c r="S1" s="709"/>
      <c r="T1" s="709"/>
      <c r="U1" s="709"/>
      <c r="V1" s="709"/>
      <c r="W1" s="709"/>
      <c r="X1" s="783"/>
    </row>
    <row r="2" spans="1:24" ht="31" customHeight="1">
      <c r="C2" s="723" t="s">
        <v>427</v>
      </c>
      <c r="D2" s="723"/>
      <c r="E2" s="723"/>
      <c r="F2" s="723"/>
      <c r="G2" s="723"/>
      <c r="H2" s="723"/>
      <c r="I2" s="2125"/>
      <c r="J2" s="2125"/>
      <c r="K2" s="2125"/>
      <c r="L2" s="2121" t="str">
        <f>IF(S2&gt;"","Financial information has changed, the chart or report should be generated again.","")</f>
        <v/>
      </c>
      <c r="M2" s="2121"/>
      <c r="N2" s="2121"/>
      <c r="O2" s="2121"/>
      <c r="P2" s="2121"/>
      <c r="Q2" s="2121"/>
      <c r="S2" s="451"/>
      <c r="T2" s="1926" t="s">
        <v>2152</v>
      </c>
      <c r="U2" s="1924" t="s">
        <v>2151</v>
      </c>
      <c r="V2" s="1925"/>
    </row>
    <row r="3" spans="1:24" ht="20" customHeight="1">
      <c r="A3" s="715"/>
      <c r="B3" s="715"/>
      <c r="C3" s="1936" t="s">
        <v>2582</v>
      </c>
      <c r="D3" s="708"/>
      <c r="E3" s="708"/>
      <c r="F3" s="708"/>
      <c r="G3" s="708"/>
      <c r="H3" s="708"/>
      <c r="I3" s="705"/>
      <c r="Q3" s="1636" t="str">
        <f>IF(Config!Q12="SHOW", "Press calculator to update financials","" )</f>
        <v/>
      </c>
      <c r="R3" s="1635"/>
      <c r="S3" s="1635"/>
      <c r="T3" s="724"/>
    </row>
    <row r="4" spans="1:24" ht="32" customHeight="1">
      <c r="C4" s="1937" t="str">
        <f>Config!E24</f>
        <v>Version 1.1.3</v>
      </c>
      <c r="E4" s="1700"/>
      <c r="F4" s="1700"/>
      <c r="G4" s="1700"/>
      <c r="H4" s="2126" t="s">
        <v>2618</v>
      </c>
      <c r="I4" s="2127"/>
      <c r="J4" s="2127"/>
      <c r="L4" s="2122"/>
      <c r="M4" s="2122"/>
      <c r="N4" s="2122"/>
      <c r="Q4" s="542" t="str">
        <f ca="1">IF(Retire!D12&lt;YEAR(TODAY()),"ERROR: Retirement YEAR is in the past, must be current year or in the future.","")</f>
        <v/>
      </c>
      <c r="R4" s="542"/>
    </row>
    <row r="5" spans="1:24" ht="25" customHeight="1">
      <c r="A5" s="708"/>
      <c r="D5" s="2124"/>
      <c r="E5" s="2124"/>
      <c r="F5" s="2124"/>
      <c r="G5" s="2124"/>
      <c r="I5" s="2123" t="s">
        <v>460</v>
      </c>
      <c r="J5" s="2123"/>
      <c r="K5" s="717">
        <f>Retire!D15</f>
        <v>0.04</v>
      </c>
      <c r="L5" s="710"/>
      <c r="M5" s="2123" t="s">
        <v>464</v>
      </c>
      <c r="N5" s="2123"/>
      <c r="O5" s="716">
        <f>Retire!D18</f>
        <v>0.03</v>
      </c>
      <c r="Q5" s="2123" t="s">
        <v>1362</v>
      </c>
      <c r="R5" s="2123"/>
      <c r="S5" s="718">
        <f>Retire!D12</f>
        <v>2034</v>
      </c>
    </row>
    <row r="6" spans="1:24" ht="15" customHeight="1">
      <c r="F6" s="705"/>
      <c r="G6" s="711"/>
      <c r="H6" s="460"/>
      <c r="I6" s="705"/>
      <c r="J6" s="705"/>
      <c r="K6" s="711"/>
      <c r="L6" s="460"/>
    </row>
    <row r="7" spans="1:24" ht="15" customHeight="1">
      <c r="G7" s="1342"/>
      <c r="H7" s="1343"/>
      <c r="I7" s="1343"/>
      <c r="J7" s="1343"/>
      <c r="K7" s="1343"/>
      <c r="L7" s="1343"/>
      <c r="M7" s="1343"/>
      <c r="N7" s="1343"/>
      <c r="O7" s="1343"/>
      <c r="P7" s="1343"/>
      <c r="Q7" s="1343"/>
      <c r="R7" s="1343"/>
      <c r="S7" s="1343"/>
      <c r="T7" s="1343"/>
      <c r="U7" s="1343"/>
      <c r="V7" s="1343"/>
    </row>
    <row r="8" spans="1:24" ht="15" customHeight="1">
      <c r="G8" s="1342"/>
      <c r="H8" s="1343"/>
      <c r="I8" s="1343"/>
      <c r="J8" s="1343"/>
      <c r="K8" s="1343"/>
      <c r="L8" s="1343"/>
      <c r="M8" s="1343"/>
      <c r="N8" s="1343"/>
      <c r="O8" s="1343"/>
      <c r="P8" s="1343"/>
      <c r="Q8" s="1343"/>
      <c r="R8" s="1343"/>
      <c r="S8" s="1343"/>
      <c r="T8" s="1343"/>
      <c r="U8" s="1343"/>
      <c r="V8" s="1343"/>
    </row>
    <row r="9" spans="1:24" ht="15" customHeight="1">
      <c r="G9" s="1342"/>
      <c r="H9" s="1343"/>
      <c r="I9" s="1343"/>
      <c r="J9" s="1343"/>
      <c r="K9" s="1343"/>
      <c r="L9" s="1343"/>
      <c r="M9" s="1343"/>
      <c r="N9" s="1343"/>
      <c r="O9" s="1343"/>
      <c r="P9" s="1343"/>
      <c r="Q9" s="1343"/>
      <c r="R9" s="1343"/>
      <c r="S9" s="1343"/>
      <c r="T9" s="1343"/>
      <c r="U9" s="1343"/>
      <c r="V9" s="1343"/>
    </row>
    <row r="10" spans="1:24" ht="15" customHeight="1">
      <c r="G10" s="1342"/>
      <c r="H10" s="1343"/>
      <c r="I10" s="1343"/>
      <c r="J10" s="1343"/>
      <c r="K10" s="1343"/>
      <c r="L10" s="1343"/>
      <c r="M10" s="1343"/>
      <c r="N10" s="1343"/>
      <c r="O10" s="1343"/>
      <c r="P10" s="1343"/>
      <c r="Q10" s="1343"/>
      <c r="R10" s="1343"/>
      <c r="S10" s="1343"/>
      <c r="T10" s="1343"/>
      <c r="U10" s="1343"/>
      <c r="V10" s="1343"/>
    </row>
    <row r="11" spans="1:24" ht="15" customHeight="1">
      <c r="G11" s="1342"/>
      <c r="H11" s="1343"/>
      <c r="I11" s="1343"/>
      <c r="J11" s="1343"/>
      <c r="K11" s="1343"/>
      <c r="L11" s="1343"/>
      <c r="M11" s="1343"/>
      <c r="N11" s="1343"/>
      <c r="O11" s="1343"/>
      <c r="P11" s="1343"/>
      <c r="Q11" s="1343"/>
      <c r="R11" s="1343"/>
      <c r="S11" s="1343"/>
      <c r="T11" s="1343"/>
      <c r="U11" s="1343"/>
      <c r="V11" s="1343"/>
    </row>
    <row r="12" spans="1:24" ht="15" customHeight="1">
      <c r="C12" s="705"/>
      <c r="D12" s="706"/>
      <c r="G12" s="1342"/>
      <c r="H12" s="1343"/>
      <c r="I12" s="1345"/>
      <c r="J12" s="1343"/>
      <c r="K12" s="1343"/>
      <c r="L12" s="1343"/>
      <c r="M12" s="1343"/>
      <c r="N12" s="1343"/>
      <c r="O12" s="1343"/>
      <c r="P12" s="1343"/>
      <c r="Q12" s="1343"/>
      <c r="R12" s="1343"/>
      <c r="S12" s="1343"/>
      <c r="T12" s="1343"/>
      <c r="U12" s="1343"/>
      <c r="V12" s="1343"/>
    </row>
    <row r="13" spans="1:24" ht="15" customHeight="1">
      <c r="G13" s="1342"/>
      <c r="H13" s="1343"/>
      <c r="I13" s="1343"/>
      <c r="J13" s="1343"/>
      <c r="K13" s="1343"/>
      <c r="L13" s="1343"/>
      <c r="M13" s="1343"/>
      <c r="N13" s="1343"/>
      <c r="O13" s="1343"/>
      <c r="P13" s="1343"/>
      <c r="Q13" s="1343"/>
      <c r="R13" s="1343"/>
      <c r="S13" s="1343"/>
      <c r="T13" s="1343"/>
      <c r="U13" s="1343"/>
      <c r="V13" s="1343"/>
    </row>
    <row r="14" spans="1:24" ht="15" customHeight="1">
      <c r="G14" s="1342"/>
      <c r="H14" s="1343"/>
      <c r="I14" s="1343"/>
      <c r="J14" s="1343"/>
      <c r="K14" s="1343"/>
      <c r="L14" s="1343"/>
      <c r="M14" s="1343"/>
      <c r="N14" s="1343"/>
      <c r="O14" s="1343"/>
      <c r="P14" s="1343"/>
      <c r="Q14" s="1343"/>
      <c r="R14" s="1343"/>
      <c r="S14" s="1343"/>
      <c r="T14" s="1343"/>
      <c r="U14" s="1343"/>
      <c r="V14" s="1343"/>
    </row>
    <row r="15" spans="1:24" ht="15" customHeight="1">
      <c r="D15" s="706"/>
      <c r="E15" s="701"/>
      <c r="G15" s="1342"/>
      <c r="H15" s="1343"/>
      <c r="I15" s="1343"/>
      <c r="J15" s="1343"/>
      <c r="K15" s="1343"/>
      <c r="L15" s="1343"/>
      <c r="M15" s="1343"/>
      <c r="N15" s="1343"/>
      <c r="O15" s="1343"/>
      <c r="P15" s="1343"/>
      <c r="Q15" s="1343"/>
      <c r="R15" s="1343"/>
      <c r="S15" s="1343"/>
      <c r="T15" s="1343"/>
      <c r="U15" s="1343"/>
      <c r="V15" s="1343"/>
    </row>
    <row r="16" spans="1:24" ht="15" customHeight="1">
      <c r="D16" s="706"/>
      <c r="E16" s="707"/>
      <c r="G16" s="1342"/>
      <c r="H16" s="1343"/>
      <c r="I16" s="1343"/>
      <c r="J16" s="1343"/>
      <c r="K16" s="1343"/>
      <c r="L16" s="1344"/>
      <c r="M16" s="1343"/>
      <c r="N16" s="1343"/>
      <c r="O16" s="1343"/>
      <c r="P16" s="1343"/>
      <c r="Q16" s="1343"/>
      <c r="R16" s="1343"/>
      <c r="S16" s="1343"/>
      <c r="T16" s="1343"/>
      <c r="U16" s="1343"/>
      <c r="V16" s="1343"/>
    </row>
    <row r="17" spans="2:22" ht="15" customHeight="1">
      <c r="D17" s="706"/>
      <c r="E17" s="707"/>
      <c r="G17" s="1342"/>
      <c r="H17" s="1343"/>
      <c r="I17" s="1343"/>
      <c r="J17" s="1343"/>
      <c r="K17" s="1343"/>
      <c r="L17" s="1343"/>
      <c r="M17" s="1343"/>
      <c r="N17" s="1343"/>
      <c r="O17" s="1343"/>
      <c r="P17" s="1343"/>
      <c r="Q17" s="1343"/>
      <c r="R17" s="1343"/>
      <c r="S17" s="1343"/>
      <c r="T17" s="1343"/>
      <c r="U17" s="1343"/>
      <c r="V17" s="1343"/>
    </row>
    <row r="18" spans="2:22" ht="15" customHeight="1">
      <c r="D18" s="706"/>
      <c r="E18" s="707"/>
      <c r="G18" s="1342"/>
      <c r="H18" s="1343"/>
      <c r="I18" s="1343"/>
      <c r="J18" s="1343"/>
      <c r="K18" s="1343"/>
      <c r="L18" s="1343"/>
      <c r="M18" s="1343"/>
      <c r="N18" s="1343"/>
      <c r="O18" s="1343"/>
      <c r="P18" s="1343"/>
      <c r="Q18" s="1343"/>
      <c r="R18" s="1343"/>
      <c r="S18" s="1343"/>
      <c r="T18" s="1343"/>
      <c r="U18" s="1343"/>
      <c r="V18" s="1343"/>
    </row>
    <row r="19" spans="2:22" ht="15" customHeight="1">
      <c r="D19" s="706"/>
      <c r="G19" s="1342"/>
      <c r="H19" s="1343"/>
      <c r="I19" s="1343"/>
      <c r="J19" s="1343"/>
      <c r="K19" s="1343"/>
      <c r="L19" s="1343"/>
      <c r="M19" s="1343"/>
      <c r="N19" s="1343"/>
      <c r="O19" s="1343"/>
      <c r="P19" s="1343"/>
      <c r="Q19" s="1343"/>
      <c r="R19" s="1343"/>
      <c r="S19" s="1343"/>
      <c r="T19" s="1343"/>
      <c r="U19" s="1343"/>
      <c r="V19" s="1343"/>
    </row>
    <row r="20" spans="2:22" ht="15" customHeight="1">
      <c r="D20" s="706"/>
      <c r="G20" s="1342"/>
      <c r="H20" s="1343"/>
      <c r="I20" s="1343"/>
      <c r="J20" s="1343"/>
      <c r="K20" s="1343"/>
      <c r="L20" s="1343"/>
      <c r="M20" s="1343"/>
      <c r="N20" s="1343"/>
      <c r="O20" s="1343"/>
      <c r="P20" s="1343"/>
      <c r="Q20" s="1343"/>
      <c r="R20" s="1343"/>
      <c r="S20" s="1343"/>
      <c r="T20" s="1343"/>
      <c r="U20" s="1343"/>
      <c r="V20" s="1343"/>
    </row>
    <row r="21" spans="2:22" ht="15" customHeight="1">
      <c r="B21" s="2132" t="s">
        <v>2578</v>
      </c>
      <c r="C21" s="2132"/>
      <c r="D21" s="2132"/>
      <c r="E21" s="2132"/>
      <c r="G21" s="1342"/>
      <c r="H21" s="1343"/>
      <c r="I21" s="1343"/>
      <c r="J21" s="1343"/>
      <c r="K21" s="1343"/>
      <c r="L21" s="1343"/>
      <c r="M21" s="1343"/>
      <c r="N21" s="1343"/>
      <c r="O21" s="1343"/>
      <c r="P21" s="1343"/>
      <c r="Q21" s="1343"/>
      <c r="R21" s="1343"/>
      <c r="S21" s="1343"/>
      <c r="T21" s="1343"/>
      <c r="U21" s="1343"/>
      <c r="V21" s="1343"/>
    </row>
    <row r="22" spans="2:22" ht="15" customHeight="1">
      <c r="B22" s="2132"/>
      <c r="C22" s="2132"/>
      <c r="D22" s="2132"/>
      <c r="E22" s="2132"/>
      <c r="G22" s="1342"/>
      <c r="H22" s="1343"/>
      <c r="I22" s="1343"/>
      <c r="J22" s="1343"/>
      <c r="K22" s="1343"/>
      <c r="L22" s="1343"/>
      <c r="M22" s="1343"/>
      <c r="N22" s="1343"/>
      <c r="O22" s="1343"/>
      <c r="P22" s="1343"/>
      <c r="Q22" s="1343"/>
      <c r="R22" s="1343"/>
      <c r="S22" s="1343"/>
      <c r="T22" s="1343"/>
      <c r="U22" s="1343"/>
      <c r="V22" s="1343"/>
    </row>
    <row r="23" spans="2:22" ht="15" customHeight="1">
      <c r="B23" s="2132"/>
      <c r="C23" s="2132"/>
      <c r="D23" s="2132"/>
      <c r="E23" s="2132"/>
      <c r="G23" s="1342"/>
      <c r="H23" s="1343"/>
      <c r="I23" s="1343"/>
      <c r="J23" s="1343"/>
      <c r="K23" s="1343"/>
      <c r="L23" s="1343"/>
      <c r="M23" s="1343"/>
      <c r="N23" s="1343"/>
      <c r="O23" s="1343"/>
      <c r="P23" s="1343"/>
      <c r="Q23" s="1343"/>
      <c r="R23" s="1343"/>
      <c r="S23" s="1343"/>
      <c r="T23" s="1343"/>
      <c r="U23" s="1343"/>
      <c r="V23" s="1343"/>
    </row>
    <row r="24" spans="2:22" ht="15" customHeight="1">
      <c r="B24" s="2012"/>
      <c r="C24" s="2012"/>
      <c r="D24" s="2012"/>
      <c r="E24" s="2012"/>
      <c r="G24" s="1342"/>
      <c r="H24" s="1343"/>
      <c r="I24" s="1343"/>
      <c r="J24" s="1343"/>
      <c r="K24" s="1343"/>
      <c r="L24" s="1343"/>
      <c r="M24" s="1343"/>
      <c r="N24" s="1343"/>
      <c r="O24" s="1343"/>
      <c r="P24" s="1343"/>
      <c r="Q24" s="1343"/>
      <c r="R24" s="1343"/>
      <c r="S24" s="1343"/>
      <c r="T24" s="1343"/>
      <c r="U24" s="1343"/>
      <c r="V24" s="1343"/>
    </row>
    <row r="25" spans="2:22" ht="15" customHeight="1">
      <c r="B25" s="2012"/>
      <c r="C25" s="2012"/>
      <c r="D25" s="2012"/>
      <c r="E25" s="2012"/>
      <c r="G25" s="1342"/>
      <c r="H25" s="1343"/>
      <c r="I25" s="1343"/>
      <c r="J25" s="1343"/>
      <c r="K25" s="1343"/>
      <c r="L25" s="1343"/>
      <c r="M25" s="1343"/>
      <c r="N25" s="1343"/>
      <c r="O25" s="1343"/>
      <c r="P25" s="1343"/>
      <c r="Q25" s="1343"/>
      <c r="R25" s="1343"/>
      <c r="S25" s="1343"/>
      <c r="T25" s="1343"/>
      <c r="U25" s="1343"/>
      <c r="V25" s="1343"/>
    </row>
    <row r="26" spans="2:22" ht="15" customHeight="1">
      <c r="B26" s="2012"/>
      <c r="C26" s="2012"/>
      <c r="D26" s="2012"/>
      <c r="E26" s="2012"/>
      <c r="G26" s="1342"/>
      <c r="H26" s="1343"/>
      <c r="I26" s="1343"/>
      <c r="J26" s="1343"/>
      <c r="K26" s="1343"/>
      <c r="L26" s="1343"/>
      <c r="M26" s="1343"/>
      <c r="N26" s="1343"/>
      <c r="O26" s="1343"/>
      <c r="P26" s="1343"/>
      <c r="Q26" s="1343"/>
      <c r="R26" s="1343"/>
      <c r="S26" s="1343"/>
      <c r="T26" s="1343"/>
      <c r="U26" s="1343"/>
      <c r="V26" s="1343"/>
    </row>
    <row r="27" spans="2:22" ht="15" customHeight="1">
      <c r="B27" s="2013"/>
      <c r="C27" s="2013"/>
      <c r="D27" s="2013"/>
      <c r="E27" s="2013"/>
      <c r="G27" s="1342"/>
      <c r="H27" s="1343"/>
      <c r="I27" s="1343"/>
      <c r="J27" s="1343"/>
      <c r="K27" s="1343"/>
      <c r="L27" s="1343"/>
      <c r="M27" s="1343"/>
      <c r="N27" s="1343"/>
      <c r="O27" s="1343"/>
      <c r="P27" s="1343"/>
      <c r="Q27" s="1343"/>
      <c r="R27" s="1343"/>
      <c r="S27" s="1343"/>
      <c r="T27" s="1343"/>
      <c r="U27" s="1343"/>
      <c r="V27" s="1343"/>
    </row>
    <row r="28" spans="2:22" ht="15" customHeight="1">
      <c r="B28" s="2013"/>
      <c r="C28" s="2013"/>
      <c r="D28" s="2013"/>
      <c r="E28" s="2013"/>
      <c r="G28" s="1342"/>
      <c r="H28" s="1343"/>
      <c r="I28" s="1343"/>
      <c r="J28" s="1343"/>
      <c r="K28" s="1343"/>
      <c r="L28" s="1343"/>
      <c r="M28" s="1343"/>
      <c r="N28" s="1343"/>
      <c r="O28" s="1343"/>
      <c r="P28" s="1343"/>
      <c r="Q28" s="1343"/>
      <c r="R28" s="1343"/>
      <c r="S28" s="1343"/>
      <c r="T28" s="1343"/>
      <c r="U28" s="1343"/>
      <c r="V28" s="1343"/>
    </row>
    <row r="29" spans="2:22" ht="15" customHeight="1">
      <c r="B29" s="2013"/>
      <c r="C29" s="2013"/>
      <c r="D29" s="2013"/>
      <c r="E29" s="2013"/>
      <c r="G29" s="1342"/>
      <c r="H29" s="1343"/>
      <c r="I29" s="1343"/>
      <c r="J29" s="1343"/>
      <c r="K29" s="1343"/>
      <c r="L29" s="1343"/>
      <c r="M29" s="1343"/>
      <c r="N29" s="1343"/>
      <c r="O29" s="1343"/>
      <c r="P29" s="1343"/>
      <c r="Q29" s="1343"/>
      <c r="R29" s="1343"/>
      <c r="S29" s="1343"/>
      <c r="T29" s="1343"/>
      <c r="U29" s="1343"/>
      <c r="V29" s="1343"/>
    </row>
    <row r="30" spans="2:22" ht="15" customHeight="1">
      <c r="B30" s="2013"/>
      <c r="C30" s="2013"/>
      <c r="D30" s="2013"/>
      <c r="E30" s="2013"/>
      <c r="G30" s="1342"/>
      <c r="H30" s="1343"/>
      <c r="I30" s="1343"/>
      <c r="J30" s="1343"/>
      <c r="K30" s="1343"/>
      <c r="L30" s="1343"/>
      <c r="M30" s="1343"/>
      <c r="N30" s="1343"/>
      <c r="O30" s="1343"/>
      <c r="P30" s="1343"/>
      <c r="Q30" s="1343"/>
      <c r="R30" s="1343"/>
      <c r="S30" s="1343"/>
      <c r="T30" s="1343"/>
      <c r="U30" s="1343"/>
      <c r="V30" s="1343"/>
    </row>
    <row r="31" spans="2:22" ht="15" customHeight="1">
      <c r="B31" s="2013"/>
      <c r="C31" s="2013"/>
      <c r="D31" s="2013"/>
      <c r="E31" s="2013"/>
      <c r="G31" s="1342"/>
      <c r="H31" s="1343"/>
      <c r="I31" s="1343"/>
      <c r="J31" s="1343"/>
      <c r="K31" s="1343"/>
      <c r="L31" s="1343"/>
      <c r="M31" s="1343"/>
      <c r="N31" s="1343"/>
      <c r="O31" s="1343"/>
      <c r="P31" s="1343"/>
      <c r="Q31" s="1343"/>
      <c r="R31" s="1343"/>
      <c r="S31" s="1343"/>
      <c r="T31" s="1343"/>
      <c r="U31" s="1343"/>
      <c r="V31" s="1343"/>
    </row>
    <row r="32" spans="2:22" ht="15" customHeight="1">
      <c r="B32" s="2013"/>
      <c r="C32" s="2013"/>
      <c r="D32" s="2013"/>
      <c r="E32" s="2013"/>
      <c r="G32" s="1342"/>
      <c r="H32" s="1343"/>
      <c r="I32" s="1343"/>
      <c r="J32" s="1343"/>
      <c r="K32" s="1343"/>
      <c r="L32" s="1343"/>
      <c r="M32" s="1343"/>
      <c r="N32" s="1343"/>
      <c r="O32" s="1343"/>
      <c r="P32" s="1343"/>
      <c r="Q32" s="1343"/>
      <c r="R32" s="1343"/>
      <c r="S32" s="1343"/>
      <c r="T32" s="1343"/>
      <c r="U32" s="1343"/>
      <c r="V32" s="1343"/>
    </row>
    <row r="33" spans="2:22" ht="15" customHeight="1">
      <c r="B33" s="2013"/>
      <c r="C33" s="2013"/>
      <c r="D33" s="2013"/>
      <c r="E33" s="2013"/>
      <c r="G33" s="1342"/>
      <c r="H33" s="1343"/>
      <c r="I33" s="1343"/>
      <c r="J33" s="1343"/>
      <c r="K33" s="1343"/>
      <c r="L33" s="1343"/>
      <c r="M33" s="1343"/>
      <c r="N33" s="1343"/>
      <c r="O33" s="1343"/>
      <c r="P33" s="1343"/>
      <c r="Q33" s="1343"/>
      <c r="R33" s="1343"/>
      <c r="S33" s="1343"/>
      <c r="T33" s="1343"/>
      <c r="U33" s="1343"/>
      <c r="V33" s="1343"/>
    </row>
    <row r="34" spans="2:22" ht="15" customHeight="1" thickBot="1">
      <c r="B34" s="2022"/>
      <c r="C34" s="2022"/>
      <c r="D34" s="2022"/>
      <c r="E34" s="2022"/>
      <c r="F34" s="1715"/>
      <c r="I34" s="712"/>
    </row>
    <row r="35" spans="2:22" ht="15" customHeight="1" thickTop="1">
      <c r="B35" s="2022"/>
      <c r="C35" s="2022"/>
      <c r="D35" s="2022"/>
      <c r="E35" s="2022"/>
      <c r="F35" s="1715"/>
      <c r="G35" s="2151" t="s">
        <v>2619</v>
      </c>
      <c r="H35" s="2128"/>
      <c r="J35" s="2133"/>
      <c r="L35" s="2136"/>
      <c r="N35" s="2139"/>
      <c r="P35" s="2142"/>
      <c r="R35" s="2145"/>
      <c r="T35" s="2148"/>
    </row>
    <row r="36" spans="2:22" ht="15" customHeight="1">
      <c r="B36" s="2022"/>
      <c r="C36" s="2022"/>
      <c r="D36" s="2022"/>
      <c r="E36" s="2022"/>
      <c r="F36" s="1715"/>
      <c r="G36" s="2151"/>
      <c r="H36" s="2129"/>
      <c r="J36" s="2134"/>
      <c r="L36" s="2137"/>
      <c r="N36" s="2140"/>
      <c r="P36" s="2143"/>
      <c r="R36" s="2146"/>
      <c r="T36" s="2149"/>
    </row>
    <row r="37" spans="2:22" ht="15" customHeight="1">
      <c r="B37" s="2022"/>
      <c r="C37" s="2022"/>
      <c r="D37" s="2022"/>
      <c r="E37" s="2022"/>
      <c r="F37" s="1715"/>
      <c r="G37" s="2151"/>
      <c r="H37" s="2129"/>
      <c r="J37" s="2134"/>
      <c r="L37" s="2137"/>
      <c r="N37" s="2140"/>
      <c r="P37" s="2143"/>
      <c r="R37" s="2146"/>
      <c r="T37" s="2149"/>
    </row>
    <row r="38" spans="2:22" ht="15" customHeight="1" thickBot="1">
      <c r="B38" s="2022"/>
      <c r="C38" s="2022"/>
      <c r="D38" s="2022"/>
      <c r="E38" s="2022"/>
      <c r="F38" s="1715"/>
      <c r="G38" s="2151"/>
      <c r="H38" s="2130"/>
      <c r="J38" s="2135"/>
      <c r="L38" s="2138"/>
      <c r="N38" s="2141"/>
      <c r="P38" s="2144"/>
      <c r="R38" s="2147"/>
      <c r="T38" s="2150"/>
    </row>
    <row r="39" spans="2:22" ht="11" customHeight="1" thickTop="1">
      <c r="B39" s="2014"/>
      <c r="C39" s="2014"/>
      <c r="D39" s="2014"/>
      <c r="E39" s="2014"/>
      <c r="F39" s="1728"/>
      <c r="J39" s="771"/>
      <c r="L39" s="772"/>
      <c r="N39" s="773"/>
      <c r="P39" s="774"/>
      <c r="R39" s="775"/>
      <c r="T39" s="776"/>
    </row>
    <row r="40" spans="2:22" ht="15" customHeight="1">
      <c r="B40" s="2013"/>
      <c r="C40" s="2015"/>
      <c r="D40" s="2015"/>
      <c r="E40" s="2015"/>
      <c r="F40" s="708"/>
      <c r="H40" s="1960" t="s">
        <v>2151</v>
      </c>
      <c r="I40" s="1805"/>
      <c r="J40" s="1806" t="s">
        <v>2570</v>
      </c>
      <c r="K40" s="1805"/>
      <c r="L40" s="1806" t="s">
        <v>76</v>
      </c>
      <c r="M40" s="1805"/>
      <c r="N40" s="1806" t="s">
        <v>70</v>
      </c>
      <c r="O40" s="1805"/>
      <c r="P40" s="1960" t="s">
        <v>2572</v>
      </c>
      <c r="Q40" s="1805"/>
      <c r="R40" s="1806" t="s">
        <v>2574</v>
      </c>
      <c r="S40" s="1805"/>
      <c r="T40" s="1806" t="s">
        <v>2573</v>
      </c>
    </row>
    <row r="41" spans="2:22" s="1922" customFormat="1" ht="24" customHeight="1">
      <c r="B41" s="2016"/>
      <c r="C41" s="2016"/>
      <c r="D41" s="2017"/>
      <c r="E41" s="2017"/>
      <c r="F41" s="2018"/>
      <c r="G41" s="2023" t="s">
        <v>2575</v>
      </c>
      <c r="H41" s="2019" t="s">
        <v>2522</v>
      </c>
      <c r="I41" s="2017"/>
      <c r="J41" s="2019" t="s">
        <v>2620</v>
      </c>
      <c r="K41" s="2017"/>
      <c r="L41" s="2019" t="str">
        <f>H41</f>
        <v>Current year</v>
      </c>
      <c r="M41" s="2017"/>
      <c r="N41" s="2019" t="str">
        <f>H41</f>
        <v>Current year</v>
      </c>
      <c r="O41" s="2017"/>
      <c r="P41" s="2019" t="str">
        <f>J41</f>
        <v>Retirement start year</v>
      </c>
      <c r="Q41" s="2017"/>
      <c r="R41" s="2019" t="str">
        <f>H41</f>
        <v>Current year</v>
      </c>
      <c r="S41" s="2017"/>
      <c r="T41" s="2131" t="s">
        <v>51</v>
      </c>
      <c r="U41" s="2017"/>
      <c r="V41" s="1927"/>
    </row>
    <row r="42" spans="2:22" s="1922" customFormat="1" ht="16" customHeight="1">
      <c r="B42" s="2016"/>
      <c r="C42" s="2016"/>
      <c r="D42" s="2017"/>
      <c r="E42" s="2017"/>
      <c r="F42" s="2018"/>
      <c r="G42" s="2023" t="s">
        <v>2576</v>
      </c>
      <c r="H42" s="2021" t="s">
        <v>2569</v>
      </c>
      <c r="I42" s="2020"/>
      <c r="J42" s="2021" t="s">
        <v>2571</v>
      </c>
      <c r="K42" s="2020"/>
      <c r="L42" s="2021" t="s">
        <v>2571</v>
      </c>
      <c r="M42" s="2020"/>
      <c r="N42" s="2021" t="s">
        <v>2571</v>
      </c>
      <c r="O42" s="2020"/>
      <c r="P42" s="2021" t="s">
        <v>2571</v>
      </c>
      <c r="Q42" s="2020"/>
      <c r="R42" s="2021" t="s">
        <v>2571</v>
      </c>
      <c r="S42" s="2020"/>
      <c r="T42" s="2131"/>
      <c r="U42" s="2020"/>
      <c r="V42" s="1928"/>
    </row>
    <row r="43" spans="2:22" s="1923" customFormat="1" ht="15" customHeight="1"/>
    <row r="44" spans="2:22" ht="15" customHeight="1"/>
    <row r="45" spans="2:22" ht="15" customHeight="1"/>
    <row r="46" spans="2:22" ht="15" customHeight="1"/>
    <row r="47" spans="2:22" s="714" customFormat="1" ht="15" customHeight="1">
      <c r="Q47" s="708"/>
      <c r="R47" s="552"/>
      <c r="S47" s="552"/>
    </row>
    <row r="48" spans="2:22">
      <c r="Q48" s="708"/>
    </row>
    <row r="49" spans="17:17">
      <c r="Q49" s="708"/>
    </row>
    <row r="50" spans="17:17">
      <c r="Q50" s="708"/>
    </row>
    <row r="51" spans="17:17">
      <c r="Q51" s="708"/>
    </row>
    <row r="52" spans="17:17">
      <c r="Q52" s="713"/>
    </row>
  </sheetData>
  <sheetProtection algorithmName="SHA-512" hashValue="k3yn77JgQYbHVvtnuiwnIPtVqCJidlV13iMz+uuGrdtu7DTRxKERQW6YXJiyJfyZ28UhnEb/od+/PRVZdHV/Dg==" saltValue="sDJefVpJbr+YoN6WKskK8g==" spinCount="100000" sheet="1" objects="1" scenarios="1" formatCells="0" formatColumns="0" formatRows="0" selectLockedCells="1"/>
  <mergeCells count="18">
    <mergeCell ref="H35:H38"/>
    <mergeCell ref="I5:J5"/>
    <mergeCell ref="M5:N5"/>
    <mergeCell ref="T41:T42"/>
    <mergeCell ref="B21:E23"/>
    <mergeCell ref="J35:J38"/>
    <mergeCell ref="L35:L38"/>
    <mergeCell ref="N35:N38"/>
    <mergeCell ref="P35:P38"/>
    <mergeCell ref="R35:R38"/>
    <mergeCell ref="T35:T38"/>
    <mergeCell ref="G35:G38"/>
    <mergeCell ref="L2:Q2"/>
    <mergeCell ref="L4:N4"/>
    <mergeCell ref="Q5:R5"/>
    <mergeCell ref="D5:G5"/>
    <mergeCell ref="I2:K2"/>
    <mergeCell ref="H4:J4"/>
  </mergeCells>
  <conditionalFormatting sqref="H8:H33">
    <cfRule type="expression" dxfId="2612" priority="13">
      <formula>H8="WARN"</formula>
    </cfRule>
    <cfRule type="expression" dxfId="2611" priority="14">
      <formula>H8="INFO"</formula>
    </cfRule>
    <cfRule type="expression" dxfId="2610" priority="15">
      <formula>H8="ERROR"</formula>
    </cfRule>
  </conditionalFormatting>
  <conditionalFormatting sqref="Q4:V4">
    <cfRule type="expression" dxfId="2609" priority="12">
      <formula>$Q$4&gt;""</formula>
    </cfRule>
  </conditionalFormatting>
  <conditionalFormatting sqref="I8:V33">
    <cfRule type="expression" dxfId="2608" priority="9">
      <formula>$I$8&lt;&gt;""</formula>
    </cfRule>
  </conditionalFormatting>
  <conditionalFormatting sqref="Q3:S3">
    <cfRule type="expression" dxfId="2607" priority="7">
      <formula>$Q$3 &lt;&gt; ""</formula>
    </cfRule>
  </conditionalFormatting>
  <conditionalFormatting sqref="L2:Q2">
    <cfRule type="expression" dxfId="2606" priority="6">
      <formula>L2&gt;""</formula>
    </cfRule>
  </conditionalFormatting>
  <conditionalFormatting sqref="G7:G33">
    <cfRule type="expression" dxfId="2605" priority="3">
      <formula>G7="WARN"</formula>
    </cfRule>
    <cfRule type="expression" dxfId="2604" priority="4">
      <formula>G7="ERROR"</formula>
    </cfRule>
    <cfRule type="expression" dxfId="2603" priority="5">
      <formula>G7="INFO"</formula>
    </cfRule>
  </conditionalFormatting>
  <conditionalFormatting sqref="I2:R2">
    <cfRule type="expression" dxfId="2602" priority="2">
      <formula>$I$2&gt;""</formula>
    </cfRule>
  </conditionalFormatting>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tabColor rgb="FFEDBB99"/>
  </sheetPr>
  <dimension ref="A1:O36"/>
  <sheetViews>
    <sheetView showRowColHeaders="0" zoomScale="125" zoomScaleNormal="125" workbookViewId="0">
      <pane ySplit="5" topLeftCell="A6" activePane="bottomLeft" state="frozen"/>
      <selection activeCell="I44" sqref="I44"/>
      <selection pane="bottomLeft" activeCell="D15" sqref="D15"/>
    </sheetView>
  </sheetViews>
  <sheetFormatPr baseColWidth="10" defaultRowHeight="16"/>
  <cols>
    <col min="1" max="1" width="5.7109375" style="426" customWidth="1"/>
    <col min="2" max="2" width="1.7109375" style="426" customWidth="1"/>
    <col min="3" max="3" width="1.140625" style="426" customWidth="1"/>
    <col min="4" max="4" width="14.5703125" style="426" customWidth="1"/>
    <col min="5" max="5" width="10.7109375" style="426" customWidth="1"/>
    <col min="6" max="6" width="8.140625" style="427" customWidth="1"/>
    <col min="7" max="7" width="15.7109375" style="426" customWidth="1"/>
    <col min="8" max="8" width="5.42578125" style="427" customWidth="1"/>
    <col min="9" max="9" width="16.42578125" style="426" customWidth="1"/>
    <col min="10" max="10" width="5.85546875" style="426" customWidth="1"/>
    <col min="11" max="16384" width="10.7109375" style="426"/>
  </cols>
  <sheetData>
    <row r="1" spans="1:13" ht="8" customHeight="1">
      <c r="A1" s="259"/>
      <c r="B1" s="259"/>
      <c r="C1" s="259"/>
      <c r="D1" s="259"/>
      <c r="E1" s="259"/>
      <c r="F1" s="259"/>
      <c r="G1" s="259"/>
      <c r="H1" s="259"/>
      <c r="I1" s="259"/>
      <c r="J1" s="259"/>
      <c r="K1" s="259"/>
      <c r="L1" s="259"/>
    </row>
    <row r="2" spans="1:13" ht="40" customHeight="1">
      <c r="A2" s="425"/>
      <c r="C2" s="435" t="s">
        <v>430</v>
      </c>
      <c r="E2" s="425"/>
      <c r="F2" s="426"/>
    </row>
    <row r="3" spans="1:13" s="427" customFormat="1" ht="40" customHeight="1">
      <c r="A3" s="779" t="s">
        <v>1310</v>
      </c>
      <c r="C3" s="2114" t="s">
        <v>1316</v>
      </c>
      <c r="D3" s="2114"/>
      <c r="E3" s="2114"/>
      <c r="F3" s="2114"/>
      <c r="G3" s="2114"/>
      <c r="H3" s="2114"/>
      <c r="I3" s="2114"/>
    </row>
    <row r="4" spans="1:13" s="427" customFormat="1" ht="10" customHeight="1">
      <c r="D4" s="426"/>
      <c r="G4" s="451"/>
      <c r="H4" s="452" t="s">
        <v>50</v>
      </c>
      <c r="I4" s="2118">
        <f ca="1">TODAY()</f>
        <v>44790</v>
      </c>
      <c r="J4" s="2118"/>
    </row>
    <row r="5" spans="1:13" s="427" customFormat="1" ht="10" customHeight="1">
      <c r="D5" s="426"/>
    </row>
    <row r="6" spans="1:13" s="427" customFormat="1" ht="18" customHeight="1">
      <c r="D6" s="426"/>
      <c r="H6" s="424"/>
      <c r="I6" s="428"/>
      <c r="J6" s="428"/>
    </row>
    <row r="7" spans="1:13" ht="22" customHeight="1">
      <c r="D7" s="2116" t="s">
        <v>200</v>
      </c>
      <c r="E7" s="2116"/>
      <c r="F7" s="2116"/>
      <c r="G7" s="2116"/>
      <c r="I7" s="443" t="s">
        <v>1318</v>
      </c>
      <c r="J7" s="442"/>
    </row>
    <row r="8" spans="1:13" ht="63" customHeight="1">
      <c r="D8" s="2165" t="s">
        <v>1314</v>
      </c>
      <c r="E8" s="2165"/>
      <c r="F8" s="2165"/>
      <c r="G8" s="2165"/>
      <c r="I8" s="2171" t="s">
        <v>1315</v>
      </c>
      <c r="J8" s="2171"/>
    </row>
    <row r="9" spans="1:13" s="425" customFormat="1" ht="18" customHeight="1">
      <c r="C9" s="421"/>
      <c r="D9" s="416" t="s">
        <v>78</v>
      </c>
      <c r="E9" s="416" t="s">
        <v>281</v>
      </c>
      <c r="F9" s="416" t="s">
        <v>65</v>
      </c>
      <c r="G9" s="416" t="s">
        <v>1317</v>
      </c>
      <c r="H9" s="421"/>
      <c r="I9" s="439" t="s">
        <v>486</v>
      </c>
      <c r="J9" s="437">
        <f ca="1">IF(G10&gt;I4, DATEDIF(I4, G10, "m"), 0)</f>
        <v>145</v>
      </c>
    </row>
    <row r="10" spans="1:13" s="425" customFormat="1" ht="18" customHeight="1">
      <c r="C10" s="429"/>
      <c r="D10" s="1578" t="s">
        <v>2295</v>
      </c>
      <c r="E10" s="2038">
        <v>24875</v>
      </c>
      <c r="F10" s="1068">
        <f ca="1">IF(E10&lt;&gt;"",YEAR(TODAY())-YEAR(E10),"")</f>
        <v>54</v>
      </c>
      <c r="G10" s="2037">
        <v>49218</v>
      </c>
      <c r="H10" s="419"/>
      <c r="I10" s="440" t="s">
        <v>487</v>
      </c>
      <c r="J10" s="438">
        <f ca="1">IF(G10&gt;I4, DATEDIF(I4, G10, "d"), 0)</f>
        <v>4428</v>
      </c>
    </row>
    <row r="11" spans="1:13" s="429" customFormat="1" ht="18" customHeight="1">
      <c r="C11" s="430"/>
      <c r="D11" s="421"/>
      <c r="E11" s="419"/>
      <c r="F11" s="419"/>
      <c r="G11" s="419"/>
      <c r="H11" s="419"/>
      <c r="I11" s="419"/>
      <c r="L11" s="436"/>
    </row>
    <row r="12" spans="1:13" s="429" customFormat="1" ht="18" customHeight="1">
      <c r="C12" s="430"/>
      <c r="D12" s="421"/>
      <c r="J12" s="421"/>
      <c r="K12" s="419"/>
    </row>
    <row r="13" spans="1:13" s="429" customFormat="1" ht="20" customHeight="1">
      <c r="C13" s="430"/>
      <c r="D13" s="2116" t="s">
        <v>201</v>
      </c>
      <c r="E13" s="2116"/>
      <c r="F13" s="2116"/>
      <c r="G13" s="2116"/>
      <c r="H13" s="419"/>
      <c r="I13" s="419"/>
    </row>
    <row r="14" spans="1:13" s="425" customFormat="1" ht="18" customHeight="1">
      <c r="C14" s="421"/>
      <c r="D14" s="416" t="s">
        <v>78</v>
      </c>
      <c r="E14" s="416" t="s">
        <v>281</v>
      </c>
      <c r="F14" s="416" t="s">
        <v>65</v>
      </c>
      <c r="G14" s="416" t="s">
        <v>1317</v>
      </c>
      <c r="H14" s="421"/>
      <c r="I14" s="440" t="s">
        <v>486</v>
      </c>
      <c r="J14" s="441">
        <f ca="1">IF(G15&gt;I4, DATEDIF(I4, G15, "m"), 0)</f>
        <v>164</v>
      </c>
      <c r="K14" s="429"/>
      <c r="L14" s="429"/>
      <c r="M14" s="429"/>
    </row>
    <row r="15" spans="1:13" s="425" customFormat="1" ht="18" customHeight="1">
      <c r="C15" s="429"/>
      <c r="D15" s="1438" t="s">
        <v>2296</v>
      </c>
      <c r="E15" s="2038">
        <v>25739</v>
      </c>
      <c r="F15" s="1068">
        <f ca="1">IF(E15&lt;&gt;"",YEAR(TODAY())-YEAR(E15),"")</f>
        <v>52</v>
      </c>
      <c r="G15" s="2037">
        <v>49796</v>
      </c>
      <c r="H15" s="419"/>
      <c r="I15" s="440" t="s">
        <v>487</v>
      </c>
      <c r="J15" s="441">
        <f ca="1">IF(G15&gt;I4, DATEDIF(I4, G15, "d"), 0)</f>
        <v>5006</v>
      </c>
      <c r="L15" s="436"/>
    </row>
    <row r="16" spans="1:13" s="425" customFormat="1" ht="18" customHeight="1">
      <c r="D16" s="429"/>
      <c r="E16" s="429"/>
      <c r="F16" s="429"/>
      <c r="G16" s="429"/>
      <c r="H16" s="429"/>
    </row>
    <row r="17" spans="1:12" s="425" customFormat="1" ht="18" customHeight="1">
      <c r="D17" s="429"/>
      <c r="E17" s="429"/>
      <c r="F17" s="429"/>
      <c r="G17" s="429"/>
      <c r="H17" s="429"/>
    </row>
    <row r="18" spans="1:12" s="425" customFormat="1" ht="18" customHeight="1">
      <c r="D18" s="2116" t="s">
        <v>1363</v>
      </c>
      <c r="E18" s="2116"/>
      <c r="F18" s="2116"/>
      <c r="G18" s="2116"/>
    </row>
    <row r="19" spans="1:12" s="425" customFormat="1" ht="47" customHeight="1">
      <c r="D19" s="2169" t="s">
        <v>1364</v>
      </c>
      <c r="E19" s="2170"/>
      <c r="F19" s="2170"/>
      <c r="G19" s="2170"/>
      <c r="I19" s="699"/>
      <c r="J19" s="699">
        <v>2022</v>
      </c>
      <c r="K19" s="699"/>
    </row>
    <row r="20" spans="1:12" s="425" customFormat="1" ht="18" customHeight="1">
      <c r="D20" s="2166" t="s">
        <v>1363</v>
      </c>
      <c r="E20" s="2167"/>
      <c r="F20" s="2168"/>
      <c r="G20" s="1278">
        <f>I20+J20</f>
        <v>2034</v>
      </c>
      <c r="I20" s="700">
        <v>2022</v>
      </c>
      <c r="J20" s="700">
        <v>12</v>
      </c>
      <c r="K20" s="699"/>
    </row>
    <row r="21" spans="1:12" s="425" customFormat="1" ht="18" customHeight="1">
      <c r="D21" s="1033"/>
      <c r="E21" s="1033"/>
      <c r="F21" s="1033"/>
      <c r="G21" s="1070"/>
      <c r="I21" s="699"/>
      <c r="J21" s="699"/>
      <c r="K21" s="699"/>
    </row>
    <row r="22" spans="1:12" ht="18" customHeight="1">
      <c r="I22" s="1069"/>
      <c r="J22" s="1069"/>
      <c r="K22" s="1069"/>
    </row>
    <row r="23" spans="1:12" ht="18" customHeight="1">
      <c r="I23" s="1069"/>
      <c r="J23" s="1069"/>
      <c r="K23" s="1069"/>
    </row>
    <row r="24" spans="1:12" ht="18" customHeight="1">
      <c r="D24" s="2155" t="s">
        <v>1319</v>
      </c>
      <c r="E24" s="2155"/>
      <c r="F24" s="2155"/>
      <c r="G24" s="2155"/>
      <c r="I24" s="1069"/>
      <c r="J24" s="1069"/>
      <c r="K24" s="1069"/>
    </row>
    <row r="25" spans="1:12" ht="74" customHeight="1">
      <c r="A25" s="1718" t="s">
        <v>2463</v>
      </c>
      <c r="D25" s="2156" t="s">
        <v>2416</v>
      </c>
      <c r="E25" s="2157"/>
      <c r="F25" s="2157"/>
      <c r="G25" s="2157"/>
      <c r="I25" s="2178"/>
      <c r="J25" s="2178"/>
    </row>
    <row r="26" spans="1:12" ht="18" customHeight="1">
      <c r="D26" s="2158" t="s">
        <v>79</v>
      </c>
      <c r="E26" s="2158"/>
      <c r="F26" s="2161" t="s">
        <v>86</v>
      </c>
      <c r="G26" s="2161"/>
      <c r="J26" s="444"/>
      <c r="K26" s="427"/>
    </row>
    <row r="27" spans="1:12" ht="18" customHeight="1">
      <c r="D27" s="2159" t="s">
        <v>75</v>
      </c>
      <c r="E27" s="2160"/>
      <c r="F27" s="2162" t="s">
        <v>163</v>
      </c>
      <c r="G27" s="2163"/>
    </row>
    <row r="28" spans="1:12" ht="18" customHeight="1">
      <c r="D28" s="2164" t="str">
        <f>D27&amp;F27</f>
        <v>SingleLouisiana</v>
      </c>
      <c r="E28" s="2164"/>
      <c r="F28" s="2164"/>
      <c r="G28" s="2164"/>
    </row>
    <row r="29" spans="1:12" ht="18" customHeight="1">
      <c r="D29" s="2154" t="s">
        <v>1321</v>
      </c>
      <c r="E29" s="2154"/>
      <c r="F29" s="2154"/>
      <c r="G29" s="2154"/>
      <c r="I29" s="2172" t="str">
        <f>IF(TaxRates!L8&lt;&gt;0,"Settings do not match current tax tables, update required","")</f>
        <v/>
      </c>
      <c r="J29" s="2173"/>
      <c r="K29" s="2173"/>
      <c r="L29" s="2173"/>
    </row>
    <row r="30" spans="1:12">
      <c r="D30" s="426" t="str">
        <f>IF(D15&gt;"",IF(D10="","Use Id-1 when only a single user",""),"")</f>
        <v/>
      </c>
      <c r="I30" s="2176" t="s">
        <v>2415</v>
      </c>
      <c r="J30" s="2177"/>
      <c r="K30" s="2177"/>
      <c r="L30" s="2177"/>
    </row>
    <row r="31" spans="1:12">
      <c r="D31" s="426" t="str">
        <f>IF(D10&gt;"",IF(E10="","Date-of-birth for Id-1 is required",""),"")</f>
        <v/>
      </c>
      <c r="F31" s="426"/>
      <c r="I31" s="1348" t="s">
        <v>2177</v>
      </c>
      <c r="J31" s="2174" t="str">
        <f>TaxRates!E8</f>
        <v>Single</v>
      </c>
      <c r="K31" s="2175"/>
      <c r="L31" s="2175"/>
    </row>
    <row r="32" spans="1:12">
      <c r="D32" s="426" t="str">
        <f>IF(NOT(ISBLANK(E10)),IF(ISBLANK(D10),"Name for Id-1 is recommended",""),"")</f>
        <v/>
      </c>
      <c r="F32" s="426"/>
      <c r="I32" s="1348" t="s">
        <v>2178</v>
      </c>
      <c r="J32" s="2174" t="str">
        <f>TaxRates!F8</f>
        <v>Louisiana</v>
      </c>
      <c r="K32" s="2175"/>
      <c r="L32" s="2175"/>
    </row>
    <row r="33" spans="4:15">
      <c r="D33" s="426" t="str">
        <f>IF(NOT(ISBLANK(E15)),IF(ISBLANK(D15),"Name for Id-2 is recommended",""),"")</f>
        <v/>
      </c>
      <c r="K33" s="427"/>
      <c r="L33" s="427"/>
      <c r="M33" s="427"/>
      <c r="N33" s="427"/>
      <c r="O33" s="427"/>
    </row>
    <row r="34" spans="4:15">
      <c r="D34" s="426" t="str">
        <f>IF(D15&gt;"",IF(E15="","Date-of-birth for Id-2 is required",""),"")</f>
        <v/>
      </c>
      <c r="K34" s="427"/>
      <c r="L34" s="431"/>
      <c r="M34" s="432"/>
      <c r="N34" s="433"/>
      <c r="O34" s="427"/>
    </row>
    <row r="35" spans="4:15">
      <c r="O35" s="434"/>
    </row>
    <row r="36" spans="4:15">
      <c r="O36" s="434"/>
    </row>
  </sheetData>
  <sheetProtection algorithmName="SHA-512" hashValue="dRZ8r370C3DpzdVRUyPy8ox7BMfJvRGLrQejP9EniJYjMRi7x9BWz9Z2++0KyStUPYl92Fsu0KcCTFj/avNp/w==" saltValue="uxmTxPK4u/4E/VB4zl27yQ==" spinCount="100000" sheet="1" objects="1" scenarios="1" formatCells="0" formatColumns="0" formatRows="0" selectLockedCells="1"/>
  <mergeCells count="22">
    <mergeCell ref="I29:L29"/>
    <mergeCell ref="J31:L31"/>
    <mergeCell ref="J32:L32"/>
    <mergeCell ref="I30:L30"/>
    <mergeCell ref="I4:J4"/>
    <mergeCell ref="I25:J25"/>
    <mergeCell ref="C3:I3"/>
    <mergeCell ref="D7:G7"/>
    <mergeCell ref="D8:G8"/>
    <mergeCell ref="D13:G13"/>
    <mergeCell ref="D20:F20"/>
    <mergeCell ref="D18:G18"/>
    <mergeCell ref="D19:G19"/>
    <mergeCell ref="I8:J8"/>
    <mergeCell ref="D29:G29"/>
    <mergeCell ref="D24:G24"/>
    <mergeCell ref="D25:G25"/>
    <mergeCell ref="D26:E26"/>
    <mergeCell ref="D27:E27"/>
    <mergeCell ref="F26:G26"/>
    <mergeCell ref="F27:G27"/>
    <mergeCell ref="D28:G28"/>
  </mergeCells>
  <conditionalFormatting sqref="D30:G30">
    <cfRule type="expression" dxfId="2601" priority="8">
      <formula>$D$30&gt;""</formula>
    </cfRule>
  </conditionalFormatting>
  <conditionalFormatting sqref="D31:G31">
    <cfRule type="expression" dxfId="2600" priority="7">
      <formula>$D$31&gt;""</formula>
    </cfRule>
  </conditionalFormatting>
  <conditionalFormatting sqref="D32">
    <cfRule type="expression" dxfId="2599" priority="6">
      <formula>$D$32&gt;""</formula>
    </cfRule>
  </conditionalFormatting>
  <conditionalFormatting sqref="E32:G32">
    <cfRule type="expression" dxfId="2598" priority="5">
      <formula>$D$32&gt;""</formula>
    </cfRule>
  </conditionalFormatting>
  <conditionalFormatting sqref="D33:G33">
    <cfRule type="expression" dxfId="2597" priority="4">
      <formula>$D$33&gt;""</formula>
    </cfRule>
  </conditionalFormatting>
  <conditionalFormatting sqref="D34:G34">
    <cfRule type="expression" dxfId="2596"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9E79F"/>
  </sheetPr>
  <dimension ref="A1:Z69"/>
  <sheetViews>
    <sheetView showGridLines="0" showRowColHeaders="0" zoomScale="125" zoomScaleNormal="125" zoomScalePageLayoutView="167" workbookViewId="0">
      <pane ySplit="5" topLeftCell="A35" activePane="bottomLeft" state="frozen"/>
      <selection pane="bottomLeft" activeCell="G38" sqref="G38"/>
    </sheetView>
  </sheetViews>
  <sheetFormatPr baseColWidth="10" defaultColWidth="9.5703125" defaultRowHeight="16"/>
  <cols>
    <col min="1" max="1" width="6" style="258" customWidth="1"/>
    <col min="2" max="2" width="1.7109375" style="258" customWidth="1"/>
    <col min="3" max="3" width="8.5703125" style="277" customWidth="1"/>
    <col min="4" max="4" width="25.28515625" style="277" customWidth="1"/>
    <col min="5" max="5" width="11.140625" style="277" customWidth="1"/>
    <col min="6" max="6" width="10.85546875" style="258" customWidth="1"/>
    <col min="7" max="7" width="11.140625" style="262" customWidth="1"/>
    <col min="8" max="8" width="10.5703125" style="262" customWidth="1"/>
    <col min="9" max="9" width="11.5703125" style="258" customWidth="1"/>
    <col min="10" max="10" width="9.85546875" style="258" customWidth="1"/>
    <col min="11" max="11" width="8.5703125" style="258" customWidth="1"/>
    <col min="12" max="12" width="34.140625" style="258" customWidth="1"/>
    <col min="13" max="13" width="9.28515625" style="258" customWidth="1"/>
    <col min="14" max="20" width="3.140625" style="258" customWidth="1"/>
    <col min="21" max="21" width="13.42578125" style="258" customWidth="1"/>
    <col min="22" max="16384" width="9.5703125" style="258"/>
  </cols>
  <sheetData>
    <row r="1" spans="1:14" ht="8" customHeight="1">
      <c r="A1" s="259"/>
      <c r="B1" s="259"/>
      <c r="C1" s="259"/>
      <c r="D1" s="259"/>
      <c r="E1" s="259"/>
      <c r="F1" s="259"/>
      <c r="G1" s="259"/>
      <c r="H1" s="259"/>
      <c r="I1" s="259"/>
      <c r="J1" s="259"/>
      <c r="K1" s="259"/>
      <c r="L1" s="259"/>
      <c r="M1" s="259"/>
    </row>
    <row r="2" spans="1:14" ht="40" customHeight="1">
      <c r="A2" s="257"/>
      <c r="C2" s="92" t="s">
        <v>423</v>
      </c>
      <c r="D2" s="260"/>
      <c r="E2" s="261"/>
      <c r="F2" s="262"/>
      <c r="G2" s="263"/>
      <c r="H2" s="263"/>
    </row>
    <row r="3" spans="1:14" ht="45" customHeight="1">
      <c r="A3" s="778" t="s">
        <v>1310</v>
      </c>
      <c r="C3" s="2213" t="s">
        <v>2609</v>
      </c>
      <c r="D3" s="2214"/>
      <c r="E3" s="2214"/>
      <c r="F3" s="2214"/>
      <c r="G3" s="2214"/>
      <c r="H3" s="2214"/>
      <c r="I3" s="2214"/>
      <c r="J3" s="2214"/>
      <c r="K3" s="2214"/>
      <c r="L3" s="2214"/>
    </row>
    <row r="4" spans="1:14" ht="18" customHeight="1">
      <c r="A4" s="257"/>
      <c r="C4" s="524" t="s">
        <v>1306</v>
      </c>
      <c r="D4" s="320"/>
      <c r="E4" s="525">
        <f>SUM(E60+E49+E31+E21+E15)</f>
        <v>1088000</v>
      </c>
      <c r="F4" s="1682">
        <f>SUM(E60+E49+E31+E21)</f>
        <v>1076000</v>
      </c>
      <c r="G4" s="263"/>
      <c r="H4" s="263"/>
    </row>
    <row r="5" spans="1:14" ht="15" customHeight="1">
      <c r="C5" s="258"/>
      <c r="D5" s="258"/>
      <c r="E5" s="258"/>
      <c r="G5" s="258"/>
      <c r="H5" s="258"/>
    </row>
    <row r="6" spans="1:14" ht="15" customHeight="1">
      <c r="C6" s="258"/>
      <c r="D6" s="258"/>
      <c r="E6" s="258"/>
      <c r="G6" s="258"/>
      <c r="H6" s="258"/>
    </row>
    <row r="7" spans="1:14" ht="18" customHeight="1">
      <c r="C7" s="256" t="s">
        <v>1296</v>
      </c>
      <c r="D7" s="255"/>
      <c r="E7" s="255"/>
      <c r="F7" s="255"/>
      <c r="G7" s="255"/>
      <c r="H7" s="255"/>
      <c r="I7" s="266"/>
      <c r="J7" s="265"/>
      <c r="K7" s="265"/>
      <c r="L7" s="267"/>
      <c r="M7" s="296"/>
    </row>
    <row r="8" spans="1:14" ht="41" customHeight="1">
      <c r="C8" s="2180" t="s">
        <v>2474</v>
      </c>
      <c r="D8" s="2203"/>
      <c r="E8" s="2203"/>
      <c r="F8" s="2203"/>
      <c r="G8" s="2203"/>
      <c r="H8" s="2203"/>
      <c r="I8" s="2203"/>
      <c r="J8" s="2203"/>
      <c r="K8" s="2203"/>
      <c r="L8" s="2203"/>
      <c r="M8" s="2203"/>
    </row>
    <row r="9" spans="1:14" ht="34" customHeight="1">
      <c r="C9" s="264" t="s">
        <v>1300</v>
      </c>
      <c r="D9" s="264" t="s">
        <v>9</v>
      </c>
      <c r="E9" s="264" t="s">
        <v>1301</v>
      </c>
      <c r="F9" s="2222" t="s">
        <v>7</v>
      </c>
      <c r="G9" s="2222"/>
      <c r="H9" s="2222"/>
      <c r="I9" s="2222"/>
      <c r="J9" s="2222"/>
      <c r="K9" s="2222"/>
      <c r="L9" s="2222"/>
      <c r="M9" s="264" t="s">
        <v>1302</v>
      </c>
    </row>
    <row r="10" spans="1:14" ht="18" customHeight="1">
      <c r="C10" s="1772" t="s">
        <v>83</v>
      </c>
      <c r="D10" s="1773" t="s">
        <v>81</v>
      </c>
      <c r="E10" s="304">
        <v>4000</v>
      </c>
      <c r="F10" s="2217"/>
      <c r="G10" s="2218"/>
      <c r="H10" s="2218"/>
      <c r="I10" s="2218"/>
      <c r="J10" s="2218"/>
      <c r="K10" s="2218"/>
      <c r="L10" s="2218"/>
      <c r="M10" s="1735"/>
      <c r="N10" s="269"/>
    </row>
    <row r="11" spans="1:14" ht="18" customHeight="1">
      <c r="C11" s="1774" t="s">
        <v>2303</v>
      </c>
      <c r="D11" s="1775" t="s">
        <v>2</v>
      </c>
      <c r="E11" s="305">
        <v>8000</v>
      </c>
      <c r="F11" s="2215"/>
      <c r="G11" s="2216"/>
      <c r="H11" s="2216"/>
      <c r="I11" s="2216"/>
      <c r="J11" s="2216"/>
      <c r="K11" s="2216"/>
      <c r="L11" s="2216"/>
      <c r="M11" s="1736"/>
      <c r="N11" s="269"/>
    </row>
    <row r="12" spans="1:14" ht="18" customHeight="1">
      <c r="C12" s="1733"/>
      <c r="D12" s="1734"/>
      <c r="E12" s="304">
        <v>0</v>
      </c>
      <c r="F12" s="2217"/>
      <c r="G12" s="2218"/>
      <c r="H12" s="2218"/>
      <c r="I12" s="2218"/>
      <c r="J12" s="2218"/>
      <c r="K12" s="2218"/>
      <c r="L12" s="2219"/>
      <c r="M12" s="1737"/>
      <c r="N12" s="269"/>
    </row>
    <row r="13" spans="1:14" ht="18" customHeight="1">
      <c r="C13" s="1740"/>
      <c r="D13" s="1742"/>
      <c r="E13" s="305">
        <v>0</v>
      </c>
      <c r="F13" s="2215"/>
      <c r="G13" s="2216"/>
      <c r="H13" s="2216"/>
      <c r="I13" s="2216"/>
      <c r="J13" s="2216"/>
      <c r="K13" s="2216"/>
      <c r="L13" s="2216"/>
      <c r="M13" s="1738"/>
      <c r="N13" s="269"/>
    </row>
    <row r="14" spans="1:14" ht="18" customHeight="1">
      <c r="C14" s="1741"/>
      <c r="D14" s="1743"/>
      <c r="E14" s="306">
        <v>0</v>
      </c>
      <c r="F14" s="2220"/>
      <c r="G14" s="2221"/>
      <c r="H14" s="2221"/>
      <c r="I14" s="2221"/>
      <c r="J14" s="2221"/>
      <c r="K14" s="2221"/>
      <c r="L14" s="2221"/>
      <c r="M14" s="1739"/>
      <c r="N14" s="269"/>
    </row>
    <row r="15" spans="1:14" ht="18" customHeight="1">
      <c r="C15" s="258"/>
      <c r="D15" s="314" t="s">
        <v>1304</v>
      </c>
      <c r="E15" s="313">
        <f>SUMIF(C10:C14,"&lt;&gt;"&amp;"",E10:E14)</f>
        <v>12000</v>
      </c>
      <c r="F15" s="262"/>
      <c r="I15" s="271"/>
      <c r="J15" s="262"/>
      <c r="K15" s="272"/>
      <c r="M15" s="275"/>
      <c r="N15" s="269"/>
    </row>
    <row r="16" spans="1:14" ht="18" customHeight="1">
      <c r="C16" s="258"/>
      <c r="D16" s="258"/>
      <c r="E16" s="262"/>
      <c r="F16" s="262"/>
      <c r="I16" s="271"/>
      <c r="J16" s="262"/>
      <c r="K16" s="272"/>
      <c r="M16" s="275"/>
      <c r="N16" s="269"/>
    </row>
    <row r="17" spans="1:14" ht="15" customHeight="1">
      <c r="C17" s="258"/>
      <c r="D17" s="258"/>
      <c r="E17" s="262"/>
      <c r="F17" s="262"/>
      <c r="I17" s="271"/>
      <c r="J17" s="262"/>
      <c r="K17" s="272"/>
      <c r="M17" s="275"/>
      <c r="N17" s="269"/>
    </row>
    <row r="18" spans="1:14" ht="18" customHeight="1">
      <c r="C18" s="2202" t="s">
        <v>416</v>
      </c>
      <c r="D18" s="2202"/>
      <c r="E18" s="2202"/>
      <c r="F18" s="2202"/>
      <c r="G18" s="2202"/>
      <c r="H18" s="2202"/>
      <c r="I18" s="2202"/>
      <c r="J18" s="2202"/>
      <c r="K18" s="2202"/>
      <c r="L18" s="2202"/>
      <c r="M18" s="2202"/>
      <c r="N18" s="269" t="s">
        <v>0</v>
      </c>
    </row>
    <row r="19" spans="1:14" ht="44" customHeight="1">
      <c r="C19" s="2180" t="s">
        <v>2478</v>
      </c>
      <c r="D19" s="2203"/>
      <c r="E19" s="2203"/>
      <c r="F19" s="2203"/>
      <c r="G19" s="2203"/>
      <c r="H19" s="2203"/>
      <c r="I19" s="2203"/>
      <c r="J19" s="2203"/>
      <c r="K19" s="2203"/>
      <c r="L19" s="2203"/>
      <c r="M19" s="2203"/>
      <c r="N19" s="269"/>
    </row>
    <row r="20" spans="1:14" ht="45" customHeight="1">
      <c r="A20" s="1716" t="s">
        <v>2470</v>
      </c>
      <c r="C20" s="264" t="s">
        <v>1300</v>
      </c>
      <c r="D20" s="264" t="s">
        <v>9</v>
      </c>
      <c r="E20" s="264" t="s">
        <v>1301</v>
      </c>
      <c r="F20" s="1480" t="s">
        <v>2307</v>
      </c>
      <c r="G20" s="1130" t="s">
        <v>2088</v>
      </c>
      <c r="H20" s="1078" t="s">
        <v>1307</v>
      </c>
      <c r="I20" s="1075"/>
      <c r="J20" s="1075"/>
      <c r="K20" s="1075"/>
      <c r="L20" s="1075"/>
      <c r="M20" s="264" t="s">
        <v>1302</v>
      </c>
      <c r="N20" s="269"/>
    </row>
    <row r="21" spans="1:14" ht="18" customHeight="1">
      <c r="C21" s="282" t="s">
        <v>381</v>
      </c>
      <c r="D21" s="1691" t="s">
        <v>2302</v>
      </c>
      <c r="E21" s="307">
        <v>450000</v>
      </c>
      <c r="F21" s="280">
        <v>1300</v>
      </c>
      <c r="G21" s="1615">
        <v>12</v>
      </c>
      <c r="H21" s="725">
        <v>1.8499999999999999E-2</v>
      </c>
      <c r="I21" s="1076"/>
      <c r="J21" s="1076"/>
      <c r="K21" s="1076"/>
      <c r="L21" s="1077"/>
      <c r="M21" s="1571"/>
      <c r="N21" s="269"/>
    </row>
    <row r="22" spans="1:14" ht="18" customHeight="1">
      <c r="C22" s="258"/>
      <c r="D22" s="314" t="s">
        <v>1304</v>
      </c>
      <c r="E22" s="313">
        <f>SUMIF(C21:C21,"&lt;&gt;"&amp;"",E21:E21)</f>
        <v>450000</v>
      </c>
      <c r="F22" s="261"/>
      <c r="G22" s="261"/>
      <c r="H22" s="261"/>
      <c r="I22" s="271"/>
      <c r="J22" s="262"/>
      <c r="K22" s="272"/>
      <c r="M22" s="275"/>
      <c r="N22" s="269"/>
    </row>
    <row r="23" spans="1:14" ht="34" customHeight="1">
      <c r="C23" s="258"/>
      <c r="D23" s="258"/>
      <c r="E23" s="261"/>
      <c r="F23" s="261"/>
      <c r="G23" s="261"/>
      <c r="H23" s="261"/>
      <c r="I23" s="271"/>
      <c r="J23" s="262"/>
      <c r="K23" s="272"/>
      <c r="M23" s="275"/>
      <c r="N23" s="269"/>
    </row>
    <row r="24" spans="1:14" ht="18" customHeight="1">
      <c r="C24" s="2202" t="s">
        <v>490</v>
      </c>
      <c r="D24" s="2202"/>
      <c r="E24" s="2202"/>
      <c r="F24" s="2202"/>
      <c r="G24" s="2202"/>
      <c r="H24" s="2202"/>
      <c r="I24" s="2202"/>
      <c r="J24" s="2202"/>
      <c r="K24" s="2202"/>
      <c r="L24" s="2202"/>
      <c r="M24" s="2202"/>
    </row>
    <row r="25" spans="1:14" s="257" customFormat="1" ht="38" customHeight="1">
      <c r="C25" s="2180" t="s">
        <v>2479</v>
      </c>
      <c r="D25" s="2181"/>
      <c r="E25" s="2181"/>
      <c r="F25" s="2181"/>
      <c r="G25" s="2181"/>
      <c r="H25" s="2181"/>
      <c r="I25" s="2181"/>
      <c r="J25" s="2181"/>
      <c r="K25" s="2181"/>
      <c r="L25" s="2181"/>
      <c r="M25" s="2181"/>
    </row>
    <row r="26" spans="1:14" ht="36" customHeight="1">
      <c r="A26" s="1716" t="s">
        <v>2471</v>
      </c>
      <c r="C26" s="264" t="s">
        <v>1300</v>
      </c>
      <c r="D26" s="264" t="s">
        <v>9</v>
      </c>
      <c r="E26" s="264" t="s">
        <v>1301</v>
      </c>
      <c r="F26" s="1479" t="s">
        <v>2307</v>
      </c>
      <c r="G26" s="293"/>
      <c r="H26" s="293"/>
      <c r="I26" s="294"/>
      <c r="J26" s="293"/>
      <c r="K26" s="295"/>
      <c r="L26" s="293"/>
      <c r="M26" s="264" t="s">
        <v>1302</v>
      </c>
    </row>
    <row r="27" spans="1:14" ht="18" customHeight="1">
      <c r="C27" s="2554" t="s">
        <v>2297</v>
      </c>
      <c r="D27" s="2554" t="s">
        <v>2298</v>
      </c>
      <c r="E27" s="308">
        <v>35000</v>
      </c>
      <c r="F27" s="268">
        <v>350</v>
      </c>
      <c r="G27" s="2233"/>
      <c r="H27" s="2218"/>
      <c r="I27" s="2218"/>
      <c r="J27" s="2218"/>
      <c r="K27" s="2218"/>
      <c r="L27" s="2219"/>
      <c r="M27" s="1037"/>
      <c r="N27" s="269"/>
    </row>
    <row r="28" spans="1:14" ht="18" customHeight="1">
      <c r="C28" s="1563" t="s">
        <v>2299</v>
      </c>
      <c r="D28" s="1563" t="s">
        <v>2300</v>
      </c>
      <c r="E28" s="309">
        <v>41000</v>
      </c>
      <c r="F28" s="279">
        <v>450</v>
      </c>
      <c r="G28" s="2234"/>
      <c r="H28" s="2216"/>
      <c r="I28" s="2216"/>
      <c r="J28" s="2216"/>
      <c r="K28" s="2216"/>
      <c r="L28" s="2235"/>
      <c r="M28" s="298"/>
      <c r="N28" s="269"/>
    </row>
    <row r="29" spans="1:14" ht="18" customHeight="1">
      <c r="C29" s="281"/>
      <c r="D29" s="281"/>
      <c r="E29" s="308">
        <v>0</v>
      </c>
      <c r="F29" s="268">
        <v>0</v>
      </c>
      <c r="G29" s="2236"/>
      <c r="H29" s="2237"/>
      <c r="I29" s="2237"/>
      <c r="J29" s="2237"/>
      <c r="K29" s="2237"/>
      <c r="L29" s="2238"/>
      <c r="M29" s="1037"/>
      <c r="N29" s="269"/>
    </row>
    <row r="30" spans="1:14" ht="18" customHeight="1">
      <c r="C30" s="285"/>
      <c r="D30" s="285"/>
      <c r="E30" s="310">
        <v>0</v>
      </c>
      <c r="F30" s="283">
        <v>0</v>
      </c>
      <c r="G30" s="2239"/>
      <c r="H30" s="2240"/>
      <c r="I30" s="2240"/>
      <c r="J30" s="2240"/>
      <c r="K30" s="2240"/>
      <c r="L30" s="2241"/>
      <c r="M30" s="299"/>
      <c r="N30" s="269"/>
    </row>
    <row r="31" spans="1:14" ht="18" customHeight="1">
      <c r="C31" s="258"/>
      <c r="D31" s="314" t="s">
        <v>1304</v>
      </c>
      <c r="E31" s="313">
        <f>SUMIF(C27:C30,"&lt;&gt;"&amp;"",E27:E30)</f>
        <v>76000</v>
      </c>
      <c r="F31" s="261"/>
      <c r="G31" s="261"/>
      <c r="H31" s="261"/>
      <c r="I31" s="271"/>
      <c r="J31" s="262"/>
      <c r="K31" s="272"/>
      <c r="M31" s="275"/>
    </row>
    <row r="32" spans="1:14" ht="18" customHeight="1">
      <c r="C32" s="258"/>
      <c r="D32" s="258"/>
      <c r="E32" s="261"/>
      <c r="F32" s="261"/>
      <c r="G32" s="261"/>
      <c r="H32" s="261"/>
      <c r="I32" s="271"/>
      <c r="J32" s="262"/>
      <c r="K32" s="272"/>
      <c r="M32" s="275"/>
    </row>
    <row r="33" spans="1:25" ht="15" customHeight="1">
      <c r="C33" s="258"/>
      <c r="D33" s="258"/>
      <c r="E33" s="258"/>
      <c r="G33" s="258"/>
      <c r="H33" s="258"/>
      <c r="I33" s="271"/>
      <c r="J33" s="262"/>
      <c r="K33" s="272"/>
      <c r="M33" s="275"/>
      <c r="N33" s="197"/>
      <c r="O33" s="2212"/>
      <c r="P33" s="2212"/>
      <c r="Q33" s="2212"/>
      <c r="R33" s="2212"/>
      <c r="S33" s="2212"/>
      <c r="T33" s="69"/>
      <c r="U33" s="69"/>
      <c r="V33" s="69"/>
      <c r="W33" s="69"/>
      <c r="X33" s="69"/>
      <c r="Y33" s="69"/>
    </row>
    <row r="34" spans="1:25" ht="18" customHeight="1">
      <c r="C34" s="2202" t="s">
        <v>1297</v>
      </c>
      <c r="D34" s="2202"/>
      <c r="E34" s="2202"/>
      <c r="F34" s="2202"/>
      <c r="G34" s="2202"/>
      <c r="H34" s="2202"/>
      <c r="I34" s="2202"/>
      <c r="J34" s="2202"/>
      <c r="K34" s="2202"/>
      <c r="L34" s="2202"/>
      <c r="M34" s="2202"/>
      <c r="N34" s="197"/>
      <c r="O34" s="2212"/>
      <c r="P34" s="2212"/>
      <c r="Q34" s="2212"/>
      <c r="R34" s="2212"/>
      <c r="S34" s="2212"/>
      <c r="T34" s="69"/>
      <c r="U34" s="69"/>
      <c r="V34" s="69"/>
      <c r="W34" s="69"/>
      <c r="X34" s="69"/>
      <c r="Y34" s="69"/>
    </row>
    <row r="35" spans="1:25" ht="62" customHeight="1">
      <c r="A35" s="1767" t="s">
        <v>2472</v>
      </c>
      <c r="C35" s="2180" t="s">
        <v>2480</v>
      </c>
      <c r="D35" s="2203"/>
      <c r="E35" s="2203"/>
      <c r="F35" s="2203"/>
      <c r="G35" s="2203"/>
      <c r="H35" s="2203"/>
      <c r="I35" s="2203"/>
      <c r="J35" s="2203"/>
      <c r="K35" s="2203"/>
      <c r="L35" s="2203"/>
      <c r="M35" s="2203"/>
      <c r="N35" s="197"/>
      <c r="O35" s="2212"/>
      <c r="P35" s="2212"/>
      <c r="Q35" s="2212"/>
      <c r="R35" s="2212"/>
      <c r="S35" s="2212"/>
      <c r="T35" s="69"/>
      <c r="U35" s="69"/>
      <c r="V35" s="69"/>
      <c r="W35" s="69"/>
      <c r="X35" s="69"/>
      <c r="Y35" s="69"/>
    </row>
    <row r="36" spans="1:25" ht="36" customHeight="1">
      <c r="C36" s="264" t="s">
        <v>1300</v>
      </c>
      <c r="D36" s="264" t="s">
        <v>9</v>
      </c>
      <c r="E36" s="264" t="s">
        <v>1301</v>
      </c>
      <c r="F36" s="264" t="s">
        <v>1303</v>
      </c>
      <c r="G36" s="1692" t="s">
        <v>2418</v>
      </c>
      <c r="H36" s="264" t="s">
        <v>1305</v>
      </c>
      <c r="I36" s="264" t="s">
        <v>199</v>
      </c>
      <c r="J36" s="2242" t="s">
        <v>7</v>
      </c>
      <c r="K36" s="2242"/>
      <c r="L36" s="2242"/>
      <c r="M36" s="319" t="s">
        <v>1302</v>
      </c>
      <c r="N36" s="1727">
        <f t="shared" ref="N36:S36" si="0">SUM(N37:N48)</f>
        <v>3</v>
      </c>
      <c r="O36" s="1744">
        <f t="shared" si="0"/>
        <v>2</v>
      </c>
      <c r="P36" s="1744">
        <f t="shared" si="0"/>
        <v>1</v>
      </c>
      <c r="Q36" s="1744">
        <f t="shared" si="0"/>
        <v>1</v>
      </c>
      <c r="R36" s="1744">
        <f t="shared" si="0"/>
        <v>2</v>
      </c>
      <c r="S36" s="1744">
        <f t="shared" si="0"/>
        <v>0</v>
      </c>
      <c r="T36" s="197">
        <f>COUNTIFS(H37:H48,"Before tax",I37:I48, "Joint")</f>
        <v>0</v>
      </c>
      <c r="U36" s="197">
        <f>SUM(U37:U48)</f>
        <v>29500</v>
      </c>
      <c r="V36" s="1372">
        <f>SUMIF(C37:C48,"&lt;&gt;"&amp;"",E37:E48)</f>
        <v>550000</v>
      </c>
      <c r="W36" s="1373">
        <f>U36/V36</f>
        <v>5.3636363636363635E-2</v>
      </c>
      <c r="X36" s="197"/>
      <c r="Y36" s="69"/>
    </row>
    <row r="37" spans="1:25" ht="18" customHeight="1">
      <c r="C37" s="1958" t="s">
        <v>2295</v>
      </c>
      <c r="D37" s="2554" t="s">
        <v>2288</v>
      </c>
      <c r="E37" s="308">
        <v>250000</v>
      </c>
      <c r="F37" s="1440">
        <v>2000</v>
      </c>
      <c r="G37" s="1595">
        <v>5.5E-2</v>
      </c>
      <c r="H37" s="1764" t="s">
        <v>452</v>
      </c>
      <c r="I37" s="289" t="s">
        <v>200</v>
      </c>
      <c r="J37" s="2192"/>
      <c r="K37" s="2193"/>
      <c r="L37" s="2193"/>
      <c r="M37" s="301">
        <v>44566</v>
      </c>
      <c r="N37" s="849">
        <f>COUNTIFS( E37:E37,  "&gt;0",C37:C37, "&lt;&gt;"&amp;"")</f>
        <v>1</v>
      </c>
      <c r="O37" s="1744">
        <f>COUNTIFS( H37:H37,  $O$49, C37:C37, "&lt;&gt;"&amp;"")</f>
        <v>1</v>
      </c>
      <c r="P37" s="1744">
        <f>COUNTIFS( H37:H37,  $P$49, C37:C37, "&lt;&gt;"&amp;"")</f>
        <v>0</v>
      </c>
      <c r="Q37" s="1744">
        <f>COUNTIFS( I37:I37,  $Q$49, C37:C37, "&lt;&gt;"&amp;"")</f>
        <v>1</v>
      </c>
      <c r="R37" s="1744">
        <f>COUNTIFS( I37:I37,  $R$49, C37:C37, "&lt;&gt;"&amp;"")</f>
        <v>0</v>
      </c>
      <c r="S37" s="1744">
        <f>COUNTIFS( I37:I37,  $S$49, C37:C37, "&lt;&gt;"&amp;"")</f>
        <v>0</v>
      </c>
      <c r="T37" s="197"/>
      <c r="U37" s="1374">
        <f>IF(C37&lt;&gt;"",E37*G37,0)</f>
        <v>13750</v>
      </c>
      <c r="V37" s="197"/>
      <c r="W37" s="197"/>
      <c r="X37" s="197"/>
      <c r="Y37" s="69"/>
    </row>
    <row r="38" spans="1:25" ht="18" customHeight="1">
      <c r="C38" s="1959" t="s">
        <v>2296</v>
      </c>
      <c r="D38" s="1563" t="s">
        <v>2288</v>
      </c>
      <c r="E38" s="309">
        <v>225000</v>
      </c>
      <c r="F38" s="1441">
        <v>1500</v>
      </c>
      <c r="G38" s="1596">
        <v>0.05</v>
      </c>
      <c r="H38" s="1165" t="s">
        <v>452</v>
      </c>
      <c r="I38" s="290" t="s">
        <v>201</v>
      </c>
      <c r="J38" s="2194"/>
      <c r="K38" s="2195"/>
      <c r="L38" s="2195"/>
      <c r="M38" s="302">
        <v>44566</v>
      </c>
      <c r="N38" s="849">
        <f t="shared" ref="N38:N48" si="1">COUNTIFS( E38:E38,  "&gt;0",C38:C38, "&lt;&gt;"&amp;"")</f>
        <v>1</v>
      </c>
      <c r="O38" s="1744">
        <f>COUNTIFS( H38:H38,  $O$49, C38:C38, "&lt;&gt;"&amp;"")</f>
        <v>1</v>
      </c>
      <c r="P38" s="1744">
        <f t="shared" ref="P38:P48" si="2">COUNTIFS( H38:H38,  $P$49, C38:C38, "&lt;&gt;"&amp;"")</f>
        <v>0</v>
      </c>
      <c r="Q38" s="1744">
        <f t="shared" ref="Q38:Q48" si="3">COUNTIFS( I38:I38,  $Q$49, C38:C38, "&lt;&gt;"&amp;"")</f>
        <v>0</v>
      </c>
      <c r="R38" s="1744">
        <f t="shared" ref="R38:R48" si="4">COUNTIFS( I38:I38,  $R$49, C38:C38, "&lt;&gt;"&amp;"")</f>
        <v>1</v>
      </c>
      <c r="S38" s="1744">
        <f t="shared" ref="S38:S48" si="5">COUNTIFS( I38:I38,  $S$49, C38:C38, "&lt;&gt;"&amp;"")</f>
        <v>0</v>
      </c>
      <c r="T38" s="197"/>
      <c r="U38" s="1374">
        <f t="shared" ref="U38:U48" si="6">IF(C38&lt;&gt;"",E38*G38,0)</f>
        <v>11250</v>
      </c>
      <c r="V38" s="197"/>
      <c r="W38" s="197"/>
      <c r="X38" s="197"/>
      <c r="Y38" s="69"/>
    </row>
    <row r="39" spans="1:25" ht="18" customHeight="1">
      <c r="C39" s="1958" t="s">
        <v>2296</v>
      </c>
      <c r="D39" s="1562" t="s">
        <v>2301</v>
      </c>
      <c r="E39" s="308">
        <v>75000</v>
      </c>
      <c r="F39" s="1440">
        <v>250</v>
      </c>
      <c r="G39" s="1595">
        <v>0.06</v>
      </c>
      <c r="H39" s="1564" t="s">
        <v>1491</v>
      </c>
      <c r="I39" s="1566" t="s">
        <v>201</v>
      </c>
      <c r="J39" s="2229"/>
      <c r="K39" s="2230"/>
      <c r="L39" s="2230"/>
      <c r="M39" s="301">
        <v>44566</v>
      </c>
      <c r="N39" s="849">
        <f t="shared" si="1"/>
        <v>1</v>
      </c>
      <c r="O39" s="1744">
        <f t="shared" ref="O39:O48" si="7">COUNTIFS( H39:H39,  $O$49, C39:C39, "&lt;&gt;"&amp;"")</f>
        <v>0</v>
      </c>
      <c r="P39" s="1744">
        <f t="shared" si="2"/>
        <v>1</v>
      </c>
      <c r="Q39" s="1744">
        <f t="shared" si="3"/>
        <v>0</v>
      </c>
      <c r="R39" s="1744">
        <f t="shared" si="4"/>
        <v>1</v>
      </c>
      <c r="S39" s="1744">
        <f t="shared" si="5"/>
        <v>0</v>
      </c>
      <c r="T39" s="197"/>
      <c r="U39" s="1374">
        <f t="shared" si="6"/>
        <v>4500</v>
      </c>
      <c r="V39" s="197"/>
      <c r="W39" s="197"/>
      <c r="X39" s="197"/>
      <c r="Y39" s="69"/>
    </row>
    <row r="40" spans="1:25" ht="18" customHeight="1">
      <c r="C40" s="1959"/>
      <c r="D40" s="1689"/>
      <c r="E40" s="309">
        <v>0</v>
      </c>
      <c r="F40" s="1441">
        <v>0</v>
      </c>
      <c r="G40" s="1596">
        <v>0</v>
      </c>
      <c r="H40" s="1565"/>
      <c r="I40" s="1567"/>
      <c r="J40" s="2231"/>
      <c r="K40" s="2232"/>
      <c r="L40" s="2232"/>
      <c r="M40" s="302"/>
      <c r="N40" s="849">
        <f t="shared" si="1"/>
        <v>0</v>
      </c>
      <c r="O40" s="1744">
        <f t="shared" si="7"/>
        <v>0</v>
      </c>
      <c r="P40" s="1744">
        <f t="shared" si="2"/>
        <v>0</v>
      </c>
      <c r="Q40" s="1744">
        <f t="shared" si="3"/>
        <v>0</v>
      </c>
      <c r="R40" s="1744">
        <f t="shared" si="4"/>
        <v>0</v>
      </c>
      <c r="S40" s="1744">
        <f t="shared" si="5"/>
        <v>0</v>
      </c>
      <c r="T40" s="197"/>
      <c r="U40" s="1374">
        <f t="shared" si="6"/>
        <v>0</v>
      </c>
      <c r="V40" s="197"/>
      <c r="W40" s="197"/>
      <c r="X40" s="197"/>
      <c r="Y40" s="69"/>
    </row>
    <row r="41" spans="1:25" ht="18" customHeight="1">
      <c r="C41" s="1684"/>
      <c r="D41" s="281"/>
      <c r="E41" s="308">
        <v>0</v>
      </c>
      <c r="F41" s="1440">
        <v>0</v>
      </c>
      <c r="G41" s="1595">
        <v>0</v>
      </c>
      <c r="H41" s="1166"/>
      <c r="I41" s="1168"/>
      <c r="J41" s="2223"/>
      <c r="K41" s="2224"/>
      <c r="L41" s="2224"/>
      <c r="M41" s="301"/>
      <c r="N41" s="849">
        <f t="shared" si="1"/>
        <v>0</v>
      </c>
      <c r="O41" s="1744">
        <f t="shared" si="7"/>
        <v>0</v>
      </c>
      <c r="P41" s="1744">
        <f t="shared" si="2"/>
        <v>0</v>
      </c>
      <c r="Q41" s="1744">
        <f t="shared" si="3"/>
        <v>0</v>
      </c>
      <c r="R41" s="1744">
        <f t="shared" si="4"/>
        <v>0</v>
      </c>
      <c r="S41" s="1744">
        <f t="shared" si="5"/>
        <v>0</v>
      </c>
      <c r="T41" s="197"/>
      <c r="U41" s="1374">
        <f t="shared" si="6"/>
        <v>0</v>
      </c>
      <c r="V41" s="197"/>
      <c r="W41" s="197"/>
      <c r="X41" s="197"/>
      <c r="Y41" s="69"/>
    </row>
    <row r="42" spans="1:25" ht="18" customHeight="1">
      <c r="C42" s="1163"/>
      <c r="D42" s="286"/>
      <c r="E42" s="309">
        <v>0</v>
      </c>
      <c r="F42" s="1441">
        <v>0</v>
      </c>
      <c r="G42" s="1596">
        <v>0</v>
      </c>
      <c r="H42" s="1165"/>
      <c r="I42" s="1167"/>
      <c r="J42" s="2204"/>
      <c r="K42" s="2205"/>
      <c r="L42" s="2205"/>
      <c r="M42" s="302"/>
      <c r="N42" s="849">
        <f t="shared" si="1"/>
        <v>0</v>
      </c>
      <c r="O42" s="1744">
        <f t="shared" si="7"/>
        <v>0</v>
      </c>
      <c r="P42" s="1744">
        <f t="shared" si="2"/>
        <v>0</v>
      </c>
      <c r="Q42" s="1744">
        <f t="shared" si="3"/>
        <v>0</v>
      </c>
      <c r="R42" s="1744">
        <f t="shared" si="4"/>
        <v>0</v>
      </c>
      <c r="S42" s="1744">
        <f t="shared" si="5"/>
        <v>0</v>
      </c>
      <c r="T42" s="197"/>
      <c r="U42" s="1374">
        <f t="shared" si="6"/>
        <v>0</v>
      </c>
      <c r="V42" s="197"/>
      <c r="W42" s="197"/>
      <c r="X42" s="197"/>
      <c r="Y42" s="69"/>
    </row>
    <row r="43" spans="1:25" ht="18" customHeight="1">
      <c r="C43" s="1684"/>
      <c r="D43" s="1684"/>
      <c r="E43" s="308">
        <v>0</v>
      </c>
      <c r="F43" s="1440">
        <v>0</v>
      </c>
      <c r="G43" s="1595">
        <v>0</v>
      </c>
      <c r="H43" s="1685"/>
      <c r="I43" s="1168"/>
      <c r="J43" s="2223"/>
      <c r="K43" s="2224"/>
      <c r="L43" s="2224"/>
      <c r="M43" s="301" t="s">
        <v>0</v>
      </c>
      <c r="N43" s="849">
        <f t="shared" si="1"/>
        <v>0</v>
      </c>
      <c r="O43" s="1744">
        <f t="shared" si="7"/>
        <v>0</v>
      </c>
      <c r="P43" s="1744">
        <f t="shared" si="2"/>
        <v>0</v>
      </c>
      <c r="Q43" s="1744">
        <f t="shared" si="3"/>
        <v>0</v>
      </c>
      <c r="R43" s="1744">
        <f t="shared" si="4"/>
        <v>0</v>
      </c>
      <c r="S43" s="1744">
        <f t="shared" si="5"/>
        <v>0</v>
      </c>
      <c r="T43" s="197"/>
      <c r="U43" s="1374">
        <f t="shared" si="6"/>
        <v>0</v>
      </c>
      <c r="V43" s="197"/>
      <c r="W43" s="197"/>
      <c r="X43" s="197"/>
      <c r="Y43" s="69"/>
    </row>
    <row r="44" spans="1:25" ht="18" customHeight="1">
      <c r="C44" s="1163"/>
      <c r="D44" s="284"/>
      <c r="E44" s="309">
        <v>0</v>
      </c>
      <c r="F44" s="1441">
        <v>0</v>
      </c>
      <c r="G44" s="1596">
        <v>0</v>
      </c>
      <c r="H44" s="1165"/>
      <c r="I44" s="1167"/>
      <c r="J44" s="2204"/>
      <c r="K44" s="2205"/>
      <c r="L44" s="2205"/>
      <c r="M44" s="302" t="s">
        <v>0</v>
      </c>
      <c r="N44" s="849">
        <f t="shared" si="1"/>
        <v>0</v>
      </c>
      <c r="O44" s="1744">
        <f t="shared" si="7"/>
        <v>0</v>
      </c>
      <c r="P44" s="1744">
        <f t="shared" si="2"/>
        <v>0</v>
      </c>
      <c r="Q44" s="1744">
        <f t="shared" si="3"/>
        <v>0</v>
      </c>
      <c r="R44" s="1744">
        <f t="shared" si="4"/>
        <v>0</v>
      </c>
      <c r="S44" s="1744">
        <f t="shared" si="5"/>
        <v>0</v>
      </c>
      <c r="T44" s="197"/>
      <c r="U44" s="1374">
        <f t="shared" si="6"/>
        <v>0</v>
      </c>
      <c r="V44" s="197"/>
      <c r="W44" s="197"/>
      <c r="X44" s="197"/>
      <c r="Y44" s="69"/>
    </row>
    <row r="45" spans="1:25" ht="18" customHeight="1">
      <c r="C45" s="1164"/>
      <c r="D45" s="281"/>
      <c r="E45" s="308">
        <v>0</v>
      </c>
      <c r="F45" s="1440">
        <v>0</v>
      </c>
      <c r="G45" s="1595">
        <v>0</v>
      </c>
      <c r="H45" s="1166"/>
      <c r="I45" s="1168"/>
      <c r="J45" s="2223"/>
      <c r="K45" s="2224"/>
      <c r="L45" s="2224"/>
      <c r="M45" s="301" t="s">
        <v>0</v>
      </c>
      <c r="N45" s="849">
        <f t="shared" si="1"/>
        <v>0</v>
      </c>
      <c r="O45" s="1744">
        <f t="shared" si="7"/>
        <v>0</v>
      </c>
      <c r="P45" s="1744">
        <f t="shared" si="2"/>
        <v>0</v>
      </c>
      <c r="Q45" s="1744">
        <f t="shared" si="3"/>
        <v>0</v>
      </c>
      <c r="R45" s="1744">
        <f t="shared" si="4"/>
        <v>0</v>
      </c>
      <c r="S45" s="1744">
        <f t="shared" si="5"/>
        <v>0</v>
      </c>
      <c r="T45" s="197"/>
      <c r="U45" s="1374">
        <f t="shared" si="6"/>
        <v>0</v>
      </c>
      <c r="V45" s="197"/>
      <c r="W45" s="197"/>
      <c r="X45" s="197"/>
      <c r="Y45" s="69"/>
    </row>
    <row r="46" spans="1:25" ht="18" customHeight="1">
      <c r="C46" s="1163"/>
      <c r="D46" s="284"/>
      <c r="E46" s="309">
        <v>0</v>
      </c>
      <c r="F46" s="1441">
        <v>0</v>
      </c>
      <c r="G46" s="1596">
        <v>0</v>
      </c>
      <c r="H46" s="1165"/>
      <c r="I46" s="1167"/>
      <c r="J46" s="2204"/>
      <c r="K46" s="2205"/>
      <c r="L46" s="2206"/>
      <c r="M46" s="302" t="s">
        <v>0</v>
      </c>
      <c r="N46" s="849">
        <f t="shared" si="1"/>
        <v>0</v>
      </c>
      <c r="O46" s="1744">
        <f t="shared" si="7"/>
        <v>0</v>
      </c>
      <c r="P46" s="1744">
        <f t="shared" si="2"/>
        <v>0</v>
      </c>
      <c r="Q46" s="1744">
        <f t="shared" si="3"/>
        <v>0</v>
      </c>
      <c r="R46" s="1744">
        <f t="shared" si="4"/>
        <v>0</v>
      </c>
      <c r="S46" s="1744">
        <f t="shared" si="5"/>
        <v>0</v>
      </c>
      <c r="T46" s="197"/>
      <c r="U46" s="1374">
        <f t="shared" si="6"/>
        <v>0</v>
      </c>
      <c r="V46" s="197"/>
      <c r="W46" s="197"/>
      <c r="X46" s="197"/>
      <c r="Y46" s="69"/>
    </row>
    <row r="47" spans="1:25" ht="18" customHeight="1">
      <c r="C47" s="1036"/>
      <c r="D47" s="281"/>
      <c r="E47" s="308">
        <v>0</v>
      </c>
      <c r="F47" s="1440">
        <v>0</v>
      </c>
      <c r="G47" s="1595">
        <v>0</v>
      </c>
      <c r="H47" s="1166"/>
      <c r="I47" s="1168"/>
      <c r="J47" s="2223"/>
      <c r="K47" s="2224"/>
      <c r="L47" s="2225"/>
      <c r="M47" s="301" t="s">
        <v>0</v>
      </c>
      <c r="N47" s="849">
        <f t="shared" si="1"/>
        <v>0</v>
      </c>
      <c r="O47" s="1744">
        <f t="shared" si="7"/>
        <v>0</v>
      </c>
      <c r="P47" s="1744">
        <f t="shared" si="2"/>
        <v>0</v>
      </c>
      <c r="Q47" s="1744">
        <f t="shared" si="3"/>
        <v>0</v>
      </c>
      <c r="R47" s="1744">
        <f t="shared" si="4"/>
        <v>0</v>
      </c>
      <c r="S47" s="1744">
        <f t="shared" si="5"/>
        <v>0</v>
      </c>
      <c r="T47" s="197"/>
      <c r="U47" s="1374">
        <f t="shared" si="6"/>
        <v>0</v>
      </c>
      <c r="V47" s="197"/>
      <c r="W47" s="197"/>
      <c r="X47" s="197"/>
      <c r="Y47" s="69"/>
    </row>
    <row r="48" spans="1:25" ht="18" customHeight="1">
      <c r="C48" s="1339"/>
      <c r="D48" s="285"/>
      <c r="E48" s="310">
        <v>0</v>
      </c>
      <c r="F48" s="1442">
        <v>0</v>
      </c>
      <c r="G48" s="1597">
        <v>0</v>
      </c>
      <c r="H48" s="1371"/>
      <c r="I48" s="291"/>
      <c r="J48" s="2226"/>
      <c r="K48" s="2227"/>
      <c r="L48" s="2228"/>
      <c r="M48" s="303" t="s">
        <v>0</v>
      </c>
      <c r="N48" s="849">
        <f t="shared" si="1"/>
        <v>0</v>
      </c>
      <c r="O48" s="1744">
        <f t="shared" si="7"/>
        <v>0</v>
      </c>
      <c r="P48" s="1744">
        <f t="shared" si="2"/>
        <v>0</v>
      </c>
      <c r="Q48" s="1744">
        <f t="shared" si="3"/>
        <v>0</v>
      </c>
      <c r="R48" s="1744">
        <f t="shared" si="4"/>
        <v>0</v>
      </c>
      <c r="S48" s="1744">
        <f t="shared" si="5"/>
        <v>0</v>
      </c>
      <c r="T48" s="197"/>
      <c r="U48" s="1374">
        <f t="shared" si="6"/>
        <v>0</v>
      </c>
      <c r="V48" s="197"/>
      <c r="W48" s="197"/>
      <c r="X48" s="197"/>
      <c r="Y48" s="69"/>
    </row>
    <row r="49" spans="1:26" ht="18" customHeight="1">
      <c r="C49" s="258"/>
      <c r="D49" s="314" t="s">
        <v>1304</v>
      </c>
      <c r="E49" s="315">
        <f>SUMIF(C37:C48,"&lt;&gt;"&amp;"",E37:E48)</f>
        <v>550000</v>
      </c>
      <c r="F49" s="1038"/>
      <c r="G49" s="2184" t="s">
        <v>1327</v>
      </c>
      <c r="H49" s="2185"/>
      <c r="I49" s="1035" t="s">
        <v>10</v>
      </c>
      <c r="J49" s="1035" t="s">
        <v>80</v>
      </c>
      <c r="K49" s="1593"/>
      <c r="M49" s="1771">
        <f>COUNTIF(H37:H48,"Before tax")</f>
        <v>2</v>
      </c>
      <c r="N49" s="849">
        <f>COUNTIF(I37:I48,"Individual 2")</f>
        <v>2</v>
      </c>
      <c r="O49" s="1763" t="s">
        <v>452</v>
      </c>
      <c r="P49" s="1763" t="s">
        <v>1491</v>
      </c>
      <c r="Q49" s="1763" t="s">
        <v>200</v>
      </c>
      <c r="R49" s="1763" t="s">
        <v>201</v>
      </c>
      <c r="S49" s="1763" t="s">
        <v>1492</v>
      </c>
      <c r="T49" s="197"/>
      <c r="U49" s="197"/>
      <c r="V49" s="197"/>
      <c r="W49" s="197"/>
      <c r="X49" s="197"/>
      <c r="Y49" s="69"/>
      <c r="Z49" s="1585"/>
    </row>
    <row r="50" spans="1:26" ht="18" customHeight="1">
      <c r="C50" s="258"/>
      <c r="D50" s="258"/>
      <c r="E50" s="258"/>
      <c r="G50" s="2186" t="s">
        <v>1325</v>
      </c>
      <c r="H50" s="2187"/>
      <c r="I50" s="1039">
        <f>SUMIFS(E37:E48,I37:I48, "Individual 1", H37:H48,"Before tax",C37:C48,"&lt;&gt;"&amp;"")</f>
        <v>250000</v>
      </c>
      <c r="J50" s="316">
        <f>IF($E$49&gt;0,I50/$E$49,0)</f>
        <v>0.45454545454545453</v>
      </c>
      <c r="K50" s="292">
        <f>IF(I50&gt;0,I50/(I50+I51),0)</f>
        <v>0.52631578947368418</v>
      </c>
      <c r="L50" s="2209" t="str">
        <f>IF(SUM(O36+P36)&lt;&gt;N36,"Before or After tax not set for one or more investments", "")</f>
        <v/>
      </c>
      <c r="M50" s="2209"/>
      <c r="N50" s="197"/>
      <c r="O50" s="1769"/>
      <c r="P50" s="1769"/>
      <c r="Q50" s="1769"/>
      <c r="R50" s="1769"/>
      <c r="S50" s="1769"/>
      <c r="T50" s="69"/>
      <c r="U50" s="69"/>
      <c r="V50" s="69"/>
      <c r="W50" s="69"/>
      <c r="X50" s="69"/>
      <c r="Y50" s="69"/>
      <c r="Z50" s="1585"/>
    </row>
    <row r="51" spans="1:26" ht="18" customHeight="1">
      <c r="C51" s="258"/>
      <c r="G51" s="2188" t="s">
        <v>1326</v>
      </c>
      <c r="H51" s="2189"/>
      <c r="I51" s="1040">
        <f>SUMIFS(E37:E48,I37:I48, "Individual 2", H37:H48,"Before tax", C37:C48, "&lt;&gt;"&amp;"")</f>
        <v>225000</v>
      </c>
      <c r="J51" s="317">
        <f>IF($E$49&gt;0,I51/$E$49,0)</f>
        <v>0.40909090909090912</v>
      </c>
      <c r="K51" s="292">
        <f>IF(I51&gt;0,I51/(I50+I51),0)</f>
        <v>0.47368421052631576</v>
      </c>
      <c r="L51" s="2209" t="str">
        <f>IF(SUM(Q36+R36+S36)&lt;&gt;N36,"Investment owner not set for one or more investments", "")</f>
        <v/>
      </c>
      <c r="M51" s="2209"/>
      <c r="N51" s="1181"/>
      <c r="O51" s="1769"/>
      <c r="P51" s="1769"/>
      <c r="Q51" s="1769"/>
      <c r="R51" s="1769"/>
      <c r="S51" s="1769"/>
      <c r="T51" s="69"/>
      <c r="U51" s="69"/>
      <c r="V51" s="69"/>
      <c r="W51" s="69"/>
      <c r="X51" s="69"/>
      <c r="Y51" s="69"/>
      <c r="Z51" s="1585"/>
    </row>
    <row r="52" spans="1:26" ht="18" customHeight="1">
      <c r="C52" s="258"/>
      <c r="D52" s="1375" t="s">
        <v>2278</v>
      </c>
      <c r="E52" s="1376">
        <f>W36</f>
        <v>5.3636363636363635E-2</v>
      </c>
      <c r="G52" s="2190" t="s">
        <v>1328</v>
      </c>
      <c r="H52" s="2191"/>
      <c r="I52" s="1041">
        <f>E49-SUM(I50:I51)</f>
        <v>75000</v>
      </c>
      <c r="J52" s="318">
        <f>IF($E$49&gt;0,I52/$E$49,0)</f>
        <v>0.13636363636363635</v>
      </c>
      <c r="K52" s="1594">
        <f>1-J52</f>
        <v>0.86363636363636365</v>
      </c>
      <c r="L52" s="2209" t="str">
        <f>IF(T36&gt;0,"Owner cannot be set to Joint for Before tax investment", "")</f>
        <v/>
      </c>
      <c r="M52" s="2209"/>
      <c r="N52" s="1181"/>
      <c r="O52" s="69"/>
      <c r="P52" s="69"/>
      <c r="Q52" s="69"/>
      <c r="R52" s="69"/>
      <c r="S52" s="69"/>
      <c r="T52" s="69"/>
      <c r="U52" s="69"/>
      <c r="V52" s="69"/>
      <c r="W52" s="69"/>
      <c r="X52" s="69"/>
      <c r="Y52" s="69"/>
      <c r="Z52" s="1585"/>
    </row>
    <row r="53" spans="1:26" ht="35" customHeight="1">
      <c r="C53" s="258"/>
      <c r="D53" s="258"/>
      <c r="E53" s="261"/>
      <c r="F53" s="261"/>
      <c r="G53" s="1762" t="s">
        <v>2417</v>
      </c>
      <c r="H53" s="261"/>
      <c r="I53" s="1042"/>
      <c r="J53" s="274"/>
      <c r="K53" s="1591"/>
      <c r="L53" s="2208" t="str">
        <f>IF(COUNTIFS(C37:C48,"&lt;&gt;"&amp;"",E37:E48,0),"One of more entires has a zero dollar amount &amp; Category ID defined.  Provide dollar amount or remove Category ID to resolve issue.","")</f>
        <v/>
      </c>
      <c r="M53" s="2208"/>
      <c r="N53" s="1181"/>
      <c r="O53" s="69"/>
      <c r="P53" s="69"/>
      <c r="Q53" s="69"/>
      <c r="R53" s="69"/>
      <c r="S53" s="69"/>
      <c r="T53" s="69"/>
      <c r="U53" s="69"/>
      <c r="V53" s="69"/>
      <c r="W53" s="69"/>
      <c r="X53" s="69"/>
      <c r="Y53" s="69"/>
      <c r="Z53" s="1585"/>
    </row>
    <row r="54" spans="1:26" ht="18" customHeight="1">
      <c r="C54" s="258"/>
      <c r="D54" s="258"/>
      <c r="E54" s="261"/>
      <c r="F54" s="261"/>
      <c r="G54" s="261"/>
      <c r="H54" s="261"/>
      <c r="I54" s="1042"/>
      <c r="J54" s="274"/>
      <c r="K54" s="1584"/>
      <c r="L54" s="1585"/>
      <c r="M54" s="1583"/>
      <c r="N54" s="1181"/>
      <c r="O54" s="69"/>
      <c r="P54" s="69"/>
      <c r="Q54" s="69"/>
      <c r="R54" s="69"/>
      <c r="S54" s="69"/>
      <c r="T54" s="69"/>
      <c r="U54" s="69"/>
      <c r="V54" s="69"/>
      <c r="W54" s="69"/>
      <c r="X54" s="69"/>
      <c r="Y54" s="69"/>
      <c r="Z54" s="1585"/>
    </row>
    <row r="55" spans="1:26" ht="18" customHeight="1">
      <c r="C55" s="2202" t="s">
        <v>491</v>
      </c>
      <c r="D55" s="2202"/>
      <c r="E55" s="2202"/>
      <c r="F55" s="2202"/>
      <c r="G55" s="2202"/>
      <c r="H55" s="2202"/>
      <c r="I55" s="2202"/>
      <c r="J55" s="2202"/>
      <c r="K55" s="2202"/>
      <c r="L55" s="2202"/>
      <c r="M55" s="2202"/>
      <c r="N55" s="1181"/>
      <c r="O55" s="2183" t="s">
        <v>2469</v>
      </c>
      <c r="P55" s="2183" t="s">
        <v>2468</v>
      </c>
      <c r="Q55" s="2207"/>
      <c r="R55" s="2207"/>
      <c r="S55" s="1181"/>
      <c r="T55" s="1181"/>
      <c r="U55" s="1181"/>
      <c r="V55" s="1181"/>
      <c r="W55" s="1181"/>
      <c r="X55" s="1181"/>
    </row>
    <row r="56" spans="1:26" ht="43" customHeight="1">
      <c r="C56" s="2211" t="s">
        <v>2528</v>
      </c>
      <c r="D56" s="2203"/>
      <c r="E56" s="2203"/>
      <c r="F56" s="2203"/>
      <c r="G56" s="2203"/>
      <c r="H56" s="2203"/>
      <c r="I56" s="2203"/>
      <c r="J56" s="2203"/>
      <c r="K56" s="2203"/>
      <c r="L56" s="2203"/>
      <c r="M56" s="2203"/>
      <c r="O56" s="2183"/>
      <c r="P56" s="2183"/>
      <c r="Q56" s="2207"/>
      <c r="R56" s="2207"/>
    </row>
    <row r="57" spans="1:26" ht="34" customHeight="1">
      <c r="A57" s="1716" t="s">
        <v>2473</v>
      </c>
      <c r="C57" s="264" t="s">
        <v>1300</v>
      </c>
      <c r="D57" s="264" t="s">
        <v>9</v>
      </c>
      <c r="E57" s="264" t="s">
        <v>1301</v>
      </c>
      <c r="F57" s="300"/>
      <c r="G57" s="2210" t="s">
        <v>7</v>
      </c>
      <c r="H57" s="2210"/>
      <c r="I57" s="2210"/>
      <c r="J57" s="2210"/>
      <c r="K57" s="2210"/>
      <c r="L57" s="2210"/>
      <c r="M57" s="319" t="s">
        <v>1302</v>
      </c>
      <c r="O57" s="2183"/>
      <c r="P57" s="2183"/>
      <c r="Q57" s="2207"/>
      <c r="R57" s="2207"/>
    </row>
    <row r="58" spans="1:26" ht="18" customHeight="1">
      <c r="C58" s="2554"/>
      <c r="D58" s="1439"/>
      <c r="E58" s="1341">
        <v>0</v>
      </c>
      <c r="F58" s="2199"/>
      <c r="G58" s="2200"/>
      <c r="H58" s="2200"/>
      <c r="I58" s="2200"/>
      <c r="J58" s="2200"/>
      <c r="K58" s="2200"/>
      <c r="L58" s="2201"/>
      <c r="M58" s="1569"/>
      <c r="N58" s="269"/>
      <c r="O58" s="1766" t="str">
        <f>IF(Assets!E58 &lt; 1,  IF(Rental!D24&gt;0, "Error", ""), "")</f>
        <v/>
      </c>
      <c r="P58" s="1766" t="str">
        <f>IF(Assets!E59 &lt; 1,  IF(Rental!K24&gt;0, "Error", ""), "")</f>
        <v>Error</v>
      </c>
      <c r="Q58" s="1765"/>
      <c r="R58" s="1765"/>
    </row>
    <row r="59" spans="1:26" ht="18" customHeight="1">
      <c r="C59" s="1967"/>
      <c r="D59" s="1370"/>
      <c r="E59" s="311">
        <v>0</v>
      </c>
      <c r="F59" s="2196"/>
      <c r="G59" s="2197"/>
      <c r="H59" s="2197"/>
      <c r="I59" s="2197"/>
      <c r="J59" s="2197"/>
      <c r="K59" s="2197"/>
      <c r="L59" s="2198"/>
      <c r="M59" s="1570"/>
      <c r="N59" s="269"/>
    </row>
    <row r="60" spans="1:26" ht="18" customHeight="1">
      <c r="C60" s="258"/>
      <c r="D60" s="314" t="s">
        <v>1304</v>
      </c>
      <c r="E60" s="313">
        <f>SUMIF(C58:C59,"&lt;&gt;"&amp;"",E58:E59)</f>
        <v>0</v>
      </c>
      <c r="F60" s="261"/>
      <c r="G60" s="2182" t="str">
        <f>IF(O58="Error","First rental property has rental income but Current Value is missing or zero.","")</f>
        <v/>
      </c>
      <c r="H60" s="2182"/>
      <c r="I60" s="2182"/>
      <c r="J60" s="2182"/>
      <c r="K60" s="2182"/>
      <c r="L60" s="2182"/>
      <c r="M60" s="2182"/>
    </row>
    <row r="61" spans="1:26" ht="18" customHeight="1">
      <c r="C61" s="258"/>
      <c r="D61" s="258"/>
      <c r="E61" s="261"/>
      <c r="F61" s="261"/>
      <c r="G61" s="2179" t="str">
        <f>IF(P58="Error","Second rental property has rental income but Current Value is missing or zero.","")</f>
        <v>Second rental property has rental income but Current Value is missing or zero.</v>
      </c>
      <c r="H61" s="2179"/>
      <c r="I61" s="2179"/>
      <c r="J61" s="2179"/>
      <c r="K61" s="2179"/>
      <c r="L61" s="2179"/>
      <c r="M61" s="2179"/>
    </row>
    <row r="62" spans="1:26" ht="18" customHeight="1">
      <c r="C62" s="258"/>
      <c r="D62" s="258"/>
      <c r="E62" s="312"/>
      <c r="G62" s="260"/>
      <c r="H62" s="260"/>
      <c r="L62" s="263"/>
    </row>
    <row r="63" spans="1:26" ht="18" customHeight="1"/>
    <row r="68" spans="3:8">
      <c r="F68" s="276"/>
    </row>
    <row r="69" spans="3:8">
      <c r="C69" s="258"/>
      <c r="D69" s="258"/>
      <c r="E69" s="258"/>
      <c r="G69" s="258"/>
      <c r="H69" s="258"/>
    </row>
  </sheetData>
  <sheetProtection algorithmName="SHA-512" hashValue="QOuUs2fU7oUNUm6MKjZWoeLAICSsq2MnZuF9XbsafJREVzzGkESkuWcpZeglyRsX9DypQvVWMDF2hjjDXdHtBw==" saltValue="8zpAbLSXa1RZIum5FJXjRw==" spinCount="100000" sheet="1" objects="1" scenarios="1" formatCells="0" formatColumns="0" formatRows="0" selectLockedCells="1"/>
  <mergeCells count="55">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 ref="C3:L3"/>
    <mergeCell ref="C8:M8"/>
    <mergeCell ref="C18:M18"/>
    <mergeCell ref="C19:M19"/>
    <mergeCell ref="F11:L11"/>
    <mergeCell ref="F12:L12"/>
    <mergeCell ref="F13:L13"/>
    <mergeCell ref="F10:L10"/>
    <mergeCell ref="F14:L14"/>
    <mergeCell ref="F9:L9"/>
    <mergeCell ref="S33:S35"/>
    <mergeCell ref="O33:O35"/>
    <mergeCell ref="P33:P35"/>
    <mergeCell ref="Q33:Q35"/>
    <mergeCell ref="R33:R35"/>
    <mergeCell ref="Q55:Q57"/>
    <mergeCell ref="R55:R57"/>
    <mergeCell ref="L53:M53"/>
    <mergeCell ref="L50:M50"/>
    <mergeCell ref="L51:M51"/>
    <mergeCell ref="L52:M52"/>
    <mergeCell ref="G57:L57"/>
    <mergeCell ref="C56:M56"/>
    <mergeCell ref="C55:M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s>
  <phoneticPr fontId="0" type="noConversion"/>
  <conditionalFormatting sqref="N7:N61">
    <cfRule type="expression" dxfId="2594" priority="28">
      <formula>#REF! &gt; 0</formula>
    </cfRule>
  </conditionalFormatting>
  <conditionalFormatting sqref="H37">
    <cfRule type="expression" dxfId="2593" priority="26">
      <formula>"if(AND(F21&gt;0,L21=""""))"</formula>
    </cfRule>
  </conditionalFormatting>
  <conditionalFormatting sqref="H42">
    <cfRule type="expression" dxfId="2592" priority="23">
      <formula>"if(AND(F21&gt;0,L21=""""))"</formula>
    </cfRule>
  </conditionalFormatting>
  <conditionalFormatting sqref="G52">
    <cfRule type="expression" dxfId="2591" priority="13">
      <formula>M52 &gt; 0</formula>
    </cfRule>
    <cfRule type="cellIs" dxfId="2590" priority="14" operator="equal">
      <formula>"Asset"</formula>
    </cfRule>
    <cfRule type="cellIs" dxfId="2589" priority="15" operator="equal">
      <formula>"Liability"</formula>
    </cfRule>
  </conditionalFormatting>
  <conditionalFormatting sqref="G50:G51">
    <cfRule type="expression" dxfId="2588" priority="2592">
      <formula>M50 &gt; 0</formula>
    </cfRule>
    <cfRule type="cellIs" dxfId="2587" priority="2593" operator="equal">
      <formula>"Asset"</formula>
    </cfRule>
    <cfRule type="cellIs" dxfId="2586" priority="2594" operator="equal">
      <formula>"Liability"</formula>
    </cfRule>
  </conditionalFormatting>
  <conditionalFormatting sqref="O36">
    <cfRule type="expression" dxfId="2585" priority="11">
      <formula>#REF! &gt; 0</formula>
    </cfRule>
  </conditionalFormatting>
  <conditionalFormatting sqref="P36">
    <cfRule type="expression" dxfId="2584" priority="10">
      <formula>#REF! &gt; 0</formula>
    </cfRule>
  </conditionalFormatting>
  <conditionalFormatting sqref="Q36">
    <cfRule type="expression" dxfId="2583" priority="9">
      <formula>#REF! &gt; 0</formula>
    </cfRule>
  </conditionalFormatting>
  <conditionalFormatting sqref="R36">
    <cfRule type="expression" dxfId="2582" priority="8">
      <formula>#REF! &gt; 0</formula>
    </cfRule>
  </conditionalFormatting>
  <conditionalFormatting sqref="L51">
    <cfRule type="expression" dxfId="2581" priority="7">
      <formula>$L$51&lt;&gt;""</formula>
    </cfRule>
  </conditionalFormatting>
  <conditionalFormatting sqref="S36">
    <cfRule type="expression" dxfId="2580" priority="6">
      <formula>#REF! &gt; 0</formula>
    </cfRule>
  </conditionalFormatting>
  <conditionalFormatting sqref="L50">
    <cfRule type="expression" dxfId="2579" priority="5">
      <formula>$L$50&lt;&gt;""</formula>
    </cfRule>
  </conditionalFormatting>
  <conditionalFormatting sqref="L52">
    <cfRule type="expression" dxfId="2578" priority="4">
      <formula>$L$52&gt;""</formula>
    </cfRule>
  </conditionalFormatting>
  <conditionalFormatting sqref="L53:M53">
    <cfRule type="expression" dxfId="2577" priority="3">
      <formula>$L$53&lt;&gt;""</formula>
    </cfRule>
  </conditionalFormatting>
  <conditionalFormatting sqref="G60:M60">
    <cfRule type="expression" dxfId="2576" priority="2">
      <formula>$G$60&lt;&gt;""</formula>
    </cfRule>
  </conditionalFormatting>
  <conditionalFormatting sqref="G61:M61">
    <cfRule type="expression" dxfId="2575"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tabColor rgb="FFA2D9CE"/>
  </sheetPr>
  <dimension ref="A1:AV851"/>
  <sheetViews>
    <sheetView showGridLines="0" showRowColHeaders="0" zoomScale="125" zoomScaleNormal="125" workbookViewId="0">
      <pane ySplit="15" topLeftCell="A16" activePane="bottomLeft" state="frozen"/>
      <selection pane="bottomLeft" activeCell="D9" sqref="D9"/>
    </sheetView>
  </sheetViews>
  <sheetFormatPr baseColWidth="10" defaultRowHeight="16"/>
  <cols>
    <col min="1" max="1" width="5.7109375" style="606" customWidth="1"/>
    <col min="2" max="2" width="1.7109375" style="606" customWidth="1"/>
    <col min="3" max="3" width="13" style="445" customWidth="1"/>
    <col min="4" max="6" width="9.28515625" style="606" customWidth="1"/>
    <col min="7" max="15" width="9.28515625" style="445" customWidth="1"/>
    <col min="16" max="16" width="10.7109375" style="445" customWidth="1"/>
    <col min="17" max="18" width="9.7109375" style="606" customWidth="1"/>
    <col min="19" max="19" width="9.7109375" style="445" customWidth="1"/>
    <col min="20" max="20" width="4.140625" style="445" customWidth="1"/>
    <col min="21" max="21" width="3.85546875" style="445" customWidth="1"/>
    <col min="22" max="25" width="3.28515625" style="1146" hidden="1" customWidth="1"/>
    <col min="26" max="40" width="3.42578125" style="1146" hidden="1" customWidth="1"/>
    <col min="41" max="41" width="0.140625" style="1146" hidden="1" customWidth="1"/>
    <col min="42" max="42" width="10.7109375" style="445" customWidth="1"/>
    <col min="43" max="16384" width="10.7109375" style="445"/>
  </cols>
  <sheetData>
    <row r="1" spans="1:48" ht="8" customHeight="1">
      <c r="A1" s="526"/>
      <c r="B1" s="526"/>
      <c r="C1" s="526"/>
      <c r="D1" s="526"/>
      <c r="E1" s="526"/>
      <c r="F1" s="526"/>
      <c r="G1" s="526"/>
      <c r="H1" s="526"/>
      <c r="I1" s="526"/>
      <c r="J1" s="526"/>
      <c r="K1" s="526"/>
      <c r="L1" s="526"/>
      <c r="M1" s="526"/>
      <c r="N1" s="526"/>
      <c r="O1" s="526"/>
      <c r="P1" s="526"/>
      <c r="Q1" s="526"/>
      <c r="R1" s="526"/>
      <c r="S1" s="526"/>
      <c r="T1" s="526"/>
      <c r="U1" s="526"/>
    </row>
    <row r="2" spans="1:48" ht="40" customHeight="1">
      <c r="A2" s="609"/>
      <c r="B2" s="609"/>
      <c r="C2" s="246" t="s">
        <v>76</v>
      </c>
      <c r="D2" s="605"/>
      <c r="E2" s="605"/>
      <c r="G2" s="1784"/>
      <c r="H2" s="1785"/>
      <c r="I2" s="607"/>
      <c r="J2" s="607"/>
      <c r="Q2" s="445"/>
      <c r="R2" s="445"/>
      <c r="S2" s="606"/>
      <c r="U2" s="607"/>
    </row>
    <row r="3" spans="1:48" ht="98" customHeight="1">
      <c r="A3" s="616" t="s">
        <v>1348</v>
      </c>
      <c r="C3" s="2280" t="s">
        <v>2495</v>
      </c>
      <c r="D3" s="2281"/>
      <c r="E3" s="2281"/>
      <c r="F3" s="2281"/>
      <c r="G3" s="2281"/>
      <c r="H3" s="2281"/>
      <c r="I3" s="2281"/>
      <c r="J3" s="2281"/>
      <c r="K3" s="2281"/>
      <c r="L3" s="2281"/>
      <c r="M3" s="2281"/>
      <c r="N3" s="2281"/>
      <c r="O3" s="2281"/>
      <c r="P3" s="2281"/>
      <c r="Q3" s="581"/>
      <c r="R3" s="581"/>
      <c r="S3" s="606"/>
      <c r="V3" s="1190"/>
    </row>
    <row r="4" spans="1:48" ht="17" customHeight="1">
      <c r="C4" s="2289" t="s">
        <v>2490</v>
      </c>
      <c r="D4" s="2289"/>
      <c r="E4" s="2289"/>
      <c r="F4" s="2289"/>
      <c r="G4" s="2289"/>
      <c r="H4" s="2289"/>
      <c r="I4" s="2289"/>
      <c r="J4" s="2289"/>
      <c r="K4" s="2289"/>
      <c r="L4" s="2289"/>
      <c r="M4" s="2289"/>
      <c r="N4" s="2289"/>
      <c r="O4" s="2289"/>
      <c r="P4" s="613"/>
      <c r="Q4" s="613"/>
      <c r="R4" s="613"/>
      <c r="S4" s="606"/>
    </row>
    <row r="5" spans="1:48" ht="7" customHeight="1">
      <c r="C5" s="613"/>
      <c r="D5" s="613"/>
      <c r="E5" s="613"/>
      <c r="F5" s="613"/>
      <c r="G5" s="613"/>
      <c r="H5" s="613"/>
      <c r="I5" s="613"/>
      <c r="J5" s="613"/>
      <c r="K5" s="613"/>
      <c r="L5" s="613"/>
      <c r="M5" s="613"/>
      <c r="N5" s="613"/>
      <c r="O5" s="613"/>
      <c r="P5" s="613"/>
      <c r="Q5" s="613"/>
      <c r="R5" s="613"/>
      <c r="S5" s="606"/>
    </row>
    <row r="6" spans="1:48" ht="43" customHeight="1">
      <c r="A6" s="1079"/>
      <c r="C6" s="1811" t="s">
        <v>2085</v>
      </c>
      <c r="D6" s="1717"/>
      <c r="E6" s="1354"/>
      <c r="F6" s="1355"/>
      <c r="G6" s="1355"/>
      <c r="H6" s="1355"/>
      <c r="I6" s="1717" t="s">
        <v>2461</v>
      </c>
      <c r="J6" s="1717"/>
      <c r="K6" s="1355"/>
      <c r="L6" s="1355"/>
      <c r="M6" s="1355"/>
      <c r="N6" s="1355"/>
      <c r="O6" s="1717" t="s">
        <v>2462</v>
      </c>
      <c r="P6" s="1717"/>
      <c r="Q6" s="1717"/>
      <c r="R6" s="445"/>
      <c r="S6" s="606"/>
    </row>
    <row r="7" spans="1:48" ht="11" customHeight="1">
      <c r="A7" s="2300"/>
      <c r="C7" s="2287"/>
      <c r="D7" s="2288"/>
      <c r="E7" s="1321"/>
      <c r="F7" s="2285"/>
      <c r="G7" s="2285"/>
      <c r="H7" s="2285"/>
      <c r="I7" s="2285"/>
      <c r="J7" s="2285"/>
      <c r="K7" s="2285"/>
      <c r="L7" s="2285"/>
      <c r="M7" s="2285"/>
      <c r="N7" s="2285"/>
      <c r="O7" s="2285"/>
      <c r="P7" s="2286"/>
      <c r="Q7" s="1203"/>
      <c r="R7" s="1204"/>
      <c r="S7" s="1810"/>
      <c r="T7" s="1204"/>
      <c r="U7" s="1205"/>
      <c r="V7" s="1190"/>
      <c r="AP7" s="411"/>
      <c r="AQ7" s="411"/>
      <c r="AR7" s="411"/>
      <c r="AS7" s="411"/>
      <c r="AT7" s="411"/>
      <c r="AU7" s="411"/>
      <c r="AV7" s="1686"/>
    </row>
    <row r="8" spans="1:48" ht="19" customHeight="1">
      <c r="A8" s="2300"/>
      <c r="C8" s="1197"/>
      <c r="D8" s="1199" t="s">
        <v>200</v>
      </c>
      <c r="E8" s="1199" t="s">
        <v>201</v>
      </c>
      <c r="F8" s="2284" t="s">
        <v>1339</v>
      </c>
      <c r="G8" s="2284"/>
      <c r="H8" s="2284"/>
      <c r="I8" s="2284"/>
      <c r="J8" s="2284"/>
      <c r="K8" s="2284"/>
      <c r="L8" s="2284"/>
      <c r="M8" s="2284"/>
      <c r="N8" s="1198" t="s">
        <v>243</v>
      </c>
      <c r="O8" s="1199" t="s">
        <v>244</v>
      </c>
      <c r="P8" s="2009" t="s">
        <v>1335</v>
      </c>
      <c r="Q8" s="1206"/>
      <c r="R8" s="1207"/>
      <c r="S8" s="1208"/>
      <c r="T8" s="1209"/>
      <c r="U8" s="1210"/>
      <c r="AP8" s="411" t="s">
        <v>2401</v>
      </c>
      <c r="AQ8" s="411" t="s">
        <v>2402</v>
      </c>
      <c r="AR8" s="411"/>
      <c r="AS8" s="411"/>
      <c r="AT8" s="411"/>
      <c r="AU8" s="411"/>
      <c r="AV8" s="1686"/>
    </row>
    <row r="9" spans="1:48" ht="18" customHeight="1">
      <c r="C9" s="1067" t="s">
        <v>1338</v>
      </c>
      <c r="D9" s="1576" t="s">
        <v>504</v>
      </c>
      <c r="E9" s="1187" t="s">
        <v>505</v>
      </c>
      <c r="F9" s="2062" t="s">
        <v>2105</v>
      </c>
      <c r="G9" s="2062" t="s">
        <v>2304</v>
      </c>
      <c r="H9" s="1859" t="s">
        <v>2305</v>
      </c>
      <c r="I9" s="1187" t="s">
        <v>1341</v>
      </c>
      <c r="J9" s="1187" t="s">
        <v>1342</v>
      </c>
      <c r="K9" s="1187" t="s">
        <v>1343</v>
      </c>
      <c r="L9" s="1191" t="s">
        <v>2117</v>
      </c>
      <c r="M9" s="1187" t="s">
        <v>1344</v>
      </c>
      <c r="N9" s="617" t="s">
        <v>243</v>
      </c>
      <c r="O9" s="618" t="s">
        <v>244</v>
      </c>
      <c r="P9" s="721"/>
      <c r="Q9" s="1211"/>
      <c r="R9" s="2306"/>
      <c r="S9" s="2306"/>
      <c r="T9" s="2306"/>
      <c r="U9" s="1212"/>
      <c r="AP9" s="411"/>
      <c r="AQ9" s="1687">
        <f>SUM(N16:N140)</f>
        <v>0</v>
      </c>
      <c r="AR9" s="411"/>
      <c r="AS9" s="411"/>
      <c r="AT9" s="411"/>
      <c r="AU9" s="411"/>
      <c r="AV9" s="1686"/>
    </row>
    <row r="10" spans="1:48" ht="18" customHeight="1">
      <c r="C10" s="1211" t="s">
        <v>1336</v>
      </c>
      <c r="D10" s="1582">
        <v>3200</v>
      </c>
      <c r="E10" s="1582">
        <v>3000</v>
      </c>
      <c r="F10" s="1582">
        <v>1500</v>
      </c>
      <c r="G10" s="1582">
        <v>9500</v>
      </c>
      <c r="H10" s="1582">
        <v>8000</v>
      </c>
      <c r="I10" s="1582">
        <v>0</v>
      </c>
      <c r="J10" s="1582">
        <v>0</v>
      </c>
      <c r="K10" s="1582">
        <v>0</v>
      </c>
      <c r="L10" s="1812">
        <v>0</v>
      </c>
      <c r="M10" s="1582">
        <v>0</v>
      </c>
      <c r="N10" s="1884"/>
      <c r="O10" s="2282"/>
      <c r="P10" s="1470">
        <f>SUM(D10:M10)</f>
        <v>25200</v>
      </c>
      <c r="Q10" s="1213"/>
      <c r="R10" s="2307"/>
      <c r="S10" s="2307"/>
      <c r="T10" s="610"/>
      <c r="U10" s="1212"/>
      <c r="AP10" s="411">
        <f>COUNTIF(D10:M10,"&gt;0")</f>
        <v>5</v>
      </c>
      <c r="AQ10" s="1627">
        <f>SUM(D10:M10)</f>
        <v>25200</v>
      </c>
      <c r="AR10" s="411"/>
      <c r="AS10" s="411"/>
      <c r="AT10" s="411"/>
      <c r="AU10" s="411"/>
      <c r="AV10" s="1686"/>
    </row>
    <row r="11" spans="1:48" ht="18" customHeight="1">
      <c r="C11" s="1067" t="s">
        <v>406</v>
      </c>
      <c r="D11" s="1577">
        <v>2034</v>
      </c>
      <c r="E11" s="1138">
        <v>2036</v>
      </c>
      <c r="F11" s="1138">
        <v>2034</v>
      </c>
      <c r="G11" s="1138">
        <v>2000</v>
      </c>
      <c r="H11" s="1138">
        <v>2000</v>
      </c>
      <c r="I11" s="1138"/>
      <c r="J11" s="1138"/>
      <c r="K11" s="1138"/>
      <c r="L11" s="1138"/>
      <c r="M11" s="1138"/>
      <c r="N11" s="1884"/>
      <c r="O11" s="2283"/>
      <c r="P11" s="1214"/>
      <c r="Q11" s="2301" t="s">
        <v>1345</v>
      </c>
      <c r="R11" s="2303" t="s">
        <v>1346</v>
      </c>
      <c r="S11" s="2305" t="s">
        <v>1372</v>
      </c>
      <c r="T11" s="2293" t="s">
        <v>2118</v>
      </c>
      <c r="U11" s="2296" t="s">
        <v>2119</v>
      </c>
      <c r="V11" s="1190"/>
      <c r="AP11" s="411"/>
      <c r="AQ11" s="1627">
        <f>SUM(D11:M11)</f>
        <v>10104</v>
      </c>
      <c r="AR11" s="411"/>
      <c r="AS11" s="411"/>
      <c r="AT11" s="411"/>
      <c r="AU11" s="411"/>
      <c r="AV11" s="1686"/>
    </row>
    <row r="12" spans="1:48" ht="18" customHeight="1">
      <c r="A12" s="1146"/>
      <c r="B12" s="1146"/>
      <c r="C12" s="1186" t="s">
        <v>2104</v>
      </c>
      <c r="D12" s="1138"/>
      <c r="E12" s="1138"/>
      <c r="F12" s="1138"/>
      <c r="G12" s="1138">
        <v>2034</v>
      </c>
      <c r="H12" s="1138">
        <v>2036</v>
      </c>
      <c r="I12" s="1138"/>
      <c r="J12" s="1138"/>
      <c r="K12" s="1138"/>
      <c r="L12" s="1138"/>
      <c r="M12" s="1138"/>
      <c r="N12" s="1884"/>
      <c r="O12" s="2283"/>
      <c r="P12" s="1214"/>
      <c r="Q12" s="2301"/>
      <c r="R12" s="2303"/>
      <c r="S12" s="2305"/>
      <c r="T12" s="2294"/>
      <c r="U12" s="2297"/>
      <c r="W12" s="1190"/>
      <c r="AP12" s="411"/>
      <c r="AQ12" s="1627">
        <f>SUM(D12:M12)</f>
        <v>4070</v>
      </c>
      <c r="AR12" s="411"/>
      <c r="AS12" s="411"/>
      <c r="AT12" s="411"/>
      <c r="AU12" s="411"/>
      <c r="AV12" s="1686"/>
    </row>
    <row r="13" spans="1:48" ht="18" customHeight="1">
      <c r="A13" s="2299" t="s">
        <v>2460</v>
      </c>
      <c r="C13" s="1067" t="s">
        <v>1349</v>
      </c>
      <c r="D13" s="1600">
        <v>1.3100000000000001E-2</v>
      </c>
      <c r="E13" s="1600">
        <v>1.3100000000000001E-2</v>
      </c>
      <c r="F13" s="1600">
        <v>0.02</v>
      </c>
      <c r="G13" s="1135">
        <v>0.02</v>
      </c>
      <c r="H13" s="1600">
        <v>0.02</v>
      </c>
      <c r="I13" s="1600">
        <v>0</v>
      </c>
      <c r="J13" s="1600">
        <v>0</v>
      </c>
      <c r="K13" s="1600">
        <v>0</v>
      </c>
      <c r="L13" s="1135">
        <v>0</v>
      </c>
      <c r="M13" s="1135">
        <v>0</v>
      </c>
      <c r="N13" s="610"/>
      <c r="O13" s="2283"/>
      <c r="P13" s="1214"/>
      <c r="Q13" s="2301"/>
      <c r="R13" s="2303"/>
      <c r="S13" s="2303"/>
      <c r="T13" s="2294"/>
      <c r="U13" s="2297"/>
      <c r="W13" s="1792" t="s">
        <v>2489</v>
      </c>
      <c r="AP13" s="411">
        <f>COUNTIF(D13:M13,"&gt;0")</f>
        <v>5</v>
      </c>
      <c r="AQ13" s="1627">
        <f>SUM(D13:M13)</f>
        <v>8.6200000000000013E-2</v>
      </c>
      <c r="AR13" s="411"/>
      <c r="AS13" s="411"/>
      <c r="AT13" s="411"/>
      <c r="AU13" s="411"/>
      <c r="AV13" s="1686"/>
    </row>
    <row r="14" spans="1:48" ht="18" customHeight="1" thickBot="1">
      <c r="A14" s="2299"/>
      <c r="C14" s="1813" t="s">
        <v>1337</v>
      </c>
      <c r="D14" s="1600">
        <v>0.85</v>
      </c>
      <c r="E14" s="1600">
        <v>0.85</v>
      </c>
      <c r="F14" s="1135">
        <v>1</v>
      </c>
      <c r="G14" s="1600">
        <v>1</v>
      </c>
      <c r="H14" s="1600">
        <v>1</v>
      </c>
      <c r="I14" s="1600">
        <v>0</v>
      </c>
      <c r="J14" s="1814">
        <v>0</v>
      </c>
      <c r="K14" s="1135">
        <v>0</v>
      </c>
      <c r="L14" s="1135">
        <v>0</v>
      </c>
      <c r="M14" s="1135">
        <v>0</v>
      </c>
      <c r="N14" s="1135">
        <v>0</v>
      </c>
      <c r="O14" s="1815">
        <v>1</v>
      </c>
      <c r="P14" s="1816"/>
      <c r="Q14" s="2302"/>
      <c r="R14" s="2304"/>
      <c r="S14" s="2304"/>
      <c r="T14" s="2295"/>
      <c r="U14" s="2298"/>
      <c r="V14" s="2290" t="s">
        <v>2116</v>
      </c>
      <c r="W14" s="2291"/>
      <c r="X14" s="2291"/>
      <c r="Y14" s="2291"/>
      <c r="Z14" s="2291"/>
      <c r="AA14" s="2291"/>
      <c r="AB14" s="2291"/>
      <c r="AC14" s="2291"/>
      <c r="AD14" s="2291"/>
      <c r="AE14" s="2291"/>
      <c r="AF14" s="2291"/>
      <c r="AG14" s="2291"/>
      <c r="AH14" s="2291"/>
      <c r="AI14" s="2291"/>
      <c r="AJ14" s="2291"/>
      <c r="AK14" s="2291"/>
      <c r="AL14" s="2291"/>
      <c r="AM14" s="2291"/>
      <c r="AN14" s="2291"/>
      <c r="AO14" s="2292"/>
      <c r="AP14" s="411"/>
      <c r="AQ14" s="1627">
        <f>SUM(D14:O14)</f>
        <v>5.7</v>
      </c>
      <c r="AR14" s="411"/>
      <c r="AS14" s="411"/>
      <c r="AT14" s="411"/>
      <c r="AU14" s="411"/>
      <c r="AV14" s="1686"/>
    </row>
    <row r="15" spans="1:48" ht="8" customHeight="1" thickBot="1">
      <c r="C15" s="1471"/>
      <c r="D15" s="1472">
        <f>IF(D10&gt;0,IF(D14=0,1,0),0)</f>
        <v>0</v>
      </c>
      <c r="E15" s="1472">
        <f t="shared" ref="E15:M15" si="0">IF(E10&gt;0,IF(E14=0,1,0),0)</f>
        <v>0</v>
      </c>
      <c r="F15" s="1472">
        <f t="shared" si="0"/>
        <v>0</v>
      </c>
      <c r="G15" s="1472">
        <f t="shared" si="0"/>
        <v>0</v>
      </c>
      <c r="H15" s="1472">
        <f t="shared" si="0"/>
        <v>0</v>
      </c>
      <c r="I15" s="1472">
        <f t="shared" si="0"/>
        <v>0</v>
      </c>
      <c r="J15" s="1472">
        <f t="shared" si="0"/>
        <v>0</v>
      </c>
      <c r="K15" s="1472">
        <f t="shared" si="0"/>
        <v>0</v>
      </c>
      <c r="L15" s="1472">
        <f t="shared" si="0"/>
        <v>0</v>
      </c>
      <c r="M15" s="1472">
        <f t="shared" si="0"/>
        <v>0</v>
      </c>
      <c r="N15" s="1472">
        <v>0</v>
      </c>
      <c r="O15" s="1472">
        <f>SUM(D15:M15)</f>
        <v>0</v>
      </c>
      <c r="P15" s="1472">
        <f>SUM(D15:O15)</f>
        <v>0</v>
      </c>
      <c r="Q15" s="1473"/>
      <c r="R15" s="1474"/>
      <c r="S15" s="1475"/>
      <c r="T15" s="1474"/>
      <c r="U15" s="1786"/>
      <c r="V15" s="1787" t="s">
        <v>2106</v>
      </c>
      <c r="W15" s="1788" t="s">
        <v>448</v>
      </c>
      <c r="X15" s="1787" t="s">
        <v>2107</v>
      </c>
      <c r="Y15" s="1788" t="s">
        <v>42</v>
      </c>
      <c r="Z15" s="1787" t="s">
        <v>2108</v>
      </c>
      <c r="AA15" s="1788" t="s">
        <v>436</v>
      </c>
      <c r="AB15" s="1787" t="s">
        <v>475</v>
      </c>
      <c r="AC15" s="1788" t="s">
        <v>2109</v>
      </c>
      <c r="AD15" s="1787" t="s">
        <v>478</v>
      </c>
      <c r="AE15" s="1788" t="s">
        <v>2110</v>
      </c>
      <c r="AF15" s="1787" t="s">
        <v>2111</v>
      </c>
      <c r="AG15" s="1788" t="s">
        <v>2112</v>
      </c>
      <c r="AH15" s="1787" t="s">
        <v>437</v>
      </c>
      <c r="AI15" s="1788" t="s">
        <v>2113</v>
      </c>
      <c r="AJ15" s="1787" t="s">
        <v>2114</v>
      </c>
      <c r="AK15" s="1788" t="s">
        <v>97</v>
      </c>
      <c r="AL15" s="1787" t="s">
        <v>96</v>
      </c>
      <c r="AM15" s="1788" t="s">
        <v>1387</v>
      </c>
      <c r="AN15" s="1787" t="s">
        <v>2115</v>
      </c>
      <c r="AO15" s="1788" t="s">
        <v>549</v>
      </c>
      <c r="AP15" s="411"/>
      <c r="AQ15" s="1627">
        <f>SUM(AQ9:AQ14)</f>
        <v>39379.786199999995</v>
      </c>
      <c r="AR15" s="411"/>
      <c r="AS15" s="411"/>
      <c r="AT15" s="411"/>
      <c r="AU15" s="411"/>
      <c r="AV15" s="1686"/>
    </row>
    <row r="16" spans="1:48" s="612" customFormat="1" ht="18" customHeight="1">
      <c r="A16" s="611" t="str">
        <f ca="1">IF(C16=Retire!$D$12,"==&gt;","")</f>
        <v/>
      </c>
      <c r="B16" s="611"/>
      <c r="C16" s="1192">
        <f ca="1">YEAR(TODAY())</f>
        <v>2022</v>
      </c>
      <c r="D16" s="1193">
        <f ca="1">IF(SUM(V16+W16)=2, D10*12, 0)</f>
        <v>0</v>
      </c>
      <c r="E16" s="1193">
        <f ca="1">IF(SUM(X16+Y16)=2, E10*12, 0)</f>
        <v>0</v>
      </c>
      <c r="F16" s="1193">
        <f ca="1">IF(SUM(Z16+AA16)=2, F10*12, 0)</f>
        <v>0</v>
      </c>
      <c r="G16" s="1193">
        <f ca="1">IF(SUM(AB16+AC16)=2, G10*12, 0)</f>
        <v>114000</v>
      </c>
      <c r="H16" s="1193">
        <f ca="1">IF(SUM(AD16+AE16)=2, H10*12, 0)</f>
        <v>96000</v>
      </c>
      <c r="I16" s="1193">
        <f ca="1">IF(SUM(AF16+AG16)=2, I10*12, 0)</f>
        <v>0</v>
      </c>
      <c r="J16" s="1193">
        <f ca="1">IF(SUM(AH16+AI16)=2, J10*12, 0)</f>
        <v>0</v>
      </c>
      <c r="K16" s="1193">
        <f ca="1">IF(SUM(AJ16+AK16)=2, K10*12, 0)</f>
        <v>0</v>
      </c>
      <c r="L16" s="1193">
        <f ca="1">IF(SUM(AL16+AM16)=2, L10*12, 0)</f>
        <v>0</v>
      </c>
      <c r="M16" s="1193">
        <f ca="1">IF(SUM(AN16+AO16)=2, M10*12, 0)</f>
        <v>0</v>
      </c>
      <c r="N16" s="1066">
        <v>0</v>
      </c>
      <c r="O16" s="1188">
        <f>IF(Rental!Q37&gt;0,Rental!Q37,0)</f>
        <v>0</v>
      </c>
      <c r="P16" s="720"/>
      <c r="Q16" s="1193">
        <f t="shared" ref="Q16:Q47" ca="1" si="1">SUM(D16:O16)</f>
        <v>210000</v>
      </c>
      <c r="R16" s="1193">
        <f t="shared" ref="R16:R47" ca="1" si="2">SUM((D16*$D$14)+(E16*$E$14)+(F16*$F$14)+(G16*$G$14)+(H16*$H$14)+(I16*$I$14)+(J16*$J$14)+(K16*$K$14)+(L16*$L$14)+(M16*$M$14)+(N16*$N$14)+(O16*$O$14))</f>
        <v>210000</v>
      </c>
      <c r="S16" s="1188">
        <f t="shared" ref="S16:S47" ca="1" si="3">Q16-R16</f>
        <v>0</v>
      </c>
      <c r="T16" s="1200">
        <f ca="1">Individuals!F10</f>
        <v>54</v>
      </c>
      <c r="U16" s="1201">
        <f ca="1">Individuals!F15</f>
        <v>52</v>
      </c>
      <c r="V16" s="611">
        <f ca="1">IF(C16&gt;=$D$11,1,0)</f>
        <v>0</v>
      </c>
      <c r="W16" s="1789">
        <f>IF($D$12&lt;&gt;"",IF(C16&lt;$D$12,1,0),1)</f>
        <v>1</v>
      </c>
      <c r="X16" s="611">
        <f ca="1">IF(C16&gt;=$E$11,1,0)</f>
        <v>0</v>
      </c>
      <c r="Y16" s="1789">
        <f>IF($E$12&lt;&gt;"",IF(C16&lt;$E$12,1,0),1)</f>
        <v>1</v>
      </c>
      <c r="Z16" s="611">
        <f ca="1">IF(C16&gt;=$F$11,1,0)</f>
        <v>0</v>
      </c>
      <c r="AA16" s="1790">
        <f>IF($F$12&lt;&gt;"",IF(C16&lt;$F$12,1,0),1)</f>
        <v>1</v>
      </c>
      <c r="AB16" s="1791">
        <f ca="1">IF(C16&gt;=$G$11,1,0)</f>
        <v>1</v>
      </c>
      <c r="AC16" s="1790">
        <f ca="1">IF($G$12&lt;&gt;"",IF(C16&lt;$G$12,1,0),1)</f>
        <v>1</v>
      </c>
      <c r="AD16" s="1791">
        <f ca="1">IF(C16&gt;=$H$11,1,0)</f>
        <v>1</v>
      </c>
      <c r="AE16" s="1790">
        <f ca="1">IF($H$12&lt;&gt;"",IF(C16&lt;$H$12,1,0),1)</f>
        <v>1</v>
      </c>
      <c r="AF16" s="1791">
        <f ca="1">IF(C16&gt;=$I$11,1,0)</f>
        <v>1</v>
      </c>
      <c r="AG16" s="1790">
        <f>IF($I$12&lt;&gt;"",IF(C16&lt;$I$12,1,0),1)</f>
        <v>1</v>
      </c>
      <c r="AH16" s="1791">
        <f ca="1">IF(C16&gt;=$J$11,1,0)</f>
        <v>1</v>
      </c>
      <c r="AI16" s="1790">
        <f>IF($J$12&lt;&gt;"",IF(C16&lt;$J$12,1,0),1)</f>
        <v>1</v>
      </c>
      <c r="AJ16" s="1791">
        <f ca="1">IF(C16&gt;=$K$11,1,0)</f>
        <v>1</v>
      </c>
      <c r="AK16" s="1790">
        <f>IF($K$12&lt;&gt;"",IF(C16&lt;$K$12,1,0),1)</f>
        <v>1</v>
      </c>
      <c r="AL16" s="1791">
        <f ca="1">IF(C16&gt;=$L$11,1,0)</f>
        <v>1</v>
      </c>
      <c r="AM16" s="1790">
        <f>IF($L$12&lt;&gt;"",IF(C16&lt;$L$12,1,0),1)</f>
        <v>1</v>
      </c>
      <c r="AN16" s="1791">
        <f ca="1">IF(C16&gt;=$M$11,1,0)</f>
        <v>1</v>
      </c>
      <c r="AO16" s="1790">
        <f>IF($M$12&lt;&gt;"",IF(C16&lt;$M$12,1,0),1)</f>
        <v>1</v>
      </c>
    </row>
    <row r="17" spans="1:43" s="612" customFormat="1" ht="18" customHeight="1">
      <c r="A17" s="611" t="str">
        <f ca="1">IF(C17=Retire!$D$12,"==&gt;","")</f>
        <v/>
      </c>
      <c r="B17" s="611"/>
      <c r="C17" s="1194">
        <f ca="1">C16+1</f>
        <v>2023</v>
      </c>
      <c r="D17" s="1195">
        <f ca="1">IF(SUM(V17+W17)=2,IF(D16=0,$D$10*12,D16+(D16*$D$13)  ),0 )</f>
        <v>0</v>
      </c>
      <c r="E17" s="1195">
        <f ca="1">IF(SUM(X17+Y17)=2,IF(E16=0,$E$10*12,E16+(E16*$E$13)  ),0 )</f>
        <v>0</v>
      </c>
      <c r="F17" s="1195">
        <f ca="1">IF(SUM(Z17+AA17)=2,IF(F16=0,$F$10*12,F16+(F16*$F$13)  ),0 )</f>
        <v>0</v>
      </c>
      <c r="G17" s="1195">
        <f ca="1">IF(SUM(AB17+AC17)=2,IF(G16=0,$G$10*12,G16+(G16*$G$13)  ),0 )</f>
        <v>116280</v>
      </c>
      <c r="H17" s="1195">
        <f ca="1">IF(SUM(AD17+AE17)=2,IF(H16=0,$H$10*12,H16+(H16*$H$13)  ),0 )</f>
        <v>97920</v>
      </c>
      <c r="I17" s="1195">
        <f ca="1">IF(SUM(AF17+AG17)=2,IF(I16=0,$I$10*12,I16+(I16*$I$13)  ),0 )</f>
        <v>0</v>
      </c>
      <c r="J17" s="1195">
        <f ca="1">IF(SUM(AH17+AI17)=2,IF(J16=0,$J$10*12,J16+(J16*$J$13)  ),0 )</f>
        <v>0</v>
      </c>
      <c r="K17" s="1195">
        <f ca="1">IF(SUM(AJ17+AK17)=2,IF(K16=0,$K$10*12,K16+(K16*$K$13)  ),0 )</f>
        <v>0</v>
      </c>
      <c r="L17" s="1195">
        <f ca="1">IF(SUM(AL17+AM17)=2,IF(L16=0,$L$10*12,L16+(L16*$L$13)  ),0 )</f>
        <v>0</v>
      </c>
      <c r="M17" s="1195">
        <f ca="1">IF(SUM(AN17+AO17)=2,IF(M16=0,$M$10*12,M16+(M16*$M$13)  ),0 )</f>
        <v>0</v>
      </c>
      <c r="N17" s="1066">
        <v>0</v>
      </c>
      <c r="O17" s="1196">
        <f ca="1">IF(Rental!Q38&gt;0,Rental!Q38,0)</f>
        <v>0</v>
      </c>
      <c r="P17" s="720"/>
      <c r="Q17" s="1195">
        <f t="shared" ca="1" si="1"/>
        <v>214200</v>
      </c>
      <c r="R17" s="1195">
        <f t="shared" ca="1" si="2"/>
        <v>214200</v>
      </c>
      <c r="S17" s="1196">
        <f t="shared" ca="1" si="3"/>
        <v>0</v>
      </c>
      <c r="T17" s="1202">
        <f ca="1">T16+1</f>
        <v>55</v>
      </c>
      <c r="U17" s="1202">
        <f ca="1">IF(ISNUMBER(U16),U16+1,"")</f>
        <v>53</v>
      </c>
      <c r="V17" s="611">
        <f t="shared" ref="V17:V80" ca="1" si="4">IF(C17&gt;=$D$11,1,0)</f>
        <v>0</v>
      </c>
      <c r="W17" s="1790">
        <f t="shared" ref="W17:W80" si="5">IF($D$12&lt;&gt;"",IF(C17&lt;$D$12,1,0),1)</f>
        <v>1</v>
      </c>
      <c r="X17" s="611">
        <f t="shared" ref="X17:X80" ca="1" si="6">IF(C17&gt;=$E$11,1,0)</f>
        <v>0</v>
      </c>
      <c r="Y17" s="1790">
        <f t="shared" ref="Y17:Y80" si="7">IF($E$12&lt;&gt;"",IF(C17&lt;$E$12,1,0),1)</f>
        <v>1</v>
      </c>
      <c r="Z17" s="611">
        <f t="shared" ref="Z17:Z80" ca="1" si="8">IF(C17&gt;=$F$11,1,0)</f>
        <v>0</v>
      </c>
      <c r="AA17" s="1790">
        <f t="shared" ref="AA17:AA80" si="9">IF($F$12&lt;&gt;"",IF(C17&lt;$F$12,1,0),1)</f>
        <v>1</v>
      </c>
      <c r="AB17" s="1791">
        <f t="shared" ref="AB17:AB80" ca="1" si="10">IF(C17&gt;=$G$11,1,0)</f>
        <v>1</v>
      </c>
      <c r="AC17" s="1790">
        <f t="shared" ref="AC17:AC80" ca="1" si="11">IF($G$12&lt;&gt;"",IF(C17&lt;$G$12,1,0),1)</f>
        <v>1</v>
      </c>
      <c r="AD17" s="1793">
        <f t="shared" ref="AD17:AD80" ca="1" si="12">IF(C17&gt;=$H$11,1,0)</f>
        <v>1</v>
      </c>
      <c r="AE17" s="1794">
        <f t="shared" ref="AE17:AE80" ca="1" si="13">IF($H$12&lt;&gt;"",IF(C17&lt;$H$12,1,0),1)</f>
        <v>1</v>
      </c>
      <c r="AF17" s="1791">
        <f t="shared" ref="AF17:AF80" ca="1" si="14">IF(C17&gt;=$I$11,1,0)</f>
        <v>1</v>
      </c>
      <c r="AG17" s="1790">
        <f t="shared" ref="AG17:AG80" si="15">IF($I$12&lt;&gt;"",IF(C17&lt;$I$12,1,0),1)</f>
        <v>1</v>
      </c>
      <c r="AH17" s="1791">
        <f t="shared" ref="AH17:AH80" ca="1" si="16">IF(C17&gt;=$J$11,1,0)</f>
        <v>1</v>
      </c>
      <c r="AI17" s="1790">
        <f t="shared" ref="AI17:AI80" si="17">IF($J$12&lt;&gt;"",IF(C17&lt;$J$12,1,0),1)</f>
        <v>1</v>
      </c>
      <c r="AJ17" s="1791">
        <f t="shared" ref="AJ17:AJ80" ca="1" si="18">IF(C17&gt;=$K$11,1,0)</f>
        <v>1</v>
      </c>
      <c r="AK17" s="1790">
        <f t="shared" ref="AK17:AK80" si="19">IF($K$12&lt;&gt;"",IF(C17&lt;$K$12,1,0),1)</f>
        <v>1</v>
      </c>
      <c r="AL17" s="1791">
        <f t="shared" ref="AL17:AL80" ca="1" si="20">IF(C17&gt;=$L$11,1,0)</f>
        <v>1</v>
      </c>
      <c r="AM17" s="1790">
        <f t="shared" ref="AM17:AM80" si="21">IF($L$12&lt;&gt;"",IF(C17&lt;$L$12,1,0),1)</f>
        <v>1</v>
      </c>
      <c r="AN17" s="1791">
        <f t="shared" ref="AN17:AN80" ca="1" si="22">IF(C17&gt;=$M$11,1,0)</f>
        <v>1</v>
      </c>
      <c r="AO17" s="1790">
        <f t="shared" ref="AO17:AO80" si="23">IF($M$12&lt;&gt;"",IF(C17&lt;$M$12,1,0),1)</f>
        <v>1</v>
      </c>
    </row>
    <row r="18" spans="1:43" s="612" customFormat="1" ht="18" customHeight="1">
      <c r="A18" s="611" t="str">
        <f ca="1">IF(C18=Retire!$D$12,"==&gt;","")</f>
        <v/>
      </c>
      <c r="B18" s="611"/>
      <c r="C18" s="1192">
        <f t="shared" ref="C18:C64" ca="1" si="24">C17+1</f>
        <v>2024</v>
      </c>
      <c r="D18" s="1193">
        <f ca="1">IF(SUM(V18+W18)=2,IF(D17=0,$D$10*12,D17+(D17*$D$13)  ),0 )</f>
        <v>0</v>
      </c>
      <c r="E18" s="1193">
        <f ca="1">IF(SUM(X18+Y18)=2,IF(E17=0,$E$10*12,E17+(E17*$E$13)  ),0 )</f>
        <v>0</v>
      </c>
      <c r="F18" s="1193">
        <f ca="1">IF(SUM(Z18+AA18)=2,IF(F17=0,$F$10*12,F17+(F17*$F$13)  ),0 )</f>
        <v>0</v>
      </c>
      <c r="G18" s="1193">
        <f ca="1">IF(SUM(AB18+AC18)=2,IF(G17=0,$G$10*12,G17+(G17*$G$13)  ),0 )</f>
        <v>118605.6</v>
      </c>
      <c r="H18" s="1193">
        <f ca="1">IF(SUM(AD18+AE18)=2,IF(H17=0,$H$10*12,H17+(H17*$H$13)  ),0 )</f>
        <v>99878.399999999994</v>
      </c>
      <c r="I18" s="1193">
        <f ca="1">IF(SUM(AF18+AG18)=2,IF(I17=0,$I$10*12,I17+(I17*$I$13)  ),0 )</f>
        <v>0</v>
      </c>
      <c r="J18" s="1193">
        <f ca="1">IF(SUM(AH18+AI18)=2,IF(J17=0,$J$10*12,J17+(J17*$J$13)  ),0 )</f>
        <v>0</v>
      </c>
      <c r="K18" s="1193">
        <f ca="1">IF(SUM(AJ18+AK18)=2,IF(K17=0,$K$10*12,K17+(K17*$K$13)  ),0 )</f>
        <v>0</v>
      </c>
      <c r="L18" s="1193">
        <f ca="1">IF(SUM(AL18+AM18)=2,IF(L17=0,$L$10*12,L17+(L17*$L$13)  ),0 )</f>
        <v>0</v>
      </c>
      <c r="M18" s="1193">
        <f ca="1">IF(SUM(AN18+AO18)=2,IF(M17=0,$M$10*12,M17+(M17*$M$13)  ),0 )</f>
        <v>0</v>
      </c>
      <c r="N18" s="1066">
        <v>0</v>
      </c>
      <c r="O18" s="1188">
        <f ca="1">IF(Rental!Q39&gt;0,Rental!Q39,0)</f>
        <v>0</v>
      </c>
      <c r="P18" s="720"/>
      <c r="Q18" s="1193">
        <f t="shared" ca="1" si="1"/>
        <v>218484</v>
      </c>
      <c r="R18" s="1193">
        <f t="shared" ca="1" si="2"/>
        <v>218484</v>
      </c>
      <c r="S18" s="1188">
        <f t="shared" ca="1" si="3"/>
        <v>0</v>
      </c>
      <c r="T18" s="1201">
        <f t="shared" ref="T18:T81" ca="1" si="25">T17+1</f>
        <v>56</v>
      </c>
      <c r="U18" s="1201">
        <f t="shared" ref="U18:U81" ca="1" si="26">IF(ISNUMBER(U17),U17+1,"")</f>
        <v>54</v>
      </c>
      <c r="V18" s="611">
        <f t="shared" ca="1" si="4"/>
        <v>0</v>
      </c>
      <c r="W18" s="1790">
        <f t="shared" si="5"/>
        <v>1</v>
      </c>
      <c r="X18" s="611">
        <f t="shared" ca="1" si="6"/>
        <v>0</v>
      </c>
      <c r="Y18" s="1790">
        <f t="shared" si="7"/>
        <v>1</v>
      </c>
      <c r="Z18" s="611">
        <f t="shared" ca="1" si="8"/>
        <v>0</v>
      </c>
      <c r="AA18" s="1790">
        <f t="shared" si="9"/>
        <v>1</v>
      </c>
      <c r="AB18" s="1791">
        <f t="shared" ca="1" si="10"/>
        <v>1</v>
      </c>
      <c r="AC18" s="1790">
        <f t="shared" ca="1" si="11"/>
        <v>1</v>
      </c>
      <c r="AD18" s="1793">
        <f t="shared" ca="1" si="12"/>
        <v>1</v>
      </c>
      <c r="AE18" s="1794">
        <f t="shared" ca="1" si="13"/>
        <v>1</v>
      </c>
      <c r="AF18" s="1791">
        <f t="shared" ca="1" si="14"/>
        <v>1</v>
      </c>
      <c r="AG18" s="1790">
        <f t="shared" si="15"/>
        <v>1</v>
      </c>
      <c r="AH18" s="1791">
        <f t="shared" ca="1" si="16"/>
        <v>1</v>
      </c>
      <c r="AI18" s="1790">
        <f t="shared" si="17"/>
        <v>1</v>
      </c>
      <c r="AJ18" s="1791">
        <f t="shared" ca="1" si="18"/>
        <v>1</v>
      </c>
      <c r="AK18" s="1790">
        <f t="shared" si="19"/>
        <v>1</v>
      </c>
      <c r="AL18" s="1791">
        <f t="shared" ca="1" si="20"/>
        <v>1</v>
      </c>
      <c r="AM18" s="1790">
        <f t="shared" si="21"/>
        <v>1</v>
      </c>
      <c r="AN18" s="1791">
        <f t="shared" ca="1" si="22"/>
        <v>1</v>
      </c>
      <c r="AO18" s="1790">
        <f t="shared" si="23"/>
        <v>1</v>
      </c>
      <c r="AQ18" s="1795"/>
    </row>
    <row r="19" spans="1:43" s="612" customFormat="1" ht="18" customHeight="1">
      <c r="A19" s="611" t="str">
        <f ca="1">IF(C19=Retire!$D$12,"==&gt;","")</f>
        <v/>
      </c>
      <c r="B19" s="611"/>
      <c r="C19" s="1194">
        <f t="shared" ca="1" si="24"/>
        <v>2025</v>
      </c>
      <c r="D19" s="1195">
        <f ca="1">IF(SUM(V19+W19)=2,IF(D18=0,$D$10*12,D18+(D18*$D$13)  ),0 )</f>
        <v>0</v>
      </c>
      <c r="E19" s="1195">
        <f ca="1">IF(SUM(X19+Y19)=2,IF(E18=0,$E$10*12,E18+(E18*$E$13)  ),0 )</f>
        <v>0</v>
      </c>
      <c r="F19" s="1195">
        <f ca="1">IF(SUM(Z19+AA19)=2,IF(F18=0,$F$10*12,F18+(F18*$F$13)  ),0 )</f>
        <v>0</v>
      </c>
      <c r="G19" s="1195">
        <f ca="1">IF(SUM(AB19+AC19)=2,IF(G18=0,$G$10*12,G18+(G18*$G$13)  ),0 )</f>
        <v>120977.712</v>
      </c>
      <c r="H19" s="1195">
        <f ca="1">IF(SUM(AD19+AE19)=2,IF(H18=0,$H$10*12,H18+(H18*$H$13)  ),0 )</f>
        <v>101875.96799999999</v>
      </c>
      <c r="I19" s="1195">
        <f ca="1">IF(SUM(AF19+AG19)=2,IF(I18=0,$I$10*12,I18+(I18*$I$13)  ),0 )</f>
        <v>0</v>
      </c>
      <c r="J19" s="1195">
        <f ca="1">IF(SUM(AH19+AI19)=2,IF(J18=0,$J$10*12,J18+(J18*$J$13)  ),0 )</f>
        <v>0</v>
      </c>
      <c r="K19" s="1195">
        <f ca="1">IF(SUM(AJ19+AK19)=2,IF(K18=0,$K$10*12,K18+(K18*$K$13)  ),0 )</f>
        <v>0</v>
      </c>
      <c r="L19" s="1195">
        <f ca="1">IF(SUM(AL19+AM19)=2,IF(L18=0,$L$10*12,L18+(L18*$L$13)  ),0 )</f>
        <v>0</v>
      </c>
      <c r="M19" s="1195">
        <f ca="1">IF(SUM(AN19+AO19)=2,IF(M18=0,$M$10*12,M18+(M18*$M$13)  ),0 )</f>
        <v>0</v>
      </c>
      <c r="N19" s="1066">
        <v>0</v>
      </c>
      <c r="O19" s="1196">
        <f ca="1">IF(Rental!Q40&gt;0,Rental!Q40,0)</f>
        <v>0</v>
      </c>
      <c r="P19" s="720"/>
      <c r="Q19" s="1195">
        <f t="shared" ca="1" si="1"/>
        <v>222853.68</v>
      </c>
      <c r="R19" s="1195">
        <f t="shared" ca="1" si="2"/>
        <v>222853.68</v>
      </c>
      <c r="S19" s="1196">
        <f t="shared" ca="1" si="3"/>
        <v>0</v>
      </c>
      <c r="T19" s="1202">
        <f t="shared" ca="1" si="25"/>
        <v>57</v>
      </c>
      <c r="U19" s="1202">
        <f t="shared" ca="1" si="26"/>
        <v>55</v>
      </c>
      <c r="V19" s="611">
        <f t="shared" ca="1" si="4"/>
        <v>0</v>
      </c>
      <c r="W19" s="1790">
        <f t="shared" si="5"/>
        <v>1</v>
      </c>
      <c r="X19" s="611">
        <f t="shared" ca="1" si="6"/>
        <v>0</v>
      </c>
      <c r="Y19" s="1790">
        <f t="shared" si="7"/>
        <v>1</v>
      </c>
      <c r="Z19" s="611">
        <f t="shared" ca="1" si="8"/>
        <v>0</v>
      </c>
      <c r="AA19" s="1790">
        <f t="shared" si="9"/>
        <v>1</v>
      </c>
      <c r="AB19" s="1791">
        <f t="shared" ca="1" si="10"/>
        <v>1</v>
      </c>
      <c r="AC19" s="1790">
        <f t="shared" ca="1" si="11"/>
        <v>1</v>
      </c>
      <c r="AD19" s="1791">
        <f t="shared" ca="1" si="12"/>
        <v>1</v>
      </c>
      <c r="AE19" s="1790">
        <f t="shared" ca="1" si="13"/>
        <v>1</v>
      </c>
      <c r="AF19" s="1791">
        <f t="shared" ca="1" si="14"/>
        <v>1</v>
      </c>
      <c r="AG19" s="1790">
        <f t="shared" si="15"/>
        <v>1</v>
      </c>
      <c r="AH19" s="1791">
        <f t="shared" ca="1" si="16"/>
        <v>1</v>
      </c>
      <c r="AI19" s="1790">
        <f t="shared" si="17"/>
        <v>1</v>
      </c>
      <c r="AJ19" s="1791">
        <f t="shared" ca="1" si="18"/>
        <v>1</v>
      </c>
      <c r="AK19" s="1790">
        <f t="shared" si="19"/>
        <v>1</v>
      </c>
      <c r="AL19" s="1791">
        <f t="shared" ca="1" si="20"/>
        <v>1</v>
      </c>
      <c r="AM19" s="1790">
        <f t="shared" si="21"/>
        <v>1</v>
      </c>
      <c r="AN19" s="1791">
        <f t="shared" ca="1" si="22"/>
        <v>1</v>
      </c>
      <c r="AO19" s="1790">
        <f t="shared" si="23"/>
        <v>1</v>
      </c>
    </row>
    <row r="20" spans="1:43" s="612" customFormat="1" ht="18" customHeight="1">
      <c r="A20" s="611" t="str">
        <f ca="1">IF(C20=Retire!$D$12,"==&gt;","")</f>
        <v/>
      </c>
      <c r="B20" s="611"/>
      <c r="C20" s="1192">
        <f t="shared" ca="1" si="24"/>
        <v>2026</v>
      </c>
      <c r="D20" s="1193">
        <f ca="1">IF(SUM(V20+W20)=2,IF(D19=0,$D$10*12,D19+(D19*$D$13)  ),0 )</f>
        <v>0</v>
      </c>
      <c r="E20" s="1193">
        <f ca="1">IF(SUM(X20+Y20)=2,IF(E19=0,$E$10*12,E19+(E19*$E$13)  ),0 )</f>
        <v>0</v>
      </c>
      <c r="F20" s="1193">
        <f ca="1">IF(SUM(Z20+AA20)=2,IF(F19=0,$F$10*12,F19+(F19*$F$13)  ),0 )</f>
        <v>0</v>
      </c>
      <c r="G20" s="1193">
        <f ca="1">IF(SUM(AB20+AC20)=2,IF(G19=0,$G$10*12,G19+(G19*$G$13)  ),0 )</f>
        <v>123397.26624</v>
      </c>
      <c r="H20" s="1193">
        <f ca="1">IF(SUM(AD20+AE20)=2,IF(H19=0,$H$10*12,H19+(H19*$H$13)  ),0 )</f>
        <v>103913.48736</v>
      </c>
      <c r="I20" s="1193">
        <f ca="1">IF(SUM(AF20+AG20)=2,IF(I19=0,$I$10*12,I19+(I19*$I$13)  ),0 )</f>
        <v>0</v>
      </c>
      <c r="J20" s="1193">
        <f ca="1">IF(SUM(AH20+AI20)=2,IF(J19=0,$J$10*12,J19+(J19*$J$13)  ),0 )</f>
        <v>0</v>
      </c>
      <c r="K20" s="1193">
        <f ca="1">IF(SUM(AJ20+AK20)=2,IF(K19=0,$K$10*12,K19+(K19*$K$13)  ),0 )</f>
        <v>0</v>
      </c>
      <c r="L20" s="1193">
        <f ca="1">IF(SUM(AL20+AM20)=2,IF(L19=0,$L$10*12,L19+(L19*$L$13)  ),0 )</f>
        <v>0</v>
      </c>
      <c r="M20" s="1193">
        <f ca="1">IF(SUM(AN20+AO20)=2,IF(M19=0,$M$10*12,M19+(M19*$M$13)  ),0 )</f>
        <v>0</v>
      </c>
      <c r="N20" s="1066">
        <v>0</v>
      </c>
      <c r="O20" s="1188">
        <f ca="1">IF(Rental!Q41&gt;0,Rental!Q41,0)</f>
        <v>0</v>
      </c>
      <c r="P20" s="720"/>
      <c r="Q20" s="1193">
        <f t="shared" ca="1" si="1"/>
        <v>227310.7536</v>
      </c>
      <c r="R20" s="1193">
        <f t="shared" ca="1" si="2"/>
        <v>227310.7536</v>
      </c>
      <c r="S20" s="1188">
        <f t="shared" ca="1" si="3"/>
        <v>0</v>
      </c>
      <c r="T20" s="1201">
        <f t="shared" ca="1" si="25"/>
        <v>58</v>
      </c>
      <c r="U20" s="1201">
        <f t="shared" ca="1" si="26"/>
        <v>56</v>
      </c>
      <c r="V20" s="611">
        <f t="shared" ca="1" si="4"/>
        <v>0</v>
      </c>
      <c r="W20" s="1790">
        <f t="shared" si="5"/>
        <v>1</v>
      </c>
      <c r="X20" s="611">
        <f t="shared" ca="1" si="6"/>
        <v>0</v>
      </c>
      <c r="Y20" s="1790">
        <f t="shared" si="7"/>
        <v>1</v>
      </c>
      <c r="Z20" s="611">
        <f t="shared" ca="1" si="8"/>
        <v>0</v>
      </c>
      <c r="AA20" s="1790">
        <f t="shared" si="9"/>
        <v>1</v>
      </c>
      <c r="AB20" s="1791">
        <f t="shared" ca="1" si="10"/>
        <v>1</v>
      </c>
      <c r="AC20" s="1790">
        <f t="shared" ca="1" si="11"/>
        <v>1</v>
      </c>
      <c r="AD20" s="1791">
        <f t="shared" ca="1" si="12"/>
        <v>1</v>
      </c>
      <c r="AE20" s="1790">
        <f t="shared" ca="1" si="13"/>
        <v>1</v>
      </c>
      <c r="AF20" s="1791">
        <f t="shared" ca="1" si="14"/>
        <v>1</v>
      </c>
      <c r="AG20" s="1790">
        <f t="shared" si="15"/>
        <v>1</v>
      </c>
      <c r="AH20" s="1791">
        <f t="shared" ca="1" si="16"/>
        <v>1</v>
      </c>
      <c r="AI20" s="1790">
        <f t="shared" si="17"/>
        <v>1</v>
      </c>
      <c r="AJ20" s="1791">
        <f t="shared" ca="1" si="18"/>
        <v>1</v>
      </c>
      <c r="AK20" s="1790">
        <f t="shared" si="19"/>
        <v>1</v>
      </c>
      <c r="AL20" s="1791">
        <f t="shared" ca="1" si="20"/>
        <v>1</v>
      </c>
      <c r="AM20" s="1790">
        <f t="shared" si="21"/>
        <v>1</v>
      </c>
      <c r="AN20" s="1791">
        <f t="shared" ca="1" si="22"/>
        <v>1</v>
      </c>
      <c r="AO20" s="1790">
        <f t="shared" si="23"/>
        <v>1</v>
      </c>
    </row>
    <row r="21" spans="1:43" s="612" customFormat="1" ht="18" customHeight="1">
      <c r="A21" s="611" t="str">
        <f ca="1">IF(C21=Retire!$D$12,"==&gt;","")</f>
        <v/>
      </c>
      <c r="B21" s="611"/>
      <c r="C21" s="1194">
        <f t="shared" ca="1" si="24"/>
        <v>2027</v>
      </c>
      <c r="D21" s="1195">
        <f t="shared" ref="D21:D84" ca="1" si="27">IF(SUM(V21+W21)=2,IF(D20=0,$D$10*12,D20+(D20*$D$13)  ),0 )</f>
        <v>0</v>
      </c>
      <c r="E21" s="1195">
        <f t="shared" ref="E21:E84" ca="1" si="28">IF(SUM(X21+Y21)=2,IF(E20=0,$E$10*12,E20+(E20*$E$13)  ),0 )</f>
        <v>0</v>
      </c>
      <c r="F21" s="1195">
        <f t="shared" ref="F21:F84" ca="1" si="29">IF(SUM(Z21+AA21)=2,IF(F20=0,$F$10*12,F20+(F20*$F$13)  ),0 )</f>
        <v>0</v>
      </c>
      <c r="G21" s="1195">
        <f t="shared" ref="G21:G84" ca="1" si="30">IF(SUM(AB21+AC21)=2,IF(G20=0,$G$10*12,G20+(G20*$G$13)  ),0 )</f>
        <v>125865.2115648</v>
      </c>
      <c r="H21" s="1195">
        <f t="shared" ref="H21:H84" ca="1" si="31">IF(SUM(AD21+AE21)=2,IF(H20=0,$H$10*12,H20+(H20*$H$13)  ),0 )</f>
        <v>105991.7571072</v>
      </c>
      <c r="I21" s="1195">
        <f t="shared" ref="I21:I84" ca="1" si="32">IF(SUM(AF21+AG21)=2,IF(I20=0,$I$10*12,I20+(I20*$I$13)  ),0 )</f>
        <v>0</v>
      </c>
      <c r="J21" s="1195">
        <f t="shared" ref="J21:J84" ca="1" si="33">IF(SUM(AH21+AI21)=2,IF(J20=0,$J$10*12,J20+(J20*$J$13)  ),0 )</f>
        <v>0</v>
      </c>
      <c r="K21" s="1195">
        <f t="shared" ref="K21:K84" ca="1" si="34">IF(SUM(AJ21+AK21)=2,IF(K20=0,$K$10*12,K20+(K20*$K$13)  ),0 )</f>
        <v>0</v>
      </c>
      <c r="L21" s="1195">
        <f t="shared" ref="L21:L84" ca="1" si="35">IF(SUM(AL21+AM21)=2,IF(L20=0,$L$10*12,L20+(L20*$L$13)  ),0 )</f>
        <v>0</v>
      </c>
      <c r="M21" s="1195">
        <f t="shared" ref="M21:M84" ca="1" si="36">IF(SUM(AN21+AO21)=2,IF(M20=0,$M$10*12,M20+(M20*$M$13)  ),0 )</f>
        <v>0</v>
      </c>
      <c r="N21" s="1066">
        <v>0</v>
      </c>
      <c r="O21" s="1196">
        <f ca="1">IF(Rental!Q42&gt;0,Rental!Q42,0)</f>
        <v>0</v>
      </c>
      <c r="P21" s="720"/>
      <c r="Q21" s="1195">
        <f t="shared" ca="1" si="1"/>
        <v>231856.96867199999</v>
      </c>
      <c r="R21" s="1195">
        <f t="shared" ca="1" si="2"/>
        <v>231856.96867199999</v>
      </c>
      <c r="S21" s="1196">
        <f t="shared" ca="1" si="3"/>
        <v>0</v>
      </c>
      <c r="T21" s="1202">
        <f t="shared" ca="1" si="25"/>
        <v>59</v>
      </c>
      <c r="U21" s="1202">
        <f t="shared" ca="1" si="26"/>
        <v>57</v>
      </c>
      <c r="V21" s="611">
        <f t="shared" ca="1" si="4"/>
        <v>0</v>
      </c>
      <c r="W21" s="1790">
        <f t="shared" si="5"/>
        <v>1</v>
      </c>
      <c r="X21" s="611">
        <f t="shared" ca="1" si="6"/>
        <v>0</v>
      </c>
      <c r="Y21" s="1790">
        <f t="shared" si="7"/>
        <v>1</v>
      </c>
      <c r="Z21" s="611">
        <f t="shared" ca="1" si="8"/>
        <v>0</v>
      </c>
      <c r="AA21" s="1790">
        <f t="shared" si="9"/>
        <v>1</v>
      </c>
      <c r="AB21" s="1791">
        <f t="shared" ca="1" si="10"/>
        <v>1</v>
      </c>
      <c r="AC21" s="1790">
        <f t="shared" ca="1" si="11"/>
        <v>1</v>
      </c>
      <c r="AD21" s="1791">
        <f t="shared" ca="1" si="12"/>
        <v>1</v>
      </c>
      <c r="AE21" s="1790">
        <f t="shared" ca="1" si="13"/>
        <v>1</v>
      </c>
      <c r="AF21" s="1791">
        <f t="shared" ca="1" si="14"/>
        <v>1</v>
      </c>
      <c r="AG21" s="1790">
        <f t="shared" si="15"/>
        <v>1</v>
      </c>
      <c r="AH21" s="1791">
        <f t="shared" ca="1" si="16"/>
        <v>1</v>
      </c>
      <c r="AI21" s="1790">
        <f t="shared" si="17"/>
        <v>1</v>
      </c>
      <c r="AJ21" s="1791">
        <f t="shared" ca="1" si="18"/>
        <v>1</v>
      </c>
      <c r="AK21" s="1790">
        <f t="shared" si="19"/>
        <v>1</v>
      </c>
      <c r="AL21" s="1791">
        <f t="shared" ca="1" si="20"/>
        <v>1</v>
      </c>
      <c r="AM21" s="1790">
        <f t="shared" si="21"/>
        <v>1</v>
      </c>
      <c r="AN21" s="1791">
        <f t="shared" ca="1" si="22"/>
        <v>1</v>
      </c>
      <c r="AO21" s="1790">
        <f t="shared" si="23"/>
        <v>1</v>
      </c>
    </row>
    <row r="22" spans="1:43" s="612" customFormat="1" ht="18" customHeight="1">
      <c r="A22" s="611" t="str">
        <f ca="1">IF(C22=Retire!$D$12,"==&gt;","")</f>
        <v/>
      </c>
      <c r="B22" s="611"/>
      <c r="C22" s="1192">
        <f t="shared" ca="1" si="24"/>
        <v>2028</v>
      </c>
      <c r="D22" s="1193">
        <f t="shared" ca="1" si="27"/>
        <v>0</v>
      </c>
      <c r="E22" s="1193">
        <f t="shared" ca="1" si="28"/>
        <v>0</v>
      </c>
      <c r="F22" s="1193">
        <f t="shared" ca="1" si="29"/>
        <v>0</v>
      </c>
      <c r="G22" s="1193">
        <f t="shared" ca="1" si="30"/>
        <v>128382.51579609601</v>
      </c>
      <c r="H22" s="1193">
        <f t="shared" ca="1" si="31"/>
        <v>108111.592249344</v>
      </c>
      <c r="I22" s="1193">
        <f t="shared" ca="1" si="32"/>
        <v>0</v>
      </c>
      <c r="J22" s="1193">
        <f t="shared" ca="1" si="33"/>
        <v>0</v>
      </c>
      <c r="K22" s="1193">
        <f t="shared" ca="1" si="34"/>
        <v>0</v>
      </c>
      <c r="L22" s="1193">
        <f t="shared" ca="1" si="35"/>
        <v>0</v>
      </c>
      <c r="M22" s="1193">
        <f t="shared" ca="1" si="36"/>
        <v>0</v>
      </c>
      <c r="N22" s="1066">
        <v>0</v>
      </c>
      <c r="O22" s="1188">
        <f ca="1">IF(Rental!Q43&gt;0,Rental!Q43,0)</f>
        <v>0</v>
      </c>
      <c r="P22" s="720"/>
      <c r="Q22" s="1193">
        <f t="shared" ca="1" si="1"/>
        <v>236494.10804543999</v>
      </c>
      <c r="R22" s="1193">
        <f t="shared" ca="1" si="2"/>
        <v>236494.10804543999</v>
      </c>
      <c r="S22" s="1188">
        <f t="shared" ca="1" si="3"/>
        <v>0</v>
      </c>
      <c r="T22" s="1201">
        <f t="shared" ca="1" si="25"/>
        <v>60</v>
      </c>
      <c r="U22" s="1201">
        <f t="shared" ca="1" si="26"/>
        <v>58</v>
      </c>
      <c r="V22" s="611">
        <f t="shared" ca="1" si="4"/>
        <v>0</v>
      </c>
      <c r="W22" s="1790">
        <f t="shared" si="5"/>
        <v>1</v>
      </c>
      <c r="X22" s="611">
        <f t="shared" ca="1" si="6"/>
        <v>0</v>
      </c>
      <c r="Y22" s="1790">
        <f t="shared" si="7"/>
        <v>1</v>
      </c>
      <c r="Z22" s="611">
        <f t="shared" ca="1" si="8"/>
        <v>0</v>
      </c>
      <c r="AA22" s="1790">
        <f t="shared" si="9"/>
        <v>1</v>
      </c>
      <c r="AB22" s="1791">
        <f t="shared" ca="1" si="10"/>
        <v>1</v>
      </c>
      <c r="AC22" s="1790">
        <f t="shared" ca="1" si="11"/>
        <v>1</v>
      </c>
      <c r="AD22" s="1791">
        <f t="shared" ca="1" si="12"/>
        <v>1</v>
      </c>
      <c r="AE22" s="1790">
        <f t="shared" ca="1" si="13"/>
        <v>1</v>
      </c>
      <c r="AF22" s="1791">
        <f t="shared" ca="1" si="14"/>
        <v>1</v>
      </c>
      <c r="AG22" s="1790">
        <f t="shared" si="15"/>
        <v>1</v>
      </c>
      <c r="AH22" s="1791">
        <f t="shared" ca="1" si="16"/>
        <v>1</v>
      </c>
      <c r="AI22" s="1790">
        <f t="shared" si="17"/>
        <v>1</v>
      </c>
      <c r="AJ22" s="1791">
        <f t="shared" ca="1" si="18"/>
        <v>1</v>
      </c>
      <c r="AK22" s="1790">
        <f t="shared" si="19"/>
        <v>1</v>
      </c>
      <c r="AL22" s="1791">
        <f t="shared" ca="1" si="20"/>
        <v>1</v>
      </c>
      <c r="AM22" s="1790">
        <f t="shared" si="21"/>
        <v>1</v>
      </c>
      <c r="AN22" s="1791">
        <f t="shared" ca="1" si="22"/>
        <v>1</v>
      </c>
      <c r="AO22" s="1790">
        <f t="shared" si="23"/>
        <v>1</v>
      </c>
    </row>
    <row r="23" spans="1:43" s="612" customFormat="1" ht="18" customHeight="1">
      <c r="A23" s="611" t="str">
        <f ca="1">IF(C23=Retire!$D$12,"==&gt;","")</f>
        <v/>
      </c>
      <c r="B23" s="611"/>
      <c r="C23" s="1194">
        <f t="shared" ca="1" si="24"/>
        <v>2029</v>
      </c>
      <c r="D23" s="1195">
        <f t="shared" ca="1" si="27"/>
        <v>0</v>
      </c>
      <c r="E23" s="1195">
        <f t="shared" ca="1" si="28"/>
        <v>0</v>
      </c>
      <c r="F23" s="1195">
        <f t="shared" ca="1" si="29"/>
        <v>0</v>
      </c>
      <c r="G23" s="1195">
        <f t="shared" ca="1" si="30"/>
        <v>130950.16611201792</v>
      </c>
      <c r="H23" s="1195">
        <f t="shared" ca="1" si="31"/>
        <v>110273.82409433088</v>
      </c>
      <c r="I23" s="1195">
        <f t="shared" ca="1" si="32"/>
        <v>0</v>
      </c>
      <c r="J23" s="1195">
        <f t="shared" ca="1" si="33"/>
        <v>0</v>
      </c>
      <c r="K23" s="1195">
        <f t="shared" ca="1" si="34"/>
        <v>0</v>
      </c>
      <c r="L23" s="1195">
        <f t="shared" ca="1" si="35"/>
        <v>0</v>
      </c>
      <c r="M23" s="1195">
        <f t="shared" ca="1" si="36"/>
        <v>0</v>
      </c>
      <c r="N23" s="1066">
        <v>0</v>
      </c>
      <c r="O23" s="1196">
        <f ca="1">IF(Rental!Q44&gt;0,Rental!Q44,0)</f>
        <v>0</v>
      </c>
      <c r="P23" s="720"/>
      <c r="Q23" s="1195">
        <f t="shared" ca="1" si="1"/>
        <v>241223.9902063488</v>
      </c>
      <c r="R23" s="1195">
        <f t="shared" ca="1" si="2"/>
        <v>241223.9902063488</v>
      </c>
      <c r="S23" s="1196">
        <f t="shared" ca="1" si="3"/>
        <v>0</v>
      </c>
      <c r="T23" s="1202">
        <f t="shared" ca="1" si="25"/>
        <v>61</v>
      </c>
      <c r="U23" s="1202">
        <f t="shared" ca="1" si="26"/>
        <v>59</v>
      </c>
      <c r="V23" s="611">
        <f t="shared" ca="1" si="4"/>
        <v>0</v>
      </c>
      <c r="W23" s="1790">
        <f t="shared" si="5"/>
        <v>1</v>
      </c>
      <c r="X23" s="611">
        <f t="shared" ca="1" si="6"/>
        <v>0</v>
      </c>
      <c r="Y23" s="1790">
        <f t="shared" si="7"/>
        <v>1</v>
      </c>
      <c r="Z23" s="611">
        <f t="shared" ca="1" si="8"/>
        <v>0</v>
      </c>
      <c r="AA23" s="1790">
        <f t="shared" si="9"/>
        <v>1</v>
      </c>
      <c r="AB23" s="1791">
        <f t="shared" ca="1" si="10"/>
        <v>1</v>
      </c>
      <c r="AC23" s="1790">
        <f t="shared" ca="1" si="11"/>
        <v>1</v>
      </c>
      <c r="AD23" s="1791">
        <f t="shared" ca="1" si="12"/>
        <v>1</v>
      </c>
      <c r="AE23" s="1790">
        <f t="shared" ca="1" si="13"/>
        <v>1</v>
      </c>
      <c r="AF23" s="1791">
        <f t="shared" ca="1" si="14"/>
        <v>1</v>
      </c>
      <c r="AG23" s="1790">
        <f t="shared" si="15"/>
        <v>1</v>
      </c>
      <c r="AH23" s="1791">
        <f t="shared" ca="1" si="16"/>
        <v>1</v>
      </c>
      <c r="AI23" s="1790">
        <f t="shared" si="17"/>
        <v>1</v>
      </c>
      <c r="AJ23" s="1791">
        <f t="shared" ca="1" si="18"/>
        <v>1</v>
      </c>
      <c r="AK23" s="1790">
        <f t="shared" si="19"/>
        <v>1</v>
      </c>
      <c r="AL23" s="1791">
        <f t="shared" ca="1" si="20"/>
        <v>1</v>
      </c>
      <c r="AM23" s="1790">
        <f t="shared" si="21"/>
        <v>1</v>
      </c>
      <c r="AN23" s="1791">
        <f t="shared" ca="1" si="22"/>
        <v>1</v>
      </c>
      <c r="AO23" s="1790">
        <f t="shared" si="23"/>
        <v>1</v>
      </c>
    </row>
    <row r="24" spans="1:43" s="612" customFormat="1" ht="18" customHeight="1">
      <c r="A24" s="611" t="str">
        <f ca="1">IF(C24=Retire!$D$12,"==&gt;","")</f>
        <v/>
      </c>
      <c r="B24" s="611"/>
      <c r="C24" s="1192">
        <f t="shared" ca="1" si="24"/>
        <v>2030</v>
      </c>
      <c r="D24" s="1193">
        <f t="shared" ca="1" si="27"/>
        <v>0</v>
      </c>
      <c r="E24" s="1193">
        <f t="shared" ca="1" si="28"/>
        <v>0</v>
      </c>
      <c r="F24" s="1193">
        <f t="shared" ca="1" si="29"/>
        <v>0</v>
      </c>
      <c r="G24" s="1193">
        <f t="shared" ca="1" si="30"/>
        <v>133569.16943425828</v>
      </c>
      <c r="H24" s="1193">
        <f t="shared" ca="1" si="31"/>
        <v>112479.3005762175</v>
      </c>
      <c r="I24" s="1193">
        <f t="shared" ca="1" si="32"/>
        <v>0</v>
      </c>
      <c r="J24" s="1193">
        <f t="shared" ca="1" si="33"/>
        <v>0</v>
      </c>
      <c r="K24" s="1193">
        <f t="shared" ca="1" si="34"/>
        <v>0</v>
      </c>
      <c r="L24" s="1193">
        <f t="shared" ca="1" si="35"/>
        <v>0</v>
      </c>
      <c r="M24" s="1193">
        <f t="shared" ca="1" si="36"/>
        <v>0</v>
      </c>
      <c r="N24" s="1066">
        <v>0</v>
      </c>
      <c r="O24" s="1188">
        <f ca="1">IF(Rental!Q45&gt;0,Rental!Q45,0)</f>
        <v>0</v>
      </c>
      <c r="P24" s="720"/>
      <c r="Q24" s="1193">
        <f t="shared" ca="1" si="1"/>
        <v>246048.47001047578</v>
      </c>
      <c r="R24" s="1193">
        <f t="shared" ca="1" si="2"/>
        <v>246048.47001047578</v>
      </c>
      <c r="S24" s="1188">
        <f t="shared" ca="1" si="3"/>
        <v>0</v>
      </c>
      <c r="T24" s="1201">
        <f t="shared" ca="1" si="25"/>
        <v>62</v>
      </c>
      <c r="U24" s="1201">
        <f t="shared" ca="1" si="26"/>
        <v>60</v>
      </c>
      <c r="V24" s="611">
        <f t="shared" ca="1" si="4"/>
        <v>0</v>
      </c>
      <c r="W24" s="611">
        <f t="shared" si="5"/>
        <v>1</v>
      </c>
      <c r="X24" s="611">
        <f t="shared" ca="1" si="6"/>
        <v>0</v>
      </c>
      <c r="Y24" s="611">
        <f t="shared" si="7"/>
        <v>1</v>
      </c>
      <c r="Z24" s="611">
        <f t="shared" ca="1" si="8"/>
        <v>0</v>
      </c>
      <c r="AA24" s="611">
        <f t="shared" si="9"/>
        <v>1</v>
      </c>
      <c r="AB24" s="611">
        <f t="shared" ca="1" si="10"/>
        <v>1</v>
      </c>
      <c r="AC24" s="611">
        <f t="shared" ca="1" si="11"/>
        <v>1</v>
      </c>
      <c r="AD24" s="611">
        <f t="shared" ca="1" si="12"/>
        <v>1</v>
      </c>
      <c r="AE24" s="611">
        <f t="shared" ca="1" si="13"/>
        <v>1</v>
      </c>
      <c r="AF24" s="611">
        <f t="shared" ca="1" si="14"/>
        <v>1</v>
      </c>
      <c r="AG24" s="611">
        <f t="shared" si="15"/>
        <v>1</v>
      </c>
      <c r="AH24" s="611">
        <f t="shared" ca="1" si="16"/>
        <v>1</v>
      </c>
      <c r="AI24" s="611">
        <f t="shared" si="17"/>
        <v>1</v>
      </c>
      <c r="AJ24" s="611">
        <f t="shared" ca="1" si="18"/>
        <v>1</v>
      </c>
      <c r="AK24" s="611">
        <f t="shared" si="19"/>
        <v>1</v>
      </c>
      <c r="AL24" s="611">
        <f t="shared" ca="1" si="20"/>
        <v>1</v>
      </c>
      <c r="AM24" s="611">
        <f t="shared" si="21"/>
        <v>1</v>
      </c>
      <c r="AN24" s="611">
        <f t="shared" ca="1" si="22"/>
        <v>1</v>
      </c>
      <c r="AO24" s="611">
        <f t="shared" si="23"/>
        <v>1</v>
      </c>
    </row>
    <row r="25" spans="1:43" s="612" customFormat="1" ht="18" customHeight="1">
      <c r="A25" s="611" t="str">
        <f ca="1">IF(C25=Retire!$D$12,"==&gt;","")</f>
        <v/>
      </c>
      <c r="B25" s="611"/>
      <c r="C25" s="1194">
        <f t="shared" ca="1" si="24"/>
        <v>2031</v>
      </c>
      <c r="D25" s="1195">
        <f t="shared" ca="1" si="27"/>
        <v>0</v>
      </c>
      <c r="E25" s="1195">
        <f t="shared" ca="1" si="28"/>
        <v>0</v>
      </c>
      <c r="F25" s="1195">
        <f t="shared" ca="1" si="29"/>
        <v>0</v>
      </c>
      <c r="G25" s="1195">
        <f t="shared" ca="1" si="30"/>
        <v>136240.55282294346</v>
      </c>
      <c r="H25" s="1195">
        <f t="shared" ca="1" si="31"/>
        <v>114728.88658774186</v>
      </c>
      <c r="I25" s="1195">
        <f t="shared" ca="1" si="32"/>
        <v>0</v>
      </c>
      <c r="J25" s="1195">
        <f t="shared" ca="1" si="33"/>
        <v>0</v>
      </c>
      <c r="K25" s="1195">
        <f t="shared" ca="1" si="34"/>
        <v>0</v>
      </c>
      <c r="L25" s="1195">
        <f t="shared" ca="1" si="35"/>
        <v>0</v>
      </c>
      <c r="M25" s="1195">
        <f t="shared" ca="1" si="36"/>
        <v>0</v>
      </c>
      <c r="N25" s="1066">
        <v>0</v>
      </c>
      <c r="O25" s="1196">
        <f ca="1">IF(Rental!Q46&gt;0,Rental!Q46,0)</f>
        <v>0</v>
      </c>
      <c r="P25" s="720"/>
      <c r="Q25" s="1195">
        <f t="shared" ca="1" si="1"/>
        <v>250969.43941068533</v>
      </c>
      <c r="R25" s="1195">
        <f t="shared" ca="1" si="2"/>
        <v>250969.43941068533</v>
      </c>
      <c r="S25" s="1196">
        <f t="shared" ca="1" si="3"/>
        <v>0</v>
      </c>
      <c r="T25" s="1202">
        <f t="shared" ca="1" si="25"/>
        <v>63</v>
      </c>
      <c r="U25" s="1202">
        <f t="shared" ca="1" si="26"/>
        <v>61</v>
      </c>
      <c r="V25" s="611">
        <f t="shared" ca="1" si="4"/>
        <v>0</v>
      </c>
      <c r="W25" s="611">
        <f t="shared" si="5"/>
        <v>1</v>
      </c>
      <c r="X25" s="611">
        <f t="shared" ca="1" si="6"/>
        <v>0</v>
      </c>
      <c r="Y25" s="611">
        <f t="shared" si="7"/>
        <v>1</v>
      </c>
      <c r="Z25" s="611">
        <f t="shared" ca="1" si="8"/>
        <v>0</v>
      </c>
      <c r="AA25" s="611">
        <f t="shared" si="9"/>
        <v>1</v>
      </c>
      <c r="AB25" s="611">
        <f t="shared" ca="1" si="10"/>
        <v>1</v>
      </c>
      <c r="AC25" s="611">
        <f t="shared" ca="1" si="11"/>
        <v>1</v>
      </c>
      <c r="AD25" s="611">
        <f t="shared" ca="1" si="12"/>
        <v>1</v>
      </c>
      <c r="AE25" s="611">
        <f t="shared" ca="1" si="13"/>
        <v>1</v>
      </c>
      <c r="AF25" s="611">
        <f t="shared" ca="1" si="14"/>
        <v>1</v>
      </c>
      <c r="AG25" s="611">
        <f t="shared" si="15"/>
        <v>1</v>
      </c>
      <c r="AH25" s="611">
        <f t="shared" ca="1" si="16"/>
        <v>1</v>
      </c>
      <c r="AI25" s="611">
        <f t="shared" si="17"/>
        <v>1</v>
      </c>
      <c r="AJ25" s="611">
        <f t="shared" ca="1" si="18"/>
        <v>1</v>
      </c>
      <c r="AK25" s="611">
        <f t="shared" si="19"/>
        <v>1</v>
      </c>
      <c r="AL25" s="611">
        <f t="shared" ca="1" si="20"/>
        <v>1</v>
      </c>
      <c r="AM25" s="611">
        <f t="shared" si="21"/>
        <v>1</v>
      </c>
      <c r="AN25" s="611">
        <f t="shared" ca="1" si="22"/>
        <v>1</v>
      </c>
      <c r="AO25" s="611">
        <f t="shared" si="23"/>
        <v>1</v>
      </c>
    </row>
    <row r="26" spans="1:43" s="612" customFormat="1" ht="18" customHeight="1">
      <c r="A26" s="611" t="str">
        <f ca="1">IF(C26=Retire!$D$12,"==&gt;","")</f>
        <v/>
      </c>
      <c r="B26" s="611"/>
      <c r="C26" s="1192">
        <f t="shared" ca="1" si="24"/>
        <v>2032</v>
      </c>
      <c r="D26" s="1193">
        <f t="shared" ca="1" si="27"/>
        <v>0</v>
      </c>
      <c r="E26" s="1193">
        <f t="shared" ca="1" si="28"/>
        <v>0</v>
      </c>
      <c r="F26" s="1193">
        <f t="shared" ca="1" si="29"/>
        <v>0</v>
      </c>
      <c r="G26" s="1193">
        <f t="shared" ca="1" si="30"/>
        <v>138965.36387940231</v>
      </c>
      <c r="H26" s="1193">
        <f t="shared" ca="1" si="31"/>
        <v>117023.46431949669</v>
      </c>
      <c r="I26" s="1193">
        <f t="shared" ca="1" si="32"/>
        <v>0</v>
      </c>
      <c r="J26" s="1193">
        <f t="shared" ca="1" si="33"/>
        <v>0</v>
      </c>
      <c r="K26" s="1193">
        <f t="shared" ca="1" si="34"/>
        <v>0</v>
      </c>
      <c r="L26" s="1193">
        <f t="shared" ca="1" si="35"/>
        <v>0</v>
      </c>
      <c r="M26" s="1193">
        <f t="shared" ca="1" si="36"/>
        <v>0</v>
      </c>
      <c r="N26" s="1066">
        <v>0</v>
      </c>
      <c r="O26" s="1188">
        <f ca="1">IF(Rental!Q47&gt;0,Rental!Q47,0)</f>
        <v>0</v>
      </c>
      <c r="P26" s="720"/>
      <c r="Q26" s="1193">
        <f t="shared" ca="1" si="1"/>
        <v>255988.82819889899</v>
      </c>
      <c r="R26" s="1193">
        <f t="shared" ca="1" si="2"/>
        <v>255988.82819889899</v>
      </c>
      <c r="S26" s="1188">
        <f t="shared" ca="1" si="3"/>
        <v>0</v>
      </c>
      <c r="T26" s="1201">
        <f t="shared" ca="1" si="25"/>
        <v>64</v>
      </c>
      <c r="U26" s="1201">
        <f t="shared" ca="1" si="26"/>
        <v>62</v>
      </c>
      <c r="V26" s="611">
        <f t="shared" ca="1" si="4"/>
        <v>0</v>
      </c>
      <c r="W26" s="611">
        <f t="shared" si="5"/>
        <v>1</v>
      </c>
      <c r="X26" s="611">
        <f t="shared" ca="1" si="6"/>
        <v>0</v>
      </c>
      <c r="Y26" s="611">
        <f t="shared" si="7"/>
        <v>1</v>
      </c>
      <c r="Z26" s="611">
        <f t="shared" ca="1" si="8"/>
        <v>0</v>
      </c>
      <c r="AA26" s="611">
        <f t="shared" si="9"/>
        <v>1</v>
      </c>
      <c r="AB26" s="611">
        <f t="shared" ca="1" si="10"/>
        <v>1</v>
      </c>
      <c r="AC26" s="611">
        <f t="shared" ca="1" si="11"/>
        <v>1</v>
      </c>
      <c r="AD26" s="611">
        <f t="shared" ca="1" si="12"/>
        <v>1</v>
      </c>
      <c r="AE26" s="611">
        <f t="shared" ca="1" si="13"/>
        <v>1</v>
      </c>
      <c r="AF26" s="611">
        <f t="shared" ca="1" si="14"/>
        <v>1</v>
      </c>
      <c r="AG26" s="611">
        <f t="shared" si="15"/>
        <v>1</v>
      </c>
      <c r="AH26" s="611">
        <f t="shared" ca="1" si="16"/>
        <v>1</v>
      </c>
      <c r="AI26" s="611">
        <f t="shared" si="17"/>
        <v>1</v>
      </c>
      <c r="AJ26" s="611">
        <f t="shared" ca="1" si="18"/>
        <v>1</v>
      </c>
      <c r="AK26" s="611">
        <f t="shared" si="19"/>
        <v>1</v>
      </c>
      <c r="AL26" s="611">
        <f t="shared" ca="1" si="20"/>
        <v>1</v>
      </c>
      <c r="AM26" s="611">
        <f t="shared" si="21"/>
        <v>1</v>
      </c>
      <c r="AN26" s="611">
        <f t="shared" ca="1" si="22"/>
        <v>1</v>
      </c>
      <c r="AO26" s="611">
        <f t="shared" si="23"/>
        <v>1</v>
      </c>
    </row>
    <row r="27" spans="1:43" s="612" customFormat="1" ht="18" customHeight="1">
      <c r="A27" s="611" t="str">
        <f ca="1">IF(C27=Retire!$D$12,"==&gt;","")</f>
        <v/>
      </c>
      <c r="B27" s="611"/>
      <c r="C27" s="1194">
        <f t="shared" ca="1" si="24"/>
        <v>2033</v>
      </c>
      <c r="D27" s="1195">
        <f t="shared" ca="1" si="27"/>
        <v>0</v>
      </c>
      <c r="E27" s="1195">
        <f t="shared" ca="1" si="28"/>
        <v>0</v>
      </c>
      <c r="F27" s="1195">
        <f t="shared" ca="1" si="29"/>
        <v>0</v>
      </c>
      <c r="G27" s="1195">
        <f t="shared" ca="1" si="30"/>
        <v>141744.67115699037</v>
      </c>
      <c r="H27" s="1195">
        <f t="shared" ca="1" si="31"/>
        <v>119363.93360588663</v>
      </c>
      <c r="I27" s="1195">
        <f t="shared" ca="1" si="32"/>
        <v>0</v>
      </c>
      <c r="J27" s="1195">
        <f t="shared" ca="1" si="33"/>
        <v>0</v>
      </c>
      <c r="K27" s="1195">
        <f t="shared" ca="1" si="34"/>
        <v>0</v>
      </c>
      <c r="L27" s="1195">
        <f t="shared" ca="1" si="35"/>
        <v>0</v>
      </c>
      <c r="M27" s="1195">
        <f t="shared" ca="1" si="36"/>
        <v>0</v>
      </c>
      <c r="N27" s="1066">
        <v>0</v>
      </c>
      <c r="O27" s="1196">
        <f ca="1">IF(Rental!Q48&gt;0,Rental!Q48,0)</f>
        <v>0</v>
      </c>
      <c r="P27" s="720"/>
      <c r="Q27" s="1195">
        <f t="shared" ca="1" si="1"/>
        <v>261108.60476287699</v>
      </c>
      <c r="R27" s="1195">
        <f t="shared" ca="1" si="2"/>
        <v>261108.60476287699</v>
      </c>
      <c r="S27" s="1196">
        <f t="shared" ca="1" si="3"/>
        <v>0</v>
      </c>
      <c r="T27" s="1202">
        <f t="shared" ca="1" si="25"/>
        <v>65</v>
      </c>
      <c r="U27" s="1202">
        <f t="shared" ca="1" si="26"/>
        <v>63</v>
      </c>
      <c r="V27" s="611">
        <f t="shared" ca="1" si="4"/>
        <v>0</v>
      </c>
      <c r="W27" s="611">
        <f t="shared" si="5"/>
        <v>1</v>
      </c>
      <c r="X27" s="611">
        <f t="shared" ca="1" si="6"/>
        <v>0</v>
      </c>
      <c r="Y27" s="611">
        <f t="shared" si="7"/>
        <v>1</v>
      </c>
      <c r="Z27" s="611">
        <f t="shared" ca="1" si="8"/>
        <v>0</v>
      </c>
      <c r="AA27" s="611">
        <f t="shared" si="9"/>
        <v>1</v>
      </c>
      <c r="AB27" s="611">
        <f t="shared" ca="1" si="10"/>
        <v>1</v>
      </c>
      <c r="AC27" s="611">
        <f t="shared" ca="1" si="11"/>
        <v>1</v>
      </c>
      <c r="AD27" s="611">
        <f t="shared" ca="1" si="12"/>
        <v>1</v>
      </c>
      <c r="AE27" s="611">
        <f t="shared" ca="1" si="13"/>
        <v>1</v>
      </c>
      <c r="AF27" s="611">
        <f t="shared" ca="1" si="14"/>
        <v>1</v>
      </c>
      <c r="AG27" s="611">
        <f t="shared" si="15"/>
        <v>1</v>
      </c>
      <c r="AH27" s="611">
        <f t="shared" ca="1" si="16"/>
        <v>1</v>
      </c>
      <c r="AI27" s="611">
        <f t="shared" si="17"/>
        <v>1</v>
      </c>
      <c r="AJ27" s="611">
        <f t="shared" ca="1" si="18"/>
        <v>1</v>
      </c>
      <c r="AK27" s="611">
        <f t="shared" si="19"/>
        <v>1</v>
      </c>
      <c r="AL27" s="611">
        <f t="shared" ca="1" si="20"/>
        <v>1</v>
      </c>
      <c r="AM27" s="611">
        <f t="shared" si="21"/>
        <v>1</v>
      </c>
      <c r="AN27" s="611">
        <f t="shared" ca="1" si="22"/>
        <v>1</v>
      </c>
      <c r="AO27" s="611">
        <f t="shared" si="23"/>
        <v>1</v>
      </c>
    </row>
    <row r="28" spans="1:43" s="612" customFormat="1" ht="18" customHeight="1">
      <c r="A28" s="611" t="str">
        <f ca="1">IF(C28=Retire!$D$12,"==&gt;","")</f>
        <v>==&gt;</v>
      </c>
      <c r="B28" s="611"/>
      <c r="C28" s="1192">
        <f t="shared" ca="1" si="24"/>
        <v>2034</v>
      </c>
      <c r="D28" s="1193">
        <f t="shared" ca="1" si="27"/>
        <v>38400</v>
      </c>
      <c r="E28" s="1193">
        <f t="shared" ca="1" si="28"/>
        <v>0</v>
      </c>
      <c r="F28" s="1193">
        <f t="shared" ca="1" si="29"/>
        <v>18000</v>
      </c>
      <c r="G28" s="1193">
        <f t="shared" ca="1" si="30"/>
        <v>0</v>
      </c>
      <c r="H28" s="1193">
        <f t="shared" ca="1" si="31"/>
        <v>121751.21227800436</v>
      </c>
      <c r="I28" s="1193">
        <f t="shared" ca="1" si="32"/>
        <v>0</v>
      </c>
      <c r="J28" s="1193">
        <f t="shared" ca="1" si="33"/>
        <v>0</v>
      </c>
      <c r="K28" s="1193">
        <f t="shared" ca="1" si="34"/>
        <v>0</v>
      </c>
      <c r="L28" s="1193">
        <f t="shared" ca="1" si="35"/>
        <v>0</v>
      </c>
      <c r="M28" s="1193">
        <f t="shared" ca="1" si="36"/>
        <v>0</v>
      </c>
      <c r="N28" s="1066">
        <v>0</v>
      </c>
      <c r="O28" s="1188">
        <f ca="1">IF(Rental!Q49&gt;0,Rental!Q49,0)</f>
        <v>0</v>
      </c>
      <c r="P28" s="720"/>
      <c r="Q28" s="1193">
        <f t="shared" ca="1" si="1"/>
        <v>178151.21227800436</v>
      </c>
      <c r="R28" s="1193">
        <f t="shared" ca="1" si="2"/>
        <v>172391.21227800436</v>
      </c>
      <c r="S28" s="1188">
        <f t="shared" ca="1" si="3"/>
        <v>5760</v>
      </c>
      <c r="T28" s="1201">
        <f t="shared" ca="1" si="25"/>
        <v>66</v>
      </c>
      <c r="U28" s="1201">
        <f t="shared" ca="1" si="26"/>
        <v>64</v>
      </c>
      <c r="V28" s="611">
        <f t="shared" ca="1" si="4"/>
        <v>1</v>
      </c>
      <c r="W28" s="611">
        <f t="shared" si="5"/>
        <v>1</v>
      </c>
      <c r="X28" s="611">
        <f t="shared" ca="1" si="6"/>
        <v>0</v>
      </c>
      <c r="Y28" s="611">
        <f t="shared" si="7"/>
        <v>1</v>
      </c>
      <c r="Z28" s="611">
        <f t="shared" ca="1" si="8"/>
        <v>1</v>
      </c>
      <c r="AA28" s="611">
        <f t="shared" si="9"/>
        <v>1</v>
      </c>
      <c r="AB28" s="611">
        <f t="shared" ca="1" si="10"/>
        <v>1</v>
      </c>
      <c r="AC28" s="611">
        <f t="shared" ca="1" si="11"/>
        <v>0</v>
      </c>
      <c r="AD28" s="611">
        <f t="shared" ca="1" si="12"/>
        <v>1</v>
      </c>
      <c r="AE28" s="611">
        <f t="shared" ca="1" si="13"/>
        <v>1</v>
      </c>
      <c r="AF28" s="611">
        <f t="shared" ca="1" si="14"/>
        <v>1</v>
      </c>
      <c r="AG28" s="611">
        <f t="shared" si="15"/>
        <v>1</v>
      </c>
      <c r="AH28" s="611">
        <f t="shared" ca="1" si="16"/>
        <v>1</v>
      </c>
      <c r="AI28" s="611">
        <f t="shared" si="17"/>
        <v>1</v>
      </c>
      <c r="AJ28" s="611">
        <f t="shared" ca="1" si="18"/>
        <v>1</v>
      </c>
      <c r="AK28" s="611">
        <f t="shared" si="19"/>
        <v>1</v>
      </c>
      <c r="AL28" s="611">
        <f t="shared" ca="1" si="20"/>
        <v>1</v>
      </c>
      <c r="AM28" s="611">
        <f t="shared" si="21"/>
        <v>1</v>
      </c>
      <c r="AN28" s="611">
        <f t="shared" ca="1" si="22"/>
        <v>1</v>
      </c>
      <c r="AO28" s="611">
        <f t="shared" si="23"/>
        <v>1</v>
      </c>
    </row>
    <row r="29" spans="1:43" s="612" customFormat="1" ht="19" customHeight="1">
      <c r="A29" s="611" t="str">
        <f ca="1">IF(C29=Retire!$D$12,"==&gt;","")</f>
        <v/>
      </c>
      <c r="B29" s="611"/>
      <c r="C29" s="1194">
        <f t="shared" ca="1" si="24"/>
        <v>2035</v>
      </c>
      <c r="D29" s="1195">
        <f t="shared" ca="1" si="27"/>
        <v>38903.040000000001</v>
      </c>
      <c r="E29" s="1195">
        <f t="shared" ca="1" si="28"/>
        <v>0</v>
      </c>
      <c r="F29" s="1195">
        <f t="shared" ca="1" si="29"/>
        <v>18360</v>
      </c>
      <c r="G29" s="1195">
        <f t="shared" ca="1" si="30"/>
        <v>0</v>
      </c>
      <c r="H29" s="1195">
        <f t="shared" ca="1" si="31"/>
        <v>124186.23652356444</v>
      </c>
      <c r="I29" s="1195">
        <f t="shared" ca="1" si="32"/>
        <v>0</v>
      </c>
      <c r="J29" s="1195">
        <f t="shared" ca="1" si="33"/>
        <v>0</v>
      </c>
      <c r="K29" s="1195">
        <f t="shared" ca="1" si="34"/>
        <v>0</v>
      </c>
      <c r="L29" s="1195">
        <f t="shared" ca="1" si="35"/>
        <v>0</v>
      </c>
      <c r="M29" s="1195">
        <f t="shared" ca="1" si="36"/>
        <v>0</v>
      </c>
      <c r="N29" s="1066">
        <v>0</v>
      </c>
      <c r="O29" s="1196">
        <f ca="1">IF(Rental!Q50&gt;0,Rental!Q50,0)</f>
        <v>0</v>
      </c>
      <c r="P29" s="720"/>
      <c r="Q29" s="1195">
        <f t="shared" ca="1" si="1"/>
        <v>181449.27652356445</v>
      </c>
      <c r="R29" s="1195">
        <f t="shared" ca="1" si="2"/>
        <v>175613.82052356444</v>
      </c>
      <c r="S29" s="1196">
        <f t="shared" ca="1" si="3"/>
        <v>5835.4560000000056</v>
      </c>
      <c r="T29" s="1202">
        <f t="shared" ca="1" si="25"/>
        <v>67</v>
      </c>
      <c r="U29" s="1202">
        <f t="shared" ca="1" si="26"/>
        <v>65</v>
      </c>
      <c r="V29" s="611">
        <f t="shared" ca="1" si="4"/>
        <v>1</v>
      </c>
      <c r="W29" s="611">
        <f t="shared" si="5"/>
        <v>1</v>
      </c>
      <c r="X29" s="611">
        <f t="shared" ca="1" si="6"/>
        <v>0</v>
      </c>
      <c r="Y29" s="611">
        <f t="shared" si="7"/>
        <v>1</v>
      </c>
      <c r="Z29" s="611">
        <f t="shared" ca="1" si="8"/>
        <v>1</v>
      </c>
      <c r="AA29" s="611">
        <f t="shared" si="9"/>
        <v>1</v>
      </c>
      <c r="AB29" s="611">
        <f t="shared" ca="1" si="10"/>
        <v>1</v>
      </c>
      <c r="AC29" s="611">
        <f t="shared" ca="1" si="11"/>
        <v>0</v>
      </c>
      <c r="AD29" s="611">
        <f t="shared" ca="1" si="12"/>
        <v>1</v>
      </c>
      <c r="AE29" s="611">
        <f t="shared" ca="1" si="13"/>
        <v>1</v>
      </c>
      <c r="AF29" s="611">
        <f t="shared" ca="1" si="14"/>
        <v>1</v>
      </c>
      <c r="AG29" s="611">
        <f t="shared" si="15"/>
        <v>1</v>
      </c>
      <c r="AH29" s="611">
        <f t="shared" ca="1" si="16"/>
        <v>1</v>
      </c>
      <c r="AI29" s="611">
        <f t="shared" si="17"/>
        <v>1</v>
      </c>
      <c r="AJ29" s="611">
        <f t="shared" ca="1" si="18"/>
        <v>1</v>
      </c>
      <c r="AK29" s="611">
        <f t="shared" si="19"/>
        <v>1</v>
      </c>
      <c r="AL29" s="611">
        <f t="shared" ca="1" si="20"/>
        <v>1</v>
      </c>
      <c r="AM29" s="611">
        <f t="shared" si="21"/>
        <v>1</v>
      </c>
      <c r="AN29" s="611">
        <f t="shared" ca="1" si="22"/>
        <v>1</v>
      </c>
      <c r="AO29" s="611">
        <f t="shared" si="23"/>
        <v>1</v>
      </c>
    </row>
    <row r="30" spans="1:43" s="612" customFormat="1" ht="18" customHeight="1">
      <c r="A30" s="611" t="str">
        <f ca="1">IF(C30=Retire!$D$12,"==&gt;","")</f>
        <v/>
      </c>
      <c r="B30" s="611"/>
      <c r="C30" s="1192">
        <f t="shared" ca="1" si="24"/>
        <v>2036</v>
      </c>
      <c r="D30" s="1193">
        <f t="shared" ca="1" si="27"/>
        <v>39412.669824000004</v>
      </c>
      <c r="E30" s="1193">
        <f t="shared" ca="1" si="28"/>
        <v>36000</v>
      </c>
      <c r="F30" s="1193">
        <f t="shared" ca="1" si="29"/>
        <v>18727.2</v>
      </c>
      <c r="G30" s="1193">
        <f t="shared" ca="1" si="30"/>
        <v>0</v>
      </c>
      <c r="H30" s="1193">
        <f t="shared" ca="1" si="31"/>
        <v>0</v>
      </c>
      <c r="I30" s="1193">
        <f t="shared" ca="1" si="32"/>
        <v>0</v>
      </c>
      <c r="J30" s="1193">
        <f t="shared" ca="1" si="33"/>
        <v>0</v>
      </c>
      <c r="K30" s="1193">
        <f t="shared" ca="1" si="34"/>
        <v>0</v>
      </c>
      <c r="L30" s="1193">
        <f t="shared" ca="1" si="35"/>
        <v>0</v>
      </c>
      <c r="M30" s="1193">
        <f t="shared" ca="1" si="36"/>
        <v>0</v>
      </c>
      <c r="N30" s="1066">
        <v>0</v>
      </c>
      <c r="O30" s="1188">
        <f ca="1">IF(Rental!Q51&gt;0,Rental!Q51,0)</f>
        <v>0</v>
      </c>
      <c r="P30" s="720"/>
      <c r="Q30" s="1193">
        <f t="shared" ca="1" si="1"/>
        <v>94139.869824000009</v>
      </c>
      <c r="R30" s="1193">
        <f t="shared" ca="1" si="2"/>
        <v>82827.969350400002</v>
      </c>
      <c r="S30" s="1188">
        <f t="shared" ca="1" si="3"/>
        <v>11311.900473600006</v>
      </c>
      <c r="T30" s="1201">
        <f t="shared" ca="1" si="25"/>
        <v>68</v>
      </c>
      <c r="U30" s="1201">
        <f t="shared" ca="1" si="26"/>
        <v>66</v>
      </c>
      <c r="V30" s="611">
        <f t="shared" ca="1" si="4"/>
        <v>1</v>
      </c>
      <c r="W30" s="611">
        <f t="shared" si="5"/>
        <v>1</v>
      </c>
      <c r="X30" s="611">
        <f t="shared" ca="1" si="6"/>
        <v>1</v>
      </c>
      <c r="Y30" s="611">
        <f t="shared" si="7"/>
        <v>1</v>
      </c>
      <c r="Z30" s="611">
        <f t="shared" ca="1" si="8"/>
        <v>1</v>
      </c>
      <c r="AA30" s="611">
        <f t="shared" si="9"/>
        <v>1</v>
      </c>
      <c r="AB30" s="611">
        <f t="shared" ca="1" si="10"/>
        <v>1</v>
      </c>
      <c r="AC30" s="611">
        <f t="shared" ca="1" si="11"/>
        <v>0</v>
      </c>
      <c r="AD30" s="611">
        <f t="shared" ca="1" si="12"/>
        <v>1</v>
      </c>
      <c r="AE30" s="611">
        <f t="shared" ca="1" si="13"/>
        <v>0</v>
      </c>
      <c r="AF30" s="611">
        <f t="shared" ca="1" si="14"/>
        <v>1</v>
      </c>
      <c r="AG30" s="611">
        <f t="shared" si="15"/>
        <v>1</v>
      </c>
      <c r="AH30" s="611">
        <f t="shared" ca="1" si="16"/>
        <v>1</v>
      </c>
      <c r="AI30" s="611">
        <f t="shared" si="17"/>
        <v>1</v>
      </c>
      <c r="AJ30" s="611">
        <f t="shared" ca="1" si="18"/>
        <v>1</v>
      </c>
      <c r="AK30" s="611">
        <f t="shared" si="19"/>
        <v>1</v>
      </c>
      <c r="AL30" s="611">
        <f t="shared" ca="1" si="20"/>
        <v>1</v>
      </c>
      <c r="AM30" s="611">
        <f t="shared" si="21"/>
        <v>1</v>
      </c>
      <c r="AN30" s="611">
        <f t="shared" ca="1" si="22"/>
        <v>1</v>
      </c>
      <c r="AO30" s="611">
        <f t="shared" si="23"/>
        <v>1</v>
      </c>
    </row>
    <row r="31" spans="1:43" s="612" customFormat="1" ht="18" customHeight="1">
      <c r="A31" s="611" t="str">
        <f ca="1">IF(C31=Retire!$D$12,"==&gt;","")</f>
        <v/>
      </c>
      <c r="B31" s="611"/>
      <c r="C31" s="1194">
        <f t="shared" ca="1" si="24"/>
        <v>2037</v>
      </c>
      <c r="D31" s="1195">
        <f t="shared" ca="1" si="27"/>
        <v>39928.975798694402</v>
      </c>
      <c r="E31" s="1195">
        <f t="shared" ca="1" si="28"/>
        <v>36471.599999999999</v>
      </c>
      <c r="F31" s="1195">
        <f t="shared" ca="1" si="29"/>
        <v>19101.744000000002</v>
      </c>
      <c r="G31" s="1195">
        <f t="shared" ca="1" si="30"/>
        <v>0</v>
      </c>
      <c r="H31" s="1195">
        <f t="shared" ca="1" si="31"/>
        <v>0</v>
      </c>
      <c r="I31" s="1195">
        <f t="shared" ca="1" si="32"/>
        <v>0</v>
      </c>
      <c r="J31" s="1195">
        <f t="shared" ca="1" si="33"/>
        <v>0</v>
      </c>
      <c r="K31" s="1195">
        <f t="shared" ca="1" si="34"/>
        <v>0</v>
      </c>
      <c r="L31" s="1195">
        <f t="shared" ca="1" si="35"/>
        <v>0</v>
      </c>
      <c r="M31" s="1195">
        <f t="shared" ca="1" si="36"/>
        <v>0</v>
      </c>
      <c r="N31" s="1066">
        <v>0</v>
      </c>
      <c r="O31" s="1196">
        <f ca="1">IF(Rental!Q52&gt;0,Rental!Q52,0)</f>
        <v>0</v>
      </c>
      <c r="P31" s="720"/>
      <c r="Q31" s="1195">
        <f t="shared" ca="1" si="1"/>
        <v>95502.3197986944</v>
      </c>
      <c r="R31" s="1195">
        <f t="shared" ca="1" si="2"/>
        <v>84042.233428890249</v>
      </c>
      <c r="S31" s="1196">
        <f t="shared" ca="1" si="3"/>
        <v>11460.08636980415</v>
      </c>
      <c r="T31" s="1202">
        <f t="shared" ca="1" si="25"/>
        <v>69</v>
      </c>
      <c r="U31" s="1202">
        <f t="shared" ca="1" si="26"/>
        <v>67</v>
      </c>
      <c r="V31" s="611">
        <f t="shared" ca="1" si="4"/>
        <v>1</v>
      </c>
      <c r="W31" s="611">
        <f t="shared" si="5"/>
        <v>1</v>
      </c>
      <c r="X31" s="611">
        <f t="shared" ca="1" si="6"/>
        <v>1</v>
      </c>
      <c r="Y31" s="611">
        <f t="shared" si="7"/>
        <v>1</v>
      </c>
      <c r="Z31" s="611">
        <f t="shared" ca="1" si="8"/>
        <v>1</v>
      </c>
      <c r="AA31" s="611">
        <f t="shared" si="9"/>
        <v>1</v>
      </c>
      <c r="AB31" s="611">
        <f t="shared" ca="1" si="10"/>
        <v>1</v>
      </c>
      <c r="AC31" s="611">
        <f t="shared" ca="1" si="11"/>
        <v>0</v>
      </c>
      <c r="AD31" s="611">
        <f t="shared" ca="1" si="12"/>
        <v>1</v>
      </c>
      <c r="AE31" s="611">
        <f t="shared" ca="1" si="13"/>
        <v>0</v>
      </c>
      <c r="AF31" s="611">
        <f t="shared" ca="1" si="14"/>
        <v>1</v>
      </c>
      <c r="AG31" s="611">
        <f t="shared" si="15"/>
        <v>1</v>
      </c>
      <c r="AH31" s="611">
        <f t="shared" ca="1" si="16"/>
        <v>1</v>
      </c>
      <c r="AI31" s="611">
        <f t="shared" si="17"/>
        <v>1</v>
      </c>
      <c r="AJ31" s="611">
        <f t="shared" ca="1" si="18"/>
        <v>1</v>
      </c>
      <c r="AK31" s="611">
        <f t="shared" si="19"/>
        <v>1</v>
      </c>
      <c r="AL31" s="611">
        <f t="shared" ca="1" si="20"/>
        <v>1</v>
      </c>
      <c r="AM31" s="611">
        <f t="shared" si="21"/>
        <v>1</v>
      </c>
      <c r="AN31" s="611">
        <f t="shared" ca="1" si="22"/>
        <v>1</v>
      </c>
      <c r="AO31" s="611">
        <f t="shared" si="23"/>
        <v>1</v>
      </c>
    </row>
    <row r="32" spans="1:43" s="612" customFormat="1" ht="18" customHeight="1">
      <c r="A32" s="611" t="str">
        <f ca="1">IF(C32=Retire!$D$12,"==&gt;","")</f>
        <v/>
      </c>
      <c r="B32" s="611"/>
      <c r="C32" s="1192">
        <f t="shared" ca="1" si="24"/>
        <v>2038</v>
      </c>
      <c r="D32" s="1193">
        <f t="shared" ca="1" si="27"/>
        <v>40452.045381657299</v>
      </c>
      <c r="E32" s="1193">
        <f t="shared" ca="1" si="28"/>
        <v>36949.377959999998</v>
      </c>
      <c r="F32" s="1193">
        <f t="shared" ca="1" si="29"/>
        <v>19483.778880000002</v>
      </c>
      <c r="G32" s="1193">
        <f t="shared" ca="1" si="30"/>
        <v>0</v>
      </c>
      <c r="H32" s="1193">
        <f t="shared" ca="1" si="31"/>
        <v>0</v>
      </c>
      <c r="I32" s="1193">
        <f t="shared" ca="1" si="32"/>
        <v>0</v>
      </c>
      <c r="J32" s="1193">
        <f t="shared" ca="1" si="33"/>
        <v>0</v>
      </c>
      <c r="K32" s="1193">
        <f t="shared" ca="1" si="34"/>
        <v>0</v>
      </c>
      <c r="L32" s="1193">
        <f t="shared" ca="1" si="35"/>
        <v>0</v>
      </c>
      <c r="M32" s="1193">
        <f t="shared" ca="1" si="36"/>
        <v>0</v>
      </c>
      <c r="N32" s="1066">
        <v>0</v>
      </c>
      <c r="O32" s="1188">
        <f ca="1">IF(Rental!Q53&gt;0,Rental!Q53,0)</f>
        <v>0</v>
      </c>
      <c r="P32" s="720"/>
      <c r="Q32" s="1193">
        <f t="shared" ca="1" si="1"/>
        <v>96885.202221657295</v>
      </c>
      <c r="R32" s="1193">
        <f t="shared" ca="1" si="2"/>
        <v>85274.988720408699</v>
      </c>
      <c r="S32" s="1188">
        <f t="shared" ca="1" si="3"/>
        <v>11610.213501248596</v>
      </c>
      <c r="T32" s="1201">
        <f t="shared" ca="1" si="25"/>
        <v>70</v>
      </c>
      <c r="U32" s="1201">
        <f t="shared" ca="1" si="26"/>
        <v>68</v>
      </c>
      <c r="V32" s="611">
        <f t="shared" ca="1" si="4"/>
        <v>1</v>
      </c>
      <c r="W32" s="611">
        <f t="shared" si="5"/>
        <v>1</v>
      </c>
      <c r="X32" s="611">
        <f t="shared" ca="1" si="6"/>
        <v>1</v>
      </c>
      <c r="Y32" s="611">
        <f t="shared" si="7"/>
        <v>1</v>
      </c>
      <c r="Z32" s="611">
        <f t="shared" ca="1" si="8"/>
        <v>1</v>
      </c>
      <c r="AA32" s="611">
        <f t="shared" si="9"/>
        <v>1</v>
      </c>
      <c r="AB32" s="611">
        <f t="shared" ca="1" si="10"/>
        <v>1</v>
      </c>
      <c r="AC32" s="611">
        <f t="shared" ca="1" si="11"/>
        <v>0</v>
      </c>
      <c r="AD32" s="611">
        <f t="shared" ca="1" si="12"/>
        <v>1</v>
      </c>
      <c r="AE32" s="611">
        <f t="shared" ca="1" si="13"/>
        <v>0</v>
      </c>
      <c r="AF32" s="611">
        <f t="shared" ca="1" si="14"/>
        <v>1</v>
      </c>
      <c r="AG32" s="611">
        <f t="shared" si="15"/>
        <v>1</v>
      </c>
      <c r="AH32" s="611">
        <f t="shared" ca="1" si="16"/>
        <v>1</v>
      </c>
      <c r="AI32" s="611">
        <f t="shared" si="17"/>
        <v>1</v>
      </c>
      <c r="AJ32" s="611">
        <f t="shared" ca="1" si="18"/>
        <v>1</v>
      </c>
      <c r="AK32" s="611">
        <f t="shared" si="19"/>
        <v>1</v>
      </c>
      <c r="AL32" s="611">
        <f t="shared" ca="1" si="20"/>
        <v>1</v>
      </c>
      <c r="AM32" s="611">
        <f t="shared" si="21"/>
        <v>1</v>
      </c>
      <c r="AN32" s="611">
        <f t="shared" ca="1" si="22"/>
        <v>1</v>
      </c>
      <c r="AO32" s="611">
        <f t="shared" si="23"/>
        <v>1</v>
      </c>
    </row>
    <row r="33" spans="1:41" s="612" customFormat="1" ht="18" customHeight="1">
      <c r="A33" s="611" t="str">
        <f ca="1">IF(C33=Retire!$D$12,"==&gt;","")</f>
        <v/>
      </c>
      <c r="B33" s="611"/>
      <c r="C33" s="1194">
        <f t="shared" ca="1" si="24"/>
        <v>2039</v>
      </c>
      <c r="D33" s="1195">
        <f t="shared" ca="1" si="27"/>
        <v>40981.967176157006</v>
      </c>
      <c r="E33" s="1195">
        <f t="shared" ca="1" si="28"/>
        <v>37433.414811276001</v>
      </c>
      <c r="F33" s="1195">
        <f t="shared" ca="1" si="29"/>
        <v>19873.454457600001</v>
      </c>
      <c r="G33" s="1195">
        <f t="shared" ca="1" si="30"/>
        <v>0</v>
      </c>
      <c r="H33" s="1195">
        <f t="shared" ca="1" si="31"/>
        <v>0</v>
      </c>
      <c r="I33" s="1195">
        <f t="shared" ca="1" si="32"/>
        <v>0</v>
      </c>
      <c r="J33" s="1195">
        <f t="shared" ca="1" si="33"/>
        <v>0</v>
      </c>
      <c r="K33" s="1195">
        <f t="shared" ca="1" si="34"/>
        <v>0</v>
      </c>
      <c r="L33" s="1195">
        <f t="shared" ca="1" si="35"/>
        <v>0</v>
      </c>
      <c r="M33" s="1195">
        <f t="shared" ca="1" si="36"/>
        <v>0</v>
      </c>
      <c r="N33" s="1066">
        <v>0</v>
      </c>
      <c r="O33" s="1196">
        <f ca="1">IF(Rental!Q54&gt;0,Rental!Q54,0)</f>
        <v>0</v>
      </c>
      <c r="P33" s="720"/>
      <c r="Q33" s="1195">
        <f t="shared" ca="1" si="1"/>
        <v>98288.836445033012</v>
      </c>
      <c r="R33" s="1195">
        <f t="shared" ca="1" si="2"/>
        <v>86526.529146918052</v>
      </c>
      <c r="S33" s="1196">
        <f t="shared" ca="1" si="3"/>
        <v>11762.30729811496</v>
      </c>
      <c r="T33" s="1202">
        <f t="shared" ca="1" si="25"/>
        <v>71</v>
      </c>
      <c r="U33" s="1202">
        <f t="shared" ca="1" si="26"/>
        <v>69</v>
      </c>
      <c r="V33" s="611">
        <f t="shared" ca="1" si="4"/>
        <v>1</v>
      </c>
      <c r="W33" s="611">
        <f t="shared" si="5"/>
        <v>1</v>
      </c>
      <c r="X33" s="611">
        <f t="shared" ca="1" si="6"/>
        <v>1</v>
      </c>
      <c r="Y33" s="611">
        <f t="shared" si="7"/>
        <v>1</v>
      </c>
      <c r="Z33" s="611">
        <f t="shared" ca="1" si="8"/>
        <v>1</v>
      </c>
      <c r="AA33" s="611">
        <f t="shared" si="9"/>
        <v>1</v>
      </c>
      <c r="AB33" s="611">
        <f t="shared" ca="1" si="10"/>
        <v>1</v>
      </c>
      <c r="AC33" s="611">
        <f t="shared" ca="1" si="11"/>
        <v>0</v>
      </c>
      <c r="AD33" s="611">
        <f t="shared" ca="1" si="12"/>
        <v>1</v>
      </c>
      <c r="AE33" s="611">
        <f t="shared" ca="1" si="13"/>
        <v>0</v>
      </c>
      <c r="AF33" s="611">
        <f t="shared" ca="1" si="14"/>
        <v>1</v>
      </c>
      <c r="AG33" s="611">
        <f t="shared" si="15"/>
        <v>1</v>
      </c>
      <c r="AH33" s="611">
        <f t="shared" ca="1" si="16"/>
        <v>1</v>
      </c>
      <c r="AI33" s="611">
        <f t="shared" si="17"/>
        <v>1</v>
      </c>
      <c r="AJ33" s="611">
        <f t="shared" ca="1" si="18"/>
        <v>1</v>
      </c>
      <c r="AK33" s="611">
        <f t="shared" si="19"/>
        <v>1</v>
      </c>
      <c r="AL33" s="611">
        <f t="shared" ca="1" si="20"/>
        <v>1</v>
      </c>
      <c r="AM33" s="611">
        <f t="shared" si="21"/>
        <v>1</v>
      </c>
      <c r="AN33" s="611">
        <f t="shared" ca="1" si="22"/>
        <v>1</v>
      </c>
      <c r="AO33" s="611">
        <f t="shared" si="23"/>
        <v>1</v>
      </c>
    </row>
    <row r="34" spans="1:41" s="612" customFormat="1" ht="18" customHeight="1">
      <c r="A34" s="611" t="str">
        <f ca="1">IF(C34=Retire!$D$12,"==&gt;","")</f>
        <v/>
      </c>
      <c r="B34" s="611"/>
      <c r="C34" s="1192">
        <f t="shared" ca="1" si="24"/>
        <v>2040</v>
      </c>
      <c r="D34" s="1193">
        <f t="shared" ca="1" si="27"/>
        <v>41518.830946164664</v>
      </c>
      <c r="E34" s="1193">
        <f t="shared" ca="1" si="28"/>
        <v>37923.792545303717</v>
      </c>
      <c r="F34" s="1193">
        <f t="shared" ca="1" si="29"/>
        <v>20270.923546752001</v>
      </c>
      <c r="G34" s="1193">
        <f t="shared" ca="1" si="30"/>
        <v>0</v>
      </c>
      <c r="H34" s="1193">
        <f t="shared" ca="1" si="31"/>
        <v>0</v>
      </c>
      <c r="I34" s="1193">
        <f t="shared" ca="1" si="32"/>
        <v>0</v>
      </c>
      <c r="J34" s="1193">
        <f t="shared" ca="1" si="33"/>
        <v>0</v>
      </c>
      <c r="K34" s="1193">
        <f t="shared" ca="1" si="34"/>
        <v>0</v>
      </c>
      <c r="L34" s="1193">
        <f t="shared" ca="1" si="35"/>
        <v>0</v>
      </c>
      <c r="M34" s="1193">
        <f t="shared" ca="1" si="36"/>
        <v>0</v>
      </c>
      <c r="N34" s="1066">
        <v>0</v>
      </c>
      <c r="O34" s="1188">
        <f ca="1">IF(Rental!Q55&gt;0,Rental!Q55,0)</f>
        <v>0</v>
      </c>
      <c r="P34" s="720"/>
      <c r="Q34" s="1193">
        <f t="shared" ca="1" si="1"/>
        <v>99713.547038220378</v>
      </c>
      <c r="R34" s="1193">
        <f t="shared" ca="1" si="2"/>
        <v>87797.153514500125</v>
      </c>
      <c r="S34" s="1188">
        <f t="shared" ca="1" si="3"/>
        <v>11916.393523720253</v>
      </c>
      <c r="T34" s="1201">
        <f t="shared" ca="1" si="25"/>
        <v>72</v>
      </c>
      <c r="U34" s="1201">
        <f t="shared" ca="1" si="26"/>
        <v>70</v>
      </c>
      <c r="V34" s="611">
        <f t="shared" ca="1" si="4"/>
        <v>1</v>
      </c>
      <c r="W34" s="611">
        <f t="shared" si="5"/>
        <v>1</v>
      </c>
      <c r="X34" s="611">
        <f t="shared" ca="1" si="6"/>
        <v>1</v>
      </c>
      <c r="Y34" s="611">
        <f t="shared" si="7"/>
        <v>1</v>
      </c>
      <c r="Z34" s="611">
        <f t="shared" ca="1" si="8"/>
        <v>1</v>
      </c>
      <c r="AA34" s="611">
        <f t="shared" si="9"/>
        <v>1</v>
      </c>
      <c r="AB34" s="611">
        <f t="shared" ca="1" si="10"/>
        <v>1</v>
      </c>
      <c r="AC34" s="611">
        <f t="shared" ca="1" si="11"/>
        <v>0</v>
      </c>
      <c r="AD34" s="611">
        <f t="shared" ca="1" si="12"/>
        <v>1</v>
      </c>
      <c r="AE34" s="611">
        <f t="shared" ca="1" si="13"/>
        <v>0</v>
      </c>
      <c r="AF34" s="611">
        <f t="shared" ca="1" si="14"/>
        <v>1</v>
      </c>
      <c r="AG34" s="611">
        <f t="shared" si="15"/>
        <v>1</v>
      </c>
      <c r="AH34" s="611">
        <f t="shared" ca="1" si="16"/>
        <v>1</v>
      </c>
      <c r="AI34" s="611">
        <f t="shared" si="17"/>
        <v>1</v>
      </c>
      <c r="AJ34" s="611">
        <f t="shared" ca="1" si="18"/>
        <v>1</v>
      </c>
      <c r="AK34" s="611">
        <f t="shared" si="19"/>
        <v>1</v>
      </c>
      <c r="AL34" s="611">
        <f t="shared" ca="1" si="20"/>
        <v>1</v>
      </c>
      <c r="AM34" s="611">
        <f t="shared" si="21"/>
        <v>1</v>
      </c>
      <c r="AN34" s="611">
        <f t="shared" ca="1" si="22"/>
        <v>1</v>
      </c>
      <c r="AO34" s="611">
        <f t="shared" si="23"/>
        <v>1</v>
      </c>
    </row>
    <row r="35" spans="1:41" s="612" customFormat="1" ht="18" customHeight="1">
      <c r="A35" s="611" t="str">
        <f ca="1">IF(C35=Retire!$D$12,"==&gt;","")</f>
        <v/>
      </c>
      <c r="B35" s="611"/>
      <c r="C35" s="1194">
        <f t="shared" ca="1" si="24"/>
        <v>2041</v>
      </c>
      <c r="D35" s="1195">
        <f t="shared" ca="1" si="27"/>
        <v>42062.727631559421</v>
      </c>
      <c r="E35" s="1195">
        <f t="shared" ca="1" si="28"/>
        <v>38420.594227647198</v>
      </c>
      <c r="F35" s="1195">
        <f t="shared" ca="1" si="29"/>
        <v>20676.342017687042</v>
      </c>
      <c r="G35" s="1195">
        <f t="shared" ca="1" si="30"/>
        <v>0</v>
      </c>
      <c r="H35" s="1195">
        <f t="shared" ca="1" si="31"/>
        <v>0</v>
      </c>
      <c r="I35" s="1195">
        <f t="shared" ca="1" si="32"/>
        <v>0</v>
      </c>
      <c r="J35" s="1195">
        <f t="shared" ca="1" si="33"/>
        <v>0</v>
      </c>
      <c r="K35" s="1195">
        <f t="shared" ca="1" si="34"/>
        <v>0</v>
      </c>
      <c r="L35" s="1195">
        <f t="shared" ca="1" si="35"/>
        <v>0</v>
      </c>
      <c r="M35" s="1195">
        <f t="shared" ca="1" si="36"/>
        <v>0</v>
      </c>
      <c r="N35" s="1066">
        <v>0</v>
      </c>
      <c r="O35" s="1196">
        <f ca="1">IF(Rental!Q56&gt;0,Rental!Q56,0)</f>
        <v>0</v>
      </c>
      <c r="P35" s="720"/>
      <c r="Q35" s="1195">
        <f t="shared" ca="1" si="1"/>
        <v>101159.66387689367</v>
      </c>
      <c r="R35" s="1195">
        <f t="shared" ca="1" si="2"/>
        <v>89087.165598012667</v>
      </c>
      <c r="S35" s="1196">
        <f t="shared" ca="1" si="3"/>
        <v>12072.498278881001</v>
      </c>
      <c r="T35" s="1202">
        <f t="shared" ca="1" si="25"/>
        <v>73</v>
      </c>
      <c r="U35" s="1202">
        <f t="shared" ca="1" si="26"/>
        <v>71</v>
      </c>
      <c r="V35" s="611">
        <f t="shared" ca="1" si="4"/>
        <v>1</v>
      </c>
      <c r="W35" s="611">
        <f t="shared" si="5"/>
        <v>1</v>
      </c>
      <c r="X35" s="611">
        <f t="shared" ca="1" si="6"/>
        <v>1</v>
      </c>
      <c r="Y35" s="611">
        <f t="shared" si="7"/>
        <v>1</v>
      </c>
      <c r="Z35" s="611">
        <f t="shared" ca="1" si="8"/>
        <v>1</v>
      </c>
      <c r="AA35" s="611">
        <f t="shared" si="9"/>
        <v>1</v>
      </c>
      <c r="AB35" s="611">
        <f t="shared" ca="1" si="10"/>
        <v>1</v>
      </c>
      <c r="AC35" s="611">
        <f t="shared" ca="1" si="11"/>
        <v>0</v>
      </c>
      <c r="AD35" s="611">
        <f t="shared" ca="1" si="12"/>
        <v>1</v>
      </c>
      <c r="AE35" s="611">
        <f t="shared" ca="1" si="13"/>
        <v>0</v>
      </c>
      <c r="AF35" s="611">
        <f t="shared" ca="1" si="14"/>
        <v>1</v>
      </c>
      <c r="AG35" s="611">
        <f t="shared" si="15"/>
        <v>1</v>
      </c>
      <c r="AH35" s="611">
        <f t="shared" ca="1" si="16"/>
        <v>1</v>
      </c>
      <c r="AI35" s="611">
        <f t="shared" si="17"/>
        <v>1</v>
      </c>
      <c r="AJ35" s="611">
        <f t="shared" ca="1" si="18"/>
        <v>1</v>
      </c>
      <c r="AK35" s="611">
        <f t="shared" si="19"/>
        <v>1</v>
      </c>
      <c r="AL35" s="611">
        <f t="shared" ca="1" si="20"/>
        <v>1</v>
      </c>
      <c r="AM35" s="611">
        <f t="shared" si="21"/>
        <v>1</v>
      </c>
      <c r="AN35" s="611">
        <f t="shared" ca="1" si="22"/>
        <v>1</v>
      </c>
      <c r="AO35" s="611">
        <f t="shared" si="23"/>
        <v>1</v>
      </c>
    </row>
    <row r="36" spans="1:41" s="612" customFormat="1" ht="18" customHeight="1">
      <c r="A36" s="611" t="str">
        <f ca="1">IF(C36=Retire!$D$12,"==&gt;","")</f>
        <v/>
      </c>
      <c r="B36" s="611"/>
      <c r="C36" s="1192">
        <f t="shared" ca="1" si="24"/>
        <v>2042</v>
      </c>
      <c r="D36" s="1193">
        <f t="shared" ca="1" si="27"/>
        <v>42613.74936353285</v>
      </c>
      <c r="E36" s="1193">
        <f t="shared" ca="1" si="28"/>
        <v>38923.904012029379</v>
      </c>
      <c r="F36" s="1193">
        <f t="shared" ca="1" si="29"/>
        <v>21089.868858040783</v>
      </c>
      <c r="G36" s="1193">
        <f t="shared" ca="1" si="30"/>
        <v>0</v>
      </c>
      <c r="H36" s="1193">
        <f t="shared" ca="1" si="31"/>
        <v>0</v>
      </c>
      <c r="I36" s="1193">
        <f t="shared" ca="1" si="32"/>
        <v>0</v>
      </c>
      <c r="J36" s="1193">
        <f t="shared" ca="1" si="33"/>
        <v>0</v>
      </c>
      <c r="K36" s="1193">
        <f t="shared" ca="1" si="34"/>
        <v>0</v>
      </c>
      <c r="L36" s="1193">
        <f t="shared" ca="1" si="35"/>
        <v>0</v>
      </c>
      <c r="M36" s="1193">
        <f t="shared" ca="1" si="36"/>
        <v>0</v>
      </c>
      <c r="N36" s="1066">
        <v>0</v>
      </c>
      <c r="O36" s="1188">
        <f ca="1">IF(Rental!Q57&gt;0,Rental!Q57,0)</f>
        <v>0</v>
      </c>
      <c r="P36" s="720"/>
      <c r="Q36" s="1193">
        <f t="shared" ca="1" si="1"/>
        <v>102627.522233603</v>
      </c>
      <c r="R36" s="1193">
        <f t="shared" ca="1" si="2"/>
        <v>90396.87422726868</v>
      </c>
      <c r="S36" s="1188">
        <f t="shared" ca="1" si="3"/>
        <v>12230.648006334319</v>
      </c>
      <c r="T36" s="1201">
        <f t="shared" ca="1" si="25"/>
        <v>74</v>
      </c>
      <c r="U36" s="1201">
        <f t="shared" ca="1" si="26"/>
        <v>72</v>
      </c>
      <c r="V36" s="611">
        <f t="shared" ca="1" si="4"/>
        <v>1</v>
      </c>
      <c r="W36" s="611">
        <f t="shared" si="5"/>
        <v>1</v>
      </c>
      <c r="X36" s="611">
        <f t="shared" ca="1" si="6"/>
        <v>1</v>
      </c>
      <c r="Y36" s="611">
        <f t="shared" si="7"/>
        <v>1</v>
      </c>
      <c r="Z36" s="611">
        <f t="shared" ca="1" si="8"/>
        <v>1</v>
      </c>
      <c r="AA36" s="611">
        <f t="shared" si="9"/>
        <v>1</v>
      </c>
      <c r="AB36" s="611">
        <f t="shared" ca="1" si="10"/>
        <v>1</v>
      </c>
      <c r="AC36" s="611">
        <f t="shared" ca="1" si="11"/>
        <v>0</v>
      </c>
      <c r="AD36" s="611">
        <f t="shared" ca="1" si="12"/>
        <v>1</v>
      </c>
      <c r="AE36" s="611">
        <f t="shared" ca="1" si="13"/>
        <v>0</v>
      </c>
      <c r="AF36" s="611">
        <f t="shared" ca="1" si="14"/>
        <v>1</v>
      </c>
      <c r="AG36" s="611">
        <f t="shared" si="15"/>
        <v>1</v>
      </c>
      <c r="AH36" s="611">
        <f t="shared" ca="1" si="16"/>
        <v>1</v>
      </c>
      <c r="AI36" s="611">
        <f t="shared" si="17"/>
        <v>1</v>
      </c>
      <c r="AJ36" s="611">
        <f t="shared" ca="1" si="18"/>
        <v>1</v>
      </c>
      <c r="AK36" s="611">
        <f t="shared" si="19"/>
        <v>1</v>
      </c>
      <c r="AL36" s="611">
        <f t="shared" ca="1" si="20"/>
        <v>1</v>
      </c>
      <c r="AM36" s="611">
        <f t="shared" si="21"/>
        <v>1</v>
      </c>
      <c r="AN36" s="611">
        <f t="shared" ca="1" si="22"/>
        <v>1</v>
      </c>
      <c r="AO36" s="611">
        <f t="shared" si="23"/>
        <v>1</v>
      </c>
    </row>
    <row r="37" spans="1:41" s="612" customFormat="1" ht="18" customHeight="1">
      <c r="A37" s="611" t="str">
        <f ca="1">IF(C37=Retire!$D$12,"==&gt;","")</f>
        <v/>
      </c>
      <c r="B37" s="611"/>
      <c r="C37" s="1194">
        <f t="shared" ca="1" si="24"/>
        <v>2043</v>
      </c>
      <c r="D37" s="1195">
        <f t="shared" ca="1" si="27"/>
        <v>43171.98948019513</v>
      </c>
      <c r="E37" s="1195">
        <f t="shared" ca="1" si="28"/>
        <v>39433.807154586961</v>
      </c>
      <c r="F37" s="1195">
        <f t="shared" ca="1" si="29"/>
        <v>21511.666235201599</v>
      </c>
      <c r="G37" s="1195">
        <f t="shared" ca="1" si="30"/>
        <v>0</v>
      </c>
      <c r="H37" s="1195">
        <f t="shared" ca="1" si="31"/>
        <v>0</v>
      </c>
      <c r="I37" s="1195">
        <f t="shared" ca="1" si="32"/>
        <v>0</v>
      </c>
      <c r="J37" s="1195">
        <f t="shared" ca="1" si="33"/>
        <v>0</v>
      </c>
      <c r="K37" s="1195">
        <f t="shared" ca="1" si="34"/>
        <v>0</v>
      </c>
      <c r="L37" s="1195">
        <f t="shared" ca="1" si="35"/>
        <v>0</v>
      </c>
      <c r="M37" s="1195">
        <f t="shared" ca="1" si="36"/>
        <v>0</v>
      </c>
      <c r="N37" s="1066">
        <v>0</v>
      </c>
      <c r="O37" s="1196">
        <f ca="1">IF(Rental!Q58&gt;0,Rental!Q58,0)</f>
        <v>0</v>
      </c>
      <c r="P37" s="720"/>
      <c r="Q37" s="1195">
        <f t="shared" ca="1" si="1"/>
        <v>104117.46286998369</v>
      </c>
      <c r="R37" s="1195">
        <f t="shared" ca="1" si="2"/>
        <v>91726.593374766366</v>
      </c>
      <c r="S37" s="1196">
        <f t="shared" ca="1" si="3"/>
        <v>12390.869495217325</v>
      </c>
      <c r="T37" s="1202">
        <f t="shared" ca="1" si="25"/>
        <v>75</v>
      </c>
      <c r="U37" s="1202">
        <f t="shared" ca="1" si="26"/>
        <v>73</v>
      </c>
      <c r="V37" s="611">
        <f t="shared" ca="1" si="4"/>
        <v>1</v>
      </c>
      <c r="W37" s="611">
        <f t="shared" si="5"/>
        <v>1</v>
      </c>
      <c r="X37" s="611">
        <f t="shared" ca="1" si="6"/>
        <v>1</v>
      </c>
      <c r="Y37" s="611">
        <f t="shared" si="7"/>
        <v>1</v>
      </c>
      <c r="Z37" s="611">
        <f t="shared" ca="1" si="8"/>
        <v>1</v>
      </c>
      <c r="AA37" s="611">
        <f t="shared" si="9"/>
        <v>1</v>
      </c>
      <c r="AB37" s="611">
        <f t="shared" ca="1" si="10"/>
        <v>1</v>
      </c>
      <c r="AC37" s="611">
        <f t="shared" ca="1" si="11"/>
        <v>0</v>
      </c>
      <c r="AD37" s="611">
        <f t="shared" ca="1" si="12"/>
        <v>1</v>
      </c>
      <c r="AE37" s="611">
        <f t="shared" ca="1" si="13"/>
        <v>0</v>
      </c>
      <c r="AF37" s="611">
        <f t="shared" ca="1" si="14"/>
        <v>1</v>
      </c>
      <c r="AG37" s="611">
        <f t="shared" si="15"/>
        <v>1</v>
      </c>
      <c r="AH37" s="611">
        <f t="shared" ca="1" si="16"/>
        <v>1</v>
      </c>
      <c r="AI37" s="611">
        <f t="shared" si="17"/>
        <v>1</v>
      </c>
      <c r="AJ37" s="611">
        <f t="shared" ca="1" si="18"/>
        <v>1</v>
      </c>
      <c r="AK37" s="611">
        <f t="shared" si="19"/>
        <v>1</v>
      </c>
      <c r="AL37" s="611">
        <f t="shared" ca="1" si="20"/>
        <v>1</v>
      </c>
      <c r="AM37" s="611">
        <f t="shared" si="21"/>
        <v>1</v>
      </c>
      <c r="AN37" s="611">
        <f t="shared" ca="1" si="22"/>
        <v>1</v>
      </c>
      <c r="AO37" s="611">
        <f t="shared" si="23"/>
        <v>1</v>
      </c>
    </row>
    <row r="38" spans="1:41" s="612" customFormat="1" ht="18" customHeight="1">
      <c r="A38" s="611" t="str">
        <f ca="1">IF(C38=Retire!$D$12,"==&gt;","")</f>
        <v/>
      </c>
      <c r="B38" s="611"/>
      <c r="C38" s="1192">
        <f t="shared" ca="1" si="24"/>
        <v>2044</v>
      </c>
      <c r="D38" s="1193">
        <f t="shared" ca="1" si="27"/>
        <v>43737.542542385687</v>
      </c>
      <c r="E38" s="1193">
        <f t="shared" ca="1" si="28"/>
        <v>39950.390028312053</v>
      </c>
      <c r="F38" s="1193">
        <f t="shared" ca="1" si="29"/>
        <v>21941.899559905632</v>
      </c>
      <c r="G38" s="1193">
        <f t="shared" ca="1" si="30"/>
        <v>0</v>
      </c>
      <c r="H38" s="1193">
        <f t="shared" ca="1" si="31"/>
        <v>0</v>
      </c>
      <c r="I38" s="1193">
        <f t="shared" ca="1" si="32"/>
        <v>0</v>
      </c>
      <c r="J38" s="1193">
        <f t="shared" ca="1" si="33"/>
        <v>0</v>
      </c>
      <c r="K38" s="1193">
        <f t="shared" ca="1" si="34"/>
        <v>0</v>
      </c>
      <c r="L38" s="1193">
        <f t="shared" ca="1" si="35"/>
        <v>0</v>
      </c>
      <c r="M38" s="1193">
        <f t="shared" ca="1" si="36"/>
        <v>0</v>
      </c>
      <c r="N38" s="1066">
        <v>0</v>
      </c>
      <c r="O38" s="1188">
        <f ca="1">IF(Rental!Q59&gt;0,Rental!Q59,0)</f>
        <v>0</v>
      </c>
      <c r="P38" s="720"/>
      <c r="Q38" s="1193">
        <f t="shared" ca="1" si="1"/>
        <v>105629.83213060338</v>
      </c>
      <c r="R38" s="1193">
        <f t="shared" ca="1" si="2"/>
        <v>93076.642244998715</v>
      </c>
      <c r="S38" s="1188">
        <f t="shared" ca="1" si="3"/>
        <v>12553.189885604661</v>
      </c>
      <c r="T38" s="1201">
        <f t="shared" ca="1" si="25"/>
        <v>76</v>
      </c>
      <c r="U38" s="1201">
        <f t="shared" ca="1" si="26"/>
        <v>74</v>
      </c>
      <c r="V38" s="611">
        <f t="shared" ca="1" si="4"/>
        <v>1</v>
      </c>
      <c r="W38" s="611">
        <f t="shared" si="5"/>
        <v>1</v>
      </c>
      <c r="X38" s="611">
        <f t="shared" ca="1" si="6"/>
        <v>1</v>
      </c>
      <c r="Y38" s="611">
        <f t="shared" si="7"/>
        <v>1</v>
      </c>
      <c r="Z38" s="611">
        <f t="shared" ca="1" si="8"/>
        <v>1</v>
      </c>
      <c r="AA38" s="611">
        <f t="shared" si="9"/>
        <v>1</v>
      </c>
      <c r="AB38" s="611">
        <f t="shared" ca="1" si="10"/>
        <v>1</v>
      </c>
      <c r="AC38" s="611">
        <f t="shared" ca="1" si="11"/>
        <v>0</v>
      </c>
      <c r="AD38" s="611">
        <f t="shared" ca="1" si="12"/>
        <v>1</v>
      </c>
      <c r="AE38" s="611">
        <f t="shared" ca="1" si="13"/>
        <v>0</v>
      </c>
      <c r="AF38" s="611">
        <f t="shared" ca="1" si="14"/>
        <v>1</v>
      </c>
      <c r="AG38" s="611">
        <f t="shared" si="15"/>
        <v>1</v>
      </c>
      <c r="AH38" s="611">
        <f t="shared" ca="1" si="16"/>
        <v>1</v>
      </c>
      <c r="AI38" s="611">
        <f t="shared" si="17"/>
        <v>1</v>
      </c>
      <c r="AJ38" s="611">
        <f t="shared" ca="1" si="18"/>
        <v>1</v>
      </c>
      <c r="AK38" s="611">
        <f t="shared" si="19"/>
        <v>1</v>
      </c>
      <c r="AL38" s="611">
        <f t="shared" ca="1" si="20"/>
        <v>1</v>
      </c>
      <c r="AM38" s="611">
        <f t="shared" si="21"/>
        <v>1</v>
      </c>
      <c r="AN38" s="611">
        <f t="shared" ca="1" si="22"/>
        <v>1</v>
      </c>
      <c r="AO38" s="611">
        <f t="shared" si="23"/>
        <v>1</v>
      </c>
    </row>
    <row r="39" spans="1:41" s="612" customFormat="1" ht="18" customHeight="1">
      <c r="A39" s="611" t="str">
        <f ca="1">IF(C39=Retire!$D$12,"==&gt;","")</f>
        <v/>
      </c>
      <c r="B39" s="611"/>
      <c r="C39" s="1194">
        <f t="shared" ca="1" si="24"/>
        <v>2045</v>
      </c>
      <c r="D39" s="1195">
        <f t="shared" ca="1" si="27"/>
        <v>44310.504349690942</v>
      </c>
      <c r="E39" s="1195">
        <f t="shared" ca="1" si="28"/>
        <v>40473.740137682944</v>
      </c>
      <c r="F39" s="1195">
        <f t="shared" ca="1" si="29"/>
        <v>22380.737551103746</v>
      </c>
      <c r="G39" s="1195">
        <f t="shared" ca="1" si="30"/>
        <v>0</v>
      </c>
      <c r="H39" s="1195">
        <f t="shared" ca="1" si="31"/>
        <v>0</v>
      </c>
      <c r="I39" s="1195">
        <f t="shared" ca="1" si="32"/>
        <v>0</v>
      </c>
      <c r="J39" s="1195">
        <f t="shared" ca="1" si="33"/>
        <v>0</v>
      </c>
      <c r="K39" s="1195">
        <f t="shared" ca="1" si="34"/>
        <v>0</v>
      </c>
      <c r="L39" s="1195">
        <f t="shared" ca="1" si="35"/>
        <v>0</v>
      </c>
      <c r="M39" s="1195">
        <f t="shared" ca="1" si="36"/>
        <v>0</v>
      </c>
      <c r="N39" s="1066">
        <v>0</v>
      </c>
      <c r="O39" s="1196">
        <f ca="1">IF(Rental!Q60&gt;0,Rental!Q60,0)</f>
        <v>0</v>
      </c>
      <c r="P39" s="720"/>
      <c r="Q39" s="1195">
        <f t="shared" ca="1" si="1"/>
        <v>107164.98203847764</v>
      </c>
      <c r="R39" s="1195">
        <f t="shared" ca="1" si="2"/>
        <v>94447.345365371555</v>
      </c>
      <c r="S39" s="1196">
        <f t="shared" ca="1" si="3"/>
        <v>12717.636673106084</v>
      </c>
      <c r="T39" s="1202">
        <f t="shared" ca="1" si="25"/>
        <v>77</v>
      </c>
      <c r="U39" s="1202">
        <f t="shared" ca="1" si="26"/>
        <v>75</v>
      </c>
      <c r="V39" s="611">
        <f t="shared" ca="1" si="4"/>
        <v>1</v>
      </c>
      <c r="W39" s="611">
        <f t="shared" si="5"/>
        <v>1</v>
      </c>
      <c r="X39" s="611">
        <f t="shared" ca="1" si="6"/>
        <v>1</v>
      </c>
      <c r="Y39" s="611">
        <f t="shared" si="7"/>
        <v>1</v>
      </c>
      <c r="Z39" s="611">
        <f t="shared" ca="1" si="8"/>
        <v>1</v>
      </c>
      <c r="AA39" s="611">
        <f t="shared" si="9"/>
        <v>1</v>
      </c>
      <c r="AB39" s="611">
        <f t="shared" ca="1" si="10"/>
        <v>1</v>
      </c>
      <c r="AC39" s="611">
        <f t="shared" ca="1" si="11"/>
        <v>0</v>
      </c>
      <c r="AD39" s="611">
        <f t="shared" ca="1" si="12"/>
        <v>1</v>
      </c>
      <c r="AE39" s="611">
        <f t="shared" ca="1" si="13"/>
        <v>0</v>
      </c>
      <c r="AF39" s="611">
        <f t="shared" ca="1" si="14"/>
        <v>1</v>
      </c>
      <c r="AG39" s="611">
        <f t="shared" si="15"/>
        <v>1</v>
      </c>
      <c r="AH39" s="611">
        <f t="shared" ca="1" si="16"/>
        <v>1</v>
      </c>
      <c r="AI39" s="611">
        <f t="shared" si="17"/>
        <v>1</v>
      </c>
      <c r="AJ39" s="611">
        <f t="shared" ca="1" si="18"/>
        <v>1</v>
      </c>
      <c r="AK39" s="611">
        <f t="shared" si="19"/>
        <v>1</v>
      </c>
      <c r="AL39" s="611">
        <f t="shared" ca="1" si="20"/>
        <v>1</v>
      </c>
      <c r="AM39" s="611">
        <f t="shared" si="21"/>
        <v>1</v>
      </c>
      <c r="AN39" s="611">
        <f t="shared" ca="1" si="22"/>
        <v>1</v>
      </c>
      <c r="AO39" s="611">
        <f t="shared" si="23"/>
        <v>1</v>
      </c>
    </row>
    <row r="40" spans="1:41" s="612" customFormat="1" ht="18" customHeight="1">
      <c r="A40" s="611" t="str">
        <f ca="1">IF(C40=Retire!$D$12,"==&gt;","")</f>
        <v/>
      </c>
      <c r="B40" s="611"/>
      <c r="C40" s="1192">
        <f t="shared" ca="1" si="24"/>
        <v>2046</v>
      </c>
      <c r="D40" s="1193">
        <f t="shared" ca="1" si="27"/>
        <v>44890.971956671892</v>
      </c>
      <c r="E40" s="1193">
        <f t="shared" ca="1" si="28"/>
        <v>41003.946133486592</v>
      </c>
      <c r="F40" s="1193">
        <f t="shared" ca="1" si="29"/>
        <v>22828.352302125822</v>
      </c>
      <c r="G40" s="1193">
        <f t="shared" ca="1" si="30"/>
        <v>0</v>
      </c>
      <c r="H40" s="1193">
        <f t="shared" ca="1" si="31"/>
        <v>0</v>
      </c>
      <c r="I40" s="1193">
        <f t="shared" ca="1" si="32"/>
        <v>0</v>
      </c>
      <c r="J40" s="1193">
        <f t="shared" ca="1" si="33"/>
        <v>0</v>
      </c>
      <c r="K40" s="1193">
        <f t="shared" ca="1" si="34"/>
        <v>0</v>
      </c>
      <c r="L40" s="1193">
        <f t="shared" ca="1" si="35"/>
        <v>0</v>
      </c>
      <c r="M40" s="1193">
        <f t="shared" ca="1" si="36"/>
        <v>0</v>
      </c>
      <c r="N40" s="1066">
        <v>0</v>
      </c>
      <c r="O40" s="1188">
        <f ca="1">IF(Rental!Q61&gt;0,Rental!Q61,0)</f>
        <v>0</v>
      </c>
      <c r="P40" s="720"/>
      <c r="Q40" s="1193">
        <f t="shared" ca="1" si="1"/>
        <v>108723.27039228432</v>
      </c>
      <c r="R40" s="1193">
        <f t="shared" ca="1" si="2"/>
        <v>95839.03267876053</v>
      </c>
      <c r="S40" s="1188">
        <f t="shared" ca="1" si="3"/>
        <v>12884.237713523791</v>
      </c>
      <c r="T40" s="1201">
        <f t="shared" ca="1" si="25"/>
        <v>78</v>
      </c>
      <c r="U40" s="1201">
        <f t="shared" ca="1" si="26"/>
        <v>76</v>
      </c>
      <c r="V40" s="611">
        <f t="shared" ca="1" si="4"/>
        <v>1</v>
      </c>
      <c r="W40" s="611">
        <f t="shared" si="5"/>
        <v>1</v>
      </c>
      <c r="X40" s="611">
        <f t="shared" ca="1" si="6"/>
        <v>1</v>
      </c>
      <c r="Y40" s="611">
        <f t="shared" si="7"/>
        <v>1</v>
      </c>
      <c r="Z40" s="611">
        <f t="shared" ca="1" si="8"/>
        <v>1</v>
      </c>
      <c r="AA40" s="611">
        <f t="shared" si="9"/>
        <v>1</v>
      </c>
      <c r="AB40" s="611">
        <f t="shared" ca="1" si="10"/>
        <v>1</v>
      </c>
      <c r="AC40" s="611">
        <f t="shared" ca="1" si="11"/>
        <v>0</v>
      </c>
      <c r="AD40" s="611">
        <f t="shared" ca="1" si="12"/>
        <v>1</v>
      </c>
      <c r="AE40" s="611">
        <f t="shared" ca="1" si="13"/>
        <v>0</v>
      </c>
      <c r="AF40" s="611">
        <f t="shared" ca="1" si="14"/>
        <v>1</v>
      </c>
      <c r="AG40" s="611">
        <f t="shared" si="15"/>
        <v>1</v>
      </c>
      <c r="AH40" s="611">
        <f t="shared" ca="1" si="16"/>
        <v>1</v>
      </c>
      <c r="AI40" s="611">
        <f t="shared" si="17"/>
        <v>1</v>
      </c>
      <c r="AJ40" s="611">
        <f t="shared" ca="1" si="18"/>
        <v>1</v>
      </c>
      <c r="AK40" s="611">
        <f t="shared" si="19"/>
        <v>1</v>
      </c>
      <c r="AL40" s="611">
        <f t="shared" ca="1" si="20"/>
        <v>1</v>
      </c>
      <c r="AM40" s="611">
        <f t="shared" si="21"/>
        <v>1</v>
      </c>
      <c r="AN40" s="611">
        <f t="shared" ca="1" si="22"/>
        <v>1</v>
      </c>
      <c r="AO40" s="611">
        <f t="shared" si="23"/>
        <v>1</v>
      </c>
    </row>
    <row r="41" spans="1:41" s="612" customFormat="1" ht="18" customHeight="1">
      <c r="A41" s="611" t="str">
        <f ca="1">IF(C41=Retire!$D$12,"==&gt;","")</f>
        <v/>
      </c>
      <c r="B41" s="611"/>
      <c r="C41" s="1194">
        <f t="shared" ca="1" si="24"/>
        <v>2047</v>
      </c>
      <c r="D41" s="1195">
        <f t="shared" ca="1" si="27"/>
        <v>45479.043689304293</v>
      </c>
      <c r="E41" s="1195">
        <f t="shared" ca="1" si="28"/>
        <v>41541.097827835263</v>
      </c>
      <c r="F41" s="1195">
        <f t="shared" ca="1" si="29"/>
        <v>23284.91934816834</v>
      </c>
      <c r="G41" s="1195">
        <f t="shared" ca="1" si="30"/>
        <v>0</v>
      </c>
      <c r="H41" s="1195">
        <f t="shared" ca="1" si="31"/>
        <v>0</v>
      </c>
      <c r="I41" s="1195">
        <f t="shared" ca="1" si="32"/>
        <v>0</v>
      </c>
      <c r="J41" s="1195">
        <f t="shared" ca="1" si="33"/>
        <v>0</v>
      </c>
      <c r="K41" s="1195">
        <f t="shared" ca="1" si="34"/>
        <v>0</v>
      </c>
      <c r="L41" s="1195">
        <f t="shared" ca="1" si="35"/>
        <v>0</v>
      </c>
      <c r="M41" s="1195">
        <f t="shared" ca="1" si="36"/>
        <v>0</v>
      </c>
      <c r="N41" s="1066">
        <v>0</v>
      </c>
      <c r="O41" s="1196">
        <f ca="1">IF(Rental!Q62&gt;0,Rental!Q62,0)</f>
        <v>0</v>
      </c>
      <c r="P41" s="720"/>
      <c r="Q41" s="1195">
        <f t="shared" ca="1" si="1"/>
        <v>110305.0608653079</v>
      </c>
      <c r="R41" s="1195">
        <f t="shared" ca="1" si="2"/>
        <v>97252.039637736947</v>
      </c>
      <c r="S41" s="1196">
        <f t="shared" ca="1" si="3"/>
        <v>13053.021227570949</v>
      </c>
      <c r="T41" s="1202">
        <f t="shared" ca="1" si="25"/>
        <v>79</v>
      </c>
      <c r="U41" s="1202">
        <f t="shared" ca="1" si="26"/>
        <v>77</v>
      </c>
      <c r="V41" s="611">
        <f t="shared" ca="1" si="4"/>
        <v>1</v>
      </c>
      <c r="W41" s="611">
        <f t="shared" si="5"/>
        <v>1</v>
      </c>
      <c r="X41" s="611">
        <f t="shared" ca="1" si="6"/>
        <v>1</v>
      </c>
      <c r="Y41" s="611">
        <f t="shared" si="7"/>
        <v>1</v>
      </c>
      <c r="Z41" s="611">
        <f t="shared" ca="1" si="8"/>
        <v>1</v>
      </c>
      <c r="AA41" s="611">
        <f t="shared" si="9"/>
        <v>1</v>
      </c>
      <c r="AB41" s="611">
        <f t="shared" ca="1" si="10"/>
        <v>1</v>
      </c>
      <c r="AC41" s="611">
        <f t="shared" ca="1" si="11"/>
        <v>0</v>
      </c>
      <c r="AD41" s="611">
        <f t="shared" ca="1" si="12"/>
        <v>1</v>
      </c>
      <c r="AE41" s="611">
        <f t="shared" ca="1" si="13"/>
        <v>0</v>
      </c>
      <c r="AF41" s="611">
        <f t="shared" ca="1" si="14"/>
        <v>1</v>
      </c>
      <c r="AG41" s="611">
        <f t="shared" si="15"/>
        <v>1</v>
      </c>
      <c r="AH41" s="611">
        <f t="shared" ca="1" si="16"/>
        <v>1</v>
      </c>
      <c r="AI41" s="611">
        <f t="shared" si="17"/>
        <v>1</v>
      </c>
      <c r="AJ41" s="611">
        <f t="shared" ca="1" si="18"/>
        <v>1</v>
      </c>
      <c r="AK41" s="611">
        <f t="shared" si="19"/>
        <v>1</v>
      </c>
      <c r="AL41" s="611">
        <f t="shared" ca="1" si="20"/>
        <v>1</v>
      </c>
      <c r="AM41" s="611">
        <f t="shared" si="21"/>
        <v>1</v>
      </c>
      <c r="AN41" s="611">
        <f t="shared" ca="1" si="22"/>
        <v>1</v>
      </c>
      <c r="AO41" s="611">
        <f t="shared" si="23"/>
        <v>1</v>
      </c>
    </row>
    <row r="42" spans="1:41" s="612" customFormat="1" ht="18" customHeight="1">
      <c r="A42" s="611" t="str">
        <f ca="1">IF(C42=Retire!$D$12,"==&gt;","")</f>
        <v/>
      </c>
      <c r="B42" s="611"/>
      <c r="C42" s="1192">
        <f t="shared" ca="1" si="24"/>
        <v>2048</v>
      </c>
      <c r="D42" s="1193">
        <f t="shared" ca="1" si="27"/>
        <v>46074.819161634179</v>
      </c>
      <c r="E42" s="1193">
        <f t="shared" ca="1" si="28"/>
        <v>42085.286209379905</v>
      </c>
      <c r="F42" s="1193">
        <f t="shared" ca="1" si="29"/>
        <v>23750.617735131706</v>
      </c>
      <c r="G42" s="1193">
        <f t="shared" ca="1" si="30"/>
        <v>0</v>
      </c>
      <c r="H42" s="1193">
        <f t="shared" ca="1" si="31"/>
        <v>0</v>
      </c>
      <c r="I42" s="1193">
        <f t="shared" ca="1" si="32"/>
        <v>0</v>
      </c>
      <c r="J42" s="1193">
        <f t="shared" ca="1" si="33"/>
        <v>0</v>
      </c>
      <c r="K42" s="1193">
        <f t="shared" ca="1" si="34"/>
        <v>0</v>
      </c>
      <c r="L42" s="1193">
        <f t="shared" ca="1" si="35"/>
        <v>0</v>
      </c>
      <c r="M42" s="1193">
        <f t="shared" ca="1" si="36"/>
        <v>0</v>
      </c>
      <c r="N42" s="1066">
        <v>0</v>
      </c>
      <c r="O42" s="1188">
        <f ca="1">IF(Rental!Q63&gt;0,Rental!Q63,0)</f>
        <v>0</v>
      </c>
      <c r="P42" s="720"/>
      <c r="Q42" s="1193">
        <f t="shared" ca="1" si="1"/>
        <v>111910.72310614579</v>
      </c>
      <c r="R42" s="1193">
        <f t="shared" ca="1" si="2"/>
        <v>98686.707300493668</v>
      </c>
      <c r="S42" s="1188">
        <f t="shared" ca="1" si="3"/>
        <v>13224.015805652118</v>
      </c>
      <c r="T42" s="1201">
        <f t="shared" ca="1" si="25"/>
        <v>80</v>
      </c>
      <c r="U42" s="1201">
        <f t="shared" ca="1" si="26"/>
        <v>78</v>
      </c>
      <c r="V42" s="611">
        <f t="shared" ca="1" si="4"/>
        <v>1</v>
      </c>
      <c r="W42" s="611">
        <f t="shared" si="5"/>
        <v>1</v>
      </c>
      <c r="X42" s="611">
        <f t="shared" ca="1" si="6"/>
        <v>1</v>
      </c>
      <c r="Y42" s="611">
        <f t="shared" si="7"/>
        <v>1</v>
      </c>
      <c r="Z42" s="611">
        <f t="shared" ca="1" si="8"/>
        <v>1</v>
      </c>
      <c r="AA42" s="611">
        <f t="shared" si="9"/>
        <v>1</v>
      </c>
      <c r="AB42" s="611">
        <f t="shared" ca="1" si="10"/>
        <v>1</v>
      </c>
      <c r="AC42" s="611">
        <f t="shared" ca="1" si="11"/>
        <v>0</v>
      </c>
      <c r="AD42" s="611">
        <f t="shared" ca="1" si="12"/>
        <v>1</v>
      </c>
      <c r="AE42" s="611">
        <f t="shared" ca="1" si="13"/>
        <v>0</v>
      </c>
      <c r="AF42" s="611">
        <f t="shared" ca="1" si="14"/>
        <v>1</v>
      </c>
      <c r="AG42" s="611">
        <f t="shared" si="15"/>
        <v>1</v>
      </c>
      <c r="AH42" s="611">
        <f t="shared" ca="1" si="16"/>
        <v>1</v>
      </c>
      <c r="AI42" s="611">
        <f t="shared" si="17"/>
        <v>1</v>
      </c>
      <c r="AJ42" s="611">
        <f t="shared" ca="1" si="18"/>
        <v>1</v>
      </c>
      <c r="AK42" s="611">
        <f t="shared" si="19"/>
        <v>1</v>
      </c>
      <c r="AL42" s="611">
        <f t="shared" ca="1" si="20"/>
        <v>1</v>
      </c>
      <c r="AM42" s="611">
        <f t="shared" si="21"/>
        <v>1</v>
      </c>
      <c r="AN42" s="611">
        <f t="shared" ca="1" si="22"/>
        <v>1</v>
      </c>
      <c r="AO42" s="611">
        <f t="shared" si="23"/>
        <v>1</v>
      </c>
    </row>
    <row r="43" spans="1:41" s="612" customFormat="1" ht="18" customHeight="1">
      <c r="A43" s="611" t="str">
        <f ca="1">IF(C43=Retire!$D$12,"==&gt;","")</f>
        <v/>
      </c>
      <c r="B43" s="611"/>
      <c r="C43" s="1194">
        <f t="shared" ca="1" si="24"/>
        <v>2049</v>
      </c>
      <c r="D43" s="1195">
        <f t="shared" ca="1" si="27"/>
        <v>46678.399292651586</v>
      </c>
      <c r="E43" s="1195">
        <f t="shared" ca="1" si="28"/>
        <v>42636.603458722784</v>
      </c>
      <c r="F43" s="1195">
        <f t="shared" ca="1" si="29"/>
        <v>24225.63008983434</v>
      </c>
      <c r="G43" s="1195">
        <f t="shared" ca="1" si="30"/>
        <v>0</v>
      </c>
      <c r="H43" s="1195">
        <f t="shared" ca="1" si="31"/>
        <v>0</v>
      </c>
      <c r="I43" s="1195">
        <f t="shared" ca="1" si="32"/>
        <v>0</v>
      </c>
      <c r="J43" s="1195">
        <f t="shared" ca="1" si="33"/>
        <v>0</v>
      </c>
      <c r="K43" s="1195">
        <f t="shared" ca="1" si="34"/>
        <v>0</v>
      </c>
      <c r="L43" s="1195">
        <f t="shared" ca="1" si="35"/>
        <v>0</v>
      </c>
      <c r="M43" s="1195">
        <f t="shared" ca="1" si="36"/>
        <v>0</v>
      </c>
      <c r="N43" s="1066">
        <v>0</v>
      </c>
      <c r="O43" s="1196">
        <f ca="1">IF(Rental!Q64&gt;0,Rental!Q64,0)</f>
        <v>0</v>
      </c>
      <c r="P43" s="720"/>
      <c r="Q43" s="1195">
        <f t="shared" ca="1" si="1"/>
        <v>113540.63284120872</v>
      </c>
      <c r="R43" s="1195">
        <f t="shared" ca="1" si="2"/>
        <v>100143.38242850255</v>
      </c>
      <c r="S43" s="1196">
        <f t="shared" ca="1" si="3"/>
        <v>13397.250412706169</v>
      </c>
      <c r="T43" s="1202">
        <f t="shared" ca="1" si="25"/>
        <v>81</v>
      </c>
      <c r="U43" s="1202">
        <f t="shared" ca="1" si="26"/>
        <v>79</v>
      </c>
      <c r="V43" s="611">
        <f t="shared" ca="1" si="4"/>
        <v>1</v>
      </c>
      <c r="W43" s="611">
        <f t="shared" si="5"/>
        <v>1</v>
      </c>
      <c r="X43" s="611">
        <f t="shared" ca="1" si="6"/>
        <v>1</v>
      </c>
      <c r="Y43" s="611">
        <f t="shared" si="7"/>
        <v>1</v>
      </c>
      <c r="Z43" s="611">
        <f t="shared" ca="1" si="8"/>
        <v>1</v>
      </c>
      <c r="AA43" s="611">
        <f t="shared" si="9"/>
        <v>1</v>
      </c>
      <c r="AB43" s="611">
        <f t="shared" ca="1" si="10"/>
        <v>1</v>
      </c>
      <c r="AC43" s="611">
        <f t="shared" ca="1" si="11"/>
        <v>0</v>
      </c>
      <c r="AD43" s="611">
        <f t="shared" ca="1" si="12"/>
        <v>1</v>
      </c>
      <c r="AE43" s="611">
        <f t="shared" ca="1" si="13"/>
        <v>0</v>
      </c>
      <c r="AF43" s="611">
        <f t="shared" ca="1" si="14"/>
        <v>1</v>
      </c>
      <c r="AG43" s="611">
        <f t="shared" si="15"/>
        <v>1</v>
      </c>
      <c r="AH43" s="611">
        <f t="shared" ca="1" si="16"/>
        <v>1</v>
      </c>
      <c r="AI43" s="611">
        <f t="shared" si="17"/>
        <v>1</v>
      </c>
      <c r="AJ43" s="611">
        <f t="shared" ca="1" si="18"/>
        <v>1</v>
      </c>
      <c r="AK43" s="611">
        <f t="shared" si="19"/>
        <v>1</v>
      </c>
      <c r="AL43" s="611">
        <f t="shared" ca="1" si="20"/>
        <v>1</v>
      </c>
      <c r="AM43" s="611">
        <f t="shared" si="21"/>
        <v>1</v>
      </c>
      <c r="AN43" s="611">
        <f t="shared" ca="1" si="22"/>
        <v>1</v>
      </c>
      <c r="AO43" s="611">
        <f t="shared" si="23"/>
        <v>1</v>
      </c>
    </row>
    <row r="44" spans="1:41" s="612" customFormat="1" ht="18" customHeight="1">
      <c r="A44" s="611" t="str">
        <f ca="1">IF(C44=Retire!$D$12,"==&gt;","")</f>
        <v/>
      </c>
      <c r="B44" s="611"/>
      <c r="C44" s="1192">
        <f t="shared" ca="1" si="24"/>
        <v>2050</v>
      </c>
      <c r="D44" s="1193">
        <f t="shared" ca="1" si="27"/>
        <v>47289.886323385319</v>
      </c>
      <c r="E44" s="1193">
        <f t="shared" ca="1" si="28"/>
        <v>43195.142964032049</v>
      </c>
      <c r="F44" s="1193">
        <f t="shared" ca="1" si="29"/>
        <v>24710.142691631027</v>
      </c>
      <c r="G44" s="1193">
        <f t="shared" ca="1" si="30"/>
        <v>0</v>
      </c>
      <c r="H44" s="1193">
        <f t="shared" ca="1" si="31"/>
        <v>0</v>
      </c>
      <c r="I44" s="1193">
        <f t="shared" ca="1" si="32"/>
        <v>0</v>
      </c>
      <c r="J44" s="1193">
        <f t="shared" ca="1" si="33"/>
        <v>0</v>
      </c>
      <c r="K44" s="1193">
        <f t="shared" ca="1" si="34"/>
        <v>0</v>
      </c>
      <c r="L44" s="1193">
        <f t="shared" ca="1" si="35"/>
        <v>0</v>
      </c>
      <c r="M44" s="1193">
        <f t="shared" ca="1" si="36"/>
        <v>0</v>
      </c>
      <c r="N44" s="1066">
        <v>0</v>
      </c>
      <c r="O44" s="1188">
        <f ca="1">IF(Rental!Q65&gt;0,Rental!Q65,0)</f>
        <v>0</v>
      </c>
      <c r="P44" s="720"/>
      <c r="Q44" s="1193">
        <f t="shared" ca="1" si="1"/>
        <v>115195.17197904839</v>
      </c>
      <c r="R44" s="1193">
        <f t="shared" ca="1" si="2"/>
        <v>101622.41758593579</v>
      </c>
      <c r="S44" s="1188">
        <f t="shared" ca="1" si="3"/>
        <v>13572.754393112598</v>
      </c>
      <c r="T44" s="1201">
        <f t="shared" ca="1" si="25"/>
        <v>82</v>
      </c>
      <c r="U44" s="1201">
        <f t="shared" ca="1" si="26"/>
        <v>80</v>
      </c>
      <c r="V44" s="611">
        <f t="shared" ca="1" si="4"/>
        <v>1</v>
      </c>
      <c r="W44" s="611">
        <f t="shared" si="5"/>
        <v>1</v>
      </c>
      <c r="X44" s="611">
        <f t="shared" ca="1" si="6"/>
        <v>1</v>
      </c>
      <c r="Y44" s="611">
        <f t="shared" si="7"/>
        <v>1</v>
      </c>
      <c r="Z44" s="611">
        <f t="shared" ca="1" si="8"/>
        <v>1</v>
      </c>
      <c r="AA44" s="611">
        <f t="shared" si="9"/>
        <v>1</v>
      </c>
      <c r="AB44" s="611">
        <f t="shared" ca="1" si="10"/>
        <v>1</v>
      </c>
      <c r="AC44" s="611">
        <f t="shared" ca="1" si="11"/>
        <v>0</v>
      </c>
      <c r="AD44" s="611">
        <f t="shared" ca="1" si="12"/>
        <v>1</v>
      </c>
      <c r="AE44" s="611">
        <f t="shared" ca="1" si="13"/>
        <v>0</v>
      </c>
      <c r="AF44" s="611">
        <f t="shared" ca="1" si="14"/>
        <v>1</v>
      </c>
      <c r="AG44" s="611">
        <f t="shared" si="15"/>
        <v>1</v>
      </c>
      <c r="AH44" s="611">
        <f t="shared" ca="1" si="16"/>
        <v>1</v>
      </c>
      <c r="AI44" s="611">
        <f t="shared" si="17"/>
        <v>1</v>
      </c>
      <c r="AJ44" s="611">
        <f t="shared" ca="1" si="18"/>
        <v>1</v>
      </c>
      <c r="AK44" s="611">
        <f t="shared" si="19"/>
        <v>1</v>
      </c>
      <c r="AL44" s="611">
        <f t="shared" ca="1" si="20"/>
        <v>1</v>
      </c>
      <c r="AM44" s="611">
        <f t="shared" si="21"/>
        <v>1</v>
      </c>
      <c r="AN44" s="611">
        <f t="shared" ca="1" si="22"/>
        <v>1</v>
      </c>
      <c r="AO44" s="611">
        <f t="shared" si="23"/>
        <v>1</v>
      </c>
    </row>
    <row r="45" spans="1:41" s="612" customFormat="1" ht="18" customHeight="1">
      <c r="A45" s="611" t="str">
        <f ca="1">IF(C45=Retire!$D$12,"==&gt;","")</f>
        <v/>
      </c>
      <c r="B45" s="611"/>
      <c r="C45" s="1194">
        <f t="shared" ca="1" si="24"/>
        <v>2051</v>
      </c>
      <c r="D45" s="1195">
        <f t="shared" ca="1" si="27"/>
        <v>47909.38383422167</v>
      </c>
      <c r="E45" s="1195">
        <f t="shared" ca="1" si="28"/>
        <v>43760.99933686087</v>
      </c>
      <c r="F45" s="1195">
        <f t="shared" ca="1" si="29"/>
        <v>25204.345545463646</v>
      </c>
      <c r="G45" s="1195">
        <f t="shared" ca="1" si="30"/>
        <v>0</v>
      </c>
      <c r="H45" s="1195">
        <f t="shared" ca="1" si="31"/>
        <v>0</v>
      </c>
      <c r="I45" s="1195">
        <f t="shared" ca="1" si="32"/>
        <v>0</v>
      </c>
      <c r="J45" s="1195">
        <f t="shared" ca="1" si="33"/>
        <v>0</v>
      </c>
      <c r="K45" s="1195">
        <f t="shared" ca="1" si="34"/>
        <v>0</v>
      </c>
      <c r="L45" s="1195">
        <f t="shared" ca="1" si="35"/>
        <v>0</v>
      </c>
      <c r="M45" s="1195">
        <f t="shared" ca="1" si="36"/>
        <v>0</v>
      </c>
      <c r="N45" s="1066">
        <v>0</v>
      </c>
      <c r="O45" s="1196">
        <f ca="1">IF(Rental!Q66&gt;0,Rental!Q66,0)</f>
        <v>0</v>
      </c>
      <c r="P45" s="720"/>
      <c r="Q45" s="1195">
        <f t="shared" ca="1" si="1"/>
        <v>116874.72871654617</v>
      </c>
      <c r="R45" s="1195">
        <f t="shared" ca="1" si="2"/>
        <v>103124.17124088379</v>
      </c>
      <c r="S45" s="1196">
        <f t="shared" ca="1" si="3"/>
        <v>13750.557475662383</v>
      </c>
      <c r="T45" s="1202">
        <f t="shared" ca="1" si="25"/>
        <v>83</v>
      </c>
      <c r="U45" s="1202">
        <f t="shared" ca="1" si="26"/>
        <v>81</v>
      </c>
      <c r="V45" s="611">
        <f t="shared" ca="1" si="4"/>
        <v>1</v>
      </c>
      <c r="W45" s="611">
        <f t="shared" si="5"/>
        <v>1</v>
      </c>
      <c r="X45" s="611">
        <f t="shared" ca="1" si="6"/>
        <v>1</v>
      </c>
      <c r="Y45" s="611">
        <f t="shared" si="7"/>
        <v>1</v>
      </c>
      <c r="Z45" s="611">
        <f t="shared" ca="1" si="8"/>
        <v>1</v>
      </c>
      <c r="AA45" s="611">
        <f t="shared" si="9"/>
        <v>1</v>
      </c>
      <c r="AB45" s="611">
        <f t="shared" ca="1" si="10"/>
        <v>1</v>
      </c>
      <c r="AC45" s="611">
        <f t="shared" ca="1" si="11"/>
        <v>0</v>
      </c>
      <c r="AD45" s="611">
        <f t="shared" ca="1" si="12"/>
        <v>1</v>
      </c>
      <c r="AE45" s="611">
        <f t="shared" ca="1" si="13"/>
        <v>0</v>
      </c>
      <c r="AF45" s="611">
        <f t="shared" ca="1" si="14"/>
        <v>1</v>
      </c>
      <c r="AG45" s="611">
        <f t="shared" si="15"/>
        <v>1</v>
      </c>
      <c r="AH45" s="611">
        <f t="shared" ca="1" si="16"/>
        <v>1</v>
      </c>
      <c r="AI45" s="611">
        <f t="shared" si="17"/>
        <v>1</v>
      </c>
      <c r="AJ45" s="611">
        <f t="shared" ca="1" si="18"/>
        <v>1</v>
      </c>
      <c r="AK45" s="611">
        <f t="shared" si="19"/>
        <v>1</v>
      </c>
      <c r="AL45" s="611">
        <f t="shared" ca="1" si="20"/>
        <v>1</v>
      </c>
      <c r="AM45" s="611">
        <f t="shared" si="21"/>
        <v>1</v>
      </c>
      <c r="AN45" s="611">
        <f t="shared" ca="1" si="22"/>
        <v>1</v>
      </c>
      <c r="AO45" s="611">
        <f t="shared" si="23"/>
        <v>1</v>
      </c>
    </row>
    <row r="46" spans="1:41" s="612" customFormat="1" ht="18" customHeight="1">
      <c r="A46" s="611" t="str">
        <f ca="1">IF(C46=Retire!$D$12,"==&gt;","")</f>
        <v/>
      </c>
      <c r="B46" s="611"/>
      <c r="C46" s="1192">
        <f t="shared" ca="1" si="24"/>
        <v>2052</v>
      </c>
      <c r="D46" s="1193">
        <f t="shared" ca="1" si="27"/>
        <v>48536.996762449977</v>
      </c>
      <c r="E46" s="1193">
        <f t="shared" ca="1" si="28"/>
        <v>44334.268428173746</v>
      </c>
      <c r="F46" s="1193">
        <f t="shared" ca="1" si="29"/>
        <v>25708.432456372921</v>
      </c>
      <c r="G46" s="1193">
        <f t="shared" ca="1" si="30"/>
        <v>0</v>
      </c>
      <c r="H46" s="1193">
        <f t="shared" ca="1" si="31"/>
        <v>0</v>
      </c>
      <c r="I46" s="1193">
        <f t="shared" ca="1" si="32"/>
        <v>0</v>
      </c>
      <c r="J46" s="1193">
        <f t="shared" ca="1" si="33"/>
        <v>0</v>
      </c>
      <c r="K46" s="1193">
        <f t="shared" ca="1" si="34"/>
        <v>0</v>
      </c>
      <c r="L46" s="1193">
        <f t="shared" ca="1" si="35"/>
        <v>0</v>
      </c>
      <c r="M46" s="1193">
        <f t="shared" ca="1" si="36"/>
        <v>0</v>
      </c>
      <c r="N46" s="1066">
        <v>0</v>
      </c>
      <c r="O46" s="1188">
        <f ca="1">IF(Rental!Q67&gt;0,Rental!Q67,0)</f>
        <v>0</v>
      </c>
      <c r="P46" s="720"/>
      <c r="Q46" s="1193">
        <f t="shared" ca="1" si="1"/>
        <v>118579.69764699665</v>
      </c>
      <c r="R46" s="1193">
        <f t="shared" ca="1" si="2"/>
        <v>104649.00786840307</v>
      </c>
      <c r="S46" s="1188">
        <f t="shared" ca="1" si="3"/>
        <v>13930.689778593573</v>
      </c>
      <c r="T46" s="1201">
        <f t="shared" ca="1" si="25"/>
        <v>84</v>
      </c>
      <c r="U46" s="1201">
        <f t="shared" ca="1" si="26"/>
        <v>82</v>
      </c>
      <c r="V46" s="611">
        <f t="shared" ca="1" si="4"/>
        <v>1</v>
      </c>
      <c r="W46" s="611">
        <f t="shared" si="5"/>
        <v>1</v>
      </c>
      <c r="X46" s="611">
        <f t="shared" ca="1" si="6"/>
        <v>1</v>
      </c>
      <c r="Y46" s="611">
        <f t="shared" si="7"/>
        <v>1</v>
      </c>
      <c r="Z46" s="611">
        <f t="shared" ca="1" si="8"/>
        <v>1</v>
      </c>
      <c r="AA46" s="611">
        <f t="shared" si="9"/>
        <v>1</v>
      </c>
      <c r="AB46" s="611">
        <f t="shared" ca="1" si="10"/>
        <v>1</v>
      </c>
      <c r="AC46" s="611">
        <f t="shared" ca="1" si="11"/>
        <v>0</v>
      </c>
      <c r="AD46" s="611">
        <f t="shared" ca="1" si="12"/>
        <v>1</v>
      </c>
      <c r="AE46" s="611">
        <f t="shared" ca="1" si="13"/>
        <v>0</v>
      </c>
      <c r="AF46" s="611">
        <f t="shared" ca="1" si="14"/>
        <v>1</v>
      </c>
      <c r="AG46" s="611">
        <f t="shared" si="15"/>
        <v>1</v>
      </c>
      <c r="AH46" s="611">
        <f t="shared" ca="1" si="16"/>
        <v>1</v>
      </c>
      <c r="AI46" s="611">
        <f t="shared" si="17"/>
        <v>1</v>
      </c>
      <c r="AJ46" s="611">
        <f t="shared" ca="1" si="18"/>
        <v>1</v>
      </c>
      <c r="AK46" s="611">
        <f t="shared" si="19"/>
        <v>1</v>
      </c>
      <c r="AL46" s="611">
        <f t="shared" ca="1" si="20"/>
        <v>1</v>
      </c>
      <c r="AM46" s="611">
        <f t="shared" si="21"/>
        <v>1</v>
      </c>
      <c r="AN46" s="611">
        <f t="shared" ca="1" si="22"/>
        <v>1</v>
      </c>
      <c r="AO46" s="611">
        <f t="shared" si="23"/>
        <v>1</v>
      </c>
    </row>
    <row r="47" spans="1:41" s="612" customFormat="1" ht="18" customHeight="1">
      <c r="A47" s="611" t="str">
        <f ca="1">IF(C47=Retire!$D$12,"==&gt;","")</f>
        <v/>
      </c>
      <c r="B47" s="611"/>
      <c r="C47" s="1194">
        <f t="shared" ca="1" si="24"/>
        <v>2053</v>
      </c>
      <c r="D47" s="1195">
        <f t="shared" ca="1" si="27"/>
        <v>49172.83142003807</v>
      </c>
      <c r="E47" s="1195">
        <f t="shared" ca="1" si="28"/>
        <v>44915.047344582825</v>
      </c>
      <c r="F47" s="1195">
        <f t="shared" ca="1" si="29"/>
        <v>26222.60110550038</v>
      </c>
      <c r="G47" s="1195">
        <f t="shared" ca="1" si="30"/>
        <v>0</v>
      </c>
      <c r="H47" s="1195">
        <f t="shared" ca="1" si="31"/>
        <v>0</v>
      </c>
      <c r="I47" s="1195">
        <f t="shared" ca="1" si="32"/>
        <v>0</v>
      </c>
      <c r="J47" s="1195">
        <f t="shared" ca="1" si="33"/>
        <v>0</v>
      </c>
      <c r="K47" s="1195">
        <f t="shared" ca="1" si="34"/>
        <v>0</v>
      </c>
      <c r="L47" s="1195">
        <f t="shared" ca="1" si="35"/>
        <v>0</v>
      </c>
      <c r="M47" s="1195">
        <f t="shared" ca="1" si="36"/>
        <v>0</v>
      </c>
      <c r="N47" s="1066">
        <v>0</v>
      </c>
      <c r="O47" s="1196">
        <f ca="1">IF(Rental!Q68&gt;0,Rental!Q68,0)</f>
        <v>0</v>
      </c>
      <c r="P47" s="720"/>
      <c r="Q47" s="1195">
        <f t="shared" ca="1" si="1"/>
        <v>120310.47987012127</v>
      </c>
      <c r="R47" s="1195">
        <f t="shared" ca="1" si="2"/>
        <v>106197.29805542812</v>
      </c>
      <c r="S47" s="1196">
        <f t="shared" ca="1" si="3"/>
        <v>14113.181814693147</v>
      </c>
      <c r="T47" s="1202">
        <f t="shared" ca="1" si="25"/>
        <v>85</v>
      </c>
      <c r="U47" s="1202">
        <f t="shared" ca="1" si="26"/>
        <v>83</v>
      </c>
      <c r="V47" s="611">
        <f t="shared" ca="1" si="4"/>
        <v>1</v>
      </c>
      <c r="W47" s="611">
        <f t="shared" si="5"/>
        <v>1</v>
      </c>
      <c r="X47" s="611">
        <f t="shared" ca="1" si="6"/>
        <v>1</v>
      </c>
      <c r="Y47" s="611">
        <f t="shared" si="7"/>
        <v>1</v>
      </c>
      <c r="Z47" s="611">
        <f t="shared" ca="1" si="8"/>
        <v>1</v>
      </c>
      <c r="AA47" s="611">
        <f t="shared" si="9"/>
        <v>1</v>
      </c>
      <c r="AB47" s="611">
        <f t="shared" ca="1" si="10"/>
        <v>1</v>
      </c>
      <c r="AC47" s="611">
        <f t="shared" ca="1" si="11"/>
        <v>0</v>
      </c>
      <c r="AD47" s="611">
        <f t="shared" ca="1" si="12"/>
        <v>1</v>
      </c>
      <c r="AE47" s="611">
        <f t="shared" ca="1" si="13"/>
        <v>0</v>
      </c>
      <c r="AF47" s="611">
        <f t="shared" ca="1" si="14"/>
        <v>1</v>
      </c>
      <c r="AG47" s="611">
        <f t="shared" si="15"/>
        <v>1</v>
      </c>
      <c r="AH47" s="611">
        <f t="shared" ca="1" si="16"/>
        <v>1</v>
      </c>
      <c r="AI47" s="611">
        <f t="shared" si="17"/>
        <v>1</v>
      </c>
      <c r="AJ47" s="611">
        <f t="shared" ca="1" si="18"/>
        <v>1</v>
      </c>
      <c r="AK47" s="611">
        <f t="shared" si="19"/>
        <v>1</v>
      </c>
      <c r="AL47" s="611">
        <f t="shared" ca="1" si="20"/>
        <v>1</v>
      </c>
      <c r="AM47" s="611">
        <f t="shared" si="21"/>
        <v>1</v>
      </c>
      <c r="AN47" s="611">
        <f t="shared" ca="1" si="22"/>
        <v>1</v>
      </c>
      <c r="AO47" s="611">
        <f t="shared" si="23"/>
        <v>1</v>
      </c>
    </row>
    <row r="48" spans="1:41" s="612" customFormat="1" ht="18" customHeight="1">
      <c r="A48" s="611" t="str">
        <f ca="1">IF(C48=Retire!$D$12,"==&gt;","")</f>
        <v/>
      </c>
      <c r="B48" s="611"/>
      <c r="C48" s="1192">
        <f t="shared" ca="1" si="24"/>
        <v>2054</v>
      </c>
      <c r="D48" s="1193">
        <f t="shared" ca="1" si="27"/>
        <v>49816.995511640569</v>
      </c>
      <c r="E48" s="1193">
        <f t="shared" ca="1" si="28"/>
        <v>45503.434464796861</v>
      </c>
      <c r="F48" s="1193">
        <f t="shared" ca="1" si="29"/>
        <v>26747.053127610387</v>
      </c>
      <c r="G48" s="1193">
        <f t="shared" ca="1" si="30"/>
        <v>0</v>
      </c>
      <c r="H48" s="1193">
        <f t="shared" ca="1" si="31"/>
        <v>0</v>
      </c>
      <c r="I48" s="1193">
        <f t="shared" ca="1" si="32"/>
        <v>0</v>
      </c>
      <c r="J48" s="1193">
        <f t="shared" ca="1" si="33"/>
        <v>0</v>
      </c>
      <c r="K48" s="1193">
        <f t="shared" ca="1" si="34"/>
        <v>0</v>
      </c>
      <c r="L48" s="1193">
        <f t="shared" ca="1" si="35"/>
        <v>0</v>
      </c>
      <c r="M48" s="1193">
        <f t="shared" ca="1" si="36"/>
        <v>0</v>
      </c>
      <c r="N48" s="1066">
        <v>0</v>
      </c>
      <c r="O48" s="1188">
        <f ca="1">IF(Rental!Q69&gt;0,Rental!Q69,0)</f>
        <v>0</v>
      </c>
      <c r="P48" s="720"/>
      <c r="Q48" s="1193">
        <f t="shared" ref="Q48:Q64" ca="1" si="37">SUM(D48:O48)</f>
        <v>122067.48310404782</v>
      </c>
      <c r="R48" s="1193">
        <f t="shared" ref="R48:R64" ca="1" si="38">SUM((D48*$D$14)+(E48*$E$14)+(F48*$F$14)+(G48*$G$14)+(H48*$H$14)+(I48*$I$14)+(J48*$J$14)+(K48*$K$14)+(L48*$L$14)+(M48*$M$14)+(N48*$N$14)+(O48*$O$14))</f>
        <v>107769.41860758219</v>
      </c>
      <c r="S48" s="1188">
        <f t="shared" ref="S48:S64" ca="1" si="39">Q48-R48</f>
        <v>14298.064496465624</v>
      </c>
      <c r="T48" s="1201">
        <f t="shared" ca="1" si="25"/>
        <v>86</v>
      </c>
      <c r="U48" s="1201">
        <f t="shared" ca="1" si="26"/>
        <v>84</v>
      </c>
      <c r="V48" s="611">
        <f t="shared" ca="1" si="4"/>
        <v>1</v>
      </c>
      <c r="W48" s="611">
        <f t="shared" si="5"/>
        <v>1</v>
      </c>
      <c r="X48" s="611">
        <f t="shared" ca="1" si="6"/>
        <v>1</v>
      </c>
      <c r="Y48" s="611">
        <f t="shared" si="7"/>
        <v>1</v>
      </c>
      <c r="Z48" s="611">
        <f t="shared" ca="1" si="8"/>
        <v>1</v>
      </c>
      <c r="AA48" s="611">
        <f t="shared" si="9"/>
        <v>1</v>
      </c>
      <c r="AB48" s="611">
        <f t="shared" ca="1" si="10"/>
        <v>1</v>
      </c>
      <c r="AC48" s="611">
        <f t="shared" ca="1" si="11"/>
        <v>0</v>
      </c>
      <c r="AD48" s="611">
        <f t="shared" ca="1" si="12"/>
        <v>1</v>
      </c>
      <c r="AE48" s="611">
        <f t="shared" ca="1" si="13"/>
        <v>0</v>
      </c>
      <c r="AF48" s="611">
        <f t="shared" ca="1" si="14"/>
        <v>1</v>
      </c>
      <c r="AG48" s="611">
        <f t="shared" si="15"/>
        <v>1</v>
      </c>
      <c r="AH48" s="611">
        <f t="shared" ca="1" si="16"/>
        <v>1</v>
      </c>
      <c r="AI48" s="611">
        <f t="shared" si="17"/>
        <v>1</v>
      </c>
      <c r="AJ48" s="611">
        <f t="shared" ca="1" si="18"/>
        <v>1</v>
      </c>
      <c r="AK48" s="611">
        <f t="shared" si="19"/>
        <v>1</v>
      </c>
      <c r="AL48" s="611">
        <f t="shared" ca="1" si="20"/>
        <v>1</v>
      </c>
      <c r="AM48" s="611">
        <f t="shared" si="21"/>
        <v>1</v>
      </c>
      <c r="AN48" s="611">
        <f t="shared" ca="1" si="22"/>
        <v>1</v>
      </c>
      <c r="AO48" s="611">
        <f t="shared" si="23"/>
        <v>1</v>
      </c>
    </row>
    <row r="49" spans="1:41" s="612" customFormat="1" ht="18" customHeight="1">
      <c r="A49" s="611" t="str">
        <f ca="1">IF(C49=Retire!$D$12,"==&gt;","")</f>
        <v/>
      </c>
      <c r="B49" s="611"/>
      <c r="C49" s="1194">
        <f t="shared" ca="1" si="24"/>
        <v>2055</v>
      </c>
      <c r="D49" s="1195">
        <f t="shared" ca="1" si="27"/>
        <v>50469.598152843064</v>
      </c>
      <c r="E49" s="1195">
        <f t="shared" ca="1" si="28"/>
        <v>46099.529456285702</v>
      </c>
      <c r="F49" s="1195">
        <f t="shared" ca="1" si="29"/>
        <v>27281.994190162593</v>
      </c>
      <c r="G49" s="1195">
        <f t="shared" ca="1" si="30"/>
        <v>0</v>
      </c>
      <c r="H49" s="1195">
        <f t="shared" ca="1" si="31"/>
        <v>0</v>
      </c>
      <c r="I49" s="1195">
        <f t="shared" ca="1" si="32"/>
        <v>0</v>
      </c>
      <c r="J49" s="1195">
        <f t="shared" ca="1" si="33"/>
        <v>0</v>
      </c>
      <c r="K49" s="1195">
        <f t="shared" ca="1" si="34"/>
        <v>0</v>
      </c>
      <c r="L49" s="1195">
        <f t="shared" ca="1" si="35"/>
        <v>0</v>
      </c>
      <c r="M49" s="1195">
        <f t="shared" ca="1" si="36"/>
        <v>0</v>
      </c>
      <c r="N49" s="1066">
        <v>0</v>
      </c>
      <c r="O49" s="1196">
        <f ca="1">IF(Rental!Q70&gt;0,Rental!Q70,0)</f>
        <v>0</v>
      </c>
      <c r="P49" s="720"/>
      <c r="Q49" s="1195">
        <f t="shared" ca="1" si="37"/>
        <v>123851.12179929137</v>
      </c>
      <c r="R49" s="1195">
        <f t="shared" ca="1" si="38"/>
        <v>109365.75265792204</v>
      </c>
      <c r="S49" s="1196">
        <f t="shared" ca="1" si="39"/>
        <v>14485.36914136933</v>
      </c>
      <c r="T49" s="1202">
        <f t="shared" ca="1" si="25"/>
        <v>87</v>
      </c>
      <c r="U49" s="1202">
        <f t="shared" ca="1" si="26"/>
        <v>85</v>
      </c>
      <c r="V49" s="611">
        <f t="shared" ca="1" si="4"/>
        <v>1</v>
      </c>
      <c r="W49" s="611">
        <f t="shared" si="5"/>
        <v>1</v>
      </c>
      <c r="X49" s="611">
        <f t="shared" ca="1" si="6"/>
        <v>1</v>
      </c>
      <c r="Y49" s="611">
        <f t="shared" si="7"/>
        <v>1</v>
      </c>
      <c r="Z49" s="611">
        <f t="shared" ca="1" si="8"/>
        <v>1</v>
      </c>
      <c r="AA49" s="611">
        <f t="shared" si="9"/>
        <v>1</v>
      </c>
      <c r="AB49" s="611">
        <f t="shared" ca="1" si="10"/>
        <v>1</v>
      </c>
      <c r="AC49" s="611">
        <f t="shared" ca="1" si="11"/>
        <v>0</v>
      </c>
      <c r="AD49" s="611">
        <f t="shared" ca="1" si="12"/>
        <v>1</v>
      </c>
      <c r="AE49" s="611">
        <f t="shared" ca="1" si="13"/>
        <v>0</v>
      </c>
      <c r="AF49" s="611">
        <f t="shared" ca="1" si="14"/>
        <v>1</v>
      </c>
      <c r="AG49" s="611">
        <f t="shared" si="15"/>
        <v>1</v>
      </c>
      <c r="AH49" s="611">
        <f t="shared" ca="1" si="16"/>
        <v>1</v>
      </c>
      <c r="AI49" s="611">
        <f t="shared" si="17"/>
        <v>1</v>
      </c>
      <c r="AJ49" s="611">
        <f t="shared" ca="1" si="18"/>
        <v>1</v>
      </c>
      <c r="AK49" s="611">
        <f t="shared" si="19"/>
        <v>1</v>
      </c>
      <c r="AL49" s="611">
        <f t="shared" ca="1" si="20"/>
        <v>1</v>
      </c>
      <c r="AM49" s="611">
        <f t="shared" si="21"/>
        <v>1</v>
      </c>
      <c r="AN49" s="611">
        <f t="shared" ca="1" si="22"/>
        <v>1</v>
      </c>
      <c r="AO49" s="611">
        <f t="shared" si="23"/>
        <v>1</v>
      </c>
    </row>
    <row r="50" spans="1:41" s="612" customFormat="1" ht="18" customHeight="1">
      <c r="A50" s="611" t="str">
        <f ca="1">IF(C50=Retire!$D$12,"==&gt;","")</f>
        <v/>
      </c>
      <c r="B50" s="611"/>
      <c r="C50" s="1192">
        <f t="shared" ca="1" si="24"/>
        <v>2056</v>
      </c>
      <c r="D50" s="1193">
        <f t="shared" ca="1" si="27"/>
        <v>51130.74988864531</v>
      </c>
      <c r="E50" s="1193">
        <f t="shared" ca="1" si="28"/>
        <v>46703.433292163041</v>
      </c>
      <c r="F50" s="1193">
        <f t="shared" ca="1" si="29"/>
        <v>27827.634073965844</v>
      </c>
      <c r="G50" s="1193">
        <f t="shared" ca="1" si="30"/>
        <v>0</v>
      </c>
      <c r="H50" s="1193">
        <f t="shared" ca="1" si="31"/>
        <v>0</v>
      </c>
      <c r="I50" s="1193">
        <f t="shared" ca="1" si="32"/>
        <v>0</v>
      </c>
      <c r="J50" s="1193">
        <f t="shared" ca="1" si="33"/>
        <v>0</v>
      </c>
      <c r="K50" s="1193">
        <f t="shared" ca="1" si="34"/>
        <v>0</v>
      </c>
      <c r="L50" s="1193">
        <f t="shared" ca="1" si="35"/>
        <v>0</v>
      </c>
      <c r="M50" s="1193">
        <f t="shared" ca="1" si="36"/>
        <v>0</v>
      </c>
      <c r="N50" s="1066">
        <v>0</v>
      </c>
      <c r="O50" s="1188">
        <f ca="1">IF(Rental!Q71&gt;0,Rental!Q71,0)</f>
        <v>0</v>
      </c>
      <c r="P50" s="720"/>
      <c r="Q50" s="1193">
        <f t="shared" ca="1" si="37"/>
        <v>125661.8172547742</v>
      </c>
      <c r="R50" s="1193">
        <f t="shared" ca="1" si="38"/>
        <v>110986.68977765295</v>
      </c>
      <c r="S50" s="1188">
        <f t="shared" ca="1" si="39"/>
        <v>14675.127477121248</v>
      </c>
      <c r="T50" s="1201">
        <f t="shared" ca="1" si="25"/>
        <v>88</v>
      </c>
      <c r="U50" s="1201">
        <f t="shared" ca="1" si="26"/>
        <v>86</v>
      </c>
      <c r="V50" s="611">
        <f t="shared" ca="1" si="4"/>
        <v>1</v>
      </c>
      <c r="W50" s="611">
        <f t="shared" si="5"/>
        <v>1</v>
      </c>
      <c r="X50" s="611">
        <f t="shared" ca="1" si="6"/>
        <v>1</v>
      </c>
      <c r="Y50" s="611">
        <f t="shared" si="7"/>
        <v>1</v>
      </c>
      <c r="Z50" s="611">
        <f t="shared" ca="1" si="8"/>
        <v>1</v>
      </c>
      <c r="AA50" s="611">
        <f t="shared" si="9"/>
        <v>1</v>
      </c>
      <c r="AB50" s="611">
        <f t="shared" ca="1" si="10"/>
        <v>1</v>
      </c>
      <c r="AC50" s="611">
        <f t="shared" ca="1" si="11"/>
        <v>0</v>
      </c>
      <c r="AD50" s="611">
        <f t="shared" ca="1" si="12"/>
        <v>1</v>
      </c>
      <c r="AE50" s="611">
        <f t="shared" ca="1" si="13"/>
        <v>0</v>
      </c>
      <c r="AF50" s="611">
        <f t="shared" ca="1" si="14"/>
        <v>1</v>
      </c>
      <c r="AG50" s="611">
        <f t="shared" si="15"/>
        <v>1</v>
      </c>
      <c r="AH50" s="611">
        <f t="shared" ca="1" si="16"/>
        <v>1</v>
      </c>
      <c r="AI50" s="611">
        <f t="shared" si="17"/>
        <v>1</v>
      </c>
      <c r="AJ50" s="611">
        <f t="shared" ca="1" si="18"/>
        <v>1</v>
      </c>
      <c r="AK50" s="611">
        <f t="shared" si="19"/>
        <v>1</v>
      </c>
      <c r="AL50" s="611">
        <f t="shared" ca="1" si="20"/>
        <v>1</v>
      </c>
      <c r="AM50" s="611">
        <f t="shared" si="21"/>
        <v>1</v>
      </c>
      <c r="AN50" s="611">
        <f t="shared" ca="1" si="22"/>
        <v>1</v>
      </c>
      <c r="AO50" s="611">
        <f t="shared" si="23"/>
        <v>1</v>
      </c>
    </row>
    <row r="51" spans="1:41" s="612" customFormat="1" ht="18" customHeight="1">
      <c r="A51" s="611" t="str">
        <f ca="1">IF(C51=Retire!$D$12,"==&gt;","")</f>
        <v/>
      </c>
      <c r="B51" s="611"/>
      <c r="C51" s="1194">
        <f t="shared" ca="1" si="24"/>
        <v>2057</v>
      </c>
      <c r="D51" s="1195">
        <f t="shared" ca="1" si="27"/>
        <v>51800.562712186562</v>
      </c>
      <c r="E51" s="1195">
        <f t="shared" ca="1" si="28"/>
        <v>47315.248268290379</v>
      </c>
      <c r="F51" s="1195">
        <f t="shared" ca="1" si="29"/>
        <v>28384.18675544516</v>
      </c>
      <c r="G51" s="1195">
        <f t="shared" ca="1" si="30"/>
        <v>0</v>
      </c>
      <c r="H51" s="1195">
        <f t="shared" ca="1" si="31"/>
        <v>0</v>
      </c>
      <c r="I51" s="1195">
        <f t="shared" ca="1" si="32"/>
        <v>0</v>
      </c>
      <c r="J51" s="1195">
        <f t="shared" ca="1" si="33"/>
        <v>0</v>
      </c>
      <c r="K51" s="1195">
        <f t="shared" ca="1" si="34"/>
        <v>0</v>
      </c>
      <c r="L51" s="1195">
        <f t="shared" ca="1" si="35"/>
        <v>0</v>
      </c>
      <c r="M51" s="1195">
        <f t="shared" ca="1" si="36"/>
        <v>0</v>
      </c>
      <c r="N51" s="1066">
        <v>0</v>
      </c>
      <c r="O51" s="1196">
        <f ca="1">IF(Rental!Q72&gt;0,Rental!Q72,0)</f>
        <v>0</v>
      </c>
      <c r="P51" s="720"/>
      <c r="Q51" s="1195">
        <f t="shared" ca="1" si="37"/>
        <v>127499.99773592209</v>
      </c>
      <c r="R51" s="1195">
        <f t="shared" ca="1" si="38"/>
        <v>112632.62608885056</v>
      </c>
      <c r="S51" s="1196">
        <f t="shared" ca="1" si="39"/>
        <v>14867.37164707153</v>
      </c>
      <c r="T51" s="1202">
        <f t="shared" ca="1" si="25"/>
        <v>89</v>
      </c>
      <c r="U51" s="1202">
        <f t="shared" ca="1" si="26"/>
        <v>87</v>
      </c>
      <c r="V51" s="611">
        <f t="shared" ca="1" si="4"/>
        <v>1</v>
      </c>
      <c r="W51" s="611">
        <f t="shared" si="5"/>
        <v>1</v>
      </c>
      <c r="X51" s="611">
        <f t="shared" ca="1" si="6"/>
        <v>1</v>
      </c>
      <c r="Y51" s="611">
        <f t="shared" si="7"/>
        <v>1</v>
      </c>
      <c r="Z51" s="611">
        <f t="shared" ca="1" si="8"/>
        <v>1</v>
      </c>
      <c r="AA51" s="611">
        <f t="shared" si="9"/>
        <v>1</v>
      </c>
      <c r="AB51" s="611">
        <f t="shared" ca="1" si="10"/>
        <v>1</v>
      </c>
      <c r="AC51" s="611">
        <f t="shared" ca="1" si="11"/>
        <v>0</v>
      </c>
      <c r="AD51" s="611">
        <f t="shared" ca="1" si="12"/>
        <v>1</v>
      </c>
      <c r="AE51" s="611">
        <f t="shared" ca="1" si="13"/>
        <v>0</v>
      </c>
      <c r="AF51" s="611">
        <f t="shared" ca="1" si="14"/>
        <v>1</v>
      </c>
      <c r="AG51" s="611">
        <f t="shared" si="15"/>
        <v>1</v>
      </c>
      <c r="AH51" s="611">
        <f t="shared" ca="1" si="16"/>
        <v>1</v>
      </c>
      <c r="AI51" s="611">
        <f t="shared" si="17"/>
        <v>1</v>
      </c>
      <c r="AJ51" s="611">
        <f t="shared" ca="1" si="18"/>
        <v>1</v>
      </c>
      <c r="AK51" s="611">
        <f t="shared" si="19"/>
        <v>1</v>
      </c>
      <c r="AL51" s="611">
        <f t="shared" ca="1" si="20"/>
        <v>1</v>
      </c>
      <c r="AM51" s="611">
        <f t="shared" si="21"/>
        <v>1</v>
      </c>
      <c r="AN51" s="611">
        <f t="shared" ca="1" si="22"/>
        <v>1</v>
      </c>
      <c r="AO51" s="611">
        <f t="shared" si="23"/>
        <v>1</v>
      </c>
    </row>
    <row r="52" spans="1:41" s="612" customFormat="1" ht="18" customHeight="1">
      <c r="A52" s="611" t="str">
        <f ca="1">IF(C52=Retire!$D$12,"==&gt;","")</f>
        <v/>
      </c>
      <c r="B52" s="611"/>
      <c r="C52" s="1192">
        <f t="shared" ca="1" si="24"/>
        <v>2058</v>
      </c>
      <c r="D52" s="1193">
        <f t="shared" ca="1" si="27"/>
        <v>52479.150083716209</v>
      </c>
      <c r="E52" s="1193">
        <f t="shared" ca="1" si="28"/>
        <v>47935.078020604982</v>
      </c>
      <c r="F52" s="1193">
        <f t="shared" ca="1" si="29"/>
        <v>28951.870490554062</v>
      </c>
      <c r="G52" s="1193">
        <f t="shared" ca="1" si="30"/>
        <v>0</v>
      </c>
      <c r="H52" s="1193">
        <f t="shared" ca="1" si="31"/>
        <v>0</v>
      </c>
      <c r="I52" s="1193">
        <f t="shared" ca="1" si="32"/>
        <v>0</v>
      </c>
      <c r="J52" s="1193">
        <f t="shared" ca="1" si="33"/>
        <v>0</v>
      </c>
      <c r="K52" s="1193">
        <f t="shared" ca="1" si="34"/>
        <v>0</v>
      </c>
      <c r="L52" s="1193">
        <f t="shared" ca="1" si="35"/>
        <v>0</v>
      </c>
      <c r="M52" s="1193">
        <f t="shared" ca="1" si="36"/>
        <v>0</v>
      </c>
      <c r="N52" s="1066">
        <v>0</v>
      </c>
      <c r="O52" s="1188">
        <f ca="1">IF(Rental!Q73&gt;0,Rental!Q73,0)</f>
        <v>0</v>
      </c>
      <c r="P52" s="720"/>
      <c r="Q52" s="1193">
        <f t="shared" ca="1" si="37"/>
        <v>129366.09859487526</v>
      </c>
      <c r="R52" s="1193">
        <f t="shared" ca="1" si="38"/>
        <v>114303.96437922707</v>
      </c>
      <c r="S52" s="1188">
        <f t="shared" ca="1" si="39"/>
        <v>15062.134215648199</v>
      </c>
      <c r="T52" s="1201">
        <f t="shared" ca="1" si="25"/>
        <v>90</v>
      </c>
      <c r="U52" s="1201">
        <f t="shared" ca="1" si="26"/>
        <v>88</v>
      </c>
      <c r="V52" s="611">
        <f t="shared" ca="1" si="4"/>
        <v>1</v>
      </c>
      <c r="W52" s="611">
        <f t="shared" si="5"/>
        <v>1</v>
      </c>
      <c r="X52" s="611">
        <f t="shared" ca="1" si="6"/>
        <v>1</v>
      </c>
      <c r="Y52" s="611">
        <f t="shared" si="7"/>
        <v>1</v>
      </c>
      <c r="Z52" s="611">
        <f t="shared" ca="1" si="8"/>
        <v>1</v>
      </c>
      <c r="AA52" s="611">
        <f t="shared" si="9"/>
        <v>1</v>
      </c>
      <c r="AB52" s="611">
        <f t="shared" ca="1" si="10"/>
        <v>1</v>
      </c>
      <c r="AC52" s="611">
        <f t="shared" ca="1" si="11"/>
        <v>0</v>
      </c>
      <c r="AD52" s="611">
        <f t="shared" ca="1" si="12"/>
        <v>1</v>
      </c>
      <c r="AE52" s="611">
        <f t="shared" ca="1" si="13"/>
        <v>0</v>
      </c>
      <c r="AF52" s="611">
        <f t="shared" ca="1" si="14"/>
        <v>1</v>
      </c>
      <c r="AG52" s="611">
        <f t="shared" si="15"/>
        <v>1</v>
      </c>
      <c r="AH52" s="611">
        <f t="shared" ca="1" si="16"/>
        <v>1</v>
      </c>
      <c r="AI52" s="611">
        <f t="shared" si="17"/>
        <v>1</v>
      </c>
      <c r="AJ52" s="611">
        <f t="shared" ca="1" si="18"/>
        <v>1</v>
      </c>
      <c r="AK52" s="611">
        <f t="shared" si="19"/>
        <v>1</v>
      </c>
      <c r="AL52" s="611">
        <f t="shared" ca="1" si="20"/>
        <v>1</v>
      </c>
      <c r="AM52" s="611">
        <f t="shared" si="21"/>
        <v>1</v>
      </c>
      <c r="AN52" s="611">
        <f t="shared" ca="1" si="22"/>
        <v>1</v>
      </c>
      <c r="AO52" s="611">
        <f t="shared" si="23"/>
        <v>1</v>
      </c>
    </row>
    <row r="53" spans="1:41" s="612" customFormat="1" ht="18" customHeight="1">
      <c r="A53" s="611" t="str">
        <f ca="1">IF(C53=Retire!$D$12,"==&gt;","")</f>
        <v/>
      </c>
      <c r="B53" s="611"/>
      <c r="C53" s="1194">
        <f t="shared" ca="1" si="24"/>
        <v>2059</v>
      </c>
      <c r="D53" s="1195">
        <f t="shared" ca="1" si="27"/>
        <v>53166.62694981289</v>
      </c>
      <c r="E53" s="1195">
        <f t="shared" ca="1" si="28"/>
        <v>48563.027542674907</v>
      </c>
      <c r="F53" s="1195">
        <f t="shared" ca="1" si="29"/>
        <v>29530.907900365142</v>
      </c>
      <c r="G53" s="1195">
        <f t="shared" ca="1" si="30"/>
        <v>0</v>
      </c>
      <c r="H53" s="1195">
        <f t="shared" ca="1" si="31"/>
        <v>0</v>
      </c>
      <c r="I53" s="1195">
        <f t="shared" ca="1" si="32"/>
        <v>0</v>
      </c>
      <c r="J53" s="1195">
        <f t="shared" ca="1" si="33"/>
        <v>0</v>
      </c>
      <c r="K53" s="1195">
        <f t="shared" ca="1" si="34"/>
        <v>0</v>
      </c>
      <c r="L53" s="1195">
        <f t="shared" ca="1" si="35"/>
        <v>0</v>
      </c>
      <c r="M53" s="1195">
        <f t="shared" ca="1" si="36"/>
        <v>0</v>
      </c>
      <c r="N53" s="1066">
        <v>0</v>
      </c>
      <c r="O53" s="1196">
        <f ca="1">IF(Rental!Q74&gt;0,Rental!Q74,0)</f>
        <v>0</v>
      </c>
      <c r="P53" s="720"/>
      <c r="Q53" s="1195">
        <f t="shared" ca="1" si="37"/>
        <v>131260.56239285294</v>
      </c>
      <c r="R53" s="1195">
        <f t="shared" ca="1" si="38"/>
        <v>116001.11421897977</v>
      </c>
      <c r="S53" s="1196">
        <f t="shared" ca="1" si="39"/>
        <v>15259.44817387317</v>
      </c>
      <c r="T53" s="1202">
        <f t="shared" ca="1" si="25"/>
        <v>91</v>
      </c>
      <c r="U53" s="1202">
        <f t="shared" ca="1" si="26"/>
        <v>89</v>
      </c>
      <c r="V53" s="611">
        <f t="shared" ca="1" si="4"/>
        <v>1</v>
      </c>
      <c r="W53" s="611">
        <f t="shared" si="5"/>
        <v>1</v>
      </c>
      <c r="X53" s="611">
        <f t="shared" ca="1" si="6"/>
        <v>1</v>
      </c>
      <c r="Y53" s="611">
        <f t="shared" si="7"/>
        <v>1</v>
      </c>
      <c r="Z53" s="611">
        <f t="shared" ca="1" si="8"/>
        <v>1</v>
      </c>
      <c r="AA53" s="611">
        <f t="shared" si="9"/>
        <v>1</v>
      </c>
      <c r="AB53" s="611">
        <f t="shared" ca="1" si="10"/>
        <v>1</v>
      </c>
      <c r="AC53" s="611">
        <f t="shared" ca="1" si="11"/>
        <v>0</v>
      </c>
      <c r="AD53" s="611">
        <f t="shared" ca="1" si="12"/>
        <v>1</v>
      </c>
      <c r="AE53" s="611">
        <f t="shared" ca="1" si="13"/>
        <v>0</v>
      </c>
      <c r="AF53" s="611">
        <f t="shared" ca="1" si="14"/>
        <v>1</v>
      </c>
      <c r="AG53" s="611">
        <f t="shared" si="15"/>
        <v>1</v>
      </c>
      <c r="AH53" s="611">
        <f t="shared" ca="1" si="16"/>
        <v>1</v>
      </c>
      <c r="AI53" s="611">
        <f t="shared" si="17"/>
        <v>1</v>
      </c>
      <c r="AJ53" s="611">
        <f t="shared" ca="1" si="18"/>
        <v>1</v>
      </c>
      <c r="AK53" s="611">
        <f t="shared" si="19"/>
        <v>1</v>
      </c>
      <c r="AL53" s="611">
        <f t="shared" ca="1" si="20"/>
        <v>1</v>
      </c>
      <c r="AM53" s="611">
        <f t="shared" si="21"/>
        <v>1</v>
      </c>
      <c r="AN53" s="611">
        <f t="shared" ca="1" si="22"/>
        <v>1</v>
      </c>
      <c r="AO53" s="611">
        <f t="shared" si="23"/>
        <v>1</v>
      </c>
    </row>
    <row r="54" spans="1:41" s="612" customFormat="1" ht="18" customHeight="1">
      <c r="A54" s="611" t="str">
        <f ca="1">IF(C54=Retire!$D$12,"==&gt;","")</f>
        <v/>
      </c>
      <c r="B54" s="611"/>
      <c r="C54" s="1192">
        <f t="shared" ca="1" si="24"/>
        <v>2060</v>
      </c>
      <c r="D54" s="1193">
        <f t="shared" ca="1" si="27"/>
        <v>53863.109762855442</v>
      </c>
      <c r="E54" s="1193">
        <f t="shared" ca="1" si="28"/>
        <v>49199.20320348395</v>
      </c>
      <c r="F54" s="1193">
        <f t="shared" ca="1" si="29"/>
        <v>30121.526058372445</v>
      </c>
      <c r="G54" s="1193">
        <f t="shared" ca="1" si="30"/>
        <v>0</v>
      </c>
      <c r="H54" s="1193">
        <f t="shared" ca="1" si="31"/>
        <v>0</v>
      </c>
      <c r="I54" s="1193">
        <f t="shared" ca="1" si="32"/>
        <v>0</v>
      </c>
      <c r="J54" s="1193">
        <f t="shared" ca="1" si="33"/>
        <v>0</v>
      </c>
      <c r="K54" s="1193">
        <f t="shared" ca="1" si="34"/>
        <v>0</v>
      </c>
      <c r="L54" s="1193">
        <f t="shared" ca="1" si="35"/>
        <v>0</v>
      </c>
      <c r="M54" s="1193">
        <f t="shared" ca="1" si="36"/>
        <v>0</v>
      </c>
      <c r="N54" s="1066">
        <v>0</v>
      </c>
      <c r="O54" s="1188">
        <f ca="1">IF(Rental!Q75&gt;0,Rental!Q75,0)</f>
        <v>0</v>
      </c>
      <c r="P54" s="720"/>
      <c r="Q54" s="1193">
        <f t="shared" ca="1" si="37"/>
        <v>133183.83902471184</v>
      </c>
      <c r="R54" s="1193">
        <f t="shared" ca="1" si="38"/>
        <v>117724.49207976092</v>
      </c>
      <c r="S54" s="1188">
        <f t="shared" ca="1" si="39"/>
        <v>15459.346944950914</v>
      </c>
      <c r="T54" s="1201">
        <f t="shared" ca="1" si="25"/>
        <v>92</v>
      </c>
      <c r="U54" s="1201">
        <f t="shared" ca="1" si="26"/>
        <v>90</v>
      </c>
      <c r="V54" s="611">
        <f t="shared" ca="1" si="4"/>
        <v>1</v>
      </c>
      <c r="W54" s="611">
        <f t="shared" si="5"/>
        <v>1</v>
      </c>
      <c r="X54" s="611">
        <f t="shared" ca="1" si="6"/>
        <v>1</v>
      </c>
      <c r="Y54" s="611">
        <f t="shared" si="7"/>
        <v>1</v>
      </c>
      <c r="Z54" s="611">
        <f t="shared" ca="1" si="8"/>
        <v>1</v>
      </c>
      <c r="AA54" s="611">
        <f t="shared" si="9"/>
        <v>1</v>
      </c>
      <c r="AB54" s="611">
        <f t="shared" ca="1" si="10"/>
        <v>1</v>
      </c>
      <c r="AC54" s="611">
        <f t="shared" ca="1" si="11"/>
        <v>0</v>
      </c>
      <c r="AD54" s="611">
        <f t="shared" ca="1" si="12"/>
        <v>1</v>
      </c>
      <c r="AE54" s="611">
        <f t="shared" ca="1" si="13"/>
        <v>0</v>
      </c>
      <c r="AF54" s="611">
        <f t="shared" ca="1" si="14"/>
        <v>1</v>
      </c>
      <c r="AG54" s="611">
        <f t="shared" si="15"/>
        <v>1</v>
      </c>
      <c r="AH54" s="611">
        <f t="shared" ca="1" si="16"/>
        <v>1</v>
      </c>
      <c r="AI54" s="611">
        <f t="shared" si="17"/>
        <v>1</v>
      </c>
      <c r="AJ54" s="611">
        <f t="shared" ca="1" si="18"/>
        <v>1</v>
      </c>
      <c r="AK54" s="611">
        <f t="shared" si="19"/>
        <v>1</v>
      </c>
      <c r="AL54" s="611">
        <f t="shared" ca="1" si="20"/>
        <v>1</v>
      </c>
      <c r="AM54" s="611">
        <f t="shared" si="21"/>
        <v>1</v>
      </c>
      <c r="AN54" s="611">
        <f t="shared" ca="1" si="22"/>
        <v>1</v>
      </c>
      <c r="AO54" s="611">
        <f t="shared" si="23"/>
        <v>1</v>
      </c>
    </row>
    <row r="55" spans="1:41" s="612" customFormat="1" ht="18" customHeight="1">
      <c r="A55" s="611" t="str">
        <f ca="1">IF(C55=Retire!$D$12,"==&gt;","")</f>
        <v/>
      </c>
      <c r="B55" s="611"/>
      <c r="C55" s="1194">
        <f t="shared" ca="1" si="24"/>
        <v>2061</v>
      </c>
      <c r="D55" s="1195">
        <f t="shared" ca="1" si="27"/>
        <v>54568.716500748851</v>
      </c>
      <c r="E55" s="1195">
        <f t="shared" ca="1" si="28"/>
        <v>49843.712765449593</v>
      </c>
      <c r="F55" s="1195">
        <f t="shared" ca="1" si="29"/>
        <v>30723.956579539892</v>
      </c>
      <c r="G55" s="1195">
        <f t="shared" ca="1" si="30"/>
        <v>0</v>
      </c>
      <c r="H55" s="1195">
        <f t="shared" ca="1" si="31"/>
        <v>0</v>
      </c>
      <c r="I55" s="1195">
        <f t="shared" ca="1" si="32"/>
        <v>0</v>
      </c>
      <c r="J55" s="1195">
        <f t="shared" ca="1" si="33"/>
        <v>0</v>
      </c>
      <c r="K55" s="1195">
        <f t="shared" ca="1" si="34"/>
        <v>0</v>
      </c>
      <c r="L55" s="1195">
        <f t="shared" ca="1" si="35"/>
        <v>0</v>
      </c>
      <c r="M55" s="1195">
        <f t="shared" ca="1" si="36"/>
        <v>0</v>
      </c>
      <c r="N55" s="1066">
        <v>0</v>
      </c>
      <c r="O55" s="1196">
        <f ca="1">IF(Rental!Q76&gt;0,Rental!Q76,0)</f>
        <v>0</v>
      </c>
      <c r="P55" s="720"/>
      <c r="Q55" s="1195">
        <f t="shared" ca="1" si="37"/>
        <v>135136.38584573835</v>
      </c>
      <c r="R55" s="1195">
        <f t="shared" ca="1" si="38"/>
        <v>119474.52145580857</v>
      </c>
      <c r="S55" s="1196">
        <f t="shared" ca="1" si="39"/>
        <v>15661.864389929775</v>
      </c>
      <c r="T55" s="1202">
        <f t="shared" ca="1" si="25"/>
        <v>93</v>
      </c>
      <c r="U55" s="1202">
        <f t="shared" ca="1" si="26"/>
        <v>91</v>
      </c>
      <c r="V55" s="611">
        <f t="shared" ca="1" si="4"/>
        <v>1</v>
      </c>
      <c r="W55" s="611">
        <f t="shared" si="5"/>
        <v>1</v>
      </c>
      <c r="X55" s="611">
        <f t="shared" ca="1" si="6"/>
        <v>1</v>
      </c>
      <c r="Y55" s="611">
        <f t="shared" si="7"/>
        <v>1</v>
      </c>
      <c r="Z55" s="611">
        <f t="shared" ca="1" si="8"/>
        <v>1</v>
      </c>
      <c r="AA55" s="611">
        <f t="shared" si="9"/>
        <v>1</v>
      </c>
      <c r="AB55" s="611">
        <f t="shared" ca="1" si="10"/>
        <v>1</v>
      </c>
      <c r="AC55" s="611">
        <f t="shared" ca="1" si="11"/>
        <v>0</v>
      </c>
      <c r="AD55" s="611">
        <f t="shared" ca="1" si="12"/>
        <v>1</v>
      </c>
      <c r="AE55" s="611">
        <f t="shared" ca="1" si="13"/>
        <v>0</v>
      </c>
      <c r="AF55" s="611">
        <f t="shared" ca="1" si="14"/>
        <v>1</v>
      </c>
      <c r="AG55" s="611">
        <f t="shared" si="15"/>
        <v>1</v>
      </c>
      <c r="AH55" s="611">
        <f t="shared" ca="1" si="16"/>
        <v>1</v>
      </c>
      <c r="AI55" s="611">
        <f t="shared" si="17"/>
        <v>1</v>
      </c>
      <c r="AJ55" s="611">
        <f t="shared" ca="1" si="18"/>
        <v>1</v>
      </c>
      <c r="AK55" s="611">
        <f t="shared" si="19"/>
        <v>1</v>
      </c>
      <c r="AL55" s="611">
        <f t="shared" ca="1" si="20"/>
        <v>1</v>
      </c>
      <c r="AM55" s="611">
        <f t="shared" si="21"/>
        <v>1</v>
      </c>
      <c r="AN55" s="611">
        <f t="shared" ca="1" si="22"/>
        <v>1</v>
      </c>
      <c r="AO55" s="611">
        <f t="shared" si="23"/>
        <v>1</v>
      </c>
    </row>
    <row r="56" spans="1:41" s="612" customFormat="1" ht="18" customHeight="1">
      <c r="A56" s="611" t="str">
        <f ca="1">IF(C56=Retire!$D$12,"==&gt;","")</f>
        <v/>
      </c>
      <c r="B56" s="611"/>
      <c r="C56" s="1192">
        <f t="shared" ca="1" si="24"/>
        <v>2062</v>
      </c>
      <c r="D56" s="1193">
        <f t="shared" ca="1" si="27"/>
        <v>55283.566686908664</v>
      </c>
      <c r="E56" s="1193">
        <f t="shared" ca="1" si="28"/>
        <v>50496.665402676983</v>
      </c>
      <c r="F56" s="1193">
        <f t="shared" ca="1" si="29"/>
        <v>31338.435711130689</v>
      </c>
      <c r="G56" s="1193">
        <f t="shared" ca="1" si="30"/>
        <v>0</v>
      </c>
      <c r="H56" s="1193">
        <f t="shared" ca="1" si="31"/>
        <v>0</v>
      </c>
      <c r="I56" s="1193">
        <f t="shared" ca="1" si="32"/>
        <v>0</v>
      </c>
      <c r="J56" s="1193">
        <f t="shared" ca="1" si="33"/>
        <v>0</v>
      </c>
      <c r="K56" s="1193">
        <f t="shared" ca="1" si="34"/>
        <v>0</v>
      </c>
      <c r="L56" s="1193">
        <f t="shared" ca="1" si="35"/>
        <v>0</v>
      </c>
      <c r="M56" s="1193">
        <f t="shared" ca="1" si="36"/>
        <v>0</v>
      </c>
      <c r="N56" s="1066">
        <v>0</v>
      </c>
      <c r="O56" s="1188">
        <f ca="1">IF(Rental!Q77&gt;0,Rental!Q77,0)</f>
        <v>0</v>
      </c>
      <c r="P56" s="720"/>
      <c r="Q56" s="1193">
        <f t="shared" ca="1" si="37"/>
        <v>137118.66780071636</v>
      </c>
      <c r="R56" s="1193">
        <f t="shared" ca="1" si="38"/>
        <v>121251.63298727848</v>
      </c>
      <c r="S56" s="1188">
        <f t="shared" ca="1" si="39"/>
        <v>15867.034813437873</v>
      </c>
      <c r="T56" s="1201">
        <f t="shared" ca="1" si="25"/>
        <v>94</v>
      </c>
      <c r="U56" s="1201">
        <f t="shared" ca="1" si="26"/>
        <v>92</v>
      </c>
      <c r="V56" s="611">
        <f t="shared" ca="1" si="4"/>
        <v>1</v>
      </c>
      <c r="W56" s="611">
        <f t="shared" si="5"/>
        <v>1</v>
      </c>
      <c r="X56" s="611">
        <f t="shared" ca="1" si="6"/>
        <v>1</v>
      </c>
      <c r="Y56" s="611">
        <f t="shared" si="7"/>
        <v>1</v>
      </c>
      <c r="Z56" s="611">
        <f t="shared" ca="1" si="8"/>
        <v>1</v>
      </c>
      <c r="AA56" s="611">
        <f t="shared" si="9"/>
        <v>1</v>
      </c>
      <c r="AB56" s="611">
        <f t="shared" ca="1" si="10"/>
        <v>1</v>
      </c>
      <c r="AC56" s="611">
        <f t="shared" ca="1" si="11"/>
        <v>0</v>
      </c>
      <c r="AD56" s="611">
        <f t="shared" ca="1" si="12"/>
        <v>1</v>
      </c>
      <c r="AE56" s="611">
        <f t="shared" ca="1" si="13"/>
        <v>0</v>
      </c>
      <c r="AF56" s="611">
        <f t="shared" ca="1" si="14"/>
        <v>1</v>
      </c>
      <c r="AG56" s="611">
        <f t="shared" si="15"/>
        <v>1</v>
      </c>
      <c r="AH56" s="611">
        <f t="shared" ca="1" si="16"/>
        <v>1</v>
      </c>
      <c r="AI56" s="611">
        <f t="shared" si="17"/>
        <v>1</v>
      </c>
      <c r="AJ56" s="611">
        <f t="shared" ca="1" si="18"/>
        <v>1</v>
      </c>
      <c r="AK56" s="611">
        <f t="shared" si="19"/>
        <v>1</v>
      </c>
      <c r="AL56" s="611">
        <f t="shared" ca="1" si="20"/>
        <v>1</v>
      </c>
      <c r="AM56" s="611">
        <f t="shared" si="21"/>
        <v>1</v>
      </c>
      <c r="AN56" s="611">
        <f t="shared" ca="1" si="22"/>
        <v>1</v>
      </c>
      <c r="AO56" s="611">
        <f t="shared" si="23"/>
        <v>1</v>
      </c>
    </row>
    <row r="57" spans="1:41" s="612" customFormat="1" ht="18" customHeight="1">
      <c r="A57" s="611" t="str">
        <f ca="1">IF(C57=Retire!$D$12,"==&gt;","")</f>
        <v/>
      </c>
      <c r="C57" s="1194">
        <f t="shared" ca="1" si="24"/>
        <v>2063</v>
      </c>
      <c r="D57" s="1195">
        <f t="shared" ca="1" si="27"/>
        <v>56007.781410507167</v>
      </c>
      <c r="E57" s="1195">
        <f t="shared" ca="1" si="28"/>
        <v>51158.171719452053</v>
      </c>
      <c r="F57" s="1195">
        <f t="shared" ca="1" si="29"/>
        <v>31965.204425353302</v>
      </c>
      <c r="G57" s="1195">
        <f t="shared" ca="1" si="30"/>
        <v>0</v>
      </c>
      <c r="H57" s="1195">
        <f t="shared" ca="1" si="31"/>
        <v>0</v>
      </c>
      <c r="I57" s="1195">
        <f t="shared" ca="1" si="32"/>
        <v>0</v>
      </c>
      <c r="J57" s="1195">
        <f t="shared" ca="1" si="33"/>
        <v>0</v>
      </c>
      <c r="K57" s="1195">
        <f t="shared" ca="1" si="34"/>
        <v>0</v>
      </c>
      <c r="L57" s="1195">
        <f t="shared" ca="1" si="35"/>
        <v>0</v>
      </c>
      <c r="M57" s="1195">
        <f t="shared" ca="1" si="36"/>
        <v>0</v>
      </c>
      <c r="N57" s="1066">
        <v>0</v>
      </c>
      <c r="O57" s="1196">
        <f ca="1">IF(Rental!Q78&gt;0,Rental!Q78,0)</f>
        <v>0</v>
      </c>
      <c r="P57" s="720"/>
      <c r="Q57" s="1195">
        <f t="shared" ca="1" si="37"/>
        <v>139131.15755531253</v>
      </c>
      <c r="R57" s="1195">
        <f t="shared" ca="1" si="38"/>
        <v>123056.26458581863</v>
      </c>
      <c r="S57" s="1196">
        <f t="shared" ca="1" si="39"/>
        <v>16074.8929694939</v>
      </c>
      <c r="T57" s="1202">
        <f t="shared" ca="1" si="25"/>
        <v>95</v>
      </c>
      <c r="U57" s="1202">
        <f t="shared" ca="1" si="26"/>
        <v>93</v>
      </c>
      <c r="V57" s="611">
        <f t="shared" ca="1" si="4"/>
        <v>1</v>
      </c>
      <c r="W57" s="611">
        <f t="shared" si="5"/>
        <v>1</v>
      </c>
      <c r="X57" s="611">
        <f t="shared" ca="1" si="6"/>
        <v>1</v>
      </c>
      <c r="Y57" s="611">
        <f t="shared" si="7"/>
        <v>1</v>
      </c>
      <c r="Z57" s="611">
        <f t="shared" ca="1" si="8"/>
        <v>1</v>
      </c>
      <c r="AA57" s="611">
        <f t="shared" si="9"/>
        <v>1</v>
      </c>
      <c r="AB57" s="611">
        <f t="shared" ca="1" si="10"/>
        <v>1</v>
      </c>
      <c r="AC57" s="611">
        <f t="shared" ca="1" si="11"/>
        <v>0</v>
      </c>
      <c r="AD57" s="611">
        <f t="shared" ca="1" si="12"/>
        <v>1</v>
      </c>
      <c r="AE57" s="611">
        <f t="shared" ca="1" si="13"/>
        <v>0</v>
      </c>
      <c r="AF57" s="611">
        <f t="shared" ca="1" si="14"/>
        <v>1</v>
      </c>
      <c r="AG57" s="611">
        <f t="shared" si="15"/>
        <v>1</v>
      </c>
      <c r="AH57" s="611">
        <f t="shared" ca="1" si="16"/>
        <v>1</v>
      </c>
      <c r="AI57" s="611">
        <f t="shared" si="17"/>
        <v>1</v>
      </c>
      <c r="AJ57" s="611">
        <f t="shared" ca="1" si="18"/>
        <v>1</v>
      </c>
      <c r="AK57" s="611">
        <f t="shared" si="19"/>
        <v>1</v>
      </c>
      <c r="AL57" s="611">
        <f t="shared" ca="1" si="20"/>
        <v>1</v>
      </c>
      <c r="AM57" s="611">
        <f t="shared" si="21"/>
        <v>1</v>
      </c>
      <c r="AN57" s="611">
        <f t="shared" ca="1" si="22"/>
        <v>1</v>
      </c>
      <c r="AO57" s="611">
        <f t="shared" si="23"/>
        <v>1</v>
      </c>
    </row>
    <row r="58" spans="1:41" s="612" customFormat="1" ht="18" customHeight="1">
      <c r="A58" s="611" t="str">
        <f ca="1">IF(C58=Retire!$D$12,"==&gt;","")</f>
        <v/>
      </c>
      <c r="C58" s="1192">
        <f t="shared" ca="1" si="24"/>
        <v>2064</v>
      </c>
      <c r="D58" s="1193">
        <f t="shared" ca="1" si="27"/>
        <v>56741.483346984809</v>
      </c>
      <c r="E58" s="1193">
        <f t="shared" ca="1" si="28"/>
        <v>51828.343768976876</v>
      </c>
      <c r="F58" s="1193">
        <f t="shared" ca="1" si="29"/>
        <v>32604.508513860368</v>
      </c>
      <c r="G58" s="1193">
        <f t="shared" ca="1" si="30"/>
        <v>0</v>
      </c>
      <c r="H58" s="1193">
        <f t="shared" ca="1" si="31"/>
        <v>0</v>
      </c>
      <c r="I58" s="1193">
        <f t="shared" ca="1" si="32"/>
        <v>0</v>
      </c>
      <c r="J58" s="1193">
        <f t="shared" ca="1" si="33"/>
        <v>0</v>
      </c>
      <c r="K58" s="1193">
        <f t="shared" ca="1" si="34"/>
        <v>0</v>
      </c>
      <c r="L58" s="1193">
        <f t="shared" ca="1" si="35"/>
        <v>0</v>
      </c>
      <c r="M58" s="1193">
        <f t="shared" ca="1" si="36"/>
        <v>0</v>
      </c>
      <c r="N58" s="1066">
        <v>0</v>
      </c>
      <c r="O58" s="1188">
        <f ca="1">IF(Rental!Q79&gt;0,Rental!Q79,0)</f>
        <v>0</v>
      </c>
      <c r="P58" s="720"/>
      <c r="Q58" s="1193">
        <f t="shared" ca="1" si="37"/>
        <v>141174.33562982205</v>
      </c>
      <c r="R58" s="1193">
        <f t="shared" ca="1" si="38"/>
        <v>124888.8615624278</v>
      </c>
      <c r="S58" s="1188">
        <f t="shared" ca="1" si="39"/>
        <v>16285.474067394243</v>
      </c>
      <c r="T58" s="1201">
        <f t="shared" ca="1" si="25"/>
        <v>96</v>
      </c>
      <c r="U58" s="1201">
        <f t="shared" ca="1" si="26"/>
        <v>94</v>
      </c>
      <c r="V58" s="611">
        <f t="shared" ca="1" si="4"/>
        <v>1</v>
      </c>
      <c r="W58" s="611">
        <f t="shared" si="5"/>
        <v>1</v>
      </c>
      <c r="X58" s="611">
        <f t="shared" ca="1" si="6"/>
        <v>1</v>
      </c>
      <c r="Y58" s="611">
        <f t="shared" si="7"/>
        <v>1</v>
      </c>
      <c r="Z58" s="611">
        <f t="shared" ca="1" si="8"/>
        <v>1</v>
      </c>
      <c r="AA58" s="611">
        <f t="shared" si="9"/>
        <v>1</v>
      </c>
      <c r="AB58" s="611">
        <f t="shared" ca="1" si="10"/>
        <v>1</v>
      </c>
      <c r="AC58" s="611">
        <f t="shared" ca="1" si="11"/>
        <v>0</v>
      </c>
      <c r="AD58" s="611">
        <f t="shared" ca="1" si="12"/>
        <v>1</v>
      </c>
      <c r="AE58" s="611">
        <f t="shared" ca="1" si="13"/>
        <v>0</v>
      </c>
      <c r="AF58" s="611">
        <f t="shared" ca="1" si="14"/>
        <v>1</v>
      </c>
      <c r="AG58" s="611">
        <f t="shared" si="15"/>
        <v>1</v>
      </c>
      <c r="AH58" s="611">
        <f t="shared" ca="1" si="16"/>
        <v>1</v>
      </c>
      <c r="AI58" s="611">
        <f t="shared" si="17"/>
        <v>1</v>
      </c>
      <c r="AJ58" s="611">
        <f t="shared" ca="1" si="18"/>
        <v>1</v>
      </c>
      <c r="AK58" s="611">
        <f t="shared" si="19"/>
        <v>1</v>
      </c>
      <c r="AL58" s="611">
        <f t="shared" ca="1" si="20"/>
        <v>1</v>
      </c>
      <c r="AM58" s="611">
        <f t="shared" si="21"/>
        <v>1</v>
      </c>
      <c r="AN58" s="611">
        <f t="shared" ca="1" si="22"/>
        <v>1</v>
      </c>
      <c r="AO58" s="611">
        <f t="shared" si="23"/>
        <v>1</v>
      </c>
    </row>
    <row r="59" spans="1:41" s="612" customFormat="1" ht="18" customHeight="1">
      <c r="A59" s="611" t="str">
        <f ca="1">IF(C59=Retire!$D$12,"==&gt;","")</f>
        <v/>
      </c>
      <c r="C59" s="1194">
        <f t="shared" ca="1" si="24"/>
        <v>2065</v>
      </c>
      <c r="D59" s="1195">
        <f t="shared" ca="1" si="27"/>
        <v>57484.796778830307</v>
      </c>
      <c r="E59" s="1195">
        <f t="shared" ca="1" si="28"/>
        <v>52507.295072350476</v>
      </c>
      <c r="F59" s="1195">
        <f t="shared" ca="1" si="29"/>
        <v>33256.598684137578</v>
      </c>
      <c r="G59" s="1195">
        <f t="shared" ca="1" si="30"/>
        <v>0</v>
      </c>
      <c r="H59" s="1195">
        <f t="shared" ca="1" si="31"/>
        <v>0</v>
      </c>
      <c r="I59" s="1195">
        <f t="shared" ca="1" si="32"/>
        <v>0</v>
      </c>
      <c r="J59" s="1195">
        <f t="shared" ca="1" si="33"/>
        <v>0</v>
      </c>
      <c r="K59" s="1195">
        <f t="shared" ca="1" si="34"/>
        <v>0</v>
      </c>
      <c r="L59" s="1195">
        <f t="shared" ca="1" si="35"/>
        <v>0</v>
      </c>
      <c r="M59" s="1195">
        <f t="shared" ca="1" si="36"/>
        <v>0</v>
      </c>
      <c r="N59" s="1066">
        <v>0</v>
      </c>
      <c r="O59" s="1196">
        <f ca="1">IF(Rental!Q80&gt;0,Rental!Q80,0)</f>
        <v>0</v>
      </c>
      <c r="P59" s="720"/>
      <c r="Q59" s="1195">
        <f t="shared" ca="1" si="37"/>
        <v>143248.69053531837</v>
      </c>
      <c r="R59" s="1195">
        <f t="shared" ca="1" si="38"/>
        <v>126749.87675764124</v>
      </c>
      <c r="S59" s="1196">
        <f t="shared" ca="1" si="39"/>
        <v>16498.813777677133</v>
      </c>
      <c r="T59" s="1202">
        <f t="shared" ca="1" si="25"/>
        <v>97</v>
      </c>
      <c r="U59" s="1202">
        <f t="shared" ca="1" si="26"/>
        <v>95</v>
      </c>
      <c r="V59" s="611">
        <f t="shared" ca="1" si="4"/>
        <v>1</v>
      </c>
      <c r="W59" s="611">
        <f t="shared" si="5"/>
        <v>1</v>
      </c>
      <c r="X59" s="611">
        <f t="shared" ca="1" si="6"/>
        <v>1</v>
      </c>
      <c r="Y59" s="611">
        <f t="shared" si="7"/>
        <v>1</v>
      </c>
      <c r="Z59" s="611">
        <f t="shared" ca="1" si="8"/>
        <v>1</v>
      </c>
      <c r="AA59" s="611">
        <f t="shared" si="9"/>
        <v>1</v>
      </c>
      <c r="AB59" s="611">
        <f t="shared" ca="1" si="10"/>
        <v>1</v>
      </c>
      <c r="AC59" s="611">
        <f t="shared" ca="1" si="11"/>
        <v>0</v>
      </c>
      <c r="AD59" s="611">
        <f t="shared" ca="1" si="12"/>
        <v>1</v>
      </c>
      <c r="AE59" s="611">
        <f t="shared" ca="1" si="13"/>
        <v>0</v>
      </c>
      <c r="AF59" s="611">
        <f t="shared" ca="1" si="14"/>
        <v>1</v>
      </c>
      <c r="AG59" s="611">
        <f t="shared" si="15"/>
        <v>1</v>
      </c>
      <c r="AH59" s="611">
        <f t="shared" ca="1" si="16"/>
        <v>1</v>
      </c>
      <c r="AI59" s="611">
        <f t="shared" si="17"/>
        <v>1</v>
      </c>
      <c r="AJ59" s="611">
        <f t="shared" ca="1" si="18"/>
        <v>1</v>
      </c>
      <c r="AK59" s="611">
        <f t="shared" si="19"/>
        <v>1</v>
      </c>
      <c r="AL59" s="611">
        <f t="shared" ca="1" si="20"/>
        <v>1</v>
      </c>
      <c r="AM59" s="611">
        <f t="shared" si="21"/>
        <v>1</v>
      </c>
      <c r="AN59" s="611">
        <f t="shared" ca="1" si="22"/>
        <v>1</v>
      </c>
      <c r="AO59" s="611">
        <f t="shared" si="23"/>
        <v>1</v>
      </c>
    </row>
    <row r="60" spans="1:41" s="612" customFormat="1" ht="18" customHeight="1">
      <c r="A60" s="611" t="str">
        <f ca="1">IF(C60=Retire!$D$12,"==&gt;","")</f>
        <v/>
      </c>
      <c r="C60" s="1192">
        <f t="shared" ca="1" si="24"/>
        <v>2066</v>
      </c>
      <c r="D60" s="1193">
        <f t="shared" ca="1" si="27"/>
        <v>58237.847616632986</v>
      </c>
      <c r="E60" s="1193">
        <f t="shared" ca="1" si="28"/>
        <v>53195.140637798271</v>
      </c>
      <c r="F60" s="1193">
        <f t="shared" ca="1" si="29"/>
        <v>33921.730657820328</v>
      </c>
      <c r="G60" s="1193">
        <f t="shared" ca="1" si="30"/>
        <v>0</v>
      </c>
      <c r="H60" s="1193">
        <f t="shared" ca="1" si="31"/>
        <v>0</v>
      </c>
      <c r="I60" s="1193">
        <f t="shared" ca="1" si="32"/>
        <v>0</v>
      </c>
      <c r="J60" s="1193">
        <f t="shared" ca="1" si="33"/>
        <v>0</v>
      </c>
      <c r="K60" s="1193">
        <f t="shared" ca="1" si="34"/>
        <v>0</v>
      </c>
      <c r="L60" s="1193">
        <f t="shared" ca="1" si="35"/>
        <v>0</v>
      </c>
      <c r="M60" s="1193">
        <f t="shared" ca="1" si="36"/>
        <v>0</v>
      </c>
      <c r="N60" s="1066">
        <v>0</v>
      </c>
      <c r="O60" s="1188">
        <f ca="1">IF(Rental!Q81&gt;0,Rental!Q81,0)</f>
        <v>0</v>
      </c>
      <c r="P60" s="720"/>
      <c r="Q60" s="1193">
        <f t="shared" ca="1" si="37"/>
        <v>145354.71891225158</v>
      </c>
      <c r="R60" s="1193">
        <f t="shared" ca="1" si="38"/>
        <v>128639.7706740869</v>
      </c>
      <c r="S60" s="1188">
        <f t="shared" ca="1" si="39"/>
        <v>16714.948238164681</v>
      </c>
      <c r="T60" s="1201">
        <f t="shared" ca="1" si="25"/>
        <v>98</v>
      </c>
      <c r="U60" s="1201">
        <f t="shared" ca="1" si="26"/>
        <v>96</v>
      </c>
      <c r="V60" s="611">
        <f t="shared" ca="1" si="4"/>
        <v>1</v>
      </c>
      <c r="W60" s="611">
        <f t="shared" si="5"/>
        <v>1</v>
      </c>
      <c r="X60" s="611">
        <f t="shared" ca="1" si="6"/>
        <v>1</v>
      </c>
      <c r="Y60" s="611">
        <f t="shared" si="7"/>
        <v>1</v>
      </c>
      <c r="Z60" s="611">
        <f t="shared" ca="1" si="8"/>
        <v>1</v>
      </c>
      <c r="AA60" s="611">
        <f t="shared" si="9"/>
        <v>1</v>
      </c>
      <c r="AB60" s="611">
        <f t="shared" ca="1" si="10"/>
        <v>1</v>
      </c>
      <c r="AC60" s="611">
        <f t="shared" ca="1" si="11"/>
        <v>0</v>
      </c>
      <c r="AD60" s="611">
        <f t="shared" ca="1" si="12"/>
        <v>1</v>
      </c>
      <c r="AE60" s="611">
        <f t="shared" ca="1" si="13"/>
        <v>0</v>
      </c>
      <c r="AF60" s="611">
        <f t="shared" ca="1" si="14"/>
        <v>1</v>
      </c>
      <c r="AG60" s="611">
        <f t="shared" si="15"/>
        <v>1</v>
      </c>
      <c r="AH60" s="611">
        <f t="shared" ca="1" si="16"/>
        <v>1</v>
      </c>
      <c r="AI60" s="611">
        <f t="shared" si="17"/>
        <v>1</v>
      </c>
      <c r="AJ60" s="611">
        <f t="shared" ca="1" si="18"/>
        <v>1</v>
      </c>
      <c r="AK60" s="611">
        <f t="shared" si="19"/>
        <v>1</v>
      </c>
      <c r="AL60" s="611">
        <f t="shared" ca="1" si="20"/>
        <v>1</v>
      </c>
      <c r="AM60" s="611">
        <f t="shared" si="21"/>
        <v>1</v>
      </c>
      <c r="AN60" s="611">
        <f t="shared" ca="1" si="22"/>
        <v>1</v>
      </c>
      <c r="AO60" s="611">
        <f t="shared" si="23"/>
        <v>1</v>
      </c>
    </row>
    <row r="61" spans="1:41" s="612" customFormat="1" ht="18" customHeight="1">
      <c r="A61" s="611" t="str">
        <f ca="1">IF(C61=Retire!$D$12,"==&gt;","")</f>
        <v/>
      </c>
      <c r="C61" s="1194">
        <f t="shared" ca="1" si="24"/>
        <v>2067</v>
      </c>
      <c r="D61" s="1195">
        <f t="shared" ca="1" si="27"/>
        <v>59000.763420410876</v>
      </c>
      <c r="E61" s="1195">
        <f t="shared" ca="1" si="28"/>
        <v>53891.996980153432</v>
      </c>
      <c r="F61" s="1195">
        <f t="shared" ca="1" si="29"/>
        <v>34600.165270976737</v>
      </c>
      <c r="G61" s="1195">
        <f t="shared" ca="1" si="30"/>
        <v>0</v>
      </c>
      <c r="H61" s="1195">
        <f t="shared" ca="1" si="31"/>
        <v>0</v>
      </c>
      <c r="I61" s="1195">
        <f t="shared" ca="1" si="32"/>
        <v>0</v>
      </c>
      <c r="J61" s="1195">
        <f t="shared" ca="1" si="33"/>
        <v>0</v>
      </c>
      <c r="K61" s="1195">
        <f t="shared" ca="1" si="34"/>
        <v>0</v>
      </c>
      <c r="L61" s="1195">
        <f t="shared" ca="1" si="35"/>
        <v>0</v>
      </c>
      <c r="M61" s="1195">
        <f t="shared" ca="1" si="36"/>
        <v>0</v>
      </c>
      <c r="N61" s="1066">
        <v>0</v>
      </c>
      <c r="O61" s="1196">
        <f ca="1">IF(Rental!Q82&gt;0,Rental!Q82,0)</f>
        <v>0</v>
      </c>
      <c r="P61" s="720"/>
      <c r="Q61" s="1195">
        <f t="shared" ca="1" si="37"/>
        <v>147492.92567154104</v>
      </c>
      <c r="R61" s="1195">
        <f t="shared" ca="1" si="38"/>
        <v>130559.01161145639</v>
      </c>
      <c r="S61" s="1196">
        <f t="shared" ca="1" si="39"/>
        <v>16933.914060084659</v>
      </c>
      <c r="T61" s="1202">
        <f t="shared" ca="1" si="25"/>
        <v>99</v>
      </c>
      <c r="U61" s="1202">
        <f t="shared" ca="1" si="26"/>
        <v>97</v>
      </c>
      <c r="V61" s="611">
        <f t="shared" ca="1" si="4"/>
        <v>1</v>
      </c>
      <c r="W61" s="611">
        <f t="shared" si="5"/>
        <v>1</v>
      </c>
      <c r="X61" s="611">
        <f t="shared" ca="1" si="6"/>
        <v>1</v>
      </c>
      <c r="Y61" s="611">
        <f t="shared" si="7"/>
        <v>1</v>
      </c>
      <c r="Z61" s="611">
        <f t="shared" ca="1" si="8"/>
        <v>1</v>
      </c>
      <c r="AA61" s="611">
        <f t="shared" si="9"/>
        <v>1</v>
      </c>
      <c r="AB61" s="611">
        <f t="shared" ca="1" si="10"/>
        <v>1</v>
      </c>
      <c r="AC61" s="611">
        <f t="shared" ca="1" si="11"/>
        <v>0</v>
      </c>
      <c r="AD61" s="611">
        <f t="shared" ca="1" si="12"/>
        <v>1</v>
      </c>
      <c r="AE61" s="611">
        <f t="shared" ca="1" si="13"/>
        <v>0</v>
      </c>
      <c r="AF61" s="611">
        <f t="shared" ca="1" si="14"/>
        <v>1</v>
      </c>
      <c r="AG61" s="611">
        <f t="shared" si="15"/>
        <v>1</v>
      </c>
      <c r="AH61" s="611">
        <f t="shared" ca="1" si="16"/>
        <v>1</v>
      </c>
      <c r="AI61" s="611">
        <f t="shared" si="17"/>
        <v>1</v>
      </c>
      <c r="AJ61" s="611">
        <f t="shared" ca="1" si="18"/>
        <v>1</v>
      </c>
      <c r="AK61" s="611">
        <f t="shared" si="19"/>
        <v>1</v>
      </c>
      <c r="AL61" s="611">
        <f t="shared" ca="1" si="20"/>
        <v>1</v>
      </c>
      <c r="AM61" s="611">
        <f t="shared" si="21"/>
        <v>1</v>
      </c>
      <c r="AN61" s="611">
        <f t="shared" ca="1" si="22"/>
        <v>1</v>
      </c>
      <c r="AO61" s="611">
        <f t="shared" si="23"/>
        <v>1</v>
      </c>
    </row>
    <row r="62" spans="1:41" s="612" customFormat="1" ht="18" customHeight="1">
      <c r="A62" s="611" t="str">
        <f ca="1">IF(C62=Retire!$D$12,"==&gt;","")</f>
        <v/>
      </c>
      <c r="C62" s="1192">
        <f t="shared" ca="1" si="24"/>
        <v>2068</v>
      </c>
      <c r="D62" s="1193">
        <f t="shared" ca="1" si="27"/>
        <v>59773.673421218256</v>
      </c>
      <c r="E62" s="1193">
        <f t="shared" ca="1" si="28"/>
        <v>54597.982140593442</v>
      </c>
      <c r="F62" s="1193">
        <f t="shared" ca="1" si="29"/>
        <v>35292.168576396274</v>
      </c>
      <c r="G62" s="1193">
        <f t="shared" ca="1" si="30"/>
        <v>0</v>
      </c>
      <c r="H62" s="1193">
        <f t="shared" ca="1" si="31"/>
        <v>0</v>
      </c>
      <c r="I62" s="1193">
        <f t="shared" ca="1" si="32"/>
        <v>0</v>
      </c>
      <c r="J62" s="1193">
        <f t="shared" ca="1" si="33"/>
        <v>0</v>
      </c>
      <c r="K62" s="1193">
        <f t="shared" ca="1" si="34"/>
        <v>0</v>
      </c>
      <c r="L62" s="1193">
        <f t="shared" ca="1" si="35"/>
        <v>0</v>
      </c>
      <c r="M62" s="1193">
        <f t="shared" ca="1" si="36"/>
        <v>0</v>
      </c>
      <c r="N62" s="1066">
        <v>0</v>
      </c>
      <c r="O62" s="1188">
        <f ca="1">IF(Rental!Q83&gt;0,Rental!Q83,0)</f>
        <v>0</v>
      </c>
      <c r="P62" s="720"/>
      <c r="Q62" s="1193">
        <f t="shared" ca="1" si="37"/>
        <v>149663.82413820797</v>
      </c>
      <c r="R62" s="1193">
        <f t="shared" ca="1" si="38"/>
        <v>132508.07580393623</v>
      </c>
      <c r="S62" s="1188">
        <f t="shared" ca="1" si="39"/>
        <v>17155.748334271746</v>
      </c>
      <c r="T62" s="1201">
        <f t="shared" ca="1" si="25"/>
        <v>100</v>
      </c>
      <c r="U62" s="1201">
        <f t="shared" ca="1" si="26"/>
        <v>98</v>
      </c>
      <c r="V62" s="611">
        <f t="shared" ca="1" si="4"/>
        <v>1</v>
      </c>
      <c r="W62" s="611">
        <f t="shared" si="5"/>
        <v>1</v>
      </c>
      <c r="X62" s="611">
        <f t="shared" ca="1" si="6"/>
        <v>1</v>
      </c>
      <c r="Y62" s="611">
        <f t="shared" si="7"/>
        <v>1</v>
      </c>
      <c r="Z62" s="611">
        <f t="shared" ca="1" si="8"/>
        <v>1</v>
      </c>
      <c r="AA62" s="611">
        <f t="shared" si="9"/>
        <v>1</v>
      </c>
      <c r="AB62" s="611">
        <f t="shared" ca="1" si="10"/>
        <v>1</v>
      </c>
      <c r="AC62" s="611">
        <f t="shared" ca="1" si="11"/>
        <v>0</v>
      </c>
      <c r="AD62" s="611">
        <f t="shared" ca="1" si="12"/>
        <v>1</v>
      </c>
      <c r="AE62" s="611">
        <f t="shared" ca="1" si="13"/>
        <v>0</v>
      </c>
      <c r="AF62" s="611">
        <f t="shared" ca="1" si="14"/>
        <v>1</v>
      </c>
      <c r="AG62" s="611">
        <f t="shared" si="15"/>
        <v>1</v>
      </c>
      <c r="AH62" s="611">
        <f t="shared" ca="1" si="16"/>
        <v>1</v>
      </c>
      <c r="AI62" s="611">
        <f t="shared" si="17"/>
        <v>1</v>
      </c>
      <c r="AJ62" s="611">
        <f t="shared" ca="1" si="18"/>
        <v>1</v>
      </c>
      <c r="AK62" s="611">
        <f t="shared" si="19"/>
        <v>1</v>
      </c>
      <c r="AL62" s="611">
        <f t="shared" ca="1" si="20"/>
        <v>1</v>
      </c>
      <c r="AM62" s="611">
        <f t="shared" si="21"/>
        <v>1</v>
      </c>
      <c r="AN62" s="611">
        <f t="shared" ca="1" si="22"/>
        <v>1</v>
      </c>
      <c r="AO62" s="611">
        <f t="shared" si="23"/>
        <v>1</v>
      </c>
    </row>
    <row r="63" spans="1:41" s="612" customFormat="1" ht="18" customHeight="1">
      <c r="A63" s="611" t="str">
        <f ca="1">IF(C63=Retire!$D$12,"==&gt;","")</f>
        <v/>
      </c>
      <c r="C63" s="1194">
        <f t="shared" ca="1" si="24"/>
        <v>2069</v>
      </c>
      <c r="D63" s="1195">
        <f t="shared" ca="1" si="27"/>
        <v>60556.708543036213</v>
      </c>
      <c r="E63" s="1195">
        <f t="shared" ca="1" si="28"/>
        <v>55313.215706635216</v>
      </c>
      <c r="F63" s="1195">
        <f t="shared" ca="1" si="29"/>
        <v>35998.011947924198</v>
      </c>
      <c r="G63" s="1195">
        <f t="shared" ca="1" si="30"/>
        <v>0</v>
      </c>
      <c r="H63" s="1195">
        <f t="shared" ca="1" si="31"/>
        <v>0</v>
      </c>
      <c r="I63" s="1195">
        <f t="shared" ca="1" si="32"/>
        <v>0</v>
      </c>
      <c r="J63" s="1195">
        <f t="shared" ca="1" si="33"/>
        <v>0</v>
      </c>
      <c r="K63" s="1195">
        <f t="shared" ca="1" si="34"/>
        <v>0</v>
      </c>
      <c r="L63" s="1195">
        <f t="shared" ca="1" si="35"/>
        <v>0</v>
      </c>
      <c r="M63" s="1195">
        <f t="shared" ca="1" si="36"/>
        <v>0</v>
      </c>
      <c r="N63" s="1066">
        <v>0</v>
      </c>
      <c r="O63" s="1196">
        <f ca="1">IF(Rental!Q84&gt;0,Rental!Q84,0)</f>
        <v>0</v>
      </c>
      <c r="P63" s="720"/>
      <c r="Q63" s="1195">
        <f t="shared" ca="1" si="37"/>
        <v>151867.93619759561</v>
      </c>
      <c r="R63" s="1195">
        <f t="shared" ca="1" si="38"/>
        <v>134487.44756014491</v>
      </c>
      <c r="S63" s="1196">
        <f t="shared" ca="1" si="39"/>
        <v>17380.488637450704</v>
      </c>
      <c r="T63" s="1202">
        <f t="shared" ca="1" si="25"/>
        <v>101</v>
      </c>
      <c r="U63" s="1202">
        <f t="shared" ca="1" si="26"/>
        <v>99</v>
      </c>
      <c r="V63" s="611">
        <f t="shared" ca="1" si="4"/>
        <v>1</v>
      </c>
      <c r="W63" s="611">
        <f t="shared" si="5"/>
        <v>1</v>
      </c>
      <c r="X63" s="611">
        <f t="shared" ca="1" si="6"/>
        <v>1</v>
      </c>
      <c r="Y63" s="611">
        <f t="shared" si="7"/>
        <v>1</v>
      </c>
      <c r="Z63" s="611">
        <f t="shared" ca="1" si="8"/>
        <v>1</v>
      </c>
      <c r="AA63" s="611">
        <f t="shared" si="9"/>
        <v>1</v>
      </c>
      <c r="AB63" s="611">
        <f t="shared" ca="1" si="10"/>
        <v>1</v>
      </c>
      <c r="AC63" s="611">
        <f t="shared" ca="1" si="11"/>
        <v>0</v>
      </c>
      <c r="AD63" s="611">
        <f t="shared" ca="1" si="12"/>
        <v>1</v>
      </c>
      <c r="AE63" s="611">
        <f t="shared" ca="1" si="13"/>
        <v>0</v>
      </c>
      <c r="AF63" s="611">
        <f t="shared" ca="1" si="14"/>
        <v>1</v>
      </c>
      <c r="AG63" s="611">
        <f t="shared" si="15"/>
        <v>1</v>
      </c>
      <c r="AH63" s="611">
        <f t="shared" ca="1" si="16"/>
        <v>1</v>
      </c>
      <c r="AI63" s="611">
        <f t="shared" si="17"/>
        <v>1</v>
      </c>
      <c r="AJ63" s="611">
        <f t="shared" ca="1" si="18"/>
        <v>1</v>
      </c>
      <c r="AK63" s="611">
        <f t="shared" si="19"/>
        <v>1</v>
      </c>
      <c r="AL63" s="611">
        <f t="shared" ca="1" si="20"/>
        <v>1</v>
      </c>
      <c r="AM63" s="611">
        <f t="shared" si="21"/>
        <v>1</v>
      </c>
      <c r="AN63" s="611">
        <f t="shared" ca="1" si="22"/>
        <v>1</v>
      </c>
      <c r="AO63" s="611">
        <f t="shared" si="23"/>
        <v>1</v>
      </c>
    </row>
    <row r="64" spans="1:41" s="612" customFormat="1" ht="18" customHeight="1">
      <c r="A64" s="611" t="str">
        <f ca="1">IF(C64=Retire!$D$12,"==&gt;","")</f>
        <v/>
      </c>
      <c r="C64" s="1192">
        <f t="shared" ca="1" si="24"/>
        <v>2070</v>
      </c>
      <c r="D64" s="1193">
        <f t="shared" ca="1" si="27"/>
        <v>61350.001424949987</v>
      </c>
      <c r="E64" s="1193">
        <f t="shared" ca="1" si="28"/>
        <v>56037.818832392135</v>
      </c>
      <c r="F64" s="1193">
        <f t="shared" ca="1" si="29"/>
        <v>36717.972186882682</v>
      </c>
      <c r="G64" s="1193">
        <f t="shared" ca="1" si="30"/>
        <v>0</v>
      </c>
      <c r="H64" s="1193">
        <f t="shared" ca="1" si="31"/>
        <v>0</v>
      </c>
      <c r="I64" s="1193">
        <f t="shared" ca="1" si="32"/>
        <v>0</v>
      </c>
      <c r="J64" s="1193">
        <f t="shared" ca="1" si="33"/>
        <v>0</v>
      </c>
      <c r="K64" s="1193">
        <f t="shared" ca="1" si="34"/>
        <v>0</v>
      </c>
      <c r="L64" s="1193">
        <f t="shared" ca="1" si="35"/>
        <v>0</v>
      </c>
      <c r="M64" s="1193">
        <f t="shared" ca="1" si="36"/>
        <v>0</v>
      </c>
      <c r="N64" s="1066">
        <v>0</v>
      </c>
      <c r="O64" s="1188">
        <f ca="1">IF(Rental!Q85&gt;0,Rental!Q85,0)</f>
        <v>0</v>
      </c>
      <c r="P64" s="1189"/>
      <c r="Q64" s="1193">
        <f t="shared" ca="1" si="37"/>
        <v>154105.79244422482</v>
      </c>
      <c r="R64" s="1193">
        <f t="shared" ca="1" si="38"/>
        <v>136497.6194056235</v>
      </c>
      <c r="S64" s="1188">
        <f t="shared" ca="1" si="39"/>
        <v>17608.173038601322</v>
      </c>
      <c r="T64" s="1201">
        <f t="shared" ca="1" si="25"/>
        <v>102</v>
      </c>
      <c r="U64" s="1201">
        <f t="shared" ca="1" si="26"/>
        <v>100</v>
      </c>
      <c r="V64" s="611">
        <f t="shared" ca="1" si="4"/>
        <v>1</v>
      </c>
      <c r="W64" s="611">
        <f t="shared" si="5"/>
        <v>1</v>
      </c>
      <c r="X64" s="611">
        <f t="shared" ca="1" si="6"/>
        <v>1</v>
      </c>
      <c r="Y64" s="611">
        <f t="shared" si="7"/>
        <v>1</v>
      </c>
      <c r="Z64" s="611">
        <f t="shared" ca="1" si="8"/>
        <v>1</v>
      </c>
      <c r="AA64" s="611">
        <f t="shared" si="9"/>
        <v>1</v>
      </c>
      <c r="AB64" s="611">
        <f t="shared" ca="1" si="10"/>
        <v>1</v>
      </c>
      <c r="AC64" s="611">
        <f t="shared" ca="1" si="11"/>
        <v>0</v>
      </c>
      <c r="AD64" s="611">
        <f t="shared" ca="1" si="12"/>
        <v>1</v>
      </c>
      <c r="AE64" s="611">
        <f t="shared" ca="1" si="13"/>
        <v>0</v>
      </c>
      <c r="AF64" s="611">
        <f t="shared" ca="1" si="14"/>
        <v>1</v>
      </c>
      <c r="AG64" s="611">
        <f t="shared" si="15"/>
        <v>1</v>
      </c>
      <c r="AH64" s="611">
        <f t="shared" ca="1" si="16"/>
        <v>1</v>
      </c>
      <c r="AI64" s="611">
        <f t="shared" si="17"/>
        <v>1</v>
      </c>
      <c r="AJ64" s="611">
        <f t="shared" ca="1" si="18"/>
        <v>1</v>
      </c>
      <c r="AK64" s="611">
        <f t="shared" si="19"/>
        <v>1</v>
      </c>
      <c r="AL64" s="611">
        <f t="shared" ca="1" si="20"/>
        <v>1</v>
      </c>
      <c r="AM64" s="611">
        <f t="shared" si="21"/>
        <v>1</v>
      </c>
      <c r="AN64" s="611">
        <f t="shared" ca="1" si="22"/>
        <v>1</v>
      </c>
      <c r="AO64" s="611">
        <f t="shared" si="23"/>
        <v>1</v>
      </c>
    </row>
    <row r="65" spans="1:41" s="612" customFormat="1" ht="18" customHeight="1">
      <c r="A65" s="611" t="str">
        <f ca="1">IF(C65=Retire!$D$12,"==&gt;","")</f>
        <v/>
      </c>
      <c r="C65" s="1194">
        <f t="shared" ref="C65:C127" ca="1" si="40">C64+1</f>
        <v>2071</v>
      </c>
      <c r="D65" s="1195">
        <f t="shared" ca="1" si="27"/>
        <v>62153.686443616833</v>
      </c>
      <c r="E65" s="1195">
        <f t="shared" ca="1" si="28"/>
        <v>56771.914259096469</v>
      </c>
      <c r="F65" s="1195">
        <f t="shared" ca="1" si="29"/>
        <v>37452.331630620334</v>
      </c>
      <c r="G65" s="1195">
        <f t="shared" ca="1" si="30"/>
        <v>0</v>
      </c>
      <c r="H65" s="1195">
        <f t="shared" ca="1" si="31"/>
        <v>0</v>
      </c>
      <c r="I65" s="1195">
        <f t="shared" ca="1" si="32"/>
        <v>0</v>
      </c>
      <c r="J65" s="1195">
        <f t="shared" ca="1" si="33"/>
        <v>0</v>
      </c>
      <c r="K65" s="1195">
        <f t="shared" ca="1" si="34"/>
        <v>0</v>
      </c>
      <c r="L65" s="1195">
        <f t="shared" ca="1" si="35"/>
        <v>0</v>
      </c>
      <c r="M65" s="1195">
        <f t="shared" ca="1" si="36"/>
        <v>0</v>
      </c>
      <c r="N65" s="1066">
        <v>0</v>
      </c>
      <c r="O65" s="1196">
        <f ca="1">IF(Rental!Q86&gt;0,Rental!Q86,0)</f>
        <v>0</v>
      </c>
      <c r="P65" s="1189"/>
      <c r="Q65" s="1195">
        <f t="shared" ref="Q65:Q127" ca="1" si="41">SUM(D65:O65)</f>
        <v>156377.93233333365</v>
      </c>
      <c r="R65" s="1195">
        <f t="shared" ref="R65:R127" ca="1" si="42">SUM((D65*$D$14)+(E65*$E$14)+(F65*$F$14)+(G65*$G$14)+(H65*$H$14)+(I65*$I$14)+(J65*$J$14)+(K65*$K$14)+(L65*$L$14)+(M65*$M$14)+(N65*$N$14)+(O65*$O$14))</f>
        <v>138539.09222792665</v>
      </c>
      <c r="S65" s="1196">
        <f t="shared" ref="S65:S127" ca="1" si="43">Q65-R65</f>
        <v>17838.840105406998</v>
      </c>
      <c r="T65" s="1202">
        <f t="shared" ca="1" si="25"/>
        <v>103</v>
      </c>
      <c r="U65" s="1202">
        <f t="shared" ca="1" si="26"/>
        <v>101</v>
      </c>
      <c r="V65" s="611">
        <f t="shared" ca="1" si="4"/>
        <v>1</v>
      </c>
      <c r="W65" s="611">
        <f t="shared" si="5"/>
        <v>1</v>
      </c>
      <c r="X65" s="611">
        <f t="shared" ca="1" si="6"/>
        <v>1</v>
      </c>
      <c r="Y65" s="611">
        <f t="shared" si="7"/>
        <v>1</v>
      </c>
      <c r="Z65" s="611">
        <f t="shared" ca="1" si="8"/>
        <v>1</v>
      </c>
      <c r="AA65" s="611">
        <f t="shared" si="9"/>
        <v>1</v>
      </c>
      <c r="AB65" s="611">
        <f t="shared" ca="1" si="10"/>
        <v>1</v>
      </c>
      <c r="AC65" s="611">
        <f t="shared" ca="1" si="11"/>
        <v>0</v>
      </c>
      <c r="AD65" s="611">
        <f t="shared" ca="1" si="12"/>
        <v>1</v>
      </c>
      <c r="AE65" s="611">
        <f t="shared" ca="1" si="13"/>
        <v>0</v>
      </c>
      <c r="AF65" s="611">
        <f t="shared" ca="1" si="14"/>
        <v>1</v>
      </c>
      <c r="AG65" s="611">
        <f t="shared" si="15"/>
        <v>1</v>
      </c>
      <c r="AH65" s="611">
        <f t="shared" ca="1" si="16"/>
        <v>1</v>
      </c>
      <c r="AI65" s="611">
        <f t="shared" si="17"/>
        <v>1</v>
      </c>
      <c r="AJ65" s="611">
        <f t="shared" ca="1" si="18"/>
        <v>1</v>
      </c>
      <c r="AK65" s="611">
        <f t="shared" si="19"/>
        <v>1</v>
      </c>
      <c r="AL65" s="611">
        <f t="shared" ca="1" si="20"/>
        <v>1</v>
      </c>
      <c r="AM65" s="611">
        <f t="shared" si="21"/>
        <v>1</v>
      </c>
      <c r="AN65" s="611">
        <f t="shared" ca="1" si="22"/>
        <v>1</v>
      </c>
      <c r="AO65" s="611">
        <f t="shared" si="23"/>
        <v>1</v>
      </c>
    </row>
    <row r="66" spans="1:41" s="612" customFormat="1" ht="18" customHeight="1">
      <c r="A66" s="611" t="str">
        <f ca="1">IF(C66=Retire!$D$12,"==&gt;","")</f>
        <v/>
      </c>
      <c r="C66" s="1192">
        <f t="shared" ca="1" si="40"/>
        <v>2072</v>
      </c>
      <c r="D66" s="1193">
        <f t="shared" ca="1" si="27"/>
        <v>62967.899736028216</v>
      </c>
      <c r="E66" s="1193">
        <f t="shared" ca="1" si="28"/>
        <v>57515.626335890636</v>
      </c>
      <c r="F66" s="1193">
        <f t="shared" ca="1" si="29"/>
        <v>38201.378263232742</v>
      </c>
      <c r="G66" s="1193">
        <f t="shared" ca="1" si="30"/>
        <v>0</v>
      </c>
      <c r="H66" s="1193">
        <f t="shared" ca="1" si="31"/>
        <v>0</v>
      </c>
      <c r="I66" s="1193">
        <f t="shared" ca="1" si="32"/>
        <v>0</v>
      </c>
      <c r="J66" s="1193">
        <f t="shared" ca="1" si="33"/>
        <v>0</v>
      </c>
      <c r="K66" s="1193">
        <f t="shared" ca="1" si="34"/>
        <v>0</v>
      </c>
      <c r="L66" s="1193">
        <f t="shared" ca="1" si="35"/>
        <v>0</v>
      </c>
      <c r="M66" s="1193">
        <f t="shared" ca="1" si="36"/>
        <v>0</v>
      </c>
      <c r="N66" s="1066">
        <v>0</v>
      </c>
      <c r="O66" s="1188">
        <f ca="1">IF(Rental!Q87&gt;0,Rental!Q87,0)</f>
        <v>0</v>
      </c>
      <c r="P66" s="1189"/>
      <c r="Q66" s="1193">
        <f t="shared" ca="1" si="41"/>
        <v>158684.9043351516</v>
      </c>
      <c r="R66" s="1193">
        <f t="shared" ca="1" si="42"/>
        <v>140612.37542436377</v>
      </c>
      <c r="S66" s="1188">
        <f t="shared" ca="1" si="43"/>
        <v>18072.528910787834</v>
      </c>
      <c r="T66" s="1201">
        <f t="shared" ca="1" si="25"/>
        <v>104</v>
      </c>
      <c r="U66" s="1201">
        <f t="shared" ca="1" si="26"/>
        <v>102</v>
      </c>
      <c r="V66" s="611">
        <f t="shared" ca="1" si="4"/>
        <v>1</v>
      </c>
      <c r="W66" s="611">
        <f t="shared" si="5"/>
        <v>1</v>
      </c>
      <c r="X66" s="611">
        <f t="shared" ca="1" si="6"/>
        <v>1</v>
      </c>
      <c r="Y66" s="611">
        <f t="shared" si="7"/>
        <v>1</v>
      </c>
      <c r="Z66" s="611">
        <f t="shared" ca="1" si="8"/>
        <v>1</v>
      </c>
      <c r="AA66" s="611">
        <f t="shared" si="9"/>
        <v>1</v>
      </c>
      <c r="AB66" s="611">
        <f t="shared" ca="1" si="10"/>
        <v>1</v>
      </c>
      <c r="AC66" s="611">
        <f t="shared" ca="1" si="11"/>
        <v>0</v>
      </c>
      <c r="AD66" s="611">
        <f t="shared" ca="1" si="12"/>
        <v>1</v>
      </c>
      <c r="AE66" s="611">
        <f t="shared" ca="1" si="13"/>
        <v>0</v>
      </c>
      <c r="AF66" s="611">
        <f t="shared" ca="1" si="14"/>
        <v>1</v>
      </c>
      <c r="AG66" s="611">
        <f t="shared" si="15"/>
        <v>1</v>
      </c>
      <c r="AH66" s="611">
        <f t="shared" ca="1" si="16"/>
        <v>1</v>
      </c>
      <c r="AI66" s="611">
        <f t="shared" si="17"/>
        <v>1</v>
      </c>
      <c r="AJ66" s="611">
        <f t="shared" ca="1" si="18"/>
        <v>1</v>
      </c>
      <c r="AK66" s="611">
        <f t="shared" si="19"/>
        <v>1</v>
      </c>
      <c r="AL66" s="611">
        <f t="shared" ca="1" si="20"/>
        <v>1</v>
      </c>
      <c r="AM66" s="611">
        <f t="shared" si="21"/>
        <v>1</v>
      </c>
      <c r="AN66" s="611">
        <f t="shared" ca="1" si="22"/>
        <v>1</v>
      </c>
      <c r="AO66" s="611">
        <f t="shared" si="23"/>
        <v>1</v>
      </c>
    </row>
    <row r="67" spans="1:41" s="612" customFormat="1" ht="18" customHeight="1">
      <c r="A67" s="611" t="str">
        <f ca="1">IF(C67=Retire!$D$12,"==&gt;","")</f>
        <v/>
      </c>
      <c r="C67" s="1194">
        <f t="shared" ca="1" si="40"/>
        <v>2073</v>
      </c>
      <c r="D67" s="1195">
        <f t="shared" ca="1" si="27"/>
        <v>63792.779222570185</v>
      </c>
      <c r="E67" s="1195">
        <f t="shared" ca="1" si="28"/>
        <v>58269.0810408908</v>
      </c>
      <c r="F67" s="1195">
        <f t="shared" ca="1" si="29"/>
        <v>38965.405828497394</v>
      </c>
      <c r="G67" s="1195">
        <f t="shared" ca="1" si="30"/>
        <v>0</v>
      </c>
      <c r="H67" s="1195">
        <f t="shared" ca="1" si="31"/>
        <v>0</v>
      </c>
      <c r="I67" s="1195">
        <f t="shared" ca="1" si="32"/>
        <v>0</v>
      </c>
      <c r="J67" s="1195">
        <f t="shared" ca="1" si="33"/>
        <v>0</v>
      </c>
      <c r="K67" s="1195">
        <f t="shared" ca="1" si="34"/>
        <v>0</v>
      </c>
      <c r="L67" s="1195">
        <f t="shared" ca="1" si="35"/>
        <v>0</v>
      </c>
      <c r="M67" s="1195">
        <f t="shared" ca="1" si="36"/>
        <v>0</v>
      </c>
      <c r="N67" s="1066">
        <v>0</v>
      </c>
      <c r="O67" s="1196">
        <f ca="1">IF(Rental!Q88&gt;0,Rental!Q88,0)</f>
        <v>0</v>
      </c>
      <c r="P67" s="1189"/>
      <c r="Q67" s="1195">
        <f t="shared" ca="1" si="41"/>
        <v>161027.26609195839</v>
      </c>
      <c r="R67" s="1195">
        <f t="shared" ca="1" si="42"/>
        <v>142717.98705243925</v>
      </c>
      <c r="S67" s="1196">
        <f t="shared" ca="1" si="43"/>
        <v>18309.27903951914</v>
      </c>
      <c r="T67" s="1202">
        <f t="shared" ca="1" si="25"/>
        <v>105</v>
      </c>
      <c r="U67" s="1202">
        <f t="shared" ca="1" si="26"/>
        <v>103</v>
      </c>
      <c r="V67" s="611">
        <f t="shared" ca="1" si="4"/>
        <v>1</v>
      </c>
      <c r="W67" s="611">
        <f t="shared" si="5"/>
        <v>1</v>
      </c>
      <c r="X67" s="611">
        <f t="shared" ca="1" si="6"/>
        <v>1</v>
      </c>
      <c r="Y67" s="611">
        <f t="shared" si="7"/>
        <v>1</v>
      </c>
      <c r="Z67" s="611">
        <f t="shared" ca="1" si="8"/>
        <v>1</v>
      </c>
      <c r="AA67" s="611">
        <f t="shared" si="9"/>
        <v>1</v>
      </c>
      <c r="AB67" s="611">
        <f t="shared" ca="1" si="10"/>
        <v>1</v>
      </c>
      <c r="AC67" s="611">
        <f t="shared" ca="1" si="11"/>
        <v>0</v>
      </c>
      <c r="AD67" s="611">
        <f t="shared" ca="1" si="12"/>
        <v>1</v>
      </c>
      <c r="AE67" s="611">
        <f t="shared" ca="1" si="13"/>
        <v>0</v>
      </c>
      <c r="AF67" s="611">
        <f t="shared" ca="1" si="14"/>
        <v>1</v>
      </c>
      <c r="AG67" s="611">
        <f t="shared" si="15"/>
        <v>1</v>
      </c>
      <c r="AH67" s="611">
        <f t="shared" ca="1" si="16"/>
        <v>1</v>
      </c>
      <c r="AI67" s="611">
        <f t="shared" si="17"/>
        <v>1</v>
      </c>
      <c r="AJ67" s="611">
        <f t="shared" ca="1" si="18"/>
        <v>1</v>
      </c>
      <c r="AK67" s="611">
        <f t="shared" si="19"/>
        <v>1</v>
      </c>
      <c r="AL67" s="611">
        <f t="shared" ca="1" si="20"/>
        <v>1</v>
      </c>
      <c r="AM67" s="611">
        <f t="shared" si="21"/>
        <v>1</v>
      </c>
      <c r="AN67" s="611">
        <f t="shared" ca="1" si="22"/>
        <v>1</v>
      </c>
      <c r="AO67" s="611">
        <f t="shared" si="23"/>
        <v>1</v>
      </c>
    </row>
    <row r="68" spans="1:41" s="612" customFormat="1" ht="18" customHeight="1">
      <c r="A68" s="611" t="str">
        <f ca="1">IF(C68=Retire!$D$12,"==&gt;","")</f>
        <v/>
      </c>
      <c r="C68" s="1192">
        <f t="shared" ca="1" si="40"/>
        <v>2074</v>
      </c>
      <c r="D68" s="1193">
        <f t="shared" ca="1" si="27"/>
        <v>64628.464630385854</v>
      </c>
      <c r="E68" s="1193">
        <f t="shared" ca="1" si="28"/>
        <v>59032.40600252647</v>
      </c>
      <c r="F68" s="1193">
        <f t="shared" ca="1" si="29"/>
        <v>39744.713945067342</v>
      </c>
      <c r="G68" s="1193">
        <f t="shared" ca="1" si="30"/>
        <v>0</v>
      </c>
      <c r="H68" s="1193">
        <f t="shared" ca="1" si="31"/>
        <v>0</v>
      </c>
      <c r="I68" s="1193">
        <f t="shared" ca="1" si="32"/>
        <v>0</v>
      </c>
      <c r="J68" s="1193">
        <f t="shared" ca="1" si="33"/>
        <v>0</v>
      </c>
      <c r="K68" s="1193">
        <f t="shared" ca="1" si="34"/>
        <v>0</v>
      </c>
      <c r="L68" s="1193">
        <f t="shared" ca="1" si="35"/>
        <v>0</v>
      </c>
      <c r="M68" s="1193">
        <f t="shared" ca="1" si="36"/>
        <v>0</v>
      </c>
      <c r="N68" s="1066">
        <v>0</v>
      </c>
      <c r="O68" s="1188">
        <f ca="1">IF(Rental!Q89&gt;0,Rental!Q89,0)</f>
        <v>0</v>
      </c>
      <c r="P68" s="1189"/>
      <c r="Q68" s="1193">
        <f t="shared" ca="1" si="41"/>
        <v>163405.58457797967</v>
      </c>
      <c r="R68" s="1193">
        <f t="shared" ca="1" si="42"/>
        <v>144856.4539830428</v>
      </c>
      <c r="S68" s="1188">
        <f t="shared" ca="1" si="43"/>
        <v>18549.130594936869</v>
      </c>
      <c r="T68" s="1201">
        <f t="shared" ca="1" si="25"/>
        <v>106</v>
      </c>
      <c r="U68" s="1201">
        <f t="shared" ca="1" si="26"/>
        <v>104</v>
      </c>
      <c r="V68" s="611">
        <f t="shared" ca="1" si="4"/>
        <v>1</v>
      </c>
      <c r="W68" s="611">
        <f t="shared" si="5"/>
        <v>1</v>
      </c>
      <c r="X68" s="611">
        <f t="shared" ca="1" si="6"/>
        <v>1</v>
      </c>
      <c r="Y68" s="611">
        <f t="shared" si="7"/>
        <v>1</v>
      </c>
      <c r="Z68" s="611">
        <f t="shared" ca="1" si="8"/>
        <v>1</v>
      </c>
      <c r="AA68" s="611">
        <f t="shared" si="9"/>
        <v>1</v>
      </c>
      <c r="AB68" s="611">
        <f t="shared" ca="1" si="10"/>
        <v>1</v>
      </c>
      <c r="AC68" s="611">
        <f t="shared" ca="1" si="11"/>
        <v>0</v>
      </c>
      <c r="AD68" s="611">
        <f t="shared" ca="1" si="12"/>
        <v>1</v>
      </c>
      <c r="AE68" s="611">
        <f t="shared" ca="1" si="13"/>
        <v>0</v>
      </c>
      <c r="AF68" s="611">
        <f t="shared" ca="1" si="14"/>
        <v>1</v>
      </c>
      <c r="AG68" s="611">
        <f t="shared" si="15"/>
        <v>1</v>
      </c>
      <c r="AH68" s="611">
        <f t="shared" ca="1" si="16"/>
        <v>1</v>
      </c>
      <c r="AI68" s="611">
        <f t="shared" si="17"/>
        <v>1</v>
      </c>
      <c r="AJ68" s="611">
        <f t="shared" ca="1" si="18"/>
        <v>1</v>
      </c>
      <c r="AK68" s="611">
        <f t="shared" si="19"/>
        <v>1</v>
      </c>
      <c r="AL68" s="611">
        <f t="shared" ca="1" si="20"/>
        <v>1</v>
      </c>
      <c r="AM68" s="611">
        <f t="shared" si="21"/>
        <v>1</v>
      </c>
      <c r="AN68" s="611">
        <f t="shared" ca="1" si="22"/>
        <v>1</v>
      </c>
      <c r="AO68" s="611">
        <f t="shared" si="23"/>
        <v>1</v>
      </c>
    </row>
    <row r="69" spans="1:41" s="612" customFormat="1" ht="18" customHeight="1">
      <c r="A69" s="611" t="str">
        <f ca="1">IF(C69=Retire!$D$12,"==&gt;","")</f>
        <v/>
      </c>
      <c r="C69" s="1194">
        <f t="shared" ca="1" si="40"/>
        <v>2075</v>
      </c>
      <c r="D69" s="1195">
        <f t="shared" ca="1" si="27"/>
        <v>65475.097517043905</v>
      </c>
      <c r="E69" s="1195">
        <f t="shared" ca="1" si="28"/>
        <v>59805.730521159567</v>
      </c>
      <c r="F69" s="1195">
        <f t="shared" ca="1" si="29"/>
        <v>40539.608223968688</v>
      </c>
      <c r="G69" s="1195">
        <f t="shared" ca="1" si="30"/>
        <v>0</v>
      </c>
      <c r="H69" s="1195">
        <f t="shared" ca="1" si="31"/>
        <v>0</v>
      </c>
      <c r="I69" s="1195">
        <f t="shared" ca="1" si="32"/>
        <v>0</v>
      </c>
      <c r="J69" s="1195">
        <f t="shared" ca="1" si="33"/>
        <v>0</v>
      </c>
      <c r="K69" s="1195">
        <f t="shared" ca="1" si="34"/>
        <v>0</v>
      </c>
      <c r="L69" s="1195">
        <f t="shared" ca="1" si="35"/>
        <v>0</v>
      </c>
      <c r="M69" s="1195">
        <f t="shared" ca="1" si="36"/>
        <v>0</v>
      </c>
      <c r="N69" s="1066">
        <v>0</v>
      </c>
      <c r="O69" s="1196">
        <f ca="1">IF(Rental!Q90&gt;0,Rental!Q90,0)</f>
        <v>0</v>
      </c>
      <c r="P69" s="1189"/>
      <c r="Q69" s="1195">
        <f t="shared" ca="1" si="41"/>
        <v>165820.43626217215</v>
      </c>
      <c r="R69" s="1195">
        <f t="shared" ca="1" si="42"/>
        <v>147028.31205644165</v>
      </c>
      <c r="S69" s="1196">
        <f t="shared" ca="1" si="43"/>
        <v>18792.124205730506</v>
      </c>
      <c r="T69" s="1202">
        <f t="shared" ca="1" si="25"/>
        <v>107</v>
      </c>
      <c r="U69" s="1202">
        <f t="shared" ca="1" si="26"/>
        <v>105</v>
      </c>
      <c r="V69" s="611">
        <f t="shared" ca="1" si="4"/>
        <v>1</v>
      </c>
      <c r="W69" s="611">
        <f t="shared" si="5"/>
        <v>1</v>
      </c>
      <c r="X69" s="611">
        <f t="shared" ca="1" si="6"/>
        <v>1</v>
      </c>
      <c r="Y69" s="611">
        <f t="shared" si="7"/>
        <v>1</v>
      </c>
      <c r="Z69" s="611">
        <f t="shared" ca="1" si="8"/>
        <v>1</v>
      </c>
      <c r="AA69" s="611">
        <f t="shared" si="9"/>
        <v>1</v>
      </c>
      <c r="AB69" s="611">
        <f t="shared" ca="1" si="10"/>
        <v>1</v>
      </c>
      <c r="AC69" s="611">
        <f t="shared" ca="1" si="11"/>
        <v>0</v>
      </c>
      <c r="AD69" s="611">
        <f t="shared" ca="1" si="12"/>
        <v>1</v>
      </c>
      <c r="AE69" s="611">
        <f t="shared" ca="1" si="13"/>
        <v>0</v>
      </c>
      <c r="AF69" s="611">
        <f t="shared" ca="1" si="14"/>
        <v>1</v>
      </c>
      <c r="AG69" s="611">
        <f t="shared" si="15"/>
        <v>1</v>
      </c>
      <c r="AH69" s="611">
        <f t="shared" ca="1" si="16"/>
        <v>1</v>
      </c>
      <c r="AI69" s="611">
        <f t="shared" si="17"/>
        <v>1</v>
      </c>
      <c r="AJ69" s="611">
        <f t="shared" ca="1" si="18"/>
        <v>1</v>
      </c>
      <c r="AK69" s="611">
        <f t="shared" si="19"/>
        <v>1</v>
      </c>
      <c r="AL69" s="611">
        <f t="shared" ca="1" si="20"/>
        <v>1</v>
      </c>
      <c r="AM69" s="611">
        <f t="shared" si="21"/>
        <v>1</v>
      </c>
      <c r="AN69" s="611">
        <f t="shared" ca="1" si="22"/>
        <v>1</v>
      </c>
      <c r="AO69" s="611">
        <f t="shared" si="23"/>
        <v>1</v>
      </c>
    </row>
    <row r="70" spans="1:41" s="612" customFormat="1" ht="18" customHeight="1">
      <c r="A70" s="611" t="str">
        <f ca="1">IF(C70=Retire!$D$12,"==&gt;","")</f>
        <v/>
      </c>
      <c r="C70" s="1192">
        <f t="shared" ca="1" si="40"/>
        <v>2076</v>
      </c>
      <c r="D70" s="1193">
        <f t="shared" ca="1" si="27"/>
        <v>66332.821294517184</v>
      </c>
      <c r="E70" s="1193">
        <f t="shared" ca="1" si="28"/>
        <v>60589.185590986759</v>
      </c>
      <c r="F70" s="1193">
        <f t="shared" ca="1" si="29"/>
        <v>41350.400388448063</v>
      </c>
      <c r="G70" s="1193">
        <f t="shared" ca="1" si="30"/>
        <v>0</v>
      </c>
      <c r="H70" s="1193">
        <f t="shared" ca="1" si="31"/>
        <v>0</v>
      </c>
      <c r="I70" s="1193">
        <f t="shared" ca="1" si="32"/>
        <v>0</v>
      </c>
      <c r="J70" s="1193">
        <f t="shared" ca="1" si="33"/>
        <v>0</v>
      </c>
      <c r="K70" s="1193">
        <f t="shared" ca="1" si="34"/>
        <v>0</v>
      </c>
      <c r="L70" s="1193">
        <f t="shared" ca="1" si="35"/>
        <v>0</v>
      </c>
      <c r="M70" s="1193">
        <f t="shared" ca="1" si="36"/>
        <v>0</v>
      </c>
      <c r="N70" s="1066">
        <v>0</v>
      </c>
      <c r="O70" s="1188">
        <f ca="1">IF(Rental!Q91&gt;0,Rental!Q91,0)</f>
        <v>0</v>
      </c>
      <c r="P70" s="1189"/>
      <c r="Q70" s="1193">
        <f t="shared" ca="1" si="41"/>
        <v>168272.40727395201</v>
      </c>
      <c r="R70" s="1193">
        <f t="shared" ca="1" si="42"/>
        <v>149234.10624112643</v>
      </c>
      <c r="S70" s="1188">
        <f t="shared" ca="1" si="43"/>
        <v>19038.301032825577</v>
      </c>
      <c r="T70" s="1201">
        <f t="shared" ca="1" si="25"/>
        <v>108</v>
      </c>
      <c r="U70" s="1201">
        <f t="shared" ca="1" si="26"/>
        <v>106</v>
      </c>
      <c r="V70" s="611">
        <f t="shared" ca="1" si="4"/>
        <v>1</v>
      </c>
      <c r="W70" s="611">
        <f t="shared" si="5"/>
        <v>1</v>
      </c>
      <c r="X70" s="611">
        <f t="shared" ca="1" si="6"/>
        <v>1</v>
      </c>
      <c r="Y70" s="611">
        <f t="shared" si="7"/>
        <v>1</v>
      </c>
      <c r="Z70" s="611">
        <f t="shared" ca="1" si="8"/>
        <v>1</v>
      </c>
      <c r="AA70" s="611">
        <f t="shared" si="9"/>
        <v>1</v>
      </c>
      <c r="AB70" s="611">
        <f t="shared" ca="1" si="10"/>
        <v>1</v>
      </c>
      <c r="AC70" s="611">
        <f t="shared" ca="1" si="11"/>
        <v>0</v>
      </c>
      <c r="AD70" s="611">
        <f t="shared" ca="1" si="12"/>
        <v>1</v>
      </c>
      <c r="AE70" s="611">
        <f t="shared" ca="1" si="13"/>
        <v>0</v>
      </c>
      <c r="AF70" s="611">
        <f t="shared" ca="1" si="14"/>
        <v>1</v>
      </c>
      <c r="AG70" s="611">
        <f t="shared" si="15"/>
        <v>1</v>
      </c>
      <c r="AH70" s="611">
        <f t="shared" ca="1" si="16"/>
        <v>1</v>
      </c>
      <c r="AI70" s="611">
        <f t="shared" si="17"/>
        <v>1</v>
      </c>
      <c r="AJ70" s="611">
        <f t="shared" ca="1" si="18"/>
        <v>1</v>
      </c>
      <c r="AK70" s="611">
        <f t="shared" si="19"/>
        <v>1</v>
      </c>
      <c r="AL70" s="611">
        <f t="shared" ca="1" si="20"/>
        <v>1</v>
      </c>
      <c r="AM70" s="611">
        <f t="shared" si="21"/>
        <v>1</v>
      </c>
      <c r="AN70" s="611">
        <f t="shared" ca="1" si="22"/>
        <v>1</v>
      </c>
      <c r="AO70" s="611">
        <f t="shared" si="23"/>
        <v>1</v>
      </c>
    </row>
    <row r="71" spans="1:41" s="612" customFormat="1" ht="18" customHeight="1">
      <c r="A71" s="611" t="str">
        <f ca="1">IF(C71=Retire!$D$12,"==&gt;","")</f>
        <v/>
      </c>
      <c r="C71" s="1194">
        <f t="shared" ca="1" si="40"/>
        <v>2077</v>
      </c>
      <c r="D71" s="1195">
        <f t="shared" ca="1" si="27"/>
        <v>67201.781253475361</v>
      </c>
      <c r="E71" s="1195">
        <f t="shared" ca="1" si="28"/>
        <v>61382.903922228688</v>
      </c>
      <c r="F71" s="1195">
        <f t="shared" ca="1" si="29"/>
        <v>42177.408396217026</v>
      </c>
      <c r="G71" s="1195">
        <f t="shared" ca="1" si="30"/>
        <v>0</v>
      </c>
      <c r="H71" s="1195">
        <f t="shared" ca="1" si="31"/>
        <v>0</v>
      </c>
      <c r="I71" s="1195">
        <f t="shared" ca="1" si="32"/>
        <v>0</v>
      </c>
      <c r="J71" s="1195">
        <f t="shared" ca="1" si="33"/>
        <v>0</v>
      </c>
      <c r="K71" s="1195">
        <f t="shared" ca="1" si="34"/>
        <v>0</v>
      </c>
      <c r="L71" s="1195">
        <f t="shared" ca="1" si="35"/>
        <v>0</v>
      </c>
      <c r="M71" s="1195">
        <f t="shared" ca="1" si="36"/>
        <v>0</v>
      </c>
      <c r="N71" s="1066">
        <v>0</v>
      </c>
      <c r="O71" s="1196">
        <f ca="1">IF(Rental!Q92&gt;0,Rental!Q92,0)</f>
        <v>0</v>
      </c>
      <c r="P71" s="1189"/>
      <c r="Q71" s="1195">
        <f t="shared" ca="1" si="41"/>
        <v>170762.09357192105</v>
      </c>
      <c r="R71" s="1195">
        <f t="shared" ca="1" si="42"/>
        <v>151474.39079556544</v>
      </c>
      <c r="S71" s="1196">
        <f t="shared" ca="1" si="43"/>
        <v>19287.702776355611</v>
      </c>
      <c r="T71" s="1202">
        <f t="shared" ca="1" si="25"/>
        <v>109</v>
      </c>
      <c r="U71" s="1202">
        <f t="shared" ca="1" si="26"/>
        <v>107</v>
      </c>
      <c r="V71" s="611">
        <f t="shared" ca="1" si="4"/>
        <v>1</v>
      </c>
      <c r="W71" s="611">
        <f t="shared" si="5"/>
        <v>1</v>
      </c>
      <c r="X71" s="611">
        <f t="shared" ca="1" si="6"/>
        <v>1</v>
      </c>
      <c r="Y71" s="611">
        <f t="shared" si="7"/>
        <v>1</v>
      </c>
      <c r="Z71" s="611">
        <f t="shared" ca="1" si="8"/>
        <v>1</v>
      </c>
      <c r="AA71" s="611">
        <f t="shared" si="9"/>
        <v>1</v>
      </c>
      <c r="AB71" s="611">
        <f t="shared" ca="1" si="10"/>
        <v>1</v>
      </c>
      <c r="AC71" s="611">
        <f t="shared" ca="1" si="11"/>
        <v>0</v>
      </c>
      <c r="AD71" s="611">
        <f t="shared" ca="1" si="12"/>
        <v>1</v>
      </c>
      <c r="AE71" s="611">
        <f t="shared" ca="1" si="13"/>
        <v>0</v>
      </c>
      <c r="AF71" s="611">
        <f t="shared" ca="1" si="14"/>
        <v>1</v>
      </c>
      <c r="AG71" s="611">
        <f t="shared" si="15"/>
        <v>1</v>
      </c>
      <c r="AH71" s="611">
        <f t="shared" ca="1" si="16"/>
        <v>1</v>
      </c>
      <c r="AI71" s="611">
        <f t="shared" si="17"/>
        <v>1</v>
      </c>
      <c r="AJ71" s="611">
        <f t="shared" ca="1" si="18"/>
        <v>1</v>
      </c>
      <c r="AK71" s="611">
        <f t="shared" si="19"/>
        <v>1</v>
      </c>
      <c r="AL71" s="611">
        <f t="shared" ca="1" si="20"/>
        <v>1</v>
      </c>
      <c r="AM71" s="611">
        <f t="shared" si="21"/>
        <v>1</v>
      </c>
      <c r="AN71" s="611">
        <f t="shared" ca="1" si="22"/>
        <v>1</v>
      </c>
      <c r="AO71" s="611">
        <f t="shared" si="23"/>
        <v>1</v>
      </c>
    </row>
    <row r="72" spans="1:41" s="612" customFormat="1" ht="18" customHeight="1">
      <c r="A72" s="611" t="str">
        <f ca="1">IF(C72=Retire!$D$12,"==&gt;","")</f>
        <v/>
      </c>
      <c r="C72" s="1192">
        <f t="shared" ca="1" si="40"/>
        <v>2078</v>
      </c>
      <c r="D72" s="1193">
        <f t="shared" ca="1" si="27"/>
        <v>68082.124587895887</v>
      </c>
      <c r="E72" s="1193">
        <f t="shared" ca="1" si="28"/>
        <v>62187.019963609884</v>
      </c>
      <c r="F72" s="1193">
        <f t="shared" ca="1" si="29"/>
        <v>43020.956564141365</v>
      </c>
      <c r="G72" s="1193">
        <f t="shared" ca="1" si="30"/>
        <v>0</v>
      </c>
      <c r="H72" s="1193">
        <f t="shared" ca="1" si="31"/>
        <v>0</v>
      </c>
      <c r="I72" s="1193">
        <f t="shared" ca="1" si="32"/>
        <v>0</v>
      </c>
      <c r="J72" s="1193">
        <f t="shared" ca="1" si="33"/>
        <v>0</v>
      </c>
      <c r="K72" s="1193">
        <f t="shared" ca="1" si="34"/>
        <v>0</v>
      </c>
      <c r="L72" s="1193">
        <f t="shared" ca="1" si="35"/>
        <v>0</v>
      </c>
      <c r="M72" s="1193">
        <f t="shared" ca="1" si="36"/>
        <v>0</v>
      </c>
      <c r="N72" s="1066">
        <v>0</v>
      </c>
      <c r="O72" s="1188">
        <f ca="1">IF(Rental!Q93&gt;0,Rental!Q93,0)</f>
        <v>0</v>
      </c>
      <c r="P72" s="1189"/>
      <c r="Q72" s="1193">
        <f t="shared" ca="1" si="41"/>
        <v>173290.10111564712</v>
      </c>
      <c r="R72" s="1193">
        <f t="shared" ca="1" si="42"/>
        <v>153749.72943292127</v>
      </c>
      <c r="S72" s="1188">
        <f t="shared" ca="1" si="43"/>
        <v>19540.371682725847</v>
      </c>
      <c r="T72" s="1201">
        <f t="shared" ca="1" si="25"/>
        <v>110</v>
      </c>
      <c r="U72" s="1201">
        <f t="shared" ca="1" si="26"/>
        <v>108</v>
      </c>
      <c r="V72" s="611">
        <f t="shared" ca="1" si="4"/>
        <v>1</v>
      </c>
      <c r="W72" s="611">
        <f t="shared" si="5"/>
        <v>1</v>
      </c>
      <c r="X72" s="611">
        <f t="shared" ca="1" si="6"/>
        <v>1</v>
      </c>
      <c r="Y72" s="611">
        <f t="shared" si="7"/>
        <v>1</v>
      </c>
      <c r="Z72" s="611">
        <f t="shared" ca="1" si="8"/>
        <v>1</v>
      </c>
      <c r="AA72" s="611">
        <f t="shared" si="9"/>
        <v>1</v>
      </c>
      <c r="AB72" s="611">
        <f t="shared" ca="1" si="10"/>
        <v>1</v>
      </c>
      <c r="AC72" s="611">
        <f t="shared" ca="1" si="11"/>
        <v>0</v>
      </c>
      <c r="AD72" s="611">
        <f t="shared" ca="1" si="12"/>
        <v>1</v>
      </c>
      <c r="AE72" s="611">
        <f t="shared" ca="1" si="13"/>
        <v>0</v>
      </c>
      <c r="AF72" s="611">
        <f t="shared" ca="1" si="14"/>
        <v>1</v>
      </c>
      <c r="AG72" s="611">
        <f t="shared" si="15"/>
        <v>1</v>
      </c>
      <c r="AH72" s="611">
        <f t="shared" ca="1" si="16"/>
        <v>1</v>
      </c>
      <c r="AI72" s="611">
        <f t="shared" si="17"/>
        <v>1</v>
      </c>
      <c r="AJ72" s="611">
        <f t="shared" ca="1" si="18"/>
        <v>1</v>
      </c>
      <c r="AK72" s="611">
        <f t="shared" si="19"/>
        <v>1</v>
      </c>
      <c r="AL72" s="611">
        <f t="shared" ca="1" si="20"/>
        <v>1</v>
      </c>
      <c r="AM72" s="611">
        <f t="shared" si="21"/>
        <v>1</v>
      </c>
      <c r="AN72" s="611">
        <f t="shared" ca="1" si="22"/>
        <v>1</v>
      </c>
      <c r="AO72" s="611">
        <f t="shared" si="23"/>
        <v>1</v>
      </c>
    </row>
    <row r="73" spans="1:41" s="612" customFormat="1" ht="18" customHeight="1">
      <c r="A73" s="611" t="str">
        <f ca="1">IF(C73=Retire!$D$12,"==&gt;","")</f>
        <v/>
      </c>
      <c r="C73" s="1194">
        <f t="shared" ca="1" si="40"/>
        <v>2079</v>
      </c>
      <c r="D73" s="1195">
        <f t="shared" ca="1" si="27"/>
        <v>68974.000419997319</v>
      </c>
      <c r="E73" s="1195">
        <f t="shared" ca="1" si="28"/>
        <v>63001.669925133174</v>
      </c>
      <c r="F73" s="1195">
        <f t="shared" ca="1" si="29"/>
        <v>43881.375695424191</v>
      </c>
      <c r="G73" s="1195">
        <f t="shared" ca="1" si="30"/>
        <v>0</v>
      </c>
      <c r="H73" s="1195">
        <f t="shared" ca="1" si="31"/>
        <v>0</v>
      </c>
      <c r="I73" s="1195">
        <f t="shared" ca="1" si="32"/>
        <v>0</v>
      </c>
      <c r="J73" s="1195">
        <f t="shared" ca="1" si="33"/>
        <v>0</v>
      </c>
      <c r="K73" s="1195">
        <f t="shared" ca="1" si="34"/>
        <v>0</v>
      </c>
      <c r="L73" s="1195">
        <f t="shared" ca="1" si="35"/>
        <v>0</v>
      </c>
      <c r="M73" s="1195">
        <f t="shared" ca="1" si="36"/>
        <v>0</v>
      </c>
      <c r="N73" s="1066">
        <v>0</v>
      </c>
      <c r="O73" s="1196">
        <f ca="1">IF(Rental!Q94&gt;0,Rental!Q94,0)</f>
        <v>0</v>
      </c>
      <c r="P73" s="1189"/>
      <c r="Q73" s="1195">
        <f t="shared" ca="1" si="41"/>
        <v>175857.04604055468</v>
      </c>
      <c r="R73" s="1195">
        <f t="shared" ca="1" si="42"/>
        <v>156060.6954887851</v>
      </c>
      <c r="S73" s="1196">
        <f t="shared" ca="1" si="43"/>
        <v>19796.350551769574</v>
      </c>
      <c r="T73" s="1202">
        <f t="shared" ca="1" si="25"/>
        <v>111</v>
      </c>
      <c r="U73" s="1202">
        <f t="shared" ca="1" si="26"/>
        <v>109</v>
      </c>
      <c r="V73" s="611">
        <f t="shared" ca="1" si="4"/>
        <v>1</v>
      </c>
      <c r="W73" s="611">
        <f t="shared" si="5"/>
        <v>1</v>
      </c>
      <c r="X73" s="611">
        <f t="shared" ca="1" si="6"/>
        <v>1</v>
      </c>
      <c r="Y73" s="611">
        <f t="shared" si="7"/>
        <v>1</v>
      </c>
      <c r="Z73" s="611">
        <f t="shared" ca="1" si="8"/>
        <v>1</v>
      </c>
      <c r="AA73" s="611">
        <f t="shared" si="9"/>
        <v>1</v>
      </c>
      <c r="AB73" s="611">
        <f t="shared" ca="1" si="10"/>
        <v>1</v>
      </c>
      <c r="AC73" s="611">
        <f t="shared" ca="1" si="11"/>
        <v>0</v>
      </c>
      <c r="AD73" s="611">
        <f t="shared" ca="1" si="12"/>
        <v>1</v>
      </c>
      <c r="AE73" s="611">
        <f t="shared" ca="1" si="13"/>
        <v>0</v>
      </c>
      <c r="AF73" s="611">
        <f t="shared" ca="1" si="14"/>
        <v>1</v>
      </c>
      <c r="AG73" s="611">
        <f t="shared" si="15"/>
        <v>1</v>
      </c>
      <c r="AH73" s="611">
        <f t="shared" ca="1" si="16"/>
        <v>1</v>
      </c>
      <c r="AI73" s="611">
        <f t="shared" si="17"/>
        <v>1</v>
      </c>
      <c r="AJ73" s="611">
        <f t="shared" ca="1" si="18"/>
        <v>1</v>
      </c>
      <c r="AK73" s="611">
        <f t="shared" si="19"/>
        <v>1</v>
      </c>
      <c r="AL73" s="611">
        <f t="shared" ca="1" si="20"/>
        <v>1</v>
      </c>
      <c r="AM73" s="611">
        <f t="shared" si="21"/>
        <v>1</v>
      </c>
      <c r="AN73" s="611">
        <f t="shared" ca="1" si="22"/>
        <v>1</v>
      </c>
      <c r="AO73" s="611">
        <f t="shared" si="23"/>
        <v>1</v>
      </c>
    </row>
    <row r="74" spans="1:41" s="612" customFormat="1" ht="18" customHeight="1">
      <c r="A74" s="611" t="str">
        <f ca="1">IF(C74=Retire!$D$12,"==&gt;","")</f>
        <v/>
      </c>
      <c r="C74" s="1192">
        <f t="shared" ca="1" si="40"/>
        <v>2080</v>
      </c>
      <c r="D74" s="1193">
        <f t="shared" ca="1" si="27"/>
        <v>69877.55982549928</v>
      </c>
      <c r="E74" s="1193">
        <f t="shared" ca="1" si="28"/>
        <v>63826.991801152421</v>
      </c>
      <c r="F74" s="1193">
        <f t="shared" ca="1" si="29"/>
        <v>44759.003209332674</v>
      </c>
      <c r="G74" s="1193">
        <f t="shared" ca="1" si="30"/>
        <v>0</v>
      </c>
      <c r="H74" s="1193">
        <f t="shared" ca="1" si="31"/>
        <v>0</v>
      </c>
      <c r="I74" s="1193">
        <f t="shared" ca="1" si="32"/>
        <v>0</v>
      </c>
      <c r="J74" s="1193">
        <f t="shared" ca="1" si="33"/>
        <v>0</v>
      </c>
      <c r="K74" s="1193">
        <f t="shared" ca="1" si="34"/>
        <v>0</v>
      </c>
      <c r="L74" s="1193">
        <f t="shared" ca="1" si="35"/>
        <v>0</v>
      </c>
      <c r="M74" s="1193">
        <f t="shared" ca="1" si="36"/>
        <v>0</v>
      </c>
      <c r="N74" s="1066">
        <v>0</v>
      </c>
      <c r="O74" s="1188">
        <f ca="1">IF(Rental!Q95&gt;0,Rental!Q95,0)</f>
        <v>0</v>
      </c>
      <c r="P74" s="1189"/>
      <c r="Q74" s="1193">
        <f t="shared" ca="1" si="41"/>
        <v>178463.55483598437</v>
      </c>
      <c r="R74" s="1193">
        <f t="shared" ca="1" si="42"/>
        <v>158407.87209198662</v>
      </c>
      <c r="S74" s="1188">
        <f t="shared" ca="1" si="43"/>
        <v>20055.68274399775</v>
      </c>
      <c r="T74" s="1201">
        <f t="shared" ca="1" si="25"/>
        <v>112</v>
      </c>
      <c r="U74" s="1201">
        <f t="shared" ca="1" si="26"/>
        <v>110</v>
      </c>
      <c r="V74" s="611">
        <f t="shared" ca="1" si="4"/>
        <v>1</v>
      </c>
      <c r="W74" s="611">
        <f t="shared" si="5"/>
        <v>1</v>
      </c>
      <c r="X74" s="611">
        <f t="shared" ca="1" si="6"/>
        <v>1</v>
      </c>
      <c r="Y74" s="611">
        <f t="shared" si="7"/>
        <v>1</v>
      </c>
      <c r="Z74" s="611">
        <f t="shared" ca="1" si="8"/>
        <v>1</v>
      </c>
      <c r="AA74" s="611">
        <f t="shared" si="9"/>
        <v>1</v>
      </c>
      <c r="AB74" s="611">
        <f t="shared" ca="1" si="10"/>
        <v>1</v>
      </c>
      <c r="AC74" s="611">
        <f t="shared" ca="1" si="11"/>
        <v>0</v>
      </c>
      <c r="AD74" s="611">
        <f t="shared" ca="1" si="12"/>
        <v>1</v>
      </c>
      <c r="AE74" s="611">
        <f t="shared" ca="1" si="13"/>
        <v>0</v>
      </c>
      <c r="AF74" s="611">
        <f t="shared" ca="1" si="14"/>
        <v>1</v>
      </c>
      <c r="AG74" s="611">
        <f t="shared" si="15"/>
        <v>1</v>
      </c>
      <c r="AH74" s="611">
        <f t="shared" ca="1" si="16"/>
        <v>1</v>
      </c>
      <c r="AI74" s="611">
        <f t="shared" si="17"/>
        <v>1</v>
      </c>
      <c r="AJ74" s="611">
        <f t="shared" ca="1" si="18"/>
        <v>1</v>
      </c>
      <c r="AK74" s="611">
        <f t="shared" si="19"/>
        <v>1</v>
      </c>
      <c r="AL74" s="611">
        <f t="shared" ca="1" si="20"/>
        <v>1</v>
      </c>
      <c r="AM74" s="611">
        <f t="shared" si="21"/>
        <v>1</v>
      </c>
      <c r="AN74" s="611">
        <f t="shared" ca="1" si="22"/>
        <v>1</v>
      </c>
      <c r="AO74" s="611">
        <f t="shared" si="23"/>
        <v>1</v>
      </c>
    </row>
    <row r="75" spans="1:41" s="612" customFormat="1" ht="18" customHeight="1">
      <c r="A75" s="611" t="str">
        <f ca="1">IF(C75=Retire!$D$12,"==&gt;","")</f>
        <v/>
      </c>
      <c r="C75" s="1194">
        <f t="shared" ca="1" si="40"/>
        <v>2081</v>
      </c>
      <c r="D75" s="1195">
        <f t="shared" ca="1" si="27"/>
        <v>70792.955859213325</v>
      </c>
      <c r="E75" s="1195">
        <f t="shared" ca="1" si="28"/>
        <v>64663.125393747519</v>
      </c>
      <c r="F75" s="1195">
        <f t="shared" ca="1" si="29"/>
        <v>45654.183273519324</v>
      </c>
      <c r="G75" s="1195">
        <f t="shared" ca="1" si="30"/>
        <v>0</v>
      </c>
      <c r="H75" s="1195">
        <f t="shared" ca="1" si="31"/>
        <v>0</v>
      </c>
      <c r="I75" s="1195">
        <f t="shared" ca="1" si="32"/>
        <v>0</v>
      </c>
      <c r="J75" s="1195">
        <f t="shared" ca="1" si="33"/>
        <v>0</v>
      </c>
      <c r="K75" s="1195">
        <f t="shared" ca="1" si="34"/>
        <v>0</v>
      </c>
      <c r="L75" s="1195">
        <f t="shared" ca="1" si="35"/>
        <v>0</v>
      </c>
      <c r="M75" s="1195">
        <f t="shared" ca="1" si="36"/>
        <v>0</v>
      </c>
      <c r="N75" s="1066">
        <v>0</v>
      </c>
      <c r="O75" s="1196">
        <f ca="1">IF(Rental!Q96&gt;0,Rental!Q96,0)</f>
        <v>0</v>
      </c>
      <c r="P75" s="1189"/>
      <c r="Q75" s="1195">
        <f t="shared" ca="1" si="41"/>
        <v>181110.26452648017</v>
      </c>
      <c r="R75" s="1195">
        <f t="shared" ca="1" si="42"/>
        <v>160791.85233853603</v>
      </c>
      <c r="S75" s="1196">
        <f t="shared" ca="1" si="43"/>
        <v>20318.412187944137</v>
      </c>
      <c r="T75" s="1202">
        <f t="shared" ca="1" si="25"/>
        <v>113</v>
      </c>
      <c r="U75" s="1202">
        <f t="shared" ca="1" si="26"/>
        <v>111</v>
      </c>
      <c r="V75" s="611">
        <f t="shared" ca="1" si="4"/>
        <v>1</v>
      </c>
      <c r="W75" s="611">
        <f t="shared" si="5"/>
        <v>1</v>
      </c>
      <c r="X75" s="611">
        <f t="shared" ca="1" si="6"/>
        <v>1</v>
      </c>
      <c r="Y75" s="611">
        <f t="shared" si="7"/>
        <v>1</v>
      </c>
      <c r="Z75" s="611">
        <f t="shared" ca="1" si="8"/>
        <v>1</v>
      </c>
      <c r="AA75" s="611">
        <f t="shared" si="9"/>
        <v>1</v>
      </c>
      <c r="AB75" s="611">
        <f t="shared" ca="1" si="10"/>
        <v>1</v>
      </c>
      <c r="AC75" s="611">
        <f t="shared" ca="1" si="11"/>
        <v>0</v>
      </c>
      <c r="AD75" s="611">
        <f t="shared" ca="1" si="12"/>
        <v>1</v>
      </c>
      <c r="AE75" s="611">
        <f t="shared" ca="1" si="13"/>
        <v>0</v>
      </c>
      <c r="AF75" s="611">
        <f t="shared" ca="1" si="14"/>
        <v>1</v>
      </c>
      <c r="AG75" s="611">
        <f t="shared" si="15"/>
        <v>1</v>
      </c>
      <c r="AH75" s="611">
        <f t="shared" ca="1" si="16"/>
        <v>1</v>
      </c>
      <c r="AI75" s="611">
        <f t="shared" si="17"/>
        <v>1</v>
      </c>
      <c r="AJ75" s="611">
        <f t="shared" ca="1" si="18"/>
        <v>1</v>
      </c>
      <c r="AK75" s="611">
        <f t="shared" si="19"/>
        <v>1</v>
      </c>
      <c r="AL75" s="611">
        <f t="shared" ca="1" si="20"/>
        <v>1</v>
      </c>
      <c r="AM75" s="611">
        <f t="shared" si="21"/>
        <v>1</v>
      </c>
      <c r="AN75" s="611">
        <f t="shared" ca="1" si="22"/>
        <v>1</v>
      </c>
      <c r="AO75" s="611">
        <f t="shared" si="23"/>
        <v>1</v>
      </c>
    </row>
    <row r="76" spans="1:41" s="612" customFormat="1" ht="18" customHeight="1">
      <c r="A76" s="611" t="str">
        <f ca="1">IF(C76=Retire!$D$12,"==&gt;","")</f>
        <v/>
      </c>
      <c r="C76" s="1192">
        <f t="shared" ca="1" si="40"/>
        <v>2082</v>
      </c>
      <c r="D76" s="1193">
        <f t="shared" ca="1" si="27"/>
        <v>71720.343580969013</v>
      </c>
      <c r="E76" s="1193">
        <f t="shared" ca="1" si="28"/>
        <v>65510.21233640561</v>
      </c>
      <c r="F76" s="1193">
        <f t="shared" ca="1" si="29"/>
        <v>46567.266938989713</v>
      </c>
      <c r="G76" s="1193">
        <f t="shared" ca="1" si="30"/>
        <v>0</v>
      </c>
      <c r="H76" s="1193">
        <f t="shared" ca="1" si="31"/>
        <v>0</v>
      </c>
      <c r="I76" s="1193">
        <f t="shared" ca="1" si="32"/>
        <v>0</v>
      </c>
      <c r="J76" s="1193">
        <f t="shared" ca="1" si="33"/>
        <v>0</v>
      </c>
      <c r="K76" s="1193">
        <f t="shared" ca="1" si="34"/>
        <v>0</v>
      </c>
      <c r="L76" s="1193">
        <f t="shared" ca="1" si="35"/>
        <v>0</v>
      </c>
      <c r="M76" s="1193">
        <f t="shared" ca="1" si="36"/>
        <v>0</v>
      </c>
      <c r="N76" s="1066">
        <v>0</v>
      </c>
      <c r="O76" s="1188">
        <f ca="1">IF(Rental!Q97&gt;0,Rental!Q97,0)</f>
        <v>0</v>
      </c>
      <c r="P76" s="1189"/>
      <c r="Q76" s="1193">
        <f t="shared" ca="1" si="41"/>
        <v>183797.82285636434</v>
      </c>
      <c r="R76" s="1193">
        <f t="shared" ca="1" si="42"/>
        <v>163213.23946875814</v>
      </c>
      <c r="S76" s="1188">
        <f t="shared" ca="1" si="43"/>
        <v>20584.583387606195</v>
      </c>
      <c r="T76" s="1201">
        <f t="shared" ca="1" si="25"/>
        <v>114</v>
      </c>
      <c r="U76" s="1201">
        <f t="shared" ca="1" si="26"/>
        <v>112</v>
      </c>
      <c r="V76" s="611">
        <f t="shared" ca="1" si="4"/>
        <v>1</v>
      </c>
      <c r="W76" s="611">
        <f t="shared" si="5"/>
        <v>1</v>
      </c>
      <c r="X76" s="611">
        <f t="shared" ca="1" si="6"/>
        <v>1</v>
      </c>
      <c r="Y76" s="611">
        <f t="shared" si="7"/>
        <v>1</v>
      </c>
      <c r="Z76" s="611">
        <f t="shared" ca="1" si="8"/>
        <v>1</v>
      </c>
      <c r="AA76" s="611">
        <f t="shared" si="9"/>
        <v>1</v>
      </c>
      <c r="AB76" s="611">
        <f t="shared" ca="1" si="10"/>
        <v>1</v>
      </c>
      <c r="AC76" s="611">
        <f t="shared" ca="1" si="11"/>
        <v>0</v>
      </c>
      <c r="AD76" s="611">
        <f t="shared" ca="1" si="12"/>
        <v>1</v>
      </c>
      <c r="AE76" s="611">
        <f t="shared" ca="1" si="13"/>
        <v>0</v>
      </c>
      <c r="AF76" s="611">
        <f t="shared" ca="1" si="14"/>
        <v>1</v>
      </c>
      <c r="AG76" s="611">
        <f t="shared" si="15"/>
        <v>1</v>
      </c>
      <c r="AH76" s="611">
        <f t="shared" ca="1" si="16"/>
        <v>1</v>
      </c>
      <c r="AI76" s="611">
        <f t="shared" si="17"/>
        <v>1</v>
      </c>
      <c r="AJ76" s="611">
        <f t="shared" ca="1" si="18"/>
        <v>1</v>
      </c>
      <c r="AK76" s="611">
        <f t="shared" si="19"/>
        <v>1</v>
      </c>
      <c r="AL76" s="611">
        <f t="shared" ca="1" si="20"/>
        <v>1</v>
      </c>
      <c r="AM76" s="611">
        <f t="shared" si="21"/>
        <v>1</v>
      </c>
      <c r="AN76" s="611">
        <f t="shared" ca="1" si="22"/>
        <v>1</v>
      </c>
      <c r="AO76" s="611">
        <f t="shared" si="23"/>
        <v>1</v>
      </c>
    </row>
    <row r="77" spans="1:41" s="612" customFormat="1" ht="18" customHeight="1">
      <c r="A77" s="611" t="str">
        <f ca="1">IF(C77=Retire!$D$12,"==&gt;","")</f>
        <v/>
      </c>
      <c r="C77" s="1194">
        <f t="shared" ca="1" si="40"/>
        <v>2083</v>
      </c>
      <c r="D77" s="1195">
        <f t="shared" ca="1" si="27"/>
        <v>72659.880081879703</v>
      </c>
      <c r="E77" s="1195">
        <f t="shared" ca="1" si="28"/>
        <v>66368.396118012519</v>
      </c>
      <c r="F77" s="1195">
        <f t="shared" ca="1" si="29"/>
        <v>47498.612277769505</v>
      </c>
      <c r="G77" s="1195">
        <f t="shared" ca="1" si="30"/>
        <v>0</v>
      </c>
      <c r="H77" s="1195">
        <f t="shared" ca="1" si="31"/>
        <v>0</v>
      </c>
      <c r="I77" s="1195">
        <f t="shared" ca="1" si="32"/>
        <v>0</v>
      </c>
      <c r="J77" s="1195">
        <f t="shared" ca="1" si="33"/>
        <v>0</v>
      </c>
      <c r="K77" s="1195">
        <f t="shared" ca="1" si="34"/>
        <v>0</v>
      </c>
      <c r="L77" s="1195">
        <f t="shared" ca="1" si="35"/>
        <v>0</v>
      </c>
      <c r="M77" s="1195">
        <f t="shared" ca="1" si="36"/>
        <v>0</v>
      </c>
      <c r="N77" s="1066">
        <v>0</v>
      </c>
      <c r="O77" s="1196">
        <f ca="1">IF(Rental!Q98&gt;0,Rental!Q98,0)</f>
        <v>0</v>
      </c>
      <c r="P77" s="1189"/>
      <c r="Q77" s="1195">
        <f t="shared" ca="1" si="41"/>
        <v>186526.88847766173</v>
      </c>
      <c r="R77" s="1195">
        <f t="shared" ca="1" si="42"/>
        <v>165672.64704767789</v>
      </c>
      <c r="S77" s="1196">
        <f t="shared" ca="1" si="43"/>
        <v>20854.241429983842</v>
      </c>
      <c r="T77" s="1202">
        <f t="shared" ca="1" si="25"/>
        <v>115</v>
      </c>
      <c r="U77" s="1202">
        <f t="shared" ca="1" si="26"/>
        <v>113</v>
      </c>
      <c r="V77" s="611">
        <f t="shared" ca="1" si="4"/>
        <v>1</v>
      </c>
      <c r="W77" s="611">
        <f t="shared" si="5"/>
        <v>1</v>
      </c>
      <c r="X77" s="611">
        <f t="shared" ca="1" si="6"/>
        <v>1</v>
      </c>
      <c r="Y77" s="611">
        <f t="shared" si="7"/>
        <v>1</v>
      </c>
      <c r="Z77" s="611">
        <f t="shared" ca="1" si="8"/>
        <v>1</v>
      </c>
      <c r="AA77" s="611">
        <f t="shared" si="9"/>
        <v>1</v>
      </c>
      <c r="AB77" s="611">
        <f t="shared" ca="1" si="10"/>
        <v>1</v>
      </c>
      <c r="AC77" s="611">
        <f t="shared" ca="1" si="11"/>
        <v>0</v>
      </c>
      <c r="AD77" s="611">
        <f t="shared" ca="1" si="12"/>
        <v>1</v>
      </c>
      <c r="AE77" s="611">
        <f t="shared" ca="1" si="13"/>
        <v>0</v>
      </c>
      <c r="AF77" s="611">
        <f t="shared" ca="1" si="14"/>
        <v>1</v>
      </c>
      <c r="AG77" s="611">
        <f t="shared" si="15"/>
        <v>1</v>
      </c>
      <c r="AH77" s="611">
        <f t="shared" ca="1" si="16"/>
        <v>1</v>
      </c>
      <c r="AI77" s="611">
        <f t="shared" si="17"/>
        <v>1</v>
      </c>
      <c r="AJ77" s="611">
        <f t="shared" ca="1" si="18"/>
        <v>1</v>
      </c>
      <c r="AK77" s="611">
        <f t="shared" si="19"/>
        <v>1</v>
      </c>
      <c r="AL77" s="611">
        <f t="shared" ca="1" si="20"/>
        <v>1</v>
      </c>
      <c r="AM77" s="611">
        <f t="shared" si="21"/>
        <v>1</v>
      </c>
      <c r="AN77" s="611">
        <f t="shared" ca="1" si="22"/>
        <v>1</v>
      </c>
      <c r="AO77" s="611">
        <f t="shared" si="23"/>
        <v>1</v>
      </c>
    </row>
    <row r="78" spans="1:41" s="612" customFormat="1" ht="18" customHeight="1">
      <c r="A78" s="611" t="str">
        <f ca="1">IF(C78=Retire!$D$12,"==&gt;","")</f>
        <v/>
      </c>
      <c r="C78" s="1192">
        <f t="shared" ca="1" si="40"/>
        <v>2084</v>
      </c>
      <c r="D78" s="1193">
        <f t="shared" ca="1" si="27"/>
        <v>73611.724510952321</v>
      </c>
      <c r="E78" s="1193">
        <f t="shared" ca="1" si="28"/>
        <v>67237.822107158485</v>
      </c>
      <c r="F78" s="1193">
        <f t="shared" ca="1" si="29"/>
        <v>48448.584523324898</v>
      </c>
      <c r="G78" s="1193">
        <f t="shared" ca="1" si="30"/>
        <v>0</v>
      </c>
      <c r="H78" s="1193">
        <f t="shared" ca="1" si="31"/>
        <v>0</v>
      </c>
      <c r="I78" s="1193">
        <f t="shared" ca="1" si="32"/>
        <v>0</v>
      </c>
      <c r="J78" s="1193">
        <f t="shared" ca="1" si="33"/>
        <v>0</v>
      </c>
      <c r="K78" s="1193">
        <f t="shared" ca="1" si="34"/>
        <v>0</v>
      </c>
      <c r="L78" s="1193">
        <f t="shared" ca="1" si="35"/>
        <v>0</v>
      </c>
      <c r="M78" s="1193">
        <f t="shared" ca="1" si="36"/>
        <v>0</v>
      </c>
      <c r="N78" s="1066">
        <v>0</v>
      </c>
      <c r="O78" s="1188">
        <f ca="1">IF(Rental!Q99&gt;0,Rental!Q99,0)</f>
        <v>0</v>
      </c>
      <c r="P78" s="1189"/>
      <c r="Q78" s="1193">
        <f t="shared" ca="1" si="41"/>
        <v>189298.1311414357</v>
      </c>
      <c r="R78" s="1193">
        <f t="shared" ca="1" si="42"/>
        <v>168170.69914871908</v>
      </c>
      <c r="S78" s="1188">
        <f t="shared" ca="1" si="43"/>
        <v>21127.431992716622</v>
      </c>
      <c r="T78" s="1201">
        <f t="shared" ca="1" si="25"/>
        <v>116</v>
      </c>
      <c r="U78" s="1201">
        <f t="shared" ca="1" si="26"/>
        <v>114</v>
      </c>
      <c r="V78" s="611">
        <f t="shared" ca="1" si="4"/>
        <v>1</v>
      </c>
      <c r="W78" s="611">
        <f t="shared" si="5"/>
        <v>1</v>
      </c>
      <c r="X78" s="611">
        <f t="shared" ca="1" si="6"/>
        <v>1</v>
      </c>
      <c r="Y78" s="611">
        <f t="shared" si="7"/>
        <v>1</v>
      </c>
      <c r="Z78" s="611">
        <f t="shared" ca="1" si="8"/>
        <v>1</v>
      </c>
      <c r="AA78" s="611">
        <f t="shared" si="9"/>
        <v>1</v>
      </c>
      <c r="AB78" s="611">
        <f t="shared" ca="1" si="10"/>
        <v>1</v>
      </c>
      <c r="AC78" s="611">
        <f t="shared" ca="1" si="11"/>
        <v>0</v>
      </c>
      <c r="AD78" s="611">
        <f t="shared" ca="1" si="12"/>
        <v>1</v>
      </c>
      <c r="AE78" s="611">
        <f t="shared" ca="1" si="13"/>
        <v>0</v>
      </c>
      <c r="AF78" s="611">
        <f t="shared" ca="1" si="14"/>
        <v>1</v>
      </c>
      <c r="AG78" s="611">
        <f t="shared" si="15"/>
        <v>1</v>
      </c>
      <c r="AH78" s="611">
        <f t="shared" ca="1" si="16"/>
        <v>1</v>
      </c>
      <c r="AI78" s="611">
        <f t="shared" si="17"/>
        <v>1</v>
      </c>
      <c r="AJ78" s="611">
        <f t="shared" ca="1" si="18"/>
        <v>1</v>
      </c>
      <c r="AK78" s="611">
        <f t="shared" si="19"/>
        <v>1</v>
      </c>
      <c r="AL78" s="611">
        <f t="shared" ca="1" si="20"/>
        <v>1</v>
      </c>
      <c r="AM78" s="611">
        <f t="shared" si="21"/>
        <v>1</v>
      </c>
      <c r="AN78" s="611">
        <f t="shared" ca="1" si="22"/>
        <v>1</v>
      </c>
      <c r="AO78" s="611">
        <f t="shared" si="23"/>
        <v>1</v>
      </c>
    </row>
    <row r="79" spans="1:41" s="612" customFormat="1" ht="18" customHeight="1">
      <c r="A79" s="611" t="str">
        <f ca="1">IF(C79=Retire!$D$12,"==&gt;","")</f>
        <v/>
      </c>
      <c r="C79" s="1194">
        <f t="shared" ca="1" si="40"/>
        <v>2085</v>
      </c>
      <c r="D79" s="1195">
        <f t="shared" ca="1" si="27"/>
        <v>74576.038102045801</v>
      </c>
      <c r="E79" s="1195">
        <f t="shared" ca="1" si="28"/>
        <v>68118.637576762267</v>
      </c>
      <c r="F79" s="1195">
        <f t="shared" ca="1" si="29"/>
        <v>49417.556213791395</v>
      </c>
      <c r="G79" s="1195">
        <f t="shared" ca="1" si="30"/>
        <v>0</v>
      </c>
      <c r="H79" s="1195">
        <f t="shared" ca="1" si="31"/>
        <v>0</v>
      </c>
      <c r="I79" s="1195">
        <f t="shared" ca="1" si="32"/>
        <v>0</v>
      </c>
      <c r="J79" s="1195">
        <f t="shared" ca="1" si="33"/>
        <v>0</v>
      </c>
      <c r="K79" s="1195">
        <f t="shared" ca="1" si="34"/>
        <v>0</v>
      </c>
      <c r="L79" s="1195">
        <f t="shared" ca="1" si="35"/>
        <v>0</v>
      </c>
      <c r="M79" s="1195">
        <f t="shared" ca="1" si="36"/>
        <v>0</v>
      </c>
      <c r="N79" s="1066">
        <v>0</v>
      </c>
      <c r="O79" s="1196">
        <f ca="1">IF(Rental!Q100&gt;0,Rental!Q100,0)</f>
        <v>0</v>
      </c>
      <c r="P79" s="1189"/>
      <c r="Q79" s="1195">
        <f t="shared" ca="1" si="41"/>
        <v>192112.23189259946</v>
      </c>
      <c r="R79" s="1195">
        <f t="shared" ca="1" si="42"/>
        <v>170708.03054077824</v>
      </c>
      <c r="S79" s="1196">
        <f t="shared" ca="1" si="43"/>
        <v>21404.201351821219</v>
      </c>
      <c r="T79" s="1202">
        <f t="shared" ca="1" si="25"/>
        <v>117</v>
      </c>
      <c r="U79" s="1202">
        <f t="shared" ca="1" si="26"/>
        <v>115</v>
      </c>
      <c r="V79" s="611">
        <f t="shared" ca="1" si="4"/>
        <v>1</v>
      </c>
      <c r="W79" s="611">
        <f t="shared" si="5"/>
        <v>1</v>
      </c>
      <c r="X79" s="611">
        <f t="shared" ca="1" si="6"/>
        <v>1</v>
      </c>
      <c r="Y79" s="611">
        <f t="shared" si="7"/>
        <v>1</v>
      </c>
      <c r="Z79" s="611">
        <f t="shared" ca="1" si="8"/>
        <v>1</v>
      </c>
      <c r="AA79" s="611">
        <f t="shared" si="9"/>
        <v>1</v>
      </c>
      <c r="AB79" s="611">
        <f t="shared" ca="1" si="10"/>
        <v>1</v>
      </c>
      <c r="AC79" s="611">
        <f t="shared" ca="1" si="11"/>
        <v>0</v>
      </c>
      <c r="AD79" s="611">
        <f t="shared" ca="1" si="12"/>
        <v>1</v>
      </c>
      <c r="AE79" s="611">
        <f t="shared" ca="1" si="13"/>
        <v>0</v>
      </c>
      <c r="AF79" s="611">
        <f t="shared" ca="1" si="14"/>
        <v>1</v>
      </c>
      <c r="AG79" s="611">
        <f t="shared" si="15"/>
        <v>1</v>
      </c>
      <c r="AH79" s="611">
        <f t="shared" ca="1" si="16"/>
        <v>1</v>
      </c>
      <c r="AI79" s="611">
        <f t="shared" si="17"/>
        <v>1</v>
      </c>
      <c r="AJ79" s="611">
        <f t="shared" ca="1" si="18"/>
        <v>1</v>
      </c>
      <c r="AK79" s="611">
        <f t="shared" si="19"/>
        <v>1</v>
      </c>
      <c r="AL79" s="611">
        <f t="shared" ca="1" si="20"/>
        <v>1</v>
      </c>
      <c r="AM79" s="611">
        <f t="shared" si="21"/>
        <v>1</v>
      </c>
      <c r="AN79" s="611">
        <f t="shared" ca="1" si="22"/>
        <v>1</v>
      </c>
      <c r="AO79" s="611">
        <f t="shared" si="23"/>
        <v>1</v>
      </c>
    </row>
    <row r="80" spans="1:41" s="612" customFormat="1" ht="18" customHeight="1">
      <c r="A80" s="611" t="str">
        <f ca="1">IF(C80=Retire!$D$12,"==&gt;","")</f>
        <v/>
      </c>
      <c r="C80" s="1192">
        <f t="shared" ca="1" si="40"/>
        <v>2086</v>
      </c>
      <c r="D80" s="1193">
        <f t="shared" ca="1" si="27"/>
        <v>75552.984201182597</v>
      </c>
      <c r="E80" s="1193">
        <f t="shared" ca="1" si="28"/>
        <v>69010.991729017856</v>
      </c>
      <c r="F80" s="1193">
        <f t="shared" ca="1" si="29"/>
        <v>50405.90733806722</v>
      </c>
      <c r="G80" s="1193">
        <f t="shared" ca="1" si="30"/>
        <v>0</v>
      </c>
      <c r="H80" s="1193">
        <f t="shared" ca="1" si="31"/>
        <v>0</v>
      </c>
      <c r="I80" s="1193">
        <f t="shared" ca="1" si="32"/>
        <v>0</v>
      </c>
      <c r="J80" s="1193">
        <f t="shared" ca="1" si="33"/>
        <v>0</v>
      </c>
      <c r="K80" s="1193">
        <f t="shared" ca="1" si="34"/>
        <v>0</v>
      </c>
      <c r="L80" s="1193">
        <f t="shared" ca="1" si="35"/>
        <v>0</v>
      </c>
      <c r="M80" s="1193">
        <f t="shared" ca="1" si="36"/>
        <v>0</v>
      </c>
      <c r="N80" s="1066">
        <v>0</v>
      </c>
      <c r="O80" s="1188">
        <f ca="1">IF(Rental!Q101&gt;0,Rental!Q101,0)</f>
        <v>0</v>
      </c>
      <c r="P80" s="1189"/>
      <c r="Q80" s="1193">
        <f t="shared" ca="1" si="41"/>
        <v>194969.88326826767</v>
      </c>
      <c r="R80" s="1193">
        <f t="shared" ca="1" si="42"/>
        <v>173285.28687873759</v>
      </c>
      <c r="S80" s="1188">
        <f t="shared" ca="1" si="43"/>
        <v>21684.596389530081</v>
      </c>
      <c r="T80" s="1201">
        <f t="shared" ca="1" si="25"/>
        <v>118</v>
      </c>
      <c r="U80" s="1201">
        <f t="shared" ca="1" si="26"/>
        <v>116</v>
      </c>
      <c r="V80" s="611">
        <f t="shared" ca="1" si="4"/>
        <v>1</v>
      </c>
      <c r="W80" s="611">
        <f t="shared" si="5"/>
        <v>1</v>
      </c>
      <c r="X80" s="611">
        <f t="shared" ca="1" si="6"/>
        <v>1</v>
      </c>
      <c r="Y80" s="611">
        <f t="shared" si="7"/>
        <v>1</v>
      </c>
      <c r="Z80" s="611">
        <f t="shared" ca="1" si="8"/>
        <v>1</v>
      </c>
      <c r="AA80" s="611">
        <f t="shared" si="9"/>
        <v>1</v>
      </c>
      <c r="AB80" s="611">
        <f t="shared" ca="1" si="10"/>
        <v>1</v>
      </c>
      <c r="AC80" s="611">
        <f t="shared" ca="1" si="11"/>
        <v>0</v>
      </c>
      <c r="AD80" s="611">
        <f t="shared" ca="1" si="12"/>
        <v>1</v>
      </c>
      <c r="AE80" s="611">
        <f t="shared" ca="1" si="13"/>
        <v>0</v>
      </c>
      <c r="AF80" s="611">
        <f t="shared" ca="1" si="14"/>
        <v>1</v>
      </c>
      <c r="AG80" s="611">
        <f t="shared" si="15"/>
        <v>1</v>
      </c>
      <c r="AH80" s="611">
        <f t="shared" ca="1" si="16"/>
        <v>1</v>
      </c>
      <c r="AI80" s="611">
        <f t="shared" si="17"/>
        <v>1</v>
      </c>
      <c r="AJ80" s="611">
        <f t="shared" ca="1" si="18"/>
        <v>1</v>
      </c>
      <c r="AK80" s="611">
        <f t="shared" si="19"/>
        <v>1</v>
      </c>
      <c r="AL80" s="611">
        <f t="shared" ca="1" si="20"/>
        <v>1</v>
      </c>
      <c r="AM80" s="611">
        <f t="shared" si="21"/>
        <v>1</v>
      </c>
      <c r="AN80" s="611">
        <f t="shared" ca="1" si="22"/>
        <v>1</v>
      </c>
      <c r="AO80" s="611">
        <f t="shared" si="23"/>
        <v>1</v>
      </c>
    </row>
    <row r="81" spans="1:41" s="612" customFormat="1" ht="18" customHeight="1">
      <c r="A81" s="611" t="str">
        <f ca="1">IF(C81=Retire!$D$12,"==&gt;","")</f>
        <v/>
      </c>
      <c r="C81" s="1194">
        <f t="shared" ca="1" si="40"/>
        <v>2087</v>
      </c>
      <c r="D81" s="1195">
        <f t="shared" ca="1" si="27"/>
        <v>76542.72829421809</v>
      </c>
      <c r="E81" s="1195">
        <f t="shared" ca="1" si="28"/>
        <v>69915.035720667991</v>
      </c>
      <c r="F81" s="1195">
        <f t="shared" ca="1" si="29"/>
        <v>51414.025484828562</v>
      </c>
      <c r="G81" s="1195">
        <f t="shared" ca="1" si="30"/>
        <v>0</v>
      </c>
      <c r="H81" s="1195">
        <f t="shared" ca="1" si="31"/>
        <v>0</v>
      </c>
      <c r="I81" s="1195">
        <f t="shared" ca="1" si="32"/>
        <v>0</v>
      </c>
      <c r="J81" s="1195">
        <f t="shared" ca="1" si="33"/>
        <v>0</v>
      </c>
      <c r="K81" s="1195">
        <f t="shared" ca="1" si="34"/>
        <v>0</v>
      </c>
      <c r="L81" s="1195">
        <f t="shared" ca="1" si="35"/>
        <v>0</v>
      </c>
      <c r="M81" s="1195">
        <f t="shared" ca="1" si="36"/>
        <v>0</v>
      </c>
      <c r="N81" s="1066">
        <v>0</v>
      </c>
      <c r="O81" s="1196">
        <f ca="1">IF(Rental!Q102&gt;0,Rental!Q102,0)</f>
        <v>0</v>
      </c>
      <c r="P81" s="1189"/>
      <c r="Q81" s="1195">
        <f t="shared" ca="1" si="41"/>
        <v>197871.78949971465</v>
      </c>
      <c r="R81" s="1195">
        <f t="shared" ca="1" si="42"/>
        <v>175903.12489748173</v>
      </c>
      <c r="S81" s="1196">
        <f t="shared" ca="1" si="43"/>
        <v>21968.664602232922</v>
      </c>
      <c r="T81" s="1202">
        <f t="shared" ca="1" si="25"/>
        <v>119</v>
      </c>
      <c r="U81" s="1202">
        <f t="shared" ca="1" si="26"/>
        <v>117</v>
      </c>
      <c r="V81" s="611">
        <f t="shared" ref="V81:V140" ca="1" si="44">IF(C81&gt;=$D$11,1,0)</f>
        <v>1</v>
      </c>
      <c r="W81" s="611">
        <f t="shared" ref="W81:W140" si="45">IF($D$12&lt;&gt;"",IF(C81&lt;$D$12,1,0),1)</f>
        <v>1</v>
      </c>
      <c r="X81" s="611">
        <f t="shared" ref="X81:X140" ca="1" si="46">IF(C81&gt;=$E$11,1,0)</f>
        <v>1</v>
      </c>
      <c r="Y81" s="611">
        <f t="shared" ref="Y81:Y140" si="47">IF($E$12&lt;&gt;"",IF(C81&lt;$E$12,1,0),1)</f>
        <v>1</v>
      </c>
      <c r="Z81" s="611">
        <f t="shared" ref="Z81:Z140" ca="1" si="48">IF(C81&gt;=$F$11,1,0)</f>
        <v>1</v>
      </c>
      <c r="AA81" s="611">
        <f t="shared" ref="AA81:AA140" si="49">IF($F$12&lt;&gt;"",IF(C81&lt;$F$12,1,0),1)</f>
        <v>1</v>
      </c>
      <c r="AB81" s="611">
        <f t="shared" ref="AB81:AB140" ca="1" si="50">IF(C81&gt;=$G$11,1,0)</f>
        <v>1</v>
      </c>
      <c r="AC81" s="611">
        <f t="shared" ref="AC81:AC140" ca="1" si="51">IF($G$12&lt;&gt;"",IF(C81&lt;$G$12,1,0),1)</f>
        <v>0</v>
      </c>
      <c r="AD81" s="611">
        <f t="shared" ref="AD81:AD140" ca="1" si="52">IF(C81&gt;=$H$11,1,0)</f>
        <v>1</v>
      </c>
      <c r="AE81" s="611">
        <f t="shared" ref="AE81:AE140" ca="1" si="53">IF($H$12&lt;&gt;"",IF(C81&lt;$H$12,1,0),1)</f>
        <v>0</v>
      </c>
      <c r="AF81" s="611">
        <f t="shared" ref="AF81:AF140" ca="1" si="54">IF(C81&gt;=$I$11,1,0)</f>
        <v>1</v>
      </c>
      <c r="AG81" s="611">
        <f t="shared" ref="AG81:AG140" si="55">IF($I$12&lt;&gt;"",IF(C81&lt;$I$12,1,0),1)</f>
        <v>1</v>
      </c>
      <c r="AH81" s="611">
        <f t="shared" ref="AH81:AH140" ca="1" si="56">IF(C81&gt;=$J$11,1,0)</f>
        <v>1</v>
      </c>
      <c r="AI81" s="611">
        <f t="shared" ref="AI81:AI140" si="57">IF($J$12&lt;&gt;"",IF(C81&lt;$J$12,1,0),1)</f>
        <v>1</v>
      </c>
      <c r="AJ81" s="611">
        <f t="shared" ref="AJ81:AJ140" ca="1" si="58">IF(C81&gt;=$K$11,1,0)</f>
        <v>1</v>
      </c>
      <c r="AK81" s="611">
        <f t="shared" ref="AK81:AK140" si="59">IF($K$12&lt;&gt;"",IF(C81&lt;$K$12,1,0),1)</f>
        <v>1</v>
      </c>
      <c r="AL81" s="611">
        <f t="shared" ref="AL81:AL140" ca="1" si="60">IF(C81&gt;=$L$11,1,0)</f>
        <v>1</v>
      </c>
      <c r="AM81" s="611">
        <f t="shared" ref="AM81:AM140" si="61">IF($L$12&lt;&gt;"",IF(C81&lt;$L$12,1,0),1)</f>
        <v>1</v>
      </c>
      <c r="AN81" s="611">
        <f t="shared" ref="AN81:AN140" ca="1" si="62">IF(C81&gt;=$M$11,1,0)</f>
        <v>1</v>
      </c>
      <c r="AO81" s="611">
        <f t="shared" ref="AO81:AO140" si="63">IF($M$12&lt;&gt;"",IF(C81&lt;$M$12,1,0),1)</f>
        <v>1</v>
      </c>
    </row>
    <row r="82" spans="1:41" s="612" customFormat="1" ht="18" customHeight="1">
      <c r="A82" s="611" t="str">
        <f ca="1">IF(C82=Retire!$D$12,"==&gt;","")</f>
        <v/>
      </c>
      <c r="C82" s="1192">
        <f t="shared" ca="1" si="40"/>
        <v>2088</v>
      </c>
      <c r="D82" s="1193">
        <f t="shared" ca="1" si="27"/>
        <v>77545.43803487235</v>
      </c>
      <c r="E82" s="1193">
        <f t="shared" ca="1" si="28"/>
        <v>70830.922688608742</v>
      </c>
      <c r="F82" s="1193">
        <f t="shared" ca="1" si="29"/>
        <v>52442.30599452513</v>
      </c>
      <c r="G82" s="1193">
        <f t="shared" ca="1" si="30"/>
        <v>0</v>
      </c>
      <c r="H82" s="1193">
        <f t="shared" ca="1" si="31"/>
        <v>0</v>
      </c>
      <c r="I82" s="1193">
        <f t="shared" ca="1" si="32"/>
        <v>0</v>
      </c>
      <c r="J82" s="1193">
        <f t="shared" ca="1" si="33"/>
        <v>0</v>
      </c>
      <c r="K82" s="1193">
        <f t="shared" ca="1" si="34"/>
        <v>0</v>
      </c>
      <c r="L82" s="1193">
        <f t="shared" ca="1" si="35"/>
        <v>0</v>
      </c>
      <c r="M82" s="1193">
        <f t="shared" ca="1" si="36"/>
        <v>0</v>
      </c>
      <c r="N82" s="1066">
        <v>0</v>
      </c>
      <c r="O82" s="1188">
        <f ca="1">IF(Rental!Q103&gt;0,Rental!Q103,0)</f>
        <v>0</v>
      </c>
      <c r="P82" s="1189"/>
      <c r="Q82" s="1193">
        <f t="shared" ca="1" si="41"/>
        <v>200818.66671800625</v>
      </c>
      <c r="R82" s="1193">
        <f t="shared" ca="1" si="42"/>
        <v>178562.21260948404</v>
      </c>
      <c r="S82" s="1188">
        <f t="shared" ca="1" si="43"/>
        <v>22256.454108522215</v>
      </c>
      <c r="T82" s="1201">
        <f t="shared" ref="T82:T140" ca="1" si="64">T81+1</f>
        <v>120</v>
      </c>
      <c r="U82" s="1201">
        <f t="shared" ref="U82:U140" ca="1" si="65">IF(ISNUMBER(U81),U81+1,"")</f>
        <v>118</v>
      </c>
      <c r="V82" s="611">
        <f t="shared" ca="1" si="44"/>
        <v>1</v>
      </c>
      <c r="W82" s="611">
        <f t="shared" si="45"/>
        <v>1</v>
      </c>
      <c r="X82" s="611">
        <f t="shared" ca="1" si="46"/>
        <v>1</v>
      </c>
      <c r="Y82" s="611">
        <f t="shared" si="47"/>
        <v>1</v>
      </c>
      <c r="Z82" s="611">
        <f t="shared" ca="1" si="48"/>
        <v>1</v>
      </c>
      <c r="AA82" s="611">
        <f t="shared" si="49"/>
        <v>1</v>
      </c>
      <c r="AB82" s="611">
        <f t="shared" ca="1" si="50"/>
        <v>1</v>
      </c>
      <c r="AC82" s="611">
        <f t="shared" ca="1" si="51"/>
        <v>0</v>
      </c>
      <c r="AD82" s="611">
        <f t="shared" ca="1" si="52"/>
        <v>1</v>
      </c>
      <c r="AE82" s="611">
        <f t="shared" ca="1" si="53"/>
        <v>0</v>
      </c>
      <c r="AF82" s="611">
        <f t="shared" ca="1" si="54"/>
        <v>1</v>
      </c>
      <c r="AG82" s="611">
        <f t="shared" si="55"/>
        <v>1</v>
      </c>
      <c r="AH82" s="611">
        <f t="shared" ca="1" si="56"/>
        <v>1</v>
      </c>
      <c r="AI82" s="611">
        <f t="shared" si="57"/>
        <v>1</v>
      </c>
      <c r="AJ82" s="611">
        <f t="shared" ca="1" si="58"/>
        <v>1</v>
      </c>
      <c r="AK82" s="611">
        <f t="shared" si="59"/>
        <v>1</v>
      </c>
      <c r="AL82" s="611">
        <f t="shared" ca="1" si="60"/>
        <v>1</v>
      </c>
      <c r="AM82" s="611">
        <f t="shared" si="61"/>
        <v>1</v>
      </c>
      <c r="AN82" s="611">
        <f t="shared" ca="1" si="62"/>
        <v>1</v>
      </c>
      <c r="AO82" s="611">
        <f t="shared" si="63"/>
        <v>1</v>
      </c>
    </row>
    <row r="83" spans="1:41" s="612" customFormat="1" ht="18" customHeight="1">
      <c r="A83" s="611" t="str">
        <f ca="1">IF(C83=Retire!$D$12,"==&gt;","")</f>
        <v/>
      </c>
      <c r="C83" s="1194">
        <f t="shared" ca="1" si="40"/>
        <v>2089</v>
      </c>
      <c r="D83" s="1195">
        <f t="shared" ca="1" si="27"/>
        <v>78561.283273129171</v>
      </c>
      <c r="E83" s="1195">
        <f t="shared" ca="1" si="28"/>
        <v>71758.807775829511</v>
      </c>
      <c r="F83" s="1195">
        <f t="shared" ca="1" si="29"/>
        <v>53491.152114415636</v>
      </c>
      <c r="G83" s="1195">
        <f t="shared" ca="1" si="30"/>
        <v>0</v>
      </c>
      <c r="H83" s="1195">
        <f t="shared" ca="1" si="31"/>
        <v>0</v>
      </c>
      <c r="I83" s="1195">
        <f t="shared" ca="1" si="32"/>
        <v>0</v>
      </c>
      <c r="J83" s="1195">
        <f t="shared" ca="1" si="33"/>
        <v>0</v>
      </c>
      <c r="K83" s="1195">
        <f t="shared" ca="1" si="34"/>
        <v>0</v>
      </c>
      <c r="L83" s="1195">
        <f t="shared" ca="1" si="35"/>
        <v>0</v>
      </c>
      <c r="M83" s="1195">
        <f t="shared" ca="1" si="36"/>
        <v>0</v>
      </c>
      <c r="N83" s="1066">
        <v>0</v>
      </c>
      <c r="O83" s="1196">
        <f ca="1">IF(Rental!Q104&gt;0,Rental!Q104,0)</f>
        <v>0</v>
      </c>
      <c r="P83" s="1189"/>
      <c r="Q83" s="1195">
        <f t="shared" ca="1" si="41"/>
        <v>203811.24316337431</v>
      </c>
      <c r="R83" s="1195">
        <f t="shared" ca="1" si="42"/>
        <v>181263.2295060305</v>
      </c>
      <c r="S83" s="1196">
        <f t="shared" ca="1" si="43"/>
        <v>22548.013657343807</v>
      </c>
      <c r="T83" s="1202">
        <f t="shared" ca="1" si="64"/>
        <v>121</v>
      </c>
      <c r="U83" s="1202">
        <f t="shared" ca="1" si="65"/>
        <v>119</v>
      </c>
      <c r="V83" s="611">
        <f t="shared" ca="1" si="44"/>
        <v>1</v>
      </c>
      <c r="W83" s="611">
        <f t="shared" si="45"/>
        <v>1</v>
      </c>
      <c r="X83" s="611">
        <f t="shared" ca="1" si="46"/>
        <v>1</v>
      </c>
      <c r="Y83" s="611">
        <f t="shared" si="47"/>
        <v>1</v>
      </c>
      <c r="Z83" s="611">
        <f t="shared" ca="1" si="48"/>
        <v>1</v>
      </c>
      <c r="AA83" s="611">
        <f t="shared" si="49"/>
        <v>1</v>
      </c>
      <c r="AB83" s="611">
        <f t="shared" ca="1" si="50"/>
        <v>1</v>
      </c>
      <c r="AC83" s="611">
        <f t="shared" ca="1" si="51"/>
        <v>0</v>
      </c>
      <c r="AD83" s="611">
        <f t="shared" ca="1" si="52"/>
        <v>1</v>
      </c>
      <c r="AE83" s="611">
        <f t="shared" ca="1" si="53"/>
        <v>0</v>
      </c>
      <c r="AF83" s="611">
        <f t="shared" ca="1" si="54"/>
        <v>1</v>
      </c>
      <c r="AG83" s="611">
        <f t="shared" si="55"/>
        <v>1</v>
      </c>
      <c r="AH83" s="611">
        <f t="shared" ca="1" si="56"/>
        <v>1</v>
      </c>
      <c r="AI83" s="611">
        <f t="shared" si="57"/>
        <v>1</v>
      </c>
      <c r="AJ83" s="611">
        <f t="shared" ca="1" si="58"/>
        <v>1</v>
      </c>
      <c r="AK83" s="611">
        <f t="shared" si="59"/>
        <v>1</v>
      </c>
      <c r="AL83" s="611">
        <f t="shared" ca="1" si="60"/>
        <v>1</v>
      </c>
      <c r="AM83" s="611">
        <f t="shared" si="61"/>
        <v>1</v>
      </c>
      <c r="AN83" s="611">
        <f t="shared" ca="1" si="62"/>
        <v>1</v>
      </c>
      <c r="AO83" s="611">
        <f t="shared" si="63"/>
        <v>1</v>
      </c>
    </row>
    <row r="84" spans="1:41" s="612" customFormat="1" ht="18" customHeight="1">
      <c r="A84" s="611" t="str">
        <f ca="1">IF(C84=Retire!$D$12,"==&gt;","")</f>
        <v/>
      </c>
      <c r="C84" s="1192">
        <f t="shared" ca="1" si="40"/>
        <v>2090</v>
      </c>
      <c r="D84" s="1193">
        <f t="shared" ca="1" si="27"/>
        <v>79590.43608400716</v>
      </c>
      <c r="E84" s="1193">
        <f t="shared" ca="1" si="28"/>
        <v>72698.848157692875</v>
      </c>
      <c r="F84" s="1193">
        <f t="shared" ca="1" si="29"/>
        <v>54560.975156703949</v>
      </c>
      <c r="G84" s="1193">
        <f t="shared" ca="1" si="30"/>
        <v>0</v>
      </c>
      <c r="H84" s="1193">
        <f t="shared" ca="1" si="31"/>
        <v>0</v>
      </c>
      <c r="I84" s="1193">
        <f t="shared" ca="1" si="32"/>
        <v>0</v>
      </c>
      <c r="J84" s="1193">
        <f t="shared" ca="1" si="33"/>
        <v>0</v>
      </c>
      <c r="K84" s="1193">
        <f t="shared" ca="1" si="34"/>
        <v>0</v>
      </c>
      <c r="L84" s="1193">
        <f t="shared" ca="1" si="35"/>
        <v>0</v>
      </c>
      <c r="M84" s="1193">
        <f t="shared" ca="1" si="36"/>
        <v>0</v>
      </c>
      <c r="N84" s="1066">
        <v>0</v>
      </c>
      <c r="O84" s="1188">
        <f ca="1">IF(Rental!Q105&gt;0,Rental!Q105,0)</f>
        <v>0</v>
      </c>
      <c r="P84" s="1189"/>
      <c r="Q84" s="1193">
        <f t="shared" ca="1" si="41"/>
        <v>206850.25939840398</v>
      </c>
      <c r="R84" s="1193">
        <f t="shared" ca="1" si="42"/>
        <v>184006.86676214897</v>
      </c>
      <c r="S84" s="1188">
        <f t="shared" ca="1" si="43"/>
        <v>22843.392636255012</v>
      </c>
      <c r="T84" s="1201">
        <f t="shared" ca="1" si="64"/>
        <v>122</v>
      </c>
      <c r="U84" s="1201">
        <f t="shared" ca="1" si="65"/>
        <v>120</v>
      </c>
      <c r="V84" s="611">
        <f t="shared" ca="1" si="44"/>
        <v>1</v>
      </c>
      <c r="W84" s="611">
        <f t="shared" si="45"/>
        <v>1</v>
      </c>
      <c r="X84" s="611">
        <f t="shared" ca="1" si="46"/>
        <v>1</v>
      </c>
      <c r="Y84" s="611">
        <f t="shared" si="47"/>
        <v>1</v>
      </c>
      <c r="Z84" s="611">
        <f t="shared" ca="1" si="48"/>
        <v>1</v>
      </c>
      <c r="AA84" s="611">
        <f t="shared" si="49"/>
        <v>1</v>
      </c>
      <c r="AB84" s="611">
        <f t="shared" ca="1" si="50"/>
        <v>1</v>
      </c>
      <c r="AC84" s="611">
        <f t="shared" ca="1" si="51"/>
        <v>0</v>
      </c>
      <c r="AD84" s="611">
        <f t="shared" ca="1" si="52"/>
        <v>1</v>
      </c>
      <c r="AE84" s="611">
        <f t="shared" ca="1" si="53"/>
        <v>0</v>
      </c>
      <c r="AF84" s="611">
        <f t="shared" ca="1" si="54"/>
        <v>1</v>
      </c>
      <c r="AG84" s="611">
        <f t="shared" si="55"/>
        <v>1</v>
      </c>
      <c r="AH84" s="611">
        <f t="shared" ca="1" si="56"/>
        <v>1</v>
      </c>
      <c r="AI84" s="611">
        <f t="shared" si="57"/>
        <v>1</v>
      </c>
      <c r="AJ84" s="611">
        <f t="shared" ca="1" si="58"/>
        <v>1</v>
      </c>
      <c r="AK84" s="611">
        <f t="shared" si="59"/>
        <v>1</v>
      </c>
      <c r="AL84" s="611">
        <f t="shared" ca="1" si="60"/>
        <v>1</v>
      </c>
      <c r="AM84" s="611">
        <f t="shared" si="61"/>
        <v>1</v>
      </c>
      <c r="AN84" s="611">
        <f t="shared" ca="1" si="62"/>
        <v>1</v>
      </c>
      <c r="AO84" s="611">
        <f t="shared" si="63"/>
        <v>1</v>
      </c>
    </row>
    <row r="85" spans="1:41" s="612" customFormat="1" ht="18" customHeight="1">
      <c r="A85" s="611" t="str">
        <f ca="1">IF(C85=Retire!$D$12,"==&gt;","")</f>
        <v/>
      </c>
      <c r="C85" s="1194">
        <f t="shared" ca="1" si="40"/>
        <v>2091</v>
      </c>
      <c r="D85" s="1195">
        <f t="shared" ref="D85:D140" ca="1" si="66">IF(SUM(V85+W85)=2,IF(D84=0,$D$10*12,D84+(D84*$D$13)  ),0 )</f>
        <v>80633.07079670766</v>
      </c>
      <c r="E85" s="1195">
        <f t="shared" ref="E85:E140" ca="1" si="67">IF(SUM(X85+Y85)=2,IF(E84=0,$E$10*12,E84+(E84*$E$13)  ),0 )</f>
        <v>73651.203068558651</v>
      </c>
      <c r="F85" s="1195">
        <f t="shared" ref="F85:F140" ca="1" si="68">IF(SUM(Z85+AA85)=2,IF(F84=0,$F$10*12,F84+(F84*$F$13)  ),0 )</f>
        <v>55652.194659838031</v>
      </c>
      <c r="G85" s="1195">
        <f t="shared" ref="G85:G140" ca="1" si="69">IF(SUM(AB85+AC85)=2,IF(G84=0,$G$10*12,G84+(G84*$G$13)  ),0 )</f>
        <v>0</v>
      </c>
      <c r="H85" s="1195">
        <f t="shared" ref="H85:H140" ca="1" si="70">IF(SUM(AD85+AE85)=2,IF(H84=0,$H$10*12,H84+(H84*$H$13)  ),0 )</f>
        <v>0</v>
      </c>
      <c r="I85" s="1195">
        <f t="shared" ref="I85:I140" ca="1" si="71">IF(SUM(AF85+AG85)=2,IF(I84=0,$I$10*12,I84+(I84*$I$13)  ),0 )</f>
        <v>0</v>
      </c>
      <c r="J85" s="1195">
        <f t="shared" ref="J85:J140" ca="1" si="72">IF(SUM(AH85+AI85)=2,IF(J84=0,$J$10*12,J84+(J84*$J$13)  ),0 )</f>
        <v>0</v>
      </c>
      <c r="K85" s="1195">
        <f t="shared" ref="K85:K140" ca="1" si="73">IF(SUM(AJ85+AK85)=2,IF(K84=0,$K$10*12,K84+(K84*$K$13)  ),0 )</f>
        <v>0</v>
      </c>
      <c r="L85" s="1195">
        <f t="shared" ref="L85:L140" ca="1" si="74">IF(SUM(AL85+AM85)=2,IF(L84=0,$L$10*12,L84+(L84*$L$13)  ),0 )</f>
        <v>0</v>
      </c>
      <c r="M85" s="1195">
        <f t="shared" ref="M85:M140" ca="1" si="75">IF(SUM(AN85+AO85)=2,IF(M84=0,$M$10*12,M84+(M84*$M$13)  ),0 )</f>
        <v>0</v>
      </c>
      <c r="N85" s="1066">
        <v>0</v>
      </c>
      <c r="O85" s="1196">
        <f ca="1">IF(Rental!Q106&gt;0,Rental!Q106,0)</f>
        <v>0</v>
      </c>
      <c r="P85" s="1189"/>
      <c r="Q85" s="1195">
        <f t="shared" ca="1" si="41"/>
        <v>209936.46852510434</v>
      </c>
      <c r="R85" s="1195">
        <f t="shared" ca="1" si="42"/>
        <v>186793.82744531438</v>
      </c>
      <c r="S85" s="1196">
        <f t="shared" ca="1" si="43"/>
        <v>23142.641079789959</v>
      </c>
      <c r="T85" s="1202">
        <f t="shared" ca="1" si="64"/>
        <v>123</v>
      </c>
      <c r="U85" s="1202">
        <f t="shared" ca="1" si="65"/>
        <v>121</v>
      </c>
      <c r="V85" s="611">
        <f t="shared" ca="1" si="44"/>
        <v>1</v>
      </c>
      <c r="W85" s="611">
        <f t="shared" si="45"/>
        <v>1</v>
      </c>
      <c r="X85" s="611">
        <f t="shared" ca="1" si="46"/>
        <v>1</v>
      </c>
      <c r="Y85" s="611">
        <f t="shared" si="47"/>
        <v>1</v>
      </c>
      <c r="Z85" s="611">
        <f t="shared" ca="1" si="48"/>
        <v>1</v>
      </c>
      <c r="AA85" s="611">
        <f t="shared" si="49"/>
        <v>1</v>
      </c>
      <c r="AB85" s="611">
        <f t="shared" ca="1" si="50"/>
        <v>1</v>
      </c>
      <c r="AC85" s="611">
        <f t="shared" ca="1" si="51"/>
        <v>0</v>
      </c>
      <c r="AD85" s="611">
        <f t="shared" ca="1" si="52"/>
        <v>1</v>
      </c>
      <c r="AE85" s="611">
        <f t="shared" ca="1" si="53"/>
        <v>0</v>
      </c>
      <c r="AF85" s="611">
        <f t="shared" ca="1" si="54"/>
        <v>1</v>
      </c>
      <c r="AG85" s="611">
        <f t="shared" si="55"/>
        <v>1</v>
      </c>
      <c r="AH85" s="611">
        <f t="shared" ca="1" si="56"/>
        <v>1</v>
      </c>
      <c r="AI85" s="611">
        <f t="shared" si="57"/>
        <v>1</v>
      </c>
      <c r="AJ85" s="611">
        <f t="shared" ca="1" si="58"/>
        <v>1</v>
      </c>
      <c r="AK85" s="611">
        <f t="shared" si="59"/>
        <v>1</v>
      </c>
      <c r="AL85" s="611">
        <f t="shared" ca="1" si="60"/>
        <v>1</v>
      </c>
      <c r="AM85" s="611">
        <f t="shared" si="61"/>
        <v>1</v>
      </c>
      <c r="AN85" s="611">
        <f t="shared" ca="1" si="62"/>
        <v>1</v>
      </c>
      <c r="AO85" s="611">
        <f t="shared" si="63"/>
        <v>1</v>
      </c>
    </row>
    <row r="86" spans="1:41" s="612" customFormat="1" ht="18" customHeight="1">
      <c r="A86" s="611" t="str">
        <f ca="1">IF(C86=Retire!$D$12,"==&gt;","")</f>
        <v/>
      </c>
      <c r="C86" s="1192">
        <f t="shared" ca="1" si="40"/>
        <v>2092</v>
      </c>
      <c r="D86" s="1193">
        <f t="shared" ca="1" si="66"/>
        <v>81689.364024144525</v>
      </c>
      <c r="E86" s="1193">
        <f t="shared" ca="1" si="67"/>
        <v>74616.033828756772</v>
      </c>
      <c r="F86" s="1193">
        <f t="shared" ca="1" si="68"/>
        <v>56765.238553034789</v>
      </c>
      <c r="G86" s="1193">
        <f t="shared" ca="1" si="69"/>
        <v>0</v>
      </c>
      <c r="H86" s="1193">
        <f t="shared" ca="1" si="70"/>
        <v>0</v>
      </c>
      <c r="I86" s="1193">
        <f t="shared" ca="1" si="71"/>
        <v>0</v>
      </c>
      <c r="J86" s="1193">
        <f t="shared" ca="1" si="72"/>
        <v>0</v>
      </c>
      <c r="K86" s="1193">
        <f t="shared" ca="1" si="73"/>
        <v>0</v>
      </c>
      <c r="L86" s="1193">
        <f t="shared" ca="1" si="74"/>
        <v>0</v>
      </c>
      <c r="M86" s="1193">
        <f t="shared" ca="1" si="75"/>
        <v>0</v>
      </c>
      <c r="N86" s="1066">
        <v>0</v>
      </c>
      <c r="O86" s="1188">
        <f ca="1">IF(Rental!Q107&gt;0,Rental!Q107,0)</f>
        <v>0</v>
      </c>
      <c r="P86" s="1189"/>
      <c r="Q86" s="1193">
        <f t="shared" ca="1" si="41"/>
        <v>213070.63640593609</v>
      </c>
      <c r="R86" s="1193">
        <f t="shared" ca="1" si="42"/>
        <v>189624.82672800089</v>
      </c>
      <c r="S86" s="1188">
        <f t="shared" ca="1" si="43"/>
        <v>23445.809677935205</v>
      </c>
      <c r="T86" s="1201">
        <f t="shared" ca="1" si="64"/>
        <v>124</v>
      </c>
      <c r="U86" s="1201">
        <f t="shared" ca="1" si="65"/>
        <v>122</v>
      </c>
      <c r="V86" s="611">
        <f t="shared" ca="1" si="44"/>
        <v>1</v>
      </c>
      <c r="W86" s="611">
        <f t="shared" si="45"/>
        <v>1</v>
      </c>
      <c r="X86" s="611">
        <f t="shared" ca="1" si="46"/>
        <v>1</v>
      </c>
      <c r="Y86" s="611">
        <f t="shared" si="47"/>
        <v>1</v>
      </c>
      <c r="Z86" s="611">
        <f t="shared" ca="1" si="48"/>
        <v>1</v>
      </c>
      <c r="AA86" s="611">
        <f t="shared" si="49"/>
        <v>1</v>
      </c>
      <c r="AB86" s="611">
        <f t="shared" ca="1" si="50"/>
        <v>1</v>
      </c>
      <c r="AC86" s="611">
        <f t="shared" ca="1" si="51"/>
        <v>0</v>
      </c>
      <c r="AD86" s="611">
        <f t="shared" ca="1" si="52"/>
        <v>1</v>
      </c>
      <c r="AE86" s="611">
        <f t="shared" ca="1" si="53"/>
        <v>0</v>
      </c>
      <c r="AF86" s="611">
        <f t="shared" ca="1" si="54"/>
        <v>1</v>
      </c>
      <c r="AG86" s="611">
        <f t="shared" si="55"/>
        <v>1</v>
      </c>
      <c r="AH86" s="611">
        <f t="shared" ca="1" si="56"/>
        <v>1</v>
      </c>
      <c r="AI86" s="611">
        <f t="shared" si="57"/>
        <v>1</v>
      </c>
      <c r="AJ86" s="611">
        <f t="shared" ca="1" si="58"/>
        <v>1</v>
      </c>
      <c r="AK86" s="611">
        <f t="shared" si="59"/>
        <v>1</v>
      </c>
      <c r="AL86" s="611">
        <f t="shared" ca="1" si="60"/>
        <v>1</v>
      </c>
      <c r="AM86" s="611">
        <f t="shared" si="61"/>
        <v>1</v>
      </c>
      <c r="AN86" s="611">
        <f t="shared" ca="1" si="62"/>
        <v>1</v>
      </c>
      <c r="AO86" s="611">
        <f t="shared" si="63"/>
        <v>1</v>
      </c>
    </row>
    <row r="87" spans="1:41" s="612" customFormat="1" ht="18" customHeight="1">
      <c r="A87" s="611" t="str">
        <f ca="1">IF(C87=Retire!$D$12,"==&gt;","")</f>
        <v/>
      </c>
      <c r="C87" s="1194">
        <f t="shared" ca="1" si="40"/>
        <v>2093</v>
      </c>
      <c r="D87" s="1195">
        <f t="shared" ca="1" si="66"/>
        <v>82759.494692860811</v>
      </c>
      <c r="E87" s="1195">
        <f t="shared" ca="1" si="67"/>
        <v>75593.50387191349</v>
      </c>
      <c r="F87" s="1195">
        <f t="shared" ca="1" si="68"/>
        <v>57900.543324095488</v>
      </c>
      <c r="G87" s="1195">
        <f t="shared" ca="1" si="69"/>
        <v>0</v>
      </c>
      <c r="H87" s="1195">
        <f t="shared" ca="1" si="70"/>
        <v>0</v>
      </c>
      <c r="I87" s="1195">
        <f t="shared" ca="1" si="71"/>
        <v>0</v>
      </c>
      <c r="J87" s="1195">
        <f t="shared" ca="1" si="72"/>
        <v>0</v>
      </c>
      <c r="K87" s="1195">
        <f t="shared" ca="1" si="73"/>
        <v>0</v>
      </c>
      <c r="L87" s="1195">
        <f t="shared" ca="1" si="74"/>
        <v>0</v>
      </c>
      <c r="M87" s="1195">
        <f t="shared" ca="1" si="75"/>
        <v>0</v>
      </c>
      <c r="N87" s="1066">
        <v>0</v>
      </c>
      <c r="O87" s="1196">
        <f ca="1">IF(Rental!Q108&gt;0,Rental!Q108,0)</f>
        <v>0</v>
      </c>
      <c r="P87" s="1189"/>
      <c r="Q87" s="1195">
        <f t="shared" ca="1" si="41"/>
        <v>216253.54188886977</v>
      </c>
      <c r="R87" s="1195">
        <f t="shared" ca="1" si="42"/>
        <v>192500.59210415365</v>
      </c>
      <c r="S87" s="1196">
        <f t="shared" ca="1" si="43"/>
        <v>23752.949784716126</v>
      </c>
      <c r="T87" s="1202">
        <f t="shared" ca="1" si="64"/>
        <v>125</v>
      </c>
      <c r="U87" s="1202">
        <f t="shared" ca="1" si="65"/>
        <v>123</v>
      </c>
      <c r="V87" s="611">
        <f t="shared" ca="1" si="44"/>
        <v>1</v>
      </c>
      <c r="W87" s="611">
        <f t="shared" si="45"/>
        <v>1</v>
      </c>
      <c r="X87" s="611">
        <f t="shared" ca="1" si="46"/>
        <v>1</v>
      </c>
      <c r="Y87" s="611">
        <f t="shared" si="47"/>
        <v>1</v>
      </c>
      <c r="Z87" s="611">
        <f t="shared" ca="1" si="48"/>
        <v>1</v>
      </c>
      <c r="AA87" s="611">
        <f t="shared" si="49"/>
        <v>1</v>
      </c>
      <c r="AB87" s="611">
        <f t="shared" ca="1" si="50"/>
        <v>1</v>
      </c>
      <c r="AC87" s="611">
        <f t="shared" ca="1" si="51"/>
        <v>0</v>
      </c>
      <c r="AD87" s="611">
        <f t="shared" ca="1" si="52"/>
        <v>1</v>
      </c>
      <c r="AE87" s="611">
        <f t="shared" ca="1" si="53"/>
        <v>0</v>
      </c>
      <c r="AF87" s="611">
        <f t="shared" ca="1" si="54"/>
        <v>1</v>
      </c>
      <c r="AG87" s="611">
        <f t="shared" si="55"/>
        <v>1</v>
      </c>
      <c r="AH87" s="611">
        <f t="shared" ca="1" si="56"/>
        <v>1</v>
      </c>
      <c r="AI87" s="611">
        <f t="shared" si="57"/>
        <v>1</v>
      </c>
      <c r="AJ87" s="611">
        <f t="shared" ca="1" si="58"/>
        <v>1</v>
      </c>
      <c r="AK87" s="611">
        <f t="shared" si="59"/>
        <v>1</v>
      </c>
      <c r="AL87" s="611">
        <f t="shared" ca="1" si="60"/>
        <v>1</v>
      </c>
      <c r="AM87" s="611">
        <f t="shared" si="61"/>
        <v>1</v>
      </c>
      <c r="AN87" s="611">
        <f t="shared" ca="1" si="62"/>
        <v>1</v>
      </c>
      <c r="AO87" s="611">
        <f t="shared" si="63"/>
        <v>1</v>
      </c>
    </row>
    <row r="88" spans="1:41" s="612" customFormat="1" ht="18" customHeight="1">
      <c r="A88" s="611" t="str">
        <f ca="1">IF(C88=Retire!$D$12,"==&gt;","")</f>
        <v/>
      </c>
      <c r="C88" s="1192">
        <f t="shared" ca="1" si="40"/>
        <v>2094</v>
      </c>
      <c r="D88" s="1193">
        <f t="shared" ca="1" si="66"/>
        <v>83843.644073337287</v>
      </c>
      <c r="E88" s="1193">
        <f t="shared" ca="1" si="67"/>
        <v>76583.77877263556</v>
      </c>
      <c r="F88" s="1193">
        <f t="shared" ca="1" si="68"/>
        <v>59058.554190577401</v>
      </c>
      <c r="G88" s="1193">
        <f t="shared" ca="1" si="69"/>
        <v>0</v>
      </c>
      <c r="H88" s="1193">
        <f t="shared" ca="1" si="70"/>
        <v>0</v>
      </c>
      <c r="I88" s="1193">
        <f t="shared" ca="1" si="71"/>
        <v>0</v>
      </c>
      <c r="J88" s="1193">
        <f t="shared" ca="1" si="72"/>
        <v>0</v>
      </c>
      <c r="K88" s="1193">
        <f t="shared" ca="1" si="73"/>
        <v>0</v>
      </c>
      <c r="L88" s="1193">
        <f t="shared" ca="1" si="74"/>
        <v>0</v>
      </c>
      <c r="M88" s="1193">
        <f t="shared" ca="1" si="75"/>
        <v>0</v>
      </c>
      <c r="N88" s="1066">
        <v>0</v>
      </c>
      <c r="O88" s="1188">
        <f ca="1">IF(Rental!Q109&gt;0,Rental!Q109,0)</f>
        <v>0</v>
      </c>
      <c r="P88" s="1189"/>
      <c r="Q88" s="1193">
        <f t="shared" ca="1" si="41"/>
        <v>219485.97703655023</v>
      </c>
      <c r="R88" s="1193">
        <f t="shared" ca="1" si="42"/>
        <v>195421.86360965431</v>
      </c>
      <c r="S88" s="1188">
        <f t="shared" ca="1" si="43"/>
        <v>24064.113426895929</v>
      </c>
      <c r="T88" s="1201">
        <f t="shared" ca="1" si="64"/>
        <v>126</v>
      </c>
      <c r="U88" s="1201">
        <f t="shared" ca="1" si="65"/>
        <v>124</v>
      </c>
      <c r="V88" s="611">
        <f t="shared" ca="1" si="44"/>
        <v>1</v>
      </c>
      <c r="W88" s="611">
        <f t="shared" si="45"/>
        <v>1</v>
      </c>
      <c r="X88" s="611">
        <f t="shared" ca="1" si="46"/>
        <v>1</v>
      </c>
      <c r="Y88" s="611">
        <f t="shared" si="47"/>
        <v>1</v>
      </c>
      <c r="Z88" s="611">
        <f t="shared" ca="1" si="48"/>
        <v>1</v>
      </c>
      <c r="AA88" s="611">
        <f t="shared" si="49"/>
        <v>1</v>
      </c>
      <c r="AB88" s="611">
        <f t="shared" ca="1" si="50"/>
        <v>1</v>
      </c>
      <c r="AC88" s="611">
        <f t="shared" ca="1" si="51"/>
        <v>0</v>
      </c>
      <c r="AD88" s="611">
        <f t="shared" ca="1" si="52"/>
        <v>1</v>
      </c>
      <c r="AE88" s="611">
        <f t="shared" ca="1" si="53"/>
        <v>0</v>
      </c>
      <c r="AF88" s="611">
        <f t="shared" ca="1" si="54"/>
        <v>1</v>
      </c>
      <c r="AG88" s="611">
        <f t="shared" si="55"/>
        <v>1</v>
      </c>
      <c r="AH88" s="611">
        <f t="shared" ca="1" si="56"/>
        <v>1</v>
      </c>
      <c r="AI88" s="611">
        <f t="shared" si="57"/>
        <v>1</v>
      </c>
      <c r="AJ88" s="611">
        <f t="shared" ca="1" si="58"/>
        <v>1</v>
      </c>
      <c r="AK88" s="611">
        <f t="shared" si="59"/>
        <v>1</v>
      </c>
      <c r="AL88" s="611">
        <f t="shared" ca="1" si="60"/>
        <v>1</v>
      </c>
      <c r="AM88" s="611">
        <f t="shared" si="61"/>
        <v>1</v>
      </c>
      <c r="AN88" s="611">
        <f t="shared" ca="1" si="62"/>
        <v>1</v>
      </c>
      <c r="AO88" s="611">
        <f t="shared" si="63"/>
        <v>1</v>
      </c>
    </row>
    <row r="89" spans="1:41" s="612" customFormat="1" ht="18" customHeight="1">
      <c r="A89" s="611" t="str">
        <f ca="1">IF(C89=Retire!$D$12,"==&gt;","")</f>
        <v/>
      </c>
      <c r="C89" s="1194">
        <f t="shared" ca="1" si="40"/>
        <v>2095</v>
      </c>
      <c r="D89" s="1195">
        <f t="shared" ca="1" si="66"/>
        <v>84941.995810698005</v>
      </c>
      <c r="E89" s="1195">
        <f t="shared" ca="1" si="67"/>
        <v>77587.02627455708</v>
      </c>
      <c r="F89" s="1195">
        <f t="shared" ca="1" si="68"/>
        <v>60239.725274388948</v>
      </c>
      <c r="G89" s="1195">
        <f t="shared" ca="1" si="69"/>
        <v>0</v>
      </c>
      <c r="H89" s="1195">
        <f t="shared" ca="1" si="70"/>
        <v>0</v>
      </c>
      <c r="I89" s="1195">
        <f t="shared" ca="1" si="71"/>
        <v>0</v>
      </c>
      <c r="J89" s="1195">
        <f t="shared" ca="1" si="72"/>
        <v>0</v>
      </c>
      <c r="K89" s="1195">
        <f t="shared" ca="1" si="73"/>
        <v>0</v>
      </c>
      <c r="L89" s="1195">
        <f t="shared" ca="1" si="74"/>
        <v>0</v>
      </c>
      <c r="M89" s="1195">
        <f t="shared" ca="1" si="75"/>
        <v>0</v>
      </c>
      <c r="N89" s="1066">
        <v>0</v>
      </c>
      <c r="O89" s="1196">
        <f ca="1">IF(Rental!Q110&gt;0,Rental!Q110,0)</f>
        <v>0</v>
      </c>
      <c r="P89" s="1189"/>
      <c r="Q89" s="1195">
        <f t="shared" ca="1" si="41"/>
        <v>222768.74735964401</v>
      </c>
      <c r="R89" s="1195">
        <f t="shared" ca="1" si="42"/>
        <v>198389.39404685577</v>
      </c>
      <c r="S89" s="1196">
        <f t="shared" ca="1" si="43"/>
        <v>24379.35331278824</v>
      </c>
      <c r="T89" s="1202">
        <f t="shared" ca="1" si="64"/>
        <v>127</v>
      </c>
      <c r="U89" s="1202">
        <f t="shared" ca="1" si="65"/>
        <v>125</v>
      </c>
      <c r="V89" s="611">
        <f t="shared" ca="1" si="44"/>
        <v>1</v>
      </c>
      <c r="W89" s="611">
        <f t="shared" si="45"/>
        <v>1</v>
      </c>
      <c r="X89" s="611">
        <f t="shared" ca="1" si="46"/>
        <v>1</v>
      </c>
      <c r="Y89" s="611">
        <f t="shared" si="47"/>
        <v>1</v>
      </c>
      <c r="Z89" s="611">
        <f t="shared" ca="1" si="48"/>
        <v>1</v>
      </c>
      <c r="AA89" s="611">
        <f t="shared" si="49"/>
        <v>1</v>
      </c>
      <c r="AB89" s="611">
        <f t="shared" ca="1" si="50"/>
        <v>1</v>
      </c>
      <c r="AC89" s="611">
        <f t="shared" ca="1" si="51"/>
        <v>0</v>
      </c>
      <c r="AD89" s="611">
        <f t="shared" ca="1" si="52"/>
        <v>1</v>
      </c>
      <c r="AE89" s="611">
        <f t="shared" ca="1" si="53"/>
        <v>0</v>
      </c>
      <c r="AF89" s="611">
        <f t="shared" ca="1" si="54"/>
        <v>1</v>
      </c>
      <c r="AG89" s="611">
        <f t="shared" si="55"/>
        <v>1</v>
      </c>
      <c r="AH89" s="611">
        <f t="shared" ca="1" si="56"/>
        <v>1</v>
      </c>
      <c r="AI89" s="611">
        <f t="shared" si="57"/>
        <v>1</v>
      </c>
      <c r="AJ89" s="611">
        <f t="shared" ca="1" si="58"/>
        <v>1</v>
      </c>
      <c r="AK89" s="611">
        <f t="shared" si="59"/>
        <v>1</v>
      </c>
      <c r="AL89" s="611">
        <f t="shared" ca="1" si="60"/>
        <v>1</v>
      </c>
      <c r="AM89" s="611">
        <f t="shared" si="61"/>
        <v>1</v>
      </c>
      <c r="AN89" s="611">
        <f t="shared" ca="1" si="62"/>
        <v>1</v>
      </c>
      <c r="AO89" s="611">
        <f t="shared" si="63"/>
        <v>1</v>
      </c>
    </row>
    <row r="90" spans="1:41" s="612" customFormat="1" ht="18" customHeight="1">
      <c r="A90" s="611" t="str">
        <f ca="1">IF(C90=Retire!$D$12,"==&gt;","")</f>
        <v/>
      </c>
      <c r="C90" s="1192">
        <f t="shared" ca="1" si="40"/>
        <v>2096</v>
      </c>
      <c r="D90" s="1193">
        <f t="shared" ca="1" si="66"/>
        <v>86054.735955818149</v>
      </c>
      <c r="E90" s="1193">
        <f t="shared" ca="1" si="67"/>
        <v>78603.416318753778</v>
      </c>
      <c r="F90" s="1193">
        <f t="shared" ca="1" si="68"/>
        <v>61444.519779876726</v>
      </c>
      <c r="G90" s="1193">
        <f t="shared" ca="1" si="69"/>
        <v>0</v>
      </c>
      <c r="H90" s="1193">
        <f t="shared" ca="1" si="70"/>
        <v>0</v>
      </c>
      <c r="I90" s="1193">
        <f t="shared" ca="1" si="71"/>
        <v>0</v>
      </c>
      <c r="J90" s="1193">
        <f t="shared" ca="1" si="72"/>
        <v>0</v>
      </c>
      <c r="K90" s="1193">
        <f t="shared" ca="1" si="73"/>
        <v>0</v>
      </c>
      <c r="L90" s="1193">
        <f t="shared" ca="1" si="74"/>
        <v>0</v>
      </c>
      <c r="M90" s="1193">
        <f t="shared" ca="1" si="75"/>
        <v>0</v>
      </c>
      <c r="N90" s="1066">
        <v>0</v>
      </c>
      <c r="O90" s="1188">
        <f ca="1">IF(Rental!Q111&gt;0,Rental!Q111,0)</f>
        <v>0</v>
      </c>
      <c r="P90" s="1189"/>
      <c r="Q90" s="1193">
        <f t="shared" ca="1" si="41"/>
        <v>226102.67205444866</v>
      </c>
      <c r="R90" s="1193">
        <f t="shared" ca="1" si="42"/>
        <v>201403.94921326285</v>
      </c>
      <c r="S90" s="1188">
        <f t="shared" ca="1" si="43"/>
        <v>24698.722841185809</v>
      </c>
      <c r="T90" s="1201">
        <f t="shared" ca="1" si="64"/>
        <v>128</v>
      </c>
      <c r="U90" s="1201">
        <f t="shared" ca="1" si="65"/>
        <v>126</v>
      </c>
      <c r="V90" s="611">
        <f t="shared" ca="1" si="44"/>
        <v>1</v>
      </c>
      <c r="W90" s="611">
        <f t="shared" si="45"/>
        <v>1</v>
      </c>
      <c r="X90" s="611">
        <f t="shared" ca="1" si="46"/>
        <v>1</v>
      </c>
      <c r="Y90" s="611">
        <f t="shared" si="47"/>
        <v>1</v>
      </c>
      <c r="Z90" s="611">
        <f t="shared" ca="1" si="48"/>
        <v>1</v>
      </c>
      <c r="AA90" s="611">
        <f t="shared" si="49"/>
        <v>1</v>
      </c>
      <c r="AB90" s="611">
        <f t="shared" ca="1" si="50"/>
        <v>1</v>
      </c>
      <c r="AC90" s="611">
        <f t="shared" ca="1" si="51"/>
        <v>0</v>
      </c>
      <c r="AD90" s="611">
        <f t="shared" ca="1" si="52"/>
        <v>1</v>
      </c>
      <c r="AE90" s="611">
        <f t="shared" ca="1" si="53"/>
        <v>0</v>
      </c>
      <c r="AF90" s="611">
        <f t="shared" ca="1" si="54"/>
        <v>1</v>
      </c>
      <c r="AG90" s="611">
        <f t="shared" si="55"/>
        <v>1</v>
      </c>
      <c r="AH90" s="611">
        <f t="shared" ca="1" si="56"/>
        <v>1</v>
      </c>
      <c r="AI90" s="611">
        <f t="shared" si="57"/>
        <v>1</v>
      </c>
      <c r="AJ90" s="611">
        <f t="shared" ca="1" si="58"/>
        <v>1</v>
      </c>
      <c r="AK90" s="611">
        <f t="shared" si="59"/>
        <v>1</v>
      </c>
      <c r="AL90" s="611">
        <f t="shared" ca="1" si="60"/>
        <v>1</v>
      </c>
      <c r="AM90" s="611">
        <f t="shared" si="61"/>
        <v>1</v>
      </c>
      <c r="AN90" s="611">
        <f t="shared" ca="1" si="62"/>
        <v>1</v>
      </c>
      <c r="AO90" s="611">
        <f t="shared" si="63"/>
        <v>1</v>
      </c>
    </row>
    <row r="91" spans="1:41" s="612" customFormat="1" ht="18" customHeight="1">
      <c r="A91" s="611" t="str">
        <f ca="1">IF(C91=Retire!$D$12,"==&gt;","")</f>
        <v/>
      </c>
      <c r="C91" s="1194">
        <f t="shared" ca="1" si="40"/>
        <v>2097</v>
      </c>
      <c r="D91" s="1195">
        <f t="shared" ca="1" si="66"/>
        <v>87182.052996839368</v>
      </c>
      <c r="E91" s="1195">
        <f t="shared" ca="1" si="67"/>
        <v>79633.121072529451</v>
      </c>
      <c r="F91" s="1195">
        <f t="shared" ca="1" si="68"/>
        <v>62673.410175474259</v>
      </c>
      <c r="G91" s="1195">
        <f t="shared" ca="1" si="69"/>
        <v>0</v>
      </c>
      <c r="H91" s="1195">
        <f t="shared" ca="1" si="70"/>
        <v>0</v>
      </c>
      <c r="I91" s="1195">
        <f t="shared" ca="1" si="71"/>
        <v>0</v>
      </c>
      <c r="J91" s="1195">
        <f t="shared" ca="1" si="72"/>
        <v>0</v>
      </c>
      <c r="K91" s="1195">
        <f t="shared" ca="1" si="73"/>
        <v>0</v>
      </c>
      <c r="L91" s="1195">
        <f t="shared" ca="1" si="74"/>
        <v>0</v>
      </c>
      <c r="M91" s="1195">
        <f t="shared" ca="1" si="75"/>
        <v>0</v>
      </c>
      <c r="N91" s="1066">
        <v>0</v>
      </c>
      <c r="O91" s="1196">
        <f ca="1">IF(Rental!Q112&gt;0,Rental!Q112,0)</f>
        <v>0</v>
      </c>
      <c r="P91" s="1189"/>
      <c r="Q91" s="1195">
        <f t="shared" ca="1" si="41"/>
        <v>229488.58424484305</v>
      </c>
      <c r="R91" s="1195">
        <f t="shared" ca="1" si="42"/>
        <v>204466.30813443777</v>
      </c>
      <c r="S91" s="1196">
        <f t="shared" ca="1" si="43"/>
        <v>25022.276110405277</v>
      </c>
      <c r="T91" s="1202">
        <f t="shared" ca="1" si="64"/>
        <v>129</v>
      </c>
      <c r="U91" s="1202">
        <f t="shared" ca="1" si="65"/>
        <v>127</v>
      </c>
      <c r="V91" s="611">
        <f t="shared" ca="1" si="44"/>
        <v>1</v>
      </c>
      <c r="W91" s="611">
        <f t="shared" si="45"/>
        <v>1</v>
      </c>
      <c r="X91" s="611">
        <f t="shared" ca="1" si="46"/>
        <v>1</v>
      </c>
      <c r="Y91" s="611">
        <f t="shared" si="47"/>
        <v>1</v>
      </c>
      <c r="Z91" s="611">
        <f t="shared" ca="1" si="48"/>
        <v>1</v>
      </c>
      <c r="AA91" s="611">
        <f t="shared" si="49"/>
        <v>1</v>
      </c>
      <c r="AB91" s="611">
        <f t="shared" ca="1" si="50"/>
        <v>1</v>
      </c>
      <c r="AC91" s="611">
        <f t="shared" ca="1" si="51"/>
        <v>0</v>
      </c>
      <c r="AD91" s="611">
        <f t="shared" ca="1" si="52"/>
        <v>1</v>
      </c>
      <c r="AE91" s="611">
        <f t="shared" ca="1" si="53"/>
        <v>0</v>
      </c>
      <c r="AF91" s="611">
        <f t="shared" ca="1" si="54"/>
        <v>1</v>
      </c>
      <c r="AG91" s="611">
        <f t="shared" si="55"/>
        <v>1</v>
      </c>
      <c r="AH91" s="611">
        <f t="shared" ca="1" si="56"/>
        <v>1</v>
      </c>
      <c r="AI91" s="611">
        <f t="shared" si="57"/>
        <v>1</v>
      </c>
      <c r="AJ91" s="611">
        <f t="shared" ca="1" si="58"/>
        <v>1</v>
      </c>
      <c r="AK91" s="611">
        <f t="shared" si="59"/>
        <v>1</v>
      </c>
      <c r="AL91" s="611">
        <f t="shared" ca="1" si="60"/>
        <v>1</v>
      </c>
      <c r="AM91" s="611">
        <f t="shared" si="61"/>
        <v>1</v>
      </c>
      <c r="AN91" s="611">
        <f t="shared" ca="1" si="62"/>
        <v>1</v>
      </c>
      <c r="AO91" s="611">
        <f t="shared" si="63"/>
        <v>1</v>
      </c>
    </row>
    <row r="92" spans="1:41" s="612" customFormat="1" ht="18" customHeight="1">
      <c r="A92" s="611" t="str">
        <f ca="1">IF(C92=Retire!$D$12,"==&gt;","")</f>
        <v/>
      </c>
      <c r="C92" s="1192">
        <f t="shared" ca="1" si="40"/>
        <v>2098</v>
      </c>
      <c r="D92" s="1193">
        <f t="shared" ca="1" si="66"/>
        <v>88324.137891097969</v>
      </c>
      <c r="E92" s="1193">
        <f t="shared" ca="1" si="67"/>
        <v>80676.314958579591</v>
      </c>
      <c r="F92" s="1193">
        <f t="shared" ca="1" si="68"/>
        <v>63926.878378983747</v>
      </c>
      <c r="G92" s="1193">
        <f t="shared" ca="1" si="69"/>
        <v>0</v>
      </c>
      <c r="H92" s="1193">
        <f t="shared" ca="1" si="70"/>
        <v>0</v>
      </c>
      <c r="I92" s="1193">
        <f t="shared" ca="1" si="71"/>
        <v>0</v>
      </c>
      <c r="J92" s="1193">
        <f t="shared" ca="1" si="72"/>
        <v>0</v>
      </c>
      <c r="K92" s="1193">
        <f t="shared" ca="1" si="73"/>
        <v>0</v>
      </c>
      <c r="L92" s="1193">
        <f t="shared" ca="1" si="74"/>
        <v>0</v>
      </c>
      <c r="M92" s="1193">
        <f t="shared" ca="1" si="75"/>
        <v>0</v>
      </c>
      <c r="N92" s="1066">
        <v>0</v>
      </c>
      <c r="O92" s="1188">
        <f ca="1">IF(Rental!Q113&gt;0,Rental!Q113,0)</f>
        <v>0</v>
      </c>
      <c r="P92" s="1189"/>
      <c r="Q92" s="1193">
        <f t="shared" ca="1" si="41"/>
        <v>232927.33122866129</v>
      </c>
      <c r="R92" s="1193">
        <f t="shared" ca="1" si="42"/>
        <v>207577.26330120966</v>
      </c>
      <c r="S92" s="1188">
        <f t="shared" ca="1" si="43"/>
        <v>25350.06792745163</v>
      </c>
      <c r="T92" s="1201">
        <f t="shared" ca="1" si="64"/>
        <v>130</v>
      </c>
      <c r="U92" s="1201">
        <f t="shared" ca="1" si="65"/>
        <v>128</v>
      </c>
      <c r="V92" s="611">
        <f t="shared" ca="1" si="44"/>
        <v>1</v>
      </c>
      <c r="W92" s="611">
        <f t="shared" si="45"/>
        <v>1</v>
      </c>
      <c r="X92" s="611">
        <f t="shared" ca="1" si="46"/>
        <v>1</v>
      </c>
      <c r="Y92" s="611">
        <f t="shared" si="47"/>
        <v>1</v>
      </c>
      <c r="Z92" s="611">
        <f t="shared" ca="1" si="48"/>
        <v>1</v>
      </c>
      <c r="AA92" s="611">
        <f t="shared" si="49"/>
        <v>1</v>
      </c>
      <c r="AB92" s="611">
        <f t="shared" ca="1" si="50"/>
        <v>1</v>
      </c>
      <c r="AC92" s="611">
        <f t="shared" ca="1" si="51"/>
        <v>0</v>
      </c>
      <c r="AD92" s="611">
        <f t="shared" ca="1" si="52"/>
        <v>1</v>
      </c>
      <c r="AE92" s="611">
        <f t="shared" ca="1" si="53"/>
        <v>0</v>
      </c>
      <c r="AF92" s="611">
        <f t="shared" ca="1" si="54"/>
        <v>1</v>
      </c>
      <c r="AG92" s="611">
        <f t="shared" si="55"/>
        <v>1</v>
      </c>
      <c r="AH92" s="611">
        <f t="shared" ca="1" si="56"/>
        <v>1</v>
      </c>
      <c r="AI92" s="611">
        <f t="shared" si="57"/>
        <v>1</v>
      </c>
      <c r="AJ92" s="611">
        <f t="shared" ca="1" si="58"/>
        <v>1</v>
      </c>
      <c r="AK92" s="611">
        <f t="shared" si="59"/>
        <v>1</v>
      </c>
      <c r="AL92" s="611">
        <f t="shared" ca="1" si="60"/>
        <v>1</v>
      </c>
      <c r="AM92" s="611">
        <f t="shared" si="61"/>
        <v>1</v>
      </c>
      <c r="AN92" s="611">
        <f t="shared" ca="1" si="62"/>
        <v>1</v>
      </c>
      <c r="AO92" s="611">
        <f t="shared" si="63"/>
        <v>1</v>
      </c>
    </row>
    <row r="93" spans="1:41" s="612" customFormat="1" ht="18" customHeight="1">
      <c r="A93" s="611" t="str">
        <f ca="1">IF(C93=Retire!$D$12,"==&gt;","")</f>
        <v/>
      </c>
      <c r="C93" s="1194">
        <f t="shared" ca="1" si="40"/>
        <v>2099</v>
      </c>
      <c r="D93" s="1195">
        <f t="shared" ca="1" si="66"/>
        <v>89481.184097471356</v>
      </c>
      <c r="E93" s="1195">
        <f t="shared" ca="1" si="67"/>
        <v>81733.174684536978</v>
      </c>
      <c r="F93" s="1195">
        <f t="shared" ca="1" si="68"/>
        <v>65205.415946563422</v>
      </c>
      <c r="G93" s="1195">
        <f t="shared" ca="1" si="69"/>
        <v>0</v>
      </c>
      <c r="H93" s="1195">
        <f t="shared" ca="1" si="70"/>
        <v>0</v>
      </c>
      <c r="I93" s="1195">
        <f t="shared" ca="1" si="71"/>
        <v>0</v>
      </c>
      <c r="J93" s="1195">
        <f t="shared" ca="1" si="72"/>
        <v>0</v>
      </c>
      <c r="K93" s="1195">
        <f t="shared" ca="1" si="73"/>
        <v>0</v>
      </c>
      <c r="L93" s="1195">
        <f t="shared" ca="1" si="74"/>
        <v>0</v>
      </c>
      <c r="M93" s="1195">
        <f t="shared" ca="1" si="75"/>
        <v>0</v>
      </c>
      <c r="N93" s="1066">
        <v>0</v>
      </c>
      <c r="O93" s="1196">
        <f ca="1">IF(Rental!Q114&gt;0,Rental!Q114,0)</f>
        <v>0</v>
      </c>
      <c r="P93" s="1189"/>
      <c r="Q93" s="1195">
        <f t="shared" ca="1" si="41"/>
        <v>236419.77472857176</v>
      </c>
      <c r="R93" s="1195">
        <f t="shared" ca="1" si="42"/>
        <v>210737.6209112705</v>
      </c>
      <c r="S93" s="1196">
        <f t="shared" ca="1" si="43"/>
        <v>25682.153817301267</v>
      </c>
      <c r="T93" s="1202">
        <f t="shared" ca="1" si="64"/>
        <v>131</v>
      </c>
      <c r="U93" s="1202">
        <f t="shared" ca="1" si="65"/>
        <v>129</v>
      </c>
      <c r="V93" s="611">
        <f t="shared" ca="1" si="44"/>
        <v>1</v>
      </c>
      <c r="W93" s="611">
        <f t="shared" si="45"/>
        <v>1</v>
      </c>
      <c r="X93" s="611">
        <f t="shared" ca="1" si="46"/>
        <v>1</v>
      </c>
      <c r="Y93" s="611">
        <f t="shared" si="47"/>
        <v>1</v>
      </c>
      <c r="Z93" s="611">
        <f t="shared" ca="1" si="48"/>
        <v>1</v>
      </c>
      <c r="AA93" s="611">
        <f t="shared" si="49"/>
        <v>1</v>
      </c>
      <c r="AB93" s="611">
        <f t="shared" ca="1" si="50"/>
        <v>1</v>
      </c>
      <c r="AC93" s="611">
        <f t="shared" ca="1" si="51"/>
        <v>0</v>
      </c>
      <c r="AD93" s="611">
        <f t="shared" ca="1" si="52"/>
        <v>1</v>
      </c>
      <c r="AE93" s="611">
        <f t="shared" ca="1" si="53"/>
        <v>0</v>
      </c>
      <c r="AF93" s="611">
        <f t="shared" ca="1" si="54"/>
        <v>1</v>
      </c>
      <c r="AG93" s="611">
        <f t="shared" si="55"/>
        <v>1</v>
      </c>
      <c r="AH93" s="611">
        <f t="shared" ca="1" si="56"/>
        <v>1</v>
      </c>
      <c r="AI93" s="611">
        <f t="shared" si="57"/>
        <v>1</v>
      </c>
      <c r="AJ93" s="611">
        <f t="shared" ca="1" si="58"/>
        <v>1</v>
      </c>
      <c r="AK93" s="611">
        <f t="shared" si="59"/>
        <v>1</v>
      </c>
      <c r="AL93" s="611">
        <f t="shared" ca="1" si="60"/>
        <v>1</v>
      </c>
      <c r="AM93" s="611">
        <f t="shared" si="61"/>
        <v>1</v>
      </c>
      <c r="AN93" s="611">
        <f t="shared" ca="1" si="62"/>
        <v>1</v>
      </c>
      <c r="AO93" s="611">
        <f t="shared" si="63"/>
        <v>1</v>
      </c>
    </row>
    <row r="94" spans="1:41" s="612" customFormat="1" ht="18" customHeight="1">
      <c r="A94" s="611" t="str">
        <f ca="1">IF(C94=Retire!$D$12,"==&gt;","")</f>
        <v/>
      </c>
      <c r="C94" s="1192">
        <f t="shared" ca="1" si="40"/>
        <v>2100</v>
      </c>
      <c r="D94" s="1193">
        <f t="shared" ca="1" si="66"/>
        <v>90653.387609148223</v>
      </c>
      <c r="E94" s="1193">
        <f t="shared" ca="1" si="67"/>
        <v>82803.879272904407</v>
      </c>
      <c r="F94" s="1193">
        <f t="shared" ca="1" si="68"/>
        <v>66509.524265494692</v>
      </c>
      <c r="G94" s="1193">
        <f t="shared" ca="1" si="69"/>
        <v>0</v>
      </c>
      <c r="H94" s="1193">
        <f t="shared" ca="1" si="70"/>
        <v>0</v>
      </c>
      <c r="I94" s="1193">
        <f t="shared" ca="1" si="71"/>
        <v>0</v>
      </c>
      <c r="J94" s="1193">
        <f t="shared" ca="1" si="72"/>
        <v>0</v>
      </c>
      <c r="K94" s="1193">
        <f t="shared" ca="1" si="73"/>
        <v>0</v>
      </c>
      <c r="L94" s="1193">
        <f t="shared" ca="1" si="74"/>
        <v>0</v>
      </c>
      <c r="M94" s="1193">
        <f t="shared" ca="1" si="75"/>
        <v>0</v>
      </c>
      <c r="N94" s="1066">
        <v>0</v>
      </c>
      <c r="O94" s="1188">
        <f ca="1">IF(Rental!Q115&gt;0,Rental!Q115,0)</f>
        <v>0</v>
      </c>
      <c r="P94" s="1189"/>
      <c r="Q94" s="1193">
        <f t="shared" ca="1" si="41"/>
        <v>239966.79114754734</v>
      </c>
      <c r="R94" s="1193">
        <f t="shared" ca="1" si="42"/>
        <v>213948.20111523944</v>
      </c>
      <c r="S94" s="1188">
        <f t="shared" ca="1" si="43"/>
        <v>26018.590032307897</v>
      </c>
      <c r="T94" s="1201">
        <f t="shared" ca="1" si="64"/>
        <v>132</v>
      </c>
      <c r="U94" s="1201">
        <f t="shared" ca="1" si="65"/>
        <v>130</v>
      </c>
      <c r="V94" s="611">
        <f t="shared" ca="1" si="44"/>
        <v>1</v>
      </c>
      <c r="W94" s="611">
        <f t="shared" si="45"/>
        <v>1</v>
      </c>
      <c r="X94" s="611">
        <f t="shared" ca="1" si="46"/>
        <v>1</v>
      </c>
      <c r="Y94" s="611">
        <f t="shared" si="47"/>
        <v>1</v>
      </c>
      <c r="Z94" s="611">
        <f t="shared" ca="1" si="48"/>
        <v>1</v>
      </c>
      <c r="AA94" s="611">
        <f t="shared" si="49"/>
        <v>1</v>
      </c>
      <c r="AB94" s="611">
        <f t="shared" ca="1" si="50"/>
        <v>1</v>
      </c>
      <c r="AC94" s="611">
        <f t="shared" ca="1" si="51"/>
        <v>0</v>
      </c>
      <c r="AD94" s="611">
        <f t="shared" ca="1" si="52"/>
        <v>1</v>
      </c>
      <c r="AE94" s="611">
        <f t="shared" ca="1" si="53"/>
        <v>0</v>
      </c>
      <c r="AF94" s="611">
        <f t="shared" ca="1" si="54"/>
        <v>1</v>
      </c>
      <c r="AG94" s="611">
        <f t="shared" si="55"/>
        <v>1</v>
      </c>
      <c r="AH94" s="611">
        <f t="shared" ca="1" si="56"/>
        <v>1</v>
      </c>
      <c r="AI94" s="611">
        <f t="shared" si="57"/>
        <v>1</v>
      </c>
      <c r="AJ94" s="611">
        <f t="shared" ca="1" si="58"/>
        <v>1</v>
      </c>
      <c r="AK94" s="611">
        <f t="shared" si="59"/>
        <v>1</v>
      </c>
      <c r="AL94" s="611">
        <f t="shared" ca="1" si="60"/>
        <v>1</v>
      </c>
      <c r="AM94" s="611">
        <f t="shared" si="61"/>
        <v>1</v>
      </c>
      <c r="AN94" s="611">
        <f t="shared" ca="1" si="62"/>
        <v>1</v>
      </c>
      <c r="AO94" s="611">
        <f t="shared" si="63"/>
        <v>1</v>
      </c>
    </row>
    <row r="95" spans="1:41" s="612" customFormat="1" ht="18" customHeight="1">
      <c r="A95" s="611" t="str">
        <f ca="1">IF(C95=Retire!$D$12,"==&gt;","")</f>
        <v/>
      </c>
      <c r="C95" s="1194">
        <f t="shared" ca="1" si="40"/>
        <v>2101</v>
      </c>
      <c r="D95" s="1195">
        <f t="shared" ca="1" si="66"/>
        <v>91840.946986828072</v>
      </c>
      <c r="E95" s="1195">
        <f t="shared" ca="1" si="67"/>
        <v>83888.610091379451</v>
      </c>
      <c r="F95" s="1195">
        <f t="shared" ca="1" si="68"/>
        <v>67839.714750804589</v>
      </c>
      <c r="G95" s="1195">
        <f t="shared" ca="1" si="69"/>
        <v>0</v>
      </c>
      <c r="H95" s="1195">
        <f t="shared" ca="1" si="70"/>
        <v>0</v>
      </c>
      <c r="I95" s="1195">
        <f t="shared" ca="1" si="71"/>
        <v>0</v>
      </c>
      <c r="J95" s="1195">
        <f t="shared" ca="1" si="72"/>
        <v>0</v>
      </c>
      <c r="K95" s="1195">
        <f t="shared" ca="1" si="73"/>
        <v>0</v>
      </c>
      <c r="L95" s="1195">
        <f t="shared" ca="1" si="74"/>
        <v>0</v>
      </c>
      <c r="M95" s="1195">
        <f t="shared" ca="1" si="75"/>
        <v>0</v>
      </c>
      <c r="N95" s="1066">
        <v>0</v>
      </c>
      <c r="O95" s="1196">
        <f ca="1">IF(Rental!Q116&gt;0,Rental!Q116,0)</f>
        <v>0</v>
      </c>
      <c r="P95" s="1189"/>
      <c r="Q95" s="1195">
        <f t="shared" ca="1" si="41"/>
        <v>243569.27182901211</v>
      </c>
      <c r="R95" s="1195">
        <f t="shared" ca="1" si="42"/>
        <v>217209.83826728098</v>
      </c>
      <c r="S95" s="1196">
        <f t="shared" ca="1" si="43"/>
        <v>26359.43356173113</v>
      </c>
      <c r="T95" s="1202">
        <f t="shared" ca="1" si="64"/>
        <v>133</v>
      </c>
      <c r="U95" s="1202">
        <f t="shared" ca="1" si="65"/>
        <v>131</v>
      </c>
      <c r="V95" s="611">
        <f t="shared" ca="1" si="44"/>
        <v>1</v>
      </c>
      <c r="W95" s="611">
        <f t="shared" si="45"/>
        <v>1</v>
      </c>
      <c r="X95" s="611">
        <f t="shared" ca="1" si="46"/>
        <v>1</v>
      </c>
      <c r="Y95" s="611">
        <f t="shared" si="47"/>
        <v>1</v>
      </c>
      <c r="Z95" s="611">
        <f t="shared" ca="1" si="48"/>
        <v>1</v>
      </c>
      <c r="AA95" s="611">
        <f t="shared" si="49"/>
        <v>1</v>
      </c>
      <c r="AB95" s="611">
        <f t="shared" ca="1" si="50"/>
        <v>1</v>
      </c>
      <c r="AC95" s="611">
        <f t="shared" ca="1" si="51"/>
        <v>0</v>
      </c>
      <c r="AD95" s="611">
        <f t="shared" ca="1" si="52"/>
        <v>1</v>
      </c>
      <c r="AE95" s="611">
        <f t="shared" ca="1" si="53"/>
        <v>0</v>
      </c>
      <c r="AF95" s="611">
        <f t="shared" ca="1" si="54"/>
        <v>1</v>
      </c>
      <c r="AG95" s="611">
        <f t="shared" si="55"/>
        <v>1</v>
      </c>
      <c r="AH95" s="611">
        <f t="shared" ca="1" si="56"/>
        <v>1</v>
      </c>
      <c r="AI95" s="611">
        <f t="shared" si="57"/>
        <v>1</v>
      </c>
      <c r="AJ95" s="611">
        <f t="shared" ca="1" si="58"/>
        <v>1</v>
      </c>
      <c r="AK95" s="611">
        <f t="shared" si="59"/>
        <v>1</v>
      </c>
      <c r="AL95" s="611">
        <f t="shared" ca="1" si="60"/>
        <v>1</v>
      </c>
      <c r="AM95" s="611">
        <f t="shared" si="61"/>
        <v>1</v>
      </c>
      <c r="AN95" s="611">
        <f t="shared" ca="1" si="62"/>
        <v>1</v>
      </c>
      <c r="AO95" s="611">
        <f t="shared" si="63"/>
        <v>1</v>
      </c>
    </row>
    <row r="96" spans="1:41" s="612" customFormat="1" ht="18" customHeight="1">
      <c r="A96" s="611" t="str">
        <f ca="1">IF(C96=Retire!$D$12,"==&gt;","")</f>
        <v/>
      </c>
      <c r="C96" s="1192">
        <f t="shared" ca="1" si="40"/>
        <v>2102</v>
      </c>
      <c r="D96" s="1193">
        <f t="shared" ca="1" si="66"/>
        <v>93044.063392355514</v>
      </c>
      <c r="E96" s="1193">
        <f t="shared" ca="1" si="67"/>
        <v>84987.550883576521</v>
      </c>
      <c r="F96" s="1193">
        <f t="shared" ca="1" si="68"/>
        <v>69196.509045820683</v>
      </c>
      <c r="G96" s="1193">
        <f t="shared" ca="1" si="69"/>
        <v>0</v>
      </c>
      <c r="H96" s="1193">
        <f t="shared" ca="1" si="70"/>
        <v>0</v>
      </c>
      <c r="I96" s="1193">
        <f t="shared" ca="1" si="71"/>
        <v>0</v>
      </c>
      <c r="J96" s="1193">
        <f t="shared" ca="1" si="72"/>
        <v>0</v>
      </c>
      <c r="K96" s="1193">
        <f t="shared" ca="1" si="73"/>
        <v>0</v>
      </c>
      <c r="L96" s="1193">
        <f t="shared" ca="1" si="74"/>
        <v>0</v>
      </c>
      <c r="M96" s="1193">
        <f t="shared" ca="1" si="75"/>
        <v>0</v>
      </c>
      <c r="N96" s="1066">
        <v>0</v>
      </c>
      <c r="O96" s="1188">
        <f ca="1">IF(Rental!Q117&gt;0,Rental!Q117,0)</f>
        <v>0</v>
      </c>
      <c r="P96" s="1189"/>
      <c r="Q96" s="1193">
        <f t="shared" ca="1" si="41"/>
        <v>247228.1233217527</v>
      </c>
      <c r="R96" s="1193">
        <f t="shared" ca="1" si="42"/>
        <v>220523.38118036289</v>
      </c>
      <c r="S96" s="1188">
        <f t="shared" ca="1" si="43"/>
        <v>26704.742141389812</v>
      </c>
      <c r="T96" s="1201">
        <f t="shared" ca="1" si="64"/>
        <v>134</v>
      </c>
      <c r="U96" s="1201">
        <f t="shared" ca="1" si="65"/>
        <v>132</v>
      </c>
      <c r="V96" s="611">
        <f t="shared" ca="1" si="44"/>
        <v>1</v>
      </c>
      <c r="W96" s="611">
        <f t="shared" si="45"/>
        <v>1</v>
      </c>
      <c r="X96" s="611">
        <f t="shared" ca="1" si="46"/>
        <v>1</v>
      </c>
      <c r="Y96" s="611">
        <f t="shared" si="47"/>
        <v>1</v>
      </c>
      <c r="Z96" s="611">
        <f t="shared" ca="1" si="48"/>
        <v>1</v>
      </c>
      <c r="AA96" s="611">
        <f t="shared" si="49"/>
        <v>1</v>
      </c>
      <c r="AB96" s="611">
        <f t="shared" ca="1" si="50"/>
        <v>1</v>
      </c>
      <c r="AC96" s="611">
        <f t="shared" ca="1" si="51"/>
        <v>0</v>
      </c>
      <c r="AD96" s="611">
        <f t="shared" ca="1" si="52"/>
        <v>1</v>
      </c>
      <c r="AE96" s="611">
        <f t="shared" ca="1" si="53"/>
        <v>0</v>
      </c>
      <c r="AF96" s="611">
        <f t="shared" ca="1" si="54"/>
        <v>1</v>
      </c>
      <c r="AG96" s="611">
        <f t="shared" si="55"/>
        <v>1</v>
      </c>
      <c r="AH96" s="611">
        <f t="shared" ca="1" si="56"/>
        <v>1</v>
      </c>
      <c r="AI96" s="611">
        <f t="shared" si="57"/>
        <v>1</v>
      </c>
      <c r="AJ96" s="611">
        <f t="shared" ca="1" si="58"/>
        <v>1</v>
      </c>
      <c r="AK96" s="611">
        <f t="shared" si="59"/>
        <v>1</v>
      </c>
      <c r="AL96" s="611">
        <f t="shared" ca="1" si="60"/>
        <v>1</v>
      </c>
      <c r="AM96" s="611">
        <f t="shared" si="61"/>
        <v>1</v>
      </c>
      <c r="AN96" s="611">
        <f t="shared" ca="1" si="62"/>
        <v>1</v>
      </c>
      <c r="AO96" s="611">
        <f t="shared" si="63"/>
        <v>1</v>
      </c>
    </row>
    <row r="97" spans="1:41" s="612" customFormat="1" ht="18" customHeight="1">
      <c r="A97" s="611" t="str">
        <f ca="1">IF(C97=Retire!$D$12,"==&gt;","")</f>
        <v/>
      </c>
      <c r="C97" s="1194">
        <f t="shared" ca="1" si="40"/>
        <v>2103</v>
      </c>
      <c r="D97" s="1195">
        <f t="shared" ca="1" si="66"/>
        <v>94262.940622795373</v>
      </c>
      <c r="E97" s="1195">
        <f t="shared" ca="1" si="67"/>
        <v>86100.88780015138</v>
      </c>
      <c r="F97" s="1195">
        <f t="shared" ca="1" si="68"/>
        <v>70580.4392267371</v>
      </c>
      <c r="G97" s="1195">
        <f t="shared" ca="1" si="69"/>
        <v>0</v>
      </c>
      <c r="H97" s="1195">
        <f t="shared" ca="1" si="70"/>
        <v>0</v>
      </c>
      <c r="I97" s="1195">
        <f t="shared" ca="1" si="71"/>
        <v>0</v>
      </c>
      <c r="J97" s="1195">
        <f t="shared" ca="1" si="72"/>
        <v>0</v>
      </c>
      <c r="K97" s="1195">
        <f t="shared" ca="1" si="73"/>
        <v>0</v>
      </c>
      <c r="L97" s="1195">
        <f t="shared" ca="1" si="74"/>
        <v>0</v>
      </c>
      <c r="M97" s="1195">
        <f t="shared" ca="1" si="75"/>
        <v>0</v>
      </c>
      <c r="N97" s="1066">
        <v>0</v>
      </c>
      <c r="O97" s="1196">
        <f ca="1">IF(Rental!Q118&gt;0,Rental!Q118,0)</f>
        <v>0</v>
      </c>
      <c r="P97" s="1189"/>
      <c r="Q97" s="1195">
        <f t="shared" ca="1" si="41"/>
        <v>250944.26764968384</v>
      </c>
      <c r="R97" s="1195">
        <f t="shared" ca="1" si="42"/>
        <v>223889.69338624182</v>
      </c>
      <c r="S97" s="1196">
        <f t="shared" ca="1" si="43"/>
        <v>27054.574263442017</v>
      </c>
      <c r="T97" s="1202">
        <f t="shared" ca="1" si="64"/>
        <v>135</v>
      </c>
      <c r="U97" s="1202">
        <f t="shared" ca="1" si="65"/>
        <v>133</v>
      </c>
      <c r="V97" s="611">
        <f t="shared" ca="1" si="44"/>
        <v>1</v>
      </c>
      <c r="W97" s="611">
        <f t="shared" si="45"/>
        <v>1</v>
      </c>
      <c r="X97" s="611">
        <f t="shared" ca="1" si="46"/>
        <v>1</v>
      </c>
      <c r="Y97" s="611">
        <f t="shared" si="47"/>
        <v>1</v>
      </c>
      <c r="Z97" s="611">
        <f t="shared" ca="1" si="48"/>
        <v>1</v>
      </c>
      <c r="AA97" s="611">
        <f t="shared" si="49"/>
        <v>1</v>
      </c>
      <c r="AB97" s="611">
        <f t="shared" ca="1" si="50"/>
        <v>1</v>
      </c>
      <c r="AC97" s="611">
        <f t="shared" ca="1" si="51"/>
        <v>0</v>
      </c>
      <c r="AD97" s="611">
        <f t="shared" ca="1" si="52"/>
        <v>1</v>
      </c>
      <c r="AE97" s="611">
        <f t="shared" ca="1" si="53"/>
        <v>0</v>
      </c>
      <c r="AF97" s="611">
        <f t="shared" ca="1" si="54"/>
        <v>1</v>
      </c>
      <c r="AG97" s="611">
        <f t="shared" si="55"/>
        <v>1</v>
      </c>
      <c r="AH97" s="611">
        <f t="shared" ca="1" si="56"/>
        <v>1</v>
      </c>
      <c r="AI97" s="611">
        <f t="shared" si="57"/>
        <v>1</v>
      </c>
      <c r="AJ97" s="611">
        <f t="shared" ca="1" si="58"/>
        <v>1</v>
      </c>
      <c r="AK97" s="611">
        <f t="shared" si="59"/>
        <v>1</v>
      </c>
      <c r="AL97" s="611">
        <f t="shared" ca="1" si="60"/>
        <v>1</v>
      </c>
      <c r="AM97" s="611">
        <f t="shared" si="61"/>
        <v>1</v>
      </c>
      <c r="AN97" s="611">
        <f t="shared" ca="1" si="62"/>
        <v>1</v>
      </c>
      <c r="AO97" s="611">
        <f t="shared" si="63"/>
        <v>1</v>
      </c>
    </row>
    <row r="98" spans="1:41" s="612" customFormat="1" ht="18" customHeight="1">
      <c r="A98" s="611" t="str">
        <f ca="1">IF(C98=Retire!$D$12,"==&gt;","")</f>
        <v/>
      </c>
      <c r="C98" s="1192">
        <f t="shared" ca="1" si="40"/>
        <v>2104</v>
      </c>
      <c r="D98" s="1193">
        <f t="shared" ca="1" si="66"/>
        <v>95497.785144953988</v>
      </c>
      <c r="E98" s="1193">
        <f t="shared" ca="1" si="67"/>
        <v>87228.809430333364</v>
      </c>
      <c r="F98" s="1193">
        <f t="shared" ca="1" si="68"/>
        <v>71992.048011271836</v>
      </c>
      <c r="G98" s="1193">
        <f t="shared" ca="1" si="69"/>
        <v>0</v>
      </c>
      <c r="H98" s="1193">
        <f t="shared" ca="1" si="70"/>
        <v>0</v>
      </c>
      <c r="I98" s="1193">
        <f t="shared" ca="1" si="71"/>
        <v>0</v>
      </c>
      <c r="J98" s="1193">
        <f t="shared" ca="1" si="72"/>
        <v>0</v>
      </c>
      <c r="K98" s="1193">
        <f t="shared" ca="1" si="73"/>
        <v>0</v>
      </c>
      <c r="L98" s="1193">
        <f t="shared" ca="1" si="74"/>
        <v>0</v>
      </c>
      <c r="M98" s="1193">
        <f t="shared" ca="1" si="75"/>
        <v>0</v>
      </c>
      <c r="N98" s="1066">
        <v>0</v>
      </c>
      <c r="O98" s="1188">
        <f ca="1">IF(Rental!Q119&gt;0,Rental!Q119,0)</f>
        <v>0</v>
      </c>
      <c r="P98" s="1189"/>
      <c r="Q98" s="1193">
        <f t="shared" ca="1" si="41"/>
        <v>254718.6425865592</v>
      </c>
      <c r="R98" s="1193">
        <f t="shared" ca="1" si="42"/>
        <v>227309.65340026608</v>
      </c>
      <c r="S98" s="1188">
        <f t="shared" ca="1" si="43"/>
        <v>27408.989186293125</v>
      </c>
      <c r="T98" s="1201">
        <f t="shared" ca="1" si="64"/>
        <v>136</v>
      </c>
      <c r="U98" s="1201">
        <f t="shared" ca="1" si="65"/>
        <v>134</v>
      </c>
      <c r="V98" s="611">
        <f t="shared" ca="1" si="44"/>
        <v>1</v>
      </c>
      <c r="W98" s="611">
        <f t="shared" si="45"/>
        <v>1</v>
      </c>
      <c r="X98" s="611">
        <f t="shared" ca="1" si="46"/>
        <v>1</v>
      </c>
      <c r="Y98" s="611">
        <f t="shared" si="47"/>
        <v>1</v>
      </c>
      <c r="Z98" s="611">
        <f t="shared" ca="1" si="48"/>
        <v>1</v>
      </c>
      <c r="AA98" s="611">
        <f t="shared" si="49"/>
        <v>1</v>
      </c>
      <c r="AB98" s="611">
        <f t="shared" ca="1" si="50"/>
        <v>1</v>
      </c>
      <c r="AC98" s="611">
        <f t="shared" ca="1" si="51"/>
        <v>0</v>
      </c>
      <c r="AD98" s="611">
        <f t="shared" ca="1" si="52"/>
        <v>1</v>
      </c>
      <c r="AE98" s="611">
        <f t="shared" ca="1" si="53"/>
        <v>0</v>
      </c>
      <c r="AF98" s="611">
        <f t="shared" ca="1" si="54"/>
        <v>1</v>
      </c>
      <c r="AG98" s="611">
        <f t="shared" si="55"/>
        <v>1</v>
      </c>
      <c r="AH98" s="611">
        <f t="shared" ca="1" si="56"/>
        <v>1</v>
      </c>
      <c r="AI98" s="611">
        <f t="shared" si="57"/>
        <v>1</v>
      </c>
      <c r="AJ98" s="611">
        <f t="shared" ca="1" si="58"/>
        <v>1</v>
      </c>
      <c r="AK98" s="611">
        <f t="shared" si="59"/>
        <v>1</v>
      </c>
      <c r="AL98" s="611">
        <f t="shared" ca="1" si="60"/>
        <v>1</v>
      </c>
      <c r="AM98" s="611">
        <f t="shared" si="61"/>
        <v>1</v>
      </c>
      <c r="AN98" s="611">
        <f t="shared" ca="1" si="62"/>
        <v>1</v>
      </c>
      <c r="AO98" s="611">
        <f t="shared" si="63"/>
        <v>1</v>
      </c>
    </row>
    <row r="99" spans="1:41" s="612" customFormat="1" ht="18" customHeight="1">
      <c r="A99" s="611" t="str">
        <f ca="1">IF(C99=Retire!$D$12,"==&gt;","")</f>
        <v/>
      </c>
      <c r="C99" s="1194">
        <f t="shared" ca="1" si="40"/>
        <v>2105</v>
      </c>
      <c r="D99" s="1195">
        <f t="shared" ca="1" si="66"/>
        <v>96748.806130352881</v>
      </c>
      <c r="E99" s="1195">
        <f t="shared" ca="1" si="67"/>
        <v>88371.506833870735</v>
      </c>
      <c r="F99" s="1195">
        <f t="shared" ca="1" si="68"/>
        <v>73431.888971497276</v>
      </c>
      <c r="G99" s="1195">
        <f t="shared" ca="1" si="69"/>
        <v>0</v>
      </c>
      <c r="H99" s="1195">
        <f t="shared" ca="1" si="70"/>
        <v>0</v>
      </c>
      <c r="I99" s="1195">
        <f t="shared" ca="1" si="71"/>
        <v>0</v>
      </c>
      <c r="J99" s="1195">
        <f t="shared" ca="1" si="72"/>
        <v>0</v>
      </c>
      <c r="K99" s="1195">
        <f t="shared" ca="1" si="73"/>
        <v>0</v>
      </c>
      <c r="L99" s="1195">
        <f t="shared" ca="1" si="74"/>
        <v>0</v>
      </c>
      <c r="M99" s="1195">
        <f t="shared" ca="1" si="75"/>
        <v>0</v>
      </c>
      <c r="N99" s="1066">
        <v>0</v>
      </c>
      <c r="O99" s="1196">
        <f ca="1">IF(Rental!Q120&gt;0,Rental!Q120,0)</f>
        <v>0</v>
      </c>
      <c r="P99" s="1189"/>
      <c r="Q99" s="1195">
        <f t="shared" ca="1" si="41"/>
        <v>258552.20193572089</v>
      </c>
      <c r="R99" s="1195">
        <f t="shared" ca="1" si="42"/>
        <v>230784.15499108736</v>
      </c>
      <c r="S99" s="1196">
        <f t="shared" ca="1" si="43"/>
        <v>27768.046944633534</v>
      </c>
      <c r="T99" s="1202">
        <f t="shared" ca="1" si="64"/>
        <v>137</v>
      </c>
      <c r="U99" s="1202">
        <f t="shared" ca="1" si="65"/>
        <v>135</v>
      </c>
      <c r="V99" s="611">
        <f t="shared" ca="1" si="44"/>
        <v>1</v>
      </c>
      <c r="W99" s="611">
        <f t="shared" si="45"/>
        <v>1</v>
      </c>
      <c r="X99" s="611">
        <f t="shared" ca="1" si="46"/>
        <v>1</v>
      </c>
      <c r="Y99" s="611">
        <f t="shared" si="47"/>
        <v>1</v>
      </c>
      <c r="Z99" s="611">
        <f t="shared" ca="1" si="48"/>
        <v>1</v>
      </c>
      <c r="AA99" s="611">
        <f t="shared" si="49"/>
        <v>1</v>
      </c>
      <c r="AB99" s="611">
        <f t="shared" ca="1" si="50"/>
        <v>1</v>
      </c>
      <c r="AC99" s="611">
        <f t="shared" ca="1" si="51"/>
        <v>0</v>
      </c>
      <c r="AD99" s="611">
        <f t="shared" ca="1" si="52"/>
        <v>1</v>
      </c>
      <c r="AE99" s="611">
        <f t="shared" ca="1" si="53"/>
        <v>0</v>
      </c>
      <c r="AF99" s="611">
        <f t="shared" ca="1" si="54"/>
        <v>1</v>
      </c>
      <c r="AG99" s="611">
        <f t="shared" si="55"/>
        <v>1</v>
      </c>
      <c r="AH99" s="611">
        <f t="shared" ca="1" si="56"/>
        <v>1</v>
      </c>
      <c r="AI99" s="611">
        <f t="shared" si="57"/>
        <v>1</v>
      </c>
      <c r="AJ99" s="611">
        <f t="shared" ca="1" si="58"/>
        <v>1</v>
      </c>
      <c r="AK99" s="611">
        <f t="shared" si="59"/>
        <v>1</v>
      </c>
      <c r="AL99" s="611">
        <f t="shared" ca="1" si="60"/>
        <v>1</v>
      </c>
      <c r="AM99" s="611">
        <f t="shared" si="61"/>
        <v>1</v>
      </c>
      <c r="AN99" s="611">
        <f t="shared" ca="1" si="62"/>
        <v>1</v>
      </c>
      <c r="AO99" s="611">
        <f t="shared" si="63"/>
        <v>1</v>
      </c>
    </row>
    <row r="100" spans="1:41" s="612" customFormat="1" ht="18" customHeight="1">
      <c r="A100" s="611" t="str">
        <f ca="1">IF(C100=Retire!$D$12,"==&gt;","")</f>
        <v/>
      </c>
      <c r="C100" s="1192">
        <f t="shared" ca="1" si="40"/>
        <v>2106</v>
      </c>
      <c r="D100" s="1193">
        <f t="shared" ca="1" si="66"/>
        <v>98016.215490660499</v>
      </c>
      <c r="E100" s="1193">
        <f t="shared" ca="1" si="67"/>
        <v>89529.173573394437</v>
      </c>
      <c r="F100" s="1193">
        <f t="shared" ca="1" si="68"/>
        <v>74900.526750927223</v>
      </c>
      <c r="G100" s="1193">
        <f t="shared" ca="1" si="69"/>
        <v>0</v>
      </c>
      <c r="H100" s="1193">
        <f t="shared" ca="1" si="70"/>
        <v>0</v>
      </c>
      <c r="I100" s="1193">
        <f t="shared" ca="1" si="71"/>
        <v>0</v>
      </c>
      <c r="J100" s="1193">
        <f t="shared" ca="1" si="72"/>
        <v>0</v>
      </c>
      <c r="K100" s="1193">
        <f t="shared" ca="1" si="73"/>
        <v>0</v>
      </c>
      <c r="L100" s="1193">
        <f t="shared" ca="1" si="74"/>
        <v>0</v>
      </c>
      <c r="M100" s="1193">
        <f t="shared" ca="1" si="75"/>
        <v>0</v>
      </c>
      <c r="N100" s="1066">
        <v>0</v>
      </c>
      <c r="O100" s="1188">
        <f ca="1">IF(Rental!Q121&gt;0,Rental!Q121,0)</f>
        <v>0</v>
      </c>
      <c r="P100" s="1189"/>
      <c r="Q100" s="1193">
        <f t="shared" ca="1" si="41"/>
        <v>262445.91581498215</v>
      </c>
      <c r="R100" s="1193">
        <f t="shared" ca="1" si="42"/>
        <v>234314.10745537392</v>
      </c>
      <c r="S100" s="1188">
        <f t="shared" ca="1" si="43"/>
        <v>28131.808359608229</v>
      </c>
      <c r="T100" s="1201">
        <f t="shared" ca="1" si="64"/>
        <v>138</v>
      </c>
      <c r="U100" s="1201">
        <f t="shared" ca="1" si="65"/>
        <v>136</v>
      </c>
      <c r="V100" s="611">
        <f t="shared" ca="1" si="44"/>
        <v>1</v>
      </c>
      <c r="W100" s="611">
        <f t="shared" si="45"/>
        <v>1</v>
      </c>
      <c r="X100" s="611">
        <f t="shared" ca="1" si="46"/>
        <v>1</v>
      </c>
      <c r="Y100" s="611">
        <f t="shared" si="47"/>
        <v>1</v>
      </c>
      <c r="Z100" s="611">
        <f t="shared" ca="1" si="48"/>
        <v>1</v>
      </c>
      <c r="AA100" s="611">
        <f t="shared" si="49"/>
        <v>1</v>
      </c>
      <c r="AB100" s="611">
        <f t="shared" ca="1" si="50"/>
        <v>1</v>
      </c>
      <c r="AC100" s="611">
        <f t="shared" ca="1" si="51"/>
        <v>0</v>
      </c>
      <c r="AD100" s="611">
        <f t="shared" ca="1" si="52"/>
        <v>1</v>
      </c>
      <c r="AE100" s="611">
        <f t="shared" ca="1" si="53"/>
        <v>0</v>
      </c>
      <c r="AF100" s="611">
        <f t="shared" ca="1" si="54"/>
        <v>1</v>
      </c>
      <c r="AG100" s="611">
        <f t="shared" si="55"/>
        <v>1</v>
      </c>
      <c r="AH100" s="611">
        <f t="shared" ca="1" si="56"/>
        <v>1</v>
      </c>
      <c r="AI100" s="611">
        <f t="shared" si="57"/>
        <v>1</v>
      </c>
      <c r="AJ100" s="611">
        <f t="shared" ca="1" si="58"/>
        <v>1</v>
      </c>
      <c r="AK100" s="611">
        <f t="shared" si="59"/>
        <v>1</v>
      </c>
      <c r="AL100" s="611">
        <f t="shared" ca="1" si="60"/>
        <v>1</v>
      </c>
      <c r="AM100" s="611">
        <f t="shared" si="61"/>
        <v>1</v>
      </c>
      <c r="AN100" s="611">
        <f t="shared" ca="1" si="62"/>
        <v>1</v>
      </c>
      <c r="AO100" s="611">
        <f t="shared" si="63"/>
        <v>1</v>
      </c>
    </row>
    <row r="101" spans="1:41" s="612" customFormat="1" ht="18" customHeight="1">
      <c r="A101" s="611" t="str">
        <f ca="1">IF(C101=Retire!$D$12,"==&gt;","")</f>
        <v/>
      </c>
      <c r="C101" s="1194">
        <f t="shared" ca="1" si="40"/>
        <v>2107</v>
      </c>
      <c r="D101" s="1195">
        <f t="shared" ca="1" si="66"/>
        <v>99300.227913588154</v>
      </c>
      <c r="E101" s="1195">
        <f t="shared" ca="1" si="67"/>
        <v>90702.005747205898</v>
      </c>
      <c r="F101" s="1195">
        <f t="shared" ca="1" si="68"/>
        <v>76398.537285945771</v>
      </c>
      <c r="G101" s="1195">
        <f t="shared" ca="1" si="69"/>
        <v>0</v>
      </c>
      <c r="H101" s="1195">
        <f t="shared" ca="1" si="70"/>
        <v>0</v>
      </c>
      <c r="I101" s="1195">
        <f t="shared" ca="1" si="71"/>
        <v>0</v>
      </c>
      <c r="J101" s="1195">
        <f t="shared" ca="1" si="72"/>
        <v>0</v>
      </c>
      <c r="K101" s="1195">
        <f t="shared" ca="1" si="73"/>
        <v>0</v>
      </c>
      <c r="L101" s="1195">
        <f t="shared" ca="1" si="74"/>
        <v>0</v>
      </c>
      <c r="M101" s="1195">
        <f t="shared" ca="1" si="75"/>
        <v>0</v>
      </c>
      <c r="N101" s="1066">
        <v>0</v>
      </c>
      <c r="O101" s="1196">
        <f ca="1">IF(Rental!Q122&gt;0,Rental!Q122,0)</f>
        <v>0</v>
      </c>
      <c r="P101" s="1189"/>
      <c r="Q101" s="1195">
        <f t="shared" ca="1" si="41"/>
        <v>266400.77094673982</v>
      </c>
      <c r="R101" s="1195">
        <f t="shared" ca="1" si="42"/>
        <v>237900.43589762074</v>
      </c>
      <c r="S101" s="1196">
        <f t="shared" ca="1" si="43"/>
        <v>28500.335049119079</v>
      </c>
      <c r="T101" s="1202">
        <f t="shared" ca="1" si="64"/>
        <v>139</v>
      </c>
      <c r="U101" s="1202">
        <f t="shared" ca="1" si="65"/>
        <v>137</v>
      </c>
      <c r="V101" s="611">
        <f t="shared" ca="1" si="44"/>
        <v>1</v>
      </c>
      <c r="W101" s="611">
        <f t="shared" si="45"/>
        <v>1</v>
      </c>
      <c r="X101" s="611">
        <f t="shared" ca="1" si="46"/>
        <v>1</v>
      </c>
      <c r="Y101" s="611">
        <f t="shared" si="47"/>
        <v>1</v>
      </c>
      <c r="Z101" s="611">
        <f t="shared" ca="1" si="48"/>
        <v>1</v>
      </c>
      <c r="AA101" s="611">
        <f t="shared" si="49"/>
        <v>1</v>
      </c>
      <c r="AB101" s="611">
        <f t="shared" ca="1" si="50"/>
        <v>1</v>
      </c>
      <c r="AC101" s="611">
        <f t="shared" ca="1" si="51"/>
        <v>0</v>
      </c>
      <c r="AD101" s="611">
        <f t="shared" ca="1" si="52"/>
        <v>1</v>
      </c>
      <c r="AE101" s="611">
        <f t="shared" ca="1" si="53"/>
        <v>0</v>
      </c>
      <c r="AF101" s="611">
        <f t="shared" ca="1" si="54"/>
        <v>1</v>
      </c>
      <c r="AG101" s="611">
        <f t="shared" si="55"/>
        <v>1</v>
      </c>
      <c r="AH101" s="611">
        <f t="shared" ca="1" si="56"/>
        <v>1</v>
      </c>
      <c r="AI101" s="611">
        <f t="shared" si="57"/>
        <v>1</v>
      </c>
      <c r="AJ101" s="611">
        <f t="shared" ca="1" si="58"/>
        <v>1</v>
      </c>
      <c r="AK101" s="611">
        <f t="shared" si="59"/>
        <v>1</v>
      </c>
      <c r="AL101" s="611">
        <f t="shared" ca="1" si="60"/>
        <v>1</v>
      </c>
      <c r="AM101" s="611">
        <f t="shared" si="61"/>
        <v>1</v>
      </c>
      <c r="AN101" s="611">
        <f t="shared" ca="1" si="62"/>
        <v>1</v>
      </c>
      <c r="AO101" s="611">
        <f t="shared" si="63"/>
        <v>1</v>
      </c>
    </row>
    <row r="102" spans="1:41" s="612" customFormat="1" ht="18" customHeight="1">
      <c r="A102" s="611" t="str">
        <f ca="1">IF(C102=Retire!$D$12,"==&gt;","")</f>
        <v/>
      </c>
      <c r="C102" s="1192">
        <f t="shared" ca="1" si="40"/>
        <v>2108</v>
      </c>
      <c r="D102" s="1193">
        <f t="shared" ca="1" si="66"/>
        <v>100601.06089925616</v>
      </c>
      <c r="E102" s="1193">
        <f t="shared" ca="1" si="67"/>
        <v>91890.202022494297</v>
      </c>
      <c r="F102" s="1193">
        <f t="shared" ca="1" si="68"/>
        <v>77926.508031664693</v>
      </c>
      <c r="G102" s="1193">
        <f t="shared" ca="1" si="69"/>
        <v>0</v>
      </c>
      <c r="H102" s="1193">
        <f t="shared" ca="1" si="70"/>
        <v>0</v>
      </c>
      <c r="I102" s="1193">
        <f t="shared" ca="1" si="71"/>
        <v>0</v>
      </c>
      <c r="J102" s="1193">
        <f t="shared" ca="1" si="72"/>
        <v>0</v>
      </c>
      <c r="K102" s="1193">
        <f t="shared" ca="1" si="73"/>
        <v>0</v>
      </c>
      <c r="L102" s="1193">
        <f t="shared" ca="1" si="74"/>
        <v>0</v>
      </c>
      <c r="M102" s="1193">
        <f t="shared" ca="1" si="75"/>
        <v>0</v>
      </c>
      <c r="N102" s="1066">
        <v>0</v>
      </c>
      <c r="O102" s="1188">
        <f ca="1">IF(Rental!Q123&gt;0,Rental!Q123,0)</f>
        <v>0</v>
      </c>
      <c r="P102" s="1189"/>
      <c r="Q102" s="1193">
        <f t="shared" ca="1" si="41"/>
        <v>270417.77095341514</v>
      </c>
      <c r="R102" s="1193">
        <f t="shared" ca="1" si="42"/>
        <v>241544.08151515259</v>
      </c>
      <c r="S102" s="1188">
        <f t="shared" ca="1" si="43"/>
        <v>28873.689438262547</v>
      </c>
      <c r="T102" s="1201">
        <f t="shared" ca="1" si="64"/>
        <v>140</v>
      </c>
      <c r="U102" s="1201">
        <f t="shared" ca="1" si="65"/>
        <v>138</v>
      </c>
      <c r="V102" s="611">
        <f t="shared" ca="1" si="44"/>
        <v>1</v>
      </c>
      <c r="W102" s="611">
        <f t="shared" si="45"/>
        <v>1</v>
      </c>
      <c r="X102" s="611">
        <f t="shared" ca="1" si="46"/>
        <v>1</v>
      </c>
      <c r="Y102" s="611">
        <f t="shared" si="47"/>
        <v>1</v>
      </c>
      <c r="Z102" s="611">
        <f t="shared" ca="1" si="48"/>
        <v>1</v>
      </c>
      <c r="AA102" s="611">
        <f t="shared" si="49"/>
        <v>1</v>
      </c>
      <c r="AB102" s="611">
        <f t="shared" ca="1" si="50"/>
        <v>1</v>
      </c>
      <c r="AC102" s="611">
        <f t="shared" ca="1" si="51"/>
        <v>0</v>
      </c>
      <c r="AD102" s="611">
        <f t="shared" ca="1" si="52"/>
        <v>1</v>
      </c>
      <c r="AE102" s="611">
        <f t="shared" ca="1" si="53"/>
        <v>0</v>
      </c>
      <c r="AF102" s="611">
        <f t="shared" ca="1" si="54"/>
        <v>1</v>
      </c>
      <c r="AG102" s="611">
        <f t="shared" si="55"/>
        <v>1</v>
      </c>
      <c r="AH102" s="611">
        <f t="shared" ca="1" si="56"/>
        <v>1</v>
      </c>
      <c r="AI102" s="611">
        <f t="shared" si="57"/>
        <v>1</v>
      </c>
      <c r="AJ102" s="611">
        <f t="shared" ca="1" si="58"/>
        <v>1</v>
      </c>
      <c r="AK102" s="611">
        <f t="shared" si="59"/>
        <v>1</v>
      </c>
      <c r="AL102" s="611">
        <f t="shared" ca="1" si="60"/>
        <v>1</v>
      </c>
      <c r="AM102" s="611">
        <f t="shared" si="61"/>
        <v>1</v>
      </c>
      <c r="AN102" s="611">
        <f t="shared" ca="1" si="62"/>
        <v>1</v>
      </c>
      <c r="AO102" s="611">
        <f t="shared" si="63"/>
        <v>1</v>
      </c>
    </row>
    <row r="103" spans="1:41" s="612" customFormat="1" ht="18" customHeight="1">
      <c r="A103" s="611" t="str">
        <f ca="1">IF(C103=Retire!$D$12,"==&gt;","")</f>
        <v/>
      </c>
      <c r="C103" s="1194">
        <f t="shared" ca="1" si="40"/>
        <v>2109</v>
      </c>
      <c r="D103" s="1195">
        <f t="shared" ca="1" si="66"/>
        <v>101918.93479703642</v>
      </c>
      <c r="E103" s="1195">
        <f t="shared" ca="1" si="67"/>
        <v>93093.963668988974</v>
      </c>
      <c r="F103" s="1195">
        <f t="shared" ca="1" si="68"/>
        <v>79485.038192297987</v>
      </c>
      <c r="G103" s="1195">
        <f t="shared" ca="1" si="69"/>
        <v>0</v>
      </c>
      <c r="H103" s="1195">
        <f t="shared" ca="1" si="70"/>
        <v>0</v>
      </c>
      <c r="I103" s="1195">
        <f t="shared" ca="1" si="71"/>
        <v>0</v>
      </c>
      <c r="J103" s="1195">
        <f t="shared" ca="1" si="72"/>
        <v>0</v>
      </c>
      <c r="K103" s="1195">
        <f t="shared" ca="1" si="73"/>
        <v>0</v>
      </c>
      <c r="L103" s="1195">
        <f t="shared" ca="1" si="74"/>
        <v>0</v>
      </c>
      <c r="M103" s="1195">
        <f t="shared" ca="1" si="75"/>
        <v>0</v>
      </c>
      <c r="N103" s="1066">
        <v>0</v>
      </c>
      <c r="O103" s="1196">
        <f ca="1">IF(Rental!Q124&gt;0,Rental!Q124,0)</f>
        <v>0</v>
      </c>
      <c r="P103" s="1189"/>
      <c r="Q103" s="1195">
        <f t="shared" ca="1" si="41"/>
        <v>274497.93665832339</v>
      </c>
      <c r="R103" s="1195">
        <f t="shared" ca="1" si="42"/>
        <v>245246.00188841956</v>
      </c>
      <c r="S103" s="1196">
        <f t="shared" ca="1" si="43"/>
        <v>29251.934769903834</v>
      </c>
      <c r="T103" s="1202">
        <f t="shared" ca="1" si="64"/>
        <v>141</v>
      </c>
      <c r="U103" s="1202">
        <f t="shared" ca="1" si="65"/>
        <v>139</v>
      </c>
      <c r="V103" s="611">
        <f t="shared" ca="1" si="44"/>
        <v>1</v>
      </c>
      <c r="W103" s="611">
        <f t="shared" si="45"/>
        <v>1</v>
      </c>
      <c r="X103" s="611">
        <f t="shared" ca="1" si="46"/>
        <v>1</v>
      </c>
      <c r="Y103" s="611">
        <f t="shared" si="47"/>
        <v>1</v>
      </c>
      <c r="Z103" s="611">
        <f t="shared" ca="1" si="48"/>
        <v>1</v>
      </c>
      <c r="AA103" s="611">
        <f t="shared" si="49"/>
        <v>1</v>
      </c>
      <c r="AB103" s="611">
        <f t="shared" ca="1" si="50"/>
        <v>1</v>
      </c>
      <c r="AC103" s="611">
        <f t="shared" ca="1" si="51"/>
        <v>0</v>
      </c>
      <c r="AD103" s="611">
        <f t="shared" ca="1" si="52"/>
        <v>1</v>
      </c>
      <c r="AE103" s="611">
        <f t="shared" ca="1" si="53"/>
        <v>0</v>
      </c>
      <c r="AF103" s="611">
        <f t="shared" ca="1" si="54"/>
        <v>1</v>
      </c>
      <c r="AG103" s="611">
        <f t="shared" si="55"/>
        <v>1</v>
      </c>
      <c r="AH103" s="611">
        <f t="shared" ca="1" si="56"/>
        <v>1</v>
      </c>
      <c r="AI103" s="611">
        <f t="shared" si="57"/>
        <v>1</v>
      </c>
      <c r="AJ103" s="611">
        <f t="shared" ca="1" si="58"/>
        <v>1</v>
      </c>
      <c r="AK103" s="611">
        <f t="shared" si="59"/>
        <v>1</v>
      </c>
      <c r="AL103" s="611">
        <f t="shared" ca="1" si="60"/>
        <v>1</v>
      </c>
      <c r="AM103" s="611">
        <f t="shared" si="61"/>
        <v>1</v>
      </c>
      <c r="AN103" s="611">
        <f t="shared" ca="1" si="62"/>
        <v>1</v>
      </c>
      <c r="AO103" s="611">
        <f t="shared" si="63"/>
        <v>1</v>
      </c>
    </row>
    <row r="104" spans="1:41" s="612" customFormat="1" ht="18" customHeight="1">
      <c r="A104" s="611" t="str">
        <f ca="1">IF(C104=Retire!$D$12,"==&gt;","")</f>
        <v/>
      </c>
      <c r="C104" s="1192">
        <f t="shared" ca="1" si="40"/>
        <v>2110</v>
      </c>
      <c r="D104" s="1193">
        <f t="shared" ca="1" si="66"/>
        <v>103254.07284287759</v>
      </c>
      <c r="E104" s="1193">
        <f t="shared" ca="1" si="67"/>
        <v>94313.494593052732</v>
      </c>
      <c r="F104" s="1193">
        <f t="shared" ca="1" si="68"/>
        <v>81074.738956143949</v>
      </c>
      <c r="G104" s="1193">
        <f t="shared" ca="1" si="69"/>
        <v>0</v>
      </c>
      <c r="H104" s="1193">
        <f t="shared" ca="1" si="70"/>
        <v>0</v>
      </c>
      <c r="I104" s="1193">
        <f t="shared" ca="1" si="71"/>
        <v>0</v>
      </c>
      <c r="J104" s="1193">
        <f t="shared" ca="1" si="72"/>
        <v>0</v>
      </c>
      <c r="K104" s="1193">
        <f t="shared" ca="1" si="73"/>
        <v>0</v>
      </c>
      <c r="L104" s="1193">
        <f t="shared" ca="1" si="74"/>
        <v>0</v>
      </c>
      <c r="M104" s="1193">
        <f t="shared" ca="1" si="75"/>
        <v>0</v>
      </c>
      <c r="N104" s="1066">
        <v>0</v>
      </c>
      <c r="O104" s="1188">
        <f ca="1">IF(Rental!Q125&gt;0,Rental!Q125,0)</f>
        <v>0</v>
      </c>
      <c r="P104" s="1189"/>
      <c r="Q104" s="1193">
        <f t="shared" ca="1" si="41"/>
        <v>278642.30639207427</v>
      </c>
      <c r="R104" s="1193">
        <f t="shared" ca="1" si="42"/>
        <v>249007.17127668473</v>
      </c>
      <c r="S104" s="1188">
        <f t="shared" ca="1" si="43"/>
        <v>29635.135115389538</v>
      </c>
      <c r="T104" s="1201">
        <f t="shared" ca="1" si="64"/>
        <v>142</v>
      </c>
      <c r="U104" s="1201">
        <f t="shared" ca="1" si="65"/>
        <v>140</v>
      </c>
      <c r="V104" s="611">
        <f t="shared" ca="1" si="44"/>
        <v>1</v>
      </c>
      <c r="W104" s="611">
        <f t="shared" si="45"/>
        <v>1</v>
      </c>
      <c r="X104" s="611">
        <f t="shared" ca="1" si="46"/>
        <v>1</v>
      </c>
      <c r="Y104" s="611">
        <f t="shared" si="47"/>
        <v>1</v>
      </c>
      <c r="Z104" s="611">
        <f t="shared" ca="1" si="48"/>
        <v>1</v>
      </c>
      <c r="AA104" s="611">
        <f t="shared" si="49"/>
        <v>1</v>
      </c>
      <c r="AB104" s="611">
        <f t="shared" ca="1" si="50"/>
        <v>1</v>
      </c>
      <c r="AC104" s="611">
        <f t="shared" ca="1" si="51"/>
        <v>0</v>
      </c>
      <c r="AD104" s="611">
        <f t="shared" ca="1" si="52"/>
        <v>1</v>
      </c>
      <c r="AE104" s="611">
        <f t="shared" ca="1" si="53"/>
        <v>0</v>
      </c>
      <c r="AF104" s="611">
        <f t="shared" ca="1" si="54"/>
        <v>1</v>
      </c>
      <c r="AG104" s="611">
        <f t="shared" si="55"/>
        <v>1</v>
      </c>
      <c r="AH104" s="611">
        <f t="shared" ca="1" si="56"/>
        <v>1</v>
      </c>
      <c r="AI104" s="611">
        <f t="shared" si="57"/>
        <v>1</v>
      </c>
      <c r="AJ104" s="611">
        <f t="shared" ca="1" si="58"/>
        <v>1</v>
      </c>
      <c r="AK104" s="611">
        <f t="shared" si="59"/>
        <v>1</v>
      </c>
      <c r="AL104" s="611">
        <f t="shared" ca="1" si="60"/>
        <v>1</v>
      </c>
      <c r="AM104" s="611">
        <f t="shared" si="61"/>
        <v>1</v>
      </c>
      <c r="AN104" s="611">
        <f t="shared" ca="1" si="62"/>
        <v>1</v>
      </c>
      <c r="AO104" s="611">
        <f t="shared" si="63"/>
        <v>1</v>
      </c>
    </row>
    <row r="105" spans="1:41" s="612" customFormat="1" ht="18" customHeight="1">
      <c r="A105" s="611" t="str">
        <f ca="1">IF(C105=Retire!$D$12,"==&gt;","")</f>
        <v/>
      </c>
      <c r="C105" s="1194">
        <f t="shared" ca="1" si="40"/>
        <v>2111</v>
      </c>
      <c r="D105" s="1195">
        <f t="shared" ca="1" si="66"/>
        <v>104606.70119711928</v>
      </c>
      <c r="E105" s="1195">
        <f t="shared" ca="1" si="67"/>
        <v>95549.001372221726</v>
      </c>
      <c r="F105" s="1195">
        <f t="shared" ca="1" si="68"/>
        <v>82696.233735266826</v>
      </c>
      <c r="G105" s="1195">
        <f t="shared" ca="1" si="69"/>
        <v>0</v>
      </c>
      <c r="H105" s="1195">
        <f t="shared" ca="1" si="70"/>
        <v>0</v>
      </c>
      <c r="I105" s="1195">
        <f t="shared" ca="1" si="71"/>
        <v>0</v>
      </c>
      <c r="J105" s="1195">
        <f t="shared" ca="1" si="72"/>
        <v>0</v>
      </c>
      <c r="K105" s="1195">
        <f t="shared" ca="1" si="73"/>
        <v>0</v>
      </c>
      <c r="L105" s="1195">
        <f t="shared" ca="1" si="74"/>
        <v>0</v>
      </c>
      <c r="M105" s="1195">
        <f t="shared" ca="1" si="75"/>
        <v>0</v>
      </c>
      <c r="N105" s="1066">
        <v>0</v>
      </c>
      <c r="O105" s="1196">
        <f ca="1">IF(Rental!Q126&gt;0,Rental!Q126,0)</f>
        <v>0</v>
      </c>
      <c r="P105" s="1189"/>
      <c r="Q105" s="1195">
        <f t="shared" ca="1" si="41"/>
        <v>282851.93630460784</v>
      </c>
      <c r="R105" s="1195">
        <f t="shared" ca="1" si="42"/>
        <v>252828.58091920667</v>
      </c>
      <c r="S105" s="1196">
        <f t="shared" ca="1" si="43"/>
        <v>30023.35538540117</v>
      </c>
      <c r="T105" s="1202">
        <f t="shared" ca="1" si="64"/>
        <v>143</v>
      </c>
      <c r="U105" s="1202">
        <f t="shared" ca="1" si="65"/>
        <v>141</v>
      </c>
      <c r="V105" s="611">
        <f t="shared" ca="1" si="44"/>
        <v>1</v>
      </c>
      <c r="W105" s="611">
        <f t="shared" si="45"/>
        <v>1</v>
      </c>
      <c r="X105" s="611">
        <f t="shared" ca="1" si="46"/>
        <v>1</v>
      </c>
      <c r="Y105" s="611">
        <f t="shared" si="47"/>
        <v>1</v>
      </c>
      <c r="Z105" s="611">
        <f t="shared" ca="1" si="48"/>
        <v>1</v>
      </c>
      <c r="AA105" s="611">
        <f t="shared" si="49"/>
        <v>1</v>
      </c>
      <c r="AB105" s="611">
        <f t="shared" ca="1" si="50"/>
        <v>1</v>
      </c>
      <c r="AC105" s="611">
        <f t="shared" ca="1" si="51"/>
        <v>0</v>
      </c>
      <c r="AD105" s="611">
        <f t="shared" ca="1" si="52"/>
        <v>1</v>
      </c>
      <c r="AE105" s="611">
        <f t="shared" ca="1" si="53"/>
        <v>0</v>
      </c>
      <c r="AF105" s="611">
        <f t="shared" ca="1" si="54"/>
        <v>1</v>
      </c>
      <c r="AG105" s="611">
        <f t="shared" si="55"/>
        <v>1</v>
      </c>
      <c r="AH105" s="611">
        <f t="shared" ca="1" si="56"/>
        <v>1</v>
      </c>
      <c r="AI105" s="611">
        <f t="shared" si="57"/>
        <v>1</v>
      </c>
      <c r="AJ105" s="611">
        <f t="shared" ca="1" si="58"/>
        <v>1</v>
      </c>
      <c r="AK105" s="611">
        <f t="shared" si="59"/>
        <v>1</v>
      </c>
      <c r="AL105" s="611">
        <f t="shared" ca="1" si="60"/>
        <v>1</v>
      </c>
      <c r="AM105" s="611">
        <f t="shared" si="61"/>
        <v>1</v>
      </c>
      <c r="AN105" s="611">
        <f t="shared" ca="1" si="62"/>
        <v>1</v>
      </c>
      <c r="AO105" s="611">
        <f t="shared" si="63"/>
        <v>1</v>
      </c>
    </row>
    <row r="106" spans="1:41" s="612" customFormat="1" ht="18" customHeight="1">
      <c r="A106" s="611" t="str">
        <f ca="1">IF(C106=Retire!$D$12,"==&gt;","")</f>
        <v/>
      </c>
      <c r="C106" s="1192">
        <f t="shared" ca="1" si="40"/>
        <v>2112</v>
      </c>
      <c r="D106" s="1193">
        <f t="shared" ca="1" si="66"/>
        <v>105977.04898280154</v>
      </c>
      <c r="E106" s="1193">
        <f t="shared" ca="1" si="67"/>
        <v>96800.693290197829</v>
      </c>
      <c r="F106" s="1193">
        <f t="shared" ca="1" si="68"/>
        <v>84350.158409972166</v>
      </c>
      <c r="G106" s="1193">
        <f t="shared" ca="1" si="69"/>
        <v>0</v>
      </c>
      <c r="H106" s="1193">
        <f t="shared" ca="1" si="70"/>
        <v>0</v>
      </c>
      <c r="I106" s="1193">
        <f t="shared" ca="1" si="71"/>
        <v>0</v>
      </c>
      <c r="J106" s="1193">
        <f t="shared" ca="1" si="72"/>
        <v>0</v>
      </c>
      <c r="K106" s="1193">
        <f t="shared" ca="1" si="73"/>
        <v>0</v>
      </c>
      <c r="L106" s="1193">
        <f t="shared" ca="1" si="74"/>
        <v>0</v>
      </c>
      <c r="M106" s="1193">
        <f t="shared" ca="1" si="75"/>
        <v>0</v>
      </c>
      <c r="N106" s="1066">
        <v>0</v>
      </c>
      <c r="O106" s="1188">
        <f ca="1">IF(Rental!Q127&gt;0,Rental!Q127,0)</f>
        <v>0</v>
      </c>
      <c r="P106" s="1189"/>
      <c r="Q106" s="1193">
        <f t="shared" ca="1" si="41"/>
        <v>287127.90068297152</v>
      </c>
      <c r="R106" s="1193">
        <f t="shared" ca="1" si="42"/>
        <v>256711.23934202164</v>
      </c>
      <c r="S106" s="1188">
        <f t="shared" ca="1" si="43"/>
        <v>30416.661340949882</v>
      </c>
      <c r="T106" s="1201">
        <f t="shared" ca="1" si="64"/>
        <v>144</v>
      </c>
      <c r="U106" s="1201">
        <f t="shared" ca="1" si="65"/>
        <v>142</v>
      </c>
      <c r="V106" s="611">
        <f t="shared" ca="1" si="44"/>
        <v>1</v>
      </c>
      <c r="W106" s="611">
        <f t="shared" si="45"/>
        <v>1</v>
      </c>
      <c r="X106" s="611">
        <f t="shared" ca="1" si="46"/>
        <v>1</v>
      </c>
      <c r="Y106" s="611">
        <f t="shared" si="47"/>
        <v>1</v>
      </c>
      <c r="Z106" s="611">
        <f t="shared" ca="1" si="48"/>
        <v>1</v>
      </c>
      <c r="AA106" s="611">
        <f t="shared" si="49"/>
        <v>1</v>
      </c>
      <c r="AB106" s="611">
        <f t="shared" ca="1" si="50"/>
        <v>1</v>
      </c>
      <c r="AC106" s="611">
        <f t="shared" ca="1" si="51"/>
        <v>0</v>
      </c>
      <c r="AD106" s="611">
        <f t="shared" ca="1" si="52"/>
        <v>1</v>
      </c>
      <c r="AE106" s="611">
        <f t="shared" ca="1" si="53"/>
        <v>0</v>
      </c>
      <c r="AF106" s="611">
        <f t="shared" ca="1" si="54"/>
        <v>1</v>
      </c>
      <c r="AG106" s="611">
        <f t="shared" si="55"/>
        <v>1</v>
      </c>
      <c r="AH106" s="611">
        <f t="shared" ca="1" si="56"/>
        <v>1</v>
      </c>
      <c r="AI106" s="611">
        <f t="shared" si="57"/>
        <v>1</v>
      </c>
      <c r="AJ106" s="611">
        <f t="shared" ca="1" si="58"/>
        <v>1</v>
      </c>
      <c r="AK106" s="611">
        <f t="shared" si="59"/>
        <v>1</v>
      </c>
      <c r="AL106" s="611">
        <f t="shared" ca="1" si="60"/>
        <v>1</v>
      </c>
      <c r="AM106" s="611">
        <f t="shared" si="61"/>
        <v>1</v>
      </c>
      <c r="AN106" s="611">
        <f t="shared" ca="1" si="62"/>
        <v>1</v>
      </c>
      <c r="AO106" s="611">
        <f t="shared" si="63"/>
        <v>1</v>
      </c>
    </row>
    <row r="107" spans="1:41" s="612" customFormat="1" ht="18" customHeight="1">
      <c r="A107" s="611" t="str">
        <f ca="1">IF(C107=Retire!$D$12,"==&gt;","")</f>
        <v/>
      </c>
      <c r="C107" s="1194">
        <f t="shared" ca="1" si="40"/>
        <v>2113</v>
      </c>
      <c r="D107" s="1195">
        <f t="shared" ca="1" si="66"/>
        <v>107365.34832447625</v>
      </c>
      <c r="E107" s="1195">
        <f t="shared" ca="1" si="67"/>
        <v>98068.782372299422</v>
      </c>
      <c r="F107" s="1195">
        <f t="shared" ca="1" si="68"/>
        <v>86037.16157817161</v>
      </c>
      <c r="G107" s="1195">
        <f t="shared" ca="1" si="69"/>
        <v>0</v>
      </c>
      <c r="H107" s="1195">
        <f t="shared" ca="1" si="70"/>
        <v>0</v>
      </c>
      <c r="I107" s="1195">
        <f t="shared" ca="1" si="71"/>
        <v>0</v>
      </c>
      <c r="J107" s="1195">
        <f t="shared" ca="1" si="72"/>
        <v>0</v>
      </c>
      <c r="K107" s="1195">
        <f t="shared" ca="1" si="73"/>
        <v>0</v>
      </c>
      <c r="L107" s="1195">
        <f t="shared" ca="1" si="74"/>
        <v>0</v>
      </c>
      <c r="M107" s="1195">
        <f t="shared" ca="1" si="75"/>
        <v>0</v>
      </c>
      <c r="N107" s="1066">
        <v>0</v>
      </c>
      <c r="O107" s="1196">
        <f ca="1">IF(Rental!Q128&gt;0,Rental!Q128,0)</f>
        <v>0</v>
      </c>
      <c r="P107" s="1189"/>
      <c r="Q107" s="1195">
        <f t="shared" ca="1" si="41"/>
        <v>291471.29227494728</v>
      </c>
      <c r="R107" s="1195">
        <f t="shared" ca="1" si="42"/>
        <v>260656.17267043091</v>
      </c>
      <c r="S107" s="1196">
        <f t="shared" ca="1" si="43"/>
        <v>30815.119604516367</v>
      </c>
      <c r="T107" s="1202">
        <f t="shared" ca="1" si="64"/>
        <v>145</v>
      </c>
      <c r="U107" s="1202">
        <f t="shared" ca="1" si="65"/>
        <v>143</v>
      </c>
      <c r="V107" s="611">
        <f t="shared" ca="1" si="44"/>
        <v>1</v>
      </c>
      <c r="W107" s="611">
        <f t="shared" si="45"/>
        <v>1</v>
      </c>
      <c r="X107" s="611">
        <f t="shared" ca="1" si="46"/>
        <v>1</v>
      </c>
      <c r="Y107" s="611">
        <f t="shared" si="47"/>
        <v>1</v>
      </c>
      <c r="Z107" s="611">
        <f t="shared" ca="1" si="48"/>
        <v>1</v>
      </c>
      <c r="AA107" s="611">
        <f t="shared" si="49"/>
        <v>1</v>
      </c>
      <c r="AB107" s="611">
        <f t="shared" ca="1" si="50"/>
        <v>1</v>
      </c>
      <c r="AC107" s="611">
        <f t="shared" ca="1" si="51"/>
        <v>0</v>
      </c>
      <c r="AD107" s="611">
        <f t="shared" ca="1" si="52"/>
        <v>1</v>
      </c>
      <c r="AE107" s="611">
        <f t="shared" ca="1" si="53"/>
        <v>0</v>
      </c>
      <c r="AF107" s="611">
        <f t="shared" ca="1" si="54"/>
        <v>1</v>
      </c>
      <c r="AG107" s="611">
        <f t="shared" si="55"/>
        <v>1</v>
      </c>
      <c r="AH107" s="611">
        <f t="shared" ca="1" si="56"/>
        <v>1</v>
      </c>
      <c r="AI107" s="611">
        <f t="shared" si="57"/>
        <v>1</v>
      </c>
      <c r="AJ107" s="611">
        <f t="shared" ca="1" si="58"/>
        <v>1</v>
      </c>
      <c r="AK107" s="611">
        <f t="shared" si="59"/>
        <v>1</v>
      </c>
      <c r="AL107" s="611">
        <f t="shared" ca="1" si="60"/>
        <v>1</v>
      </c>
      <c r="AM107" s="611">
        <f t="shared" si="61"/>
        <v>1</v>
      </c>
      <c r="AN107" s="611">
        <f t="shared" ca="1" si="62"/>
        <v>1</v>
      </c>
      <c r="AO107" s="611">
        <f t="shared" si="63"/>
        <v>1</v>
      </c>
    </row>
    <row r="108" spans="1:41" s="612" customFormat="1" ht="18" customHeight="1">
      <c r="A108" s="611" t="str">
        <f ca="1">IF(C108=Retire!$D$12,"==&gt;","")</f>
        <v/>
      </c>
      <c r="C108" s="1192">
        <f t="shared" ca="1" si="40"/>
        <v>2114</v>
      </c>
      <c r="D108" s="1193">
        <f t="shared" ca="1" si="66"/>
        <v>108771.83438752689</v>
      </c>
      <c r="E108" s="1193">
        <f t="shared" ca="1" si="67"/>
        <v>99353.483421376543</v>
      </c>
      <c r="F108" s="1193">
        <f t="shared" ca="1" si="68"/>
        <v>87757.904809735046</v>
      </c>
      <c r="G108" s="1193">
        <f t="shared" ca="1" si="69"/>
        <v>0</v>
      </c>
      <c r="H108" s="1193">
        <f t="shared" ca="1" si="70"/>
        <v>0</v>
      </c>
      <c r="I108" s="1193">
        <f t="shared" ca="1" si="71"/>
        <v>0</v>
      </c>
      <c r="J108" s="1193">
        <f t="shared" ca="1" si="72"/>
        <v>0</v>
      </c>
      <c r="K108" s="1193">
        <f t="shared" ca="1" si="73"/>
        <v>0</v>
      </c>
      <c r="L108" s="1193">
        <f t="shared" ca="1" si="74"/>
        <v>0</v>
      </c>
      <c r="M108" s="1193">
        <f t="shared" ca="1" si="75"/>
        <v>0</v>
      </c>
      <c r="N108" s="1066">
        <v>0</v>
      </c>
      <c r="O108" s="1188">
        <f ca="1">IF(Rental!Q129&gt;0,Rental!Q129,0)</f>
        <v>0</v>
      </c>
      <c r="P108" s="1189"/>
      <c r="Q108" s="1193">
        <f t="shared" ca="1" si="41"/>
        <v>295883.22261863848</v>
      </c>
      <c r="R108" s="1193">
        <f t="shared" ca="1" si="42"/>
        <v>264664.42494730296</v>
      </c>
      <c r="S108" s="1188">
        <f t="shared" ca="1" si="43"/>
        <v>31218.797671335516</v>
      </c>
      <c r="T108" s="1201">
        <f t="shared" ca="1" si="64"/>
        <v>146</v>
      </c>
      <c r="U108" s="1201">
        <f t="shared" ca="1" si="65"/>
        <v>144</v>
      </c>
      <c r="V108" s="611">
        <f t="shared" ca="1" si="44"/>
        <v>1</v>
      </c>
      <c r="W108" s="611">
        <f t="shared" si="45"/>
        <v>1</v>
      </c>
      <c r="X108" s="611">
        <f t="shared" ca="1" si="46"/>
        <v>1</v>
      </c>
      <c r="Y108" s="611">
        <f t="shared" si="47"/>
        <v>1</v>
      </c>
      <c r="Z108" s="611">
        <f t="shared" ca="1" si="48"/>
        <v>1</v>
      </c>
      <c r="AA108" s="611">
        <f t="shared" si="49"/>
        <v>1</v>
      </c>
      <c r="AB108" s="611">
        <f t="shared" ca="1" si="50"/>
        <v>1</v>
      </c>
      <c r="AC108" s="611">
        <f t="shared" ca="1" si="51"/>
        <v>0</v>
      </c>
      <c r="AD108" s="611">
        <f t="shared" ca="1" si="52"/>
        <v>1</v>
      </c>
      <c r="AE108" s="611">
        <f t="shared" ca="1" si="53"/>
        <v>0</v>
      </c>
      <c r="AF108" s="611">
        <f t="shared" ca="1" si="54"/>
        <v>1</v>
      </c>
      <c r="AG108" s="611">
        <f t="shared" si="55"/>
        <v>1</v>
      </c>
      <c r="AH108" s="611">
        <f t="shared" ca="1" si="56"/>
        <v>1</v>
      </c>
      <c r="AI108" s="611">
        <f t="shared" si="57"/>
        <v>1</v>
      </c>
      <c r="AJ108" s="611">
        <f t="shared" ca="1" si="58"/>
        <v>1</v>
      </c>
      <c r="AK108" s="611">
        <f t="shared" si="59"/>
        <v>1</v>
      </c>
      <c r="AL108" s="611">
        <f t="shared" ca="1" si="60"/>
        <v>1</v>
      </c>
      <c r="AM108" s="611">
        <f t="shared" si="61"/>
        <v>1</v>
      </c>
      <c r="AN108" s="611">
        <f t="shared" ca="1" si="62"/>
        <v>1</v>
      </c>
      <c r="AO108" s="611">
        <f t="shared" si="63"/>
        <v>1</v>
      </c>
    </row>
    <row r="109" spans="1:41" s="612" customFormat="1" ht="18" customHeight="1">
      <c r="A109" s="611" t="str">
        <f ca="1">IF(C109=Retire!$D$12,"==&gt;","")</f>
        <v/>
      </c>
      <c r="C109" s="1194">
        <f t="shared" ca="1" si="40"/>
        <v>2115</v>
      </c>
      <c r="D109" s="1195">
        <f t="shared" ca="1" si="66"/>
        <v>110196.7454180035</v>
      </c>
      <c r="E109" s="1195">
        <f t="shared" ca="1" si="67"/>
        <v>100655.01405419658</v>
      </c>
      <c r="F109" s="1195">
        <f t="shared" ca="1" si="68"/>
        <v>89513.06290592975</v>
      </c>
      <c r="G109" s="1195">
        <f t="shared" ca="1" si="69"/>
        <v>0</v>
      </c>
      <c r="H109" s="1195">
        <f t="shared" ca="1" si="70"/>
        <v>0</v>
      </c>
      <c r="I109" s="1195">
        <f t="shared" ca="1" si="71"/>
        <v>0</v>
      </c>
      <c r="J109" s="1195">
        <f t="shared" ca="1" si="72"/>
        <v>0</v>
      </c>
      <c r="K109" s="1195">
        <f t="shared" ca="1" si="73"/>
        <v>0</v>
      </c>
      <c r="L109" s="1195">
        <f t="shared" ca="1" si="74"/>
        <v>0</v>
      </c>
      <c r="M109" s="1195">
        <f t="shared" ca="1" si="75"/>
        <v>0</v>
      </c>
      <c r="N109" s="1066">
        <v>0</v>
      </c>
      <c r="O109" s="1196">
        <f ca="1">IF(Rental!Q130&gt;0,Rental!Q130,0)</f>
        <v>0</v>
      </c>
      <c r="P109" s="1189"/>
      <c r="Q109" s="1195">
        <f t="shared" ca="1" si="41"/>
        <v>300364.82237812981</v>
      </c>
      <c r="R109" s="1195">
        <f t="shared" ca="1" si="42"/>
        <v>268737.05845729983</v>
      </c>
      <c r="S109" s="1196">
        <f t="shared" ca="1" si="43"/>
        <v>31627.763920829981</v>
      </c>
      <c r="T109" s="1202">
        <f t="shared" ca="1" si="64"/>
        <v>147</v>
      </c>
      <c r="U109" s="1202">
        <f t="shared" ca="1" si="65"/>
        <v>145</v>
      </c>
      <c r="V109" s="611">
        <f t="shared" ca="1" si="44"/>
        <v>1</v>
      </c>
      <c r="W109" s="611">
        <f t="shared" si="45"/>
        <v>1</v>
      </c>
      <c r="X109" s="611">
        <f t="shared" ca="1" si="46"/>
        <v>1</v>
      </c>
      <c r="Y109" s="611">
        <f t="shared" si="47"/>
        <v>1</v>
      </c>
      <c r="Z109" s="611">
        <f t="shared" ca="1" si="48"/>
        <v>1</v>
      </c>
      <c r="AA109" s="611">
        <f t="shared" si="49"/>
        <v>1</v>
      </c>
      <c r="AB109" s="611">
        <f t="shared" ca="1" si="50"/>
        <v>1</v>
      </c>
      <c r="AC109" s="611">
        <f t="shared" ca="1" si="51"/>
        <v>0</v>
      </c>
      <c r="AD109" s="611">
        <f t="shared" ca="1" si="52"/>
        <v>1</v>
      </c>
      <c r="AE109" s="611">
        <f t="shared" ca="1" si="53"/>
        <v>0</v>
      </c>
      <c r="AF109" s="611">
        <f t="shared" ca="1" si="54"/>
        <v>1</v>
      </c>
      <c r="AG109" s="611">
        <f t="shared" si="55"/>
        <v>1</v>
      </c>
      <c r="AH109" s="611">
        <f t="shared" ca="1" si="56"/>
        <v>1</v>
      </c>
      <c r="AI109" s="611">
        <f t="shared" si="57"/>
        <v>1</v>
      </c>
      <c r="AJ109" s="611">
        <f t="shared" ca="1" si="58"/>
        <v>1</v>
      </c>
      <c r="AK109" s="611">
        <f t="shared" si="59"/>
        <v>1</v>
      </c>
      <c r="AL109" s="611">
        <f t="shared" ca="1" si="60"/>
        <v>1</v>
      </c>
      <c r="AM109" s="611">
        <f t="shared" si="61"/>
        <v>1</v>
      </c>
      <c r="AN109" s="611">
        <f t="shared" ca="1" si="62"/>
        <v>1</v>
      </c>
      <c r="AO109" s="611">
        <f t="shared" si="63"/>
        <v>1</v>
      </c>
    </row>
    <row r="110" spans="1:41" s="612" customFormat="1" ht="18" customHeight="1">
      <c r="A110" s="611" t="str">
        <f ca="1">IF(C110=Retire!$D$12,"==&gt;","")</f>
        <v/>
      </c>
      <c r="C110" s="1192">
        <f t="shared" ca="1" si="40"/>
        <v>2116</v>
      </c>
      <c r="D110" s="1193">
        <f t="shared" ca="1" si="66"/>
        <v>111640.32278297935</v>
      </c>
      <c r="E110" s="1193">
        <f t="shared" ca="1" si="67"/>
        <v>101973.59473830655</v>
      </c>
      <c r="F110" s="1193">
        <f t="shared" ca="1" si="68"/>
        <v>91303.324164048347</v>
      </c>
      <c r="G110" s="1193">
        <f t="shared" ca="1" si="69"/>
        <v>0</v>
      </c>
      <c r="H110" s="1193">
        <f t="shared" ca="1" si="70"/>
        <v>0</v>
      </c>
      <c r="I110" s="1193">
        <f t="shared" ca="1" si="71"/>
        <v>0</v>
      </c>
      <c r="J110" s="1193">
        <f t="shared" ca="1" si="72"/>
        <v>0</v>
      </c>
      <c r="K110" s="1193">
        <f t="shared" ca="1" si="73"/>
        <v>0</v>
      </c>
      <c r="L110" s="1193">
        <f t="shared" ca="1" si="74"/>
        <v>0</v>
      </c>
      <c r="M110" s="1193">
        <f t="shared" ca="1" si="75"/>
        <v>0</v>
      </c>
      <c r="N110" s="1066">
        <v>0</v>
      </c>
      <c r="O110" s="1188">
        <f ca="1">IF(Rental!Q131&gt;0,Rental!Q131,0)</f>
        <v>0</v>
      </c>
      <c r="P110" s="1189"/>
      <c r="Q110" s="1193">
        <f t="shared" ca="1" si="41"/>
        <v>304917.24168533424</v>
      </c>
      <c r="R110" s="1193">
        <f t="shared" ca="1" si="42"/>
        <v>272875.15405714134</v>
      </c>
      <c r="S110" s="1188">
        <f t="shared" ca="1" si="43"/>
        <v>32042.087628192909</v>
      </c>
      <c r="T110" s="1201">
        <f t="shared" ca="1" si="64"/>
        <v>148</v>
      </c>
      <c r="U110" s="1201">
        <f t="shared" ca="1" si="65"/>
        <v>146</v>
      </c>
      <c r="V110" s="611">
        <f t="shared" ca="1" si="44"/>
        <v>1</v>
      </c>
      <c r="W110" s="611">
        <f t="shared" si="45"/>
        <v>1</v>
      </c>
      <c r="X110" s="611">
        <f t="shared" ca="1" si="46"/>
        <v>1</v>
      </c>
      <c r="Y110" s="611">
        <f t="shared" si="47"/>
        <v>1</v>
      </c>
      <c r="Z110" s="611">
        <f t="shared" ca="1" si="48"/>
        <v>1</v>
      </c>
      <c r="AA110" s="611">
        <f t="shared" si="49"/>
        <v>1</v>
      </c>
      <c r="AB110" s="611">
        <f t="shared" ca="1" si="50"/>
        <v>1</v>
      </c>
      <c r="AC110" s="611">
        <f t="shared" ca="1" si="51"/>
        <v>0</v>
      </c>
      <c r="AD110" s="611">
        <f t="shared" ca="1" si="52"/>
        <v>1</v>
      </c>
      <c r="AE110" s="611">
        <f t="shared" ca="1" si="53"/>
        <v>0</v>
      </c>
      <c r="AF110" s="611">
        <f t="shared" ca="1" si="54"/>
        <v>1</v>
      </c>
      <c r="AG110" s="611">
        <f t="shared" si="55"/>
        <v>1</v>
      </c>
      <c r="AH110" s="611">
        <f t="shared" ca="1" si="56"/>
        <v>1</v>
      </c>
      <c r="AI110" s="611">
        <f t="shared" si="57"/>
        <v>1</v>
      </c>
      <c r="AJ110" s="611">
        <f t="shared" ca="1" si="58"/>
        <v>1</v>
      </c>
      <c r="AK110" s="611">
        <f t="shared" si="59"/>
        <v>1</v>
      </c>
      <c r="AL110" s="611">
        <f t="shared" ca="1" si="60"/>
        <v>1</v>
      </c>
      <c r="AM110" s="611">
        <f t="shared" si="61"/>
        <v>1</v>
      </c>
      <c r="AN110" s="611">
        <f t="shared" ca="1" si="62"/>
        <v>1</v>
      </c>
      <c r="AO110" s="611">
        <f t="shared" si="63"/>
        <v>1</v>
      </c>
    </row>
    <row r="111" spans="1:41" s="612" customFormat="1" ht="18" customHeight="1">
      <c r="A111" s="611" t="str">
        <f ca="1">IF(C111=Retire!$D$12,"==&gt;","")</f>
        <v/>
      </c>
      <c r="C111" s="1194">
        <f t="shared" ca="1" si="40"/>
        <v>2117</v>
      </c>
      <c r="D111" s="1195">
        <f t="shared" ca="1" si="66"/>
        <v>113102.81101143638</v>
      </c>
      <c r="E111" s="1195">
        <f t="shared" ca="1" si="67"/>
        <v>103309.44882937837</v>
      </c>
      <c r="F111" s="1195">
        <f t="shared" ca="1" si="68"/>
        <v>93129.390647329317</v>
      </c>
      <c r="G111" s="1195">
        <f t="shared" ca="1" si="69"/>
        <v>0</v>
      </c>
      <c r="H111" s="1195">
        <f t="shared" ca="1" si="70"/>
        <v>0</v>
      </c>
      <c r="I111" s="1195">
        <f t="shared" ca="1" si="71"/>
        <v>0</v>
      </c>
      <c r="J111" s="1195">
        <f t="shared" ca="1" si="72"/>
        <v>0</v>
      </c>
      <c r="K111" s="1195">
        <f t="shared" ca="1" si="73"/>
        <v>0</v>
      </c>
      <c r="L111" s="1195">
        <f t="shared" ca="1" si="74"/>
        <v>0</v>
      </c>
      <c r="M111" s="1195">
        <f t="shared" ca="1" si="75"/>
        <v>0</v>
      </c>
      <c r="N111" s="1066">
        <v>0</v>
      </c>
      <c r="O111" s="1196">
        <f ca="1">IF(Rental!Q132&gt;0,Rental!Q132,0)</f>
        <v>0</v>
      </c>
      <c r="P111" s="1189"/>
      <c r="Q111" s="1195">
        <f t="shared" ca="1" si="41"/>
        <v>309541.65048814408</v>
      </c>
      <c r="R111" s="1195">
        <f t="shared" ca="1" si="42"/>
        <v>277079.81151202187</v>
      </c>
      <c r="S111" s="1196">
        <f t="shared" ca="1" si="43"/>
        <v>32461.838976122206</v>
      </c>
      <c r="T111" s="1202">
        <f t="shared" ca="1" si="64"/>
        <v>149</v>
      </c>
      <c r="U111" s="1202">
        <f t="shared" ca="1" si="65"/>
        <v>147</v>
      </c>
      <c r="V111" s="611">
        <f t="shared" ca="1" si="44"/>
        <v>1</v>
      </c>
      <c r="W111" s="611">
        <f t="shared" si="45"/>
        <v>1</v>
      </c>
      <c r="X111" s="611">
        <f t="shared" ca="1" si="46"/>
        <v>1</v>
      </c>
      <c r="Y111" s="611">
        <f t="shared" si="47"/>
        <v>1</v>
      </c>
      <c r="Z111" s="611">
        <f t="shared" ca="1" si="48"/>
        <v>1</v>
      </c>
      <c r="AA111" s="611">
        <f t="shared" si="49"/>
        <v>1</v>
      </c>
      <c r="AB111" s="611">
        <f t="shared" ca="1" si="50"/>
        <v>1</v>
      </c>
      <c r="AC111" s="611">
        <f t="shared" ca="1" si="51"/>
        <v>0</v>
      </c>
      <c r="AD111" s="611">
        <f t="shared" ca="1" si="52"/>
        <v>1</v>
      </c>
      <c r="AE111" s="611">
        <f t="shared" ca="1" si="53"/>
        <v>0</v>
      </c>
      <c r="AF111" s="611">
        <f t="shared" ca="1" si="54"/>
        <v>1</v>
      </c>
      <c r="AG111" s="611">
        <f t="shared" si="55"/>
        <v>1</v>
      </c>
      <c r="AH111" s="611">
        <f t="shared" ca="1" si="56"/>
        <v>1</v>
      </c>
      <c r="AI111" s="611">
        <f t="shared" si="57"/>
        <v>1</v>
      </c>
      <c r="AJ111" s="611">
        <f t="shared" ca="1" si="58"/>
        <v>1</v>
      </c>
      <c r="AK111" s="611">
        <f t="shared" si="59"/>
        <v>1</v>
      </c>
      <c r="AL111" s="611">
        <f t="shared" ca="1" si="60"/>
        <v>1</v>
      </c>
      <c r="AM111" s="611">
        <f t="shared" si="61"/>
        <v>1</v>
      </c>
      <c r="AN111" s="611">
        <f t="shared" ca="1" si="62"/>
        <v>1</v>
      </c>
      <c r="AO111" s="611">
        <f t="shared" si="63"/>
        <v>1</v>
      </c>
    </row>
    <row r="112" spans="1:41" s="612" customFormat="1" ht="18" customHeight="1">
      <c r="A112" s="611" t="str">
        <f ca="1">IF(C112=Retire!$D$12,"==&gt;","")</f>
        <v/>
      </c>
      <c r="C112" s="1192">
        <f t="shared" ca="1" si="40"/>
        <v>2118</v>
      </c>
      <c r="D112" s="1193">
        <f t="shared" ca="1" si="66"/>
        <v>114584.4578356862</v>
      </c>
      <c r="E112" s="1193">
        <f t="shared" ca="1" si="67"/>
        <v>104662.80260904322</v>
      </c>
      <c r="F112" s="1193">
        <f t="shared" ca="1" si="68"/>
        <v>94991.978460275903</v>
      </c>
      <c r="G112" s="1193">
        <f t="shared" ca="1" si="69"/>
        <v>0</v>
      </c>
      <c r="H112" s="1193">
        <f t="shared" ca="1" si="70"/>
        <v>0</v>
      </c>
      <c r="I112" s="1193">
        <f t="shared" ca="1" si="71"/>
        <v>0</v>
      </c>
      <c r="J112" s="1193">
        <f t="shared" ca="1" si="72"/>
        <v>0</v>
      </c>
      <c r="K112" s="1193">
        <f t="shared" ca="1" si="73"/>
        <v>0</v>
      </c>
      <c r="L112" s="1193">
        <f t="shared" ca="1" si="74"/>
        <v>0</v>
      </c>
      <c r="M112" s="1193">
        <f t="shared" ca="1" si="75"/>
        <v>0</v>
      </c>
      <c r="N112" s="1066">
        <v>0</v>
      </c>
      <c r="O112" s="1188">
        <f ca="1">IF(Rental!Q133&gt;0,Rental!Q133,0)</f>
        <v>0</v>
      </c>
      <c r="P112" s="1189"/>
      <c r="Q112" s="1193">
        <f t="shared" ca="1" si="41"/>
        <v>314239.23890500533</v>
      </c>
      <c r="R112" s="1193">
        <f t="shared" ca="1" si="42"/>
        <v>281352.14983829594</v>
      </c>
      <c r="S112" s="1188">
        <f t="shared" ca="1" si="43"/>
        <v>32887.089066709392</v>
      </c>
      <c r="T112" s="1201">
        <f t="shared" ca="1" si="64"/>
        <v>150</v>
      </c>
      <c r="U112" s="1201">
        <f t="shared" ca="1" si="65"/>
        <v>148</v>
      </c>
      <c r="V112" s="611">
        <f t="shared" ca="1" si="44"/>
        <v>1</v>
      </c>
      <c r="W112" s="611">
        <f t="shared" si="45"/>
        <v>1</v>
      </c>
      <c r="X112" s="611">
        <f t="shared" ca="1" si="46"/>
        <v>1</v>
      </c>
      <c r="Y112" s="611">
        <f t="shared" si="47"/>
        <v>1</v>
      </c>
      <c r="Z112" s="611">
        <f t="shared" ca="1" si="48"/>
        <v>1</v>
      </c>
      <c r="AA112" s="611">
        <f t="shared" si="49"/>
        <v>1</v>
      </c>
      <c r="AB112" s="611">
        <f t="shared" ca="1" si="50"/>
        <v>1</v>
      </c>
      <c r="AC112" s="611">
        <f t="shared" ca="1" si="51"/>
        <v>0</v>
      </c>
      <c r="AD112" s="611">
        <f t="shared" ca="1" si="52"/>
        <v>1</v>
      </c>
      <c r="AE112" s="611">
        <f t="shared" ca="1" si="53"/>
        <v>0</v>
      </c>
      <c r="AF112" s="611">
        <f t="shared" ca="1" si="54"/>
        <v>1</v>
      </c>
      <c r="AG112" s="611">
        <f t="shared" si="55"/>
        <v>1</v>
      </c>
      <c r="AH112" s="611">
        <f t="shared" ca="1" si="56"/>
        <v>1</v>
      </c>
      <c r="AI112" s="611">
        <f t="shared" si="57"/>
        <v>1</v>
      </c>
      <c r="AJ112" s="611">
        <f t="shared" ca="1" si="58"/>
        <v>1</v>
      </c>
      <c r="AK112" s="611">
        <f t="shared" si="59"/>
        <v>1</v>
      </c>
      <c r="AL112" s="611">
        <f t="shared" ca="1" si="60"/>
        <v>1</v>
      </c>
      <c r="AM112" s="611">
        <f t="shared" si="61"/>
        <v>1</v>
      </c>
      <c r="AN112" s="611">
        <f t="shared" ca="1" si="62"/>
        <v>1</v>
      </c>
      <c r="AO112" s="611">
        <f t="shared" si="63"/>
        <v>1</v>
      </c>
    </row>
    <row r="113" spans="1:41" s="612" customFormat="1" ht="18" customHeight="1">
      <c r="A113" s="611" t="str">
        <f ca="1">IF(C113=Retire!$D$12,"==&gt;","")</f>
        <v/>
      </c>
      <c r="C113" s="1194">
        <f t="shared" ca="1" si="40"/>
        <v>2119</v>
      </c>
      <c r="D113" s="1195">
        <f t="shared" ca="1" si="66"/>
        <v>116085.5142333337</v>
      </c>
      <c r="E113" s="1195">
        <f t="shared" ca="1" si="67"/>
        <v>106033.88532322169</v>
      </c>
      <c r="F113" s="1195">
        <f t="shared" ca="1" si="68"/>
        <v>96891.818029481423</v>
      </c>
      <c r="G113" s="1195">
        <f t="shared" ca="1" si="69"/>
        <v>0</v>
      </c>
      <c r="H113" s="1195">
        <f t="shared" ca="1" si="70"/>
        <v>0</v>
      </c>
      <c r="I113" s="1195">
        <f t="shared" ca="1" si="71"/>
        <v>0</v>
      </c>
      <c r="J113" s="1195">
        <f t="shared" ca="1" si="72"/>
        <v>0</v>
      </c>
      <c r="K113" s="1195">
        <f t="shared" ca="1" si="73"/>
        <v>0</v>
      </c>
      <c r="L113" s="1195">
        <f t="shared" ca="1" si="74"/>
        <v>0</v>
      </c>
      <c r="M113" s="1195">
        <f t="shared" ca="1" si="75"/>
        <v>0</v>
      </c>
      <c r="N113" s="1066">
        <v>0</v>
      </c>
      <c r="O113" s="1196">
        <f ca="1">IF(Rental!Q134&gt;0,Rental!Q134,0)</f>
        <v>0</v>
      </c>
      <c r="P113" s="1189"/>
      <c r="Q113" s="1195">
        <f t="shared" ca="1" si="41"/>
        <v>319011.21758603677</v>
      </c>
      <c r="R113" s="1195">
        <f t="shared" ca="1" si="42"/>
        <v>285693.30765255354</v>
      </c>
      <c r="S113" s="1196">
        <f t="shared" ca="1" si="43"/>
        <v>33317.909933483228</v>
      </c>
      <c r="T113" s="1202">
        <f t="shared" ca="1" si="64"/>
        <v>151</v>
      </c>
      <c r="U113" s="1202">
        <f t="shared" ca="1" si="65"/>
        <v>149</v>
      </c>
      <c r="V113" s="611">
        <f t="shared" ca="1" si="44"/>
        <v>1</v>
      </c>
      <c r="W113" s="611">
        <f t="shared" si="45"/>
        <v>1</v>
      </c>
      <c r="X113" s="611">
        <f t="shared" ca="1" si="46"/>
        <v>1</v>
      </c>
      <c r="Y113" s="611">
        <f t="shared" si="47"/>
        <v>1</v>
      </c>
      <c r="Z113" s="611">
        <f t="shared" ca="1" si="48"/>
        <v>1</v>
      </c>
      <c r="AA113" s="611">
        <f t="shared" si="49"/>
        <v>1</v>
      </c>
      <c r="AB113" s="611">
        <f t="shared" ca="1" si="50"/>
        <v>1</v>
      </c>
      <c r="AC113" s="611">
        <f t="shared" ca="1" si="51"/>
        <v>0</v>
      </c>
      <c r="AD113" s="611">
        <f t="shared" ca="1" si="52"/>
        <v>1</v>
      </c>
      <c r="AE113" s="611">
        <f t="shared" ca="1" si="53"/>
        <v>0</v>
      </c>
      <c r="AF113" s="611">
        <f t="shared" ca="1" si="54"/>
        <v>1</v>
      </c>
      <c r="AG113" s="611">
        <f t="shared" si="55"/>
        <v>1</v>
      </c>
      <c r="AH113" s="611">
        <f t="shared" ca="1" si="56"/>
        <v>1</v>
      </c>
      <c r="AI113" s="611">
        <f t="shared" si="57"/>
        <v>1</v>
      </c>
      <c r="AJ113" s="611">
        <f t="shared" ca="1" si="58"/>
        <v>1</v>
      </c>
      <c r="AK113" s="611">
        <f t="shared" si="59"/>
        <v>1</v>
      </c>
      <c r="AL113" s="611">
        <f t="shared" ca="1" si="60"/>
        <v>1</v>
      </c>
      <c r="AM113" s="611">
        <f t="shared" si="61"/>
        <v>1</v>
      </c>
      <c r="AN113" s="611">
        <f t="shared" ca="1" si="62"/>
        <v>1</v>
      </c>
      <c r="AO113" s="611">
        <f t="shared" si="63"/>
        <v>1</v>
      </c>
    </row>
    <row r="114" spans="1:41" s="612" customFormat="1" ht="18" customHeight="1">
      <c r="A114" s="611" t="str">
        <f ca="1">IF(C114=Retire!$D$12,"==&gt;","")</f>
        <v/>
      </c>
      <c r="C114" s="1192">
        <f t="shared" ca="1" si="40"/>
        <v>2120</v>
      </c>
      <c r="D114" s="1193">
        <f t="shared" ca="1" si="66"/>
        <v>117606.23446979038</v>
      </c>
      <c r="E114" s="1193">
        <f t="shared" ca="1" si="67"/>
        <v>107422.92922095589</v>
      </c>
      <c r="F114" s="1193">
        <f t="shared" ca="1" si="68"/>
        <v>98829.654390071053</v>
      </c>
      <c r="G114" s="1193">
        <f t="shared" ca="1" si="69"/>
        <v>0</v>
      </c>
      <c r="H114" s="1193">
        <f t="shared" ca="1" si="70"/>
        <v>0</v>
      </c>
      <c r="I114" s="1193">
        <f t="shared" ca="1" si="71"/>
        <v>0</v>
      </c>
      <c r="J114" s="1193">
        <f t="shared" ca="1" si="72"/>
        <v>0</v>
      </c>
      <c r="K114" s="1193">
        <f t="shared" ca="1" si="73"/>
        <v>0</v>
      </c>
      <c r="L114" s="1193">
        <f t="shared" ca="1" si="74"/>
        <v>0</v>
      </c>
      <c r="M114" s="1193">
        <f t="shared" ca="1" si="75"/>
        <v>0</v>
      </c>
      <c r="N114" s="1066">
        <v>0</v>
      </c>
      <c r="O114" s="1188">
        <f ca="1">IF(Rental!Q135&gt;0,Rental!Q135,0)</f>
        <v>0</v>
      </c>
      <c r="P114" s="1189"/>
      <c r="Q114" s="1193">
        <f t="shared" ca="1" si="41"/>
        <v>323858.81808081735</v>
      </c>
      <c r="R114" s="1193">
        <f t="shared" ca="1" si="42"/>
        <v>290104.44352720538</v>
      </c>
      <c r="S114" s="1188">
        <f t="shared" ca="1" si="43"/>
        <v>33754.374553611968</v>
      </c>
      <c r="T114" s="1201">
        <f t="shared" ca="1" si="64"/>
        <v>152</v>
      </c>
      <c r="U114" s="1201">
        <f t="shared" ca="1" si="65"/>
        <v>150</v>
      </c>
      <c r="V114" s="611">
        <f t="shared" ca="1" si="44"/>
        <v>1</v>
      </c>
      <c r="W114" s="611">
        <f t="shared" si="45"/>
        <v>1</v>
      </c>
      <c r="X114" s="611">
        <f t="shared" ca="1" si="46"/>
        <v>1</v>
      </c>
      <c r="Y114" s="611">
        <f t="shared" si="47"/>
        <v>1</v>
      </c>
      <c r="Z114" s="611">
        <f t="shared" ca="1" si="48"/>
        <v>1</v>
      </c>
      <c r="AA114" s="611">
        <f t="shared" si="49"/>
        <v>1</v>
      </c>
      <c r="AB114" s="611">
        <f t="shared" ca="1" si="50"/>
        <v>1</v>
      </c>
      <c r="AC114" s="611">
        <f t="shared" ca="1" si="51"/>
        <v>0</v>
      </c>
      <c r="AD114" s="611">
        <f t="shared" ca="1" si="52"/>
        <v>1</v>
      </c>
      <c r="AE114" s="611">
        <f t="shared" ca="1" si="53"/>
        <v>0</v>
      </c>
      <c r="AF114" s="611">
        <f t="shared" ca="1" si="54"/>
        <v>1</v>
      </c>
      <c r="AG114" s="611">
        <f t="shared" si="55"/>
        <v>1</v>
      </c>
      <c r="AH114" s="611">
        <f t="shared" ca="1" si="56"/>
        <v>1</v>
      </c>
      <c r="AI114" s="611">
        <f t="shared" si="57"/>
        <v>1</v>
      </c>
      <c r="AJ114" s="611">
        <f t="shared" ca="1" si="58"/>
        <v>1</v>
      </c>
      <c r="AK114" s="611">
        <f t="shared" si="59"/>
        <v>1</v>
      </c>
      <c r="AL114" s="611">
        <f t="shared" ca="1" si="60"/>
        <v>1</v>
      </c>
      <c r="AM114" s="611">
        <f t="shared" si="61"/>
        <v>1</v>
      </c>
      <c r="AN114" s="611">
        <f t="shared" ca="1" si="62"/>
        <v>1</v>
      </c>
      <c r="AO114" s="611">
        <f t="shared" si="63"/>
        <v>1</v>
      </c>
    </row>
    <row r="115" spans="1:41" s="612" customFormat="1" ht="18" customHeight="1">
      <c r="A115" s="611" t="str">
        <f ca="1">IF(C115=Retire!$D$12,"==&gt;","")</f>
        <v/>
      </c>
      <c r="C115" s="1194">
        <f t="shared" ca="1" si="40"/>
        <v>2121</v>
      </c>
      <c r="D115" s="1195">
        <f t="shared" ca="1" si="66"/>
        <v>119146.87614134463</v>
      </c>
      <c r="E115" s="1195">
        <f t="shared" ca="1" si="67"/>
        <v>108830.16959375041</v>
      </c>
      <c r="F115" s="1195">
        <f t="shared" ca="1" si="68"/>
        <v>100806.24747787247</v>
      </c>
      <c r="G115" s="1195">
        <f t="shared" ca="1" si="69"/>
        <v>0</v>
      </c>
      <c r="H115" s="1195">
        <f t="shared" ca="1" si="70"/>
        <v>0</v>
      </c>
      <c r="I115" s="1195">
        <f t="shared" ca="1" si="71"/>
        <v>0</v>
      </c>
      <c r="J115" s="1195">
        <f t="shared" ca="1" si="72"/>
        <v>0</v>
      </c>
      <c r="K115" s="1195">
        <f t="shared" ca="1" si="73"/>
        <v>0</v>
      </c>
      <c r="L115" s="1195">
        <f t="shared" ca="1" si="74"/>
        <v>0</v>
      </c>
      <c r="M115" s="1195">
        <f t="shared" ca="1" si="75"/>
        <v>0</v>
      </c>
      <c r="N115" s="1066">
        <v>0</v>
      </c>
      <c r="O115" s="1196">
        <f ca="1">IF(Rental!Q136&gt;0,Rental!Q136,0)</f>
        <v>0</v>
      </c>
      <c r="P115" s="1189"/>
      <c r="Q115" s="1195">
        <f t="shared" ca="1" si="41"/>
        <v>328783.29321296752</v>
      </c>
      <c r="R115" s="1195">
        <f t="shared" ca="1" si="42"/>
        <v>294586.73635270324</v>
      </c>
      <c r="S115" s="1196">
        <f t="shared" ca="1" si="43"/>
        <v>34196.556860264274</v>
      </c>
      <c r="T115" s="1202">
        <f t="shared" ca="1" si="64"/>
        <v>153</v>
      </c>
      <c r="U115" s="1202">
        <f t="shared" ca="1" si="65"/>
        <v>151</v>
      </c>
      <c r="V115" s="611">
        <f t="shared" ca="1" si="44"/>
        <v>1</v>
      </c>
      <c r="W115" s="611">
        <f t="shared" si="45"/>
        <v>1</v>
      </c>
      <c r="X115" s="611">
        <f t="shared" ca="1" si="46"/>
        <v>1</v>
      </c>
      <c r="Y115" s="611">
        <f t="shared" si="47"/>
        <v>1</v>
      </c>
      <c r="Z115" s="611">
        <f t="shared" ca="1" si="48"/>
        <v>1</v>
      </c>
      <c r="AA115" s="611">
        <f t="shared" si="49"/>
        <v>1</v>
      </c>
      <c r="AB115" s="611">
        <f t="shared" ca="1" si="50"/>
        <v>1</v>
      </c>
      <c r="AC115" s="611">
        <f t="shared" ca="1" si="51"/>
        <v>0</v>
      </c>
      <c r="AD115" s="611">
        <f t="shared" ca="1" si="52"/>
        <v>1</v>
      </c>
      <c r="AE115" s="611">
        <f t="shared" ca="1" si="53"/>
        <v>0</v>
      </c>
      <c r="AF115" s="611">
        <f t="shared" ca="1" si="54"/>
        <v>1</v>
      </c>
      <c r="AG115" s="611">
        <f t="shared" si="55"/>
        <v>1</v>
      </c>
      <c r="AH115" s="611">
        <f t="shared" ca="1" si="56"/>
        <v>1</v>
      </c>
      <c r="AI115" s="611">
        <f t="shared" si="57"/>
        <v>1</v>
      </c>
      <c r="AJ115" s="611">
        <f t="shared" ca="1" si="58"/>
        <v>1</v>
      </c>
      <c r="AK115" s="611">
        <f t="shared" si="59"/>
        <v>1</v>
      </c>
      <c r="AL115" s="611">
        <f t="shared" ca="1" si="60"/>
        <v>1</v>
      </c>
      <c r="AM115" s="611">
        <f t="shared" si="61"/>
        <v>1</v>
      </c>
      <c r="AN115" s="611">
        <f t="shared" ca="1" si="62"/>
        <v>1</v>
      </c>
      <c r="AO115" s="611">
        <f t="shared" si="63"/>
        <v>1</v>
      </c>
    </row>
    <row r="116" spans="1:41" s="612" customFormat="1" ht="18" customHeight="1">
      <c r="A116" s="611" t="str">
        <f ca="1">IF(C116=Retire!$D$12,"==&gt;","")</f>
        <v/>
      </c>
      <c r="C116" s="1192">
        <f t="shared" ca="1" si="40"/>
        <v>2122</v>
      </c>
      <c r="D116" s="1193">
        <f t="shared" ca="1" si="66"/>
        <v>120707.70021879625</v>
      </c>
      <c r="E116" s="1193">
        <f t="shared" ca="1" si="67"/>
        <v>110255.84481542854</v>
      </c>
      <c r="F116" s="1193">
        <f t="shared" ca="1" si="68"/>
        <v>102822.37242742992</v>
      </c>
      <c r="G116" s="1193">
        <f t="shared" ca="1" si="69"/>
        <v>0</v>
      </c>
      <c r="H116" s="1193">
        <f t="shared" ca="1" si="70"/>
        <v>0</v>
      </c>
      <c r="I116" s="1193">
        <f t="shared" ca="1" si="71"/>
        <v>0</v>
      </c>
      <c r="J116" s="1193">
        <f t="shared" ca="1" si="72"/>
        <v>0</v>
      </c>
      <c r="K116" s="1193">
        <f t="shared" ca="1" si="73"/>
        <v>0</v>
      </c>
      <c r="L116" s="1193">
        <f t="shared" ca="1" si="74"/>
        <v>0</v>
      </c>
      <c r="M116" s="1193">
        <f t="shared" ca="1" si="75"/>
        <v>0</v>
      </c>
      <c r="N116" s="1066">
        <v>0</v>
      </c>
      <c r="O116" s="1188">
        <f ca="1">IF(Rental!Q137&gt;0,Rental!Q137,0)</f>
        <v>0</v>
      </c>
      <c r="P116" s="1189"/>
      <c r="Q116" s="1193">
        <f t="shared" ca="1" si="41"/>
        <v>333785.91746165475</v>
      </c>
      <c r="R116" s="1193">
        <f t="shared" ca="1" si="42"/>
        <v>299141.38570652099</v>
      </c>
      <c r="S116" s="1188">
        <f t="shared" ca="1" si="43"/>
        <v>34644.531755133765</v>
      </c>
      <c r="T116" s="1201">
        <f t="shared" ca="1" si="64"/>
        <v>154</v>
      </c>
      <c r="U116" s="1201">
        <f t="shared" ca="1" si="65"/>
        <v>152</v>
      </c>
      <c r="V116" s="611">
        <f t="shared" ca="1" si="44"/>
        <v>1</v>
      </c>
      <c r="W116" s="611">
        <f t="shared" si="45"/>
        <v>1</v>
      </c>
      <c r="X116" s="611">
        <f t="shared" ca="1" si="46"/>
        <v>1</v>
      </c>
      <c r="Y116" s="611">
        <f t="shared" si="47"/>
        <v>1</v>
      </c>
      <c r="Z116" s="611">
        <f t="shared" ca="1" si="48"/>
        <v>1</v>
      </c>
      <c r="AA116" s="611">
        <f t="shared" si="49"/>
        <v>1</v>
      </c>
      <c r="AB116" s="611">
        <f t="shared" ca="1" si="50"/>
        <v>1</v>
      </c>
      <c r="AC116" s="611">
        <f t="shared" ca="1" si="51"/>
        <v>0</v>
      </c>
      <c r="AD116" s="611">
        <f t="shared" ca="1" si="52"/>
        <v>1</v>
      </c>
      <c r="AE116" s="611">
        <f t="shared" ca="1" si="53"/>
        <v>0</v>
      </c>
      <c r="AF116" s="611">
        <f t="shared" ca="1" si="54"/>
        <v>1</v>
      </c>
      <c r="AG116" s="611">
        <f t="shared" si="55"/>
        <v>1</v>
      </c>
      <c r="AH116" s="611">
        <f t="shared" ca="1" si="56"/>
        <v>1</v>
      </c>
      <c r="AI116" s="611">
        <f t="shared" si="57"/>
        <v>1</v>
      </c>
      <c r="AJ116" s="611">
        <f t="shared" ca="1" si="58"/>
        <v>1</v>
      </c>
      <c r="AK116" s="611">
        <f t="shared" si="59"/>
        <v>1</v>
      </c>
      <c r="AL116" s="611">
        <f t="shared" ca="1" si="60"/>
        <v>1</v>
      </c>
      <c r="AM116" s="611">
        <f t="shared" si="61"/>
        <v>1</v>
      </c>
      <c r="AN116" s="611">
        <f t="shared" ca="1" si="62"/>
        <v>1</v>
      </c>
      <c r="AO116" s="611">
        <f t="shared" si="63"/>
        <v>1</v>
      </c>
    </row>
    <row r="117" spans="1:41" s="612" customFormat="1" ht="18" customHeight="1">
      <c r="A117" s="611" t="str">
        <f ca="1">IF(C117=Retire!$D$12,"==&gt;","")</f>
        <v/>
      </c>
      <c r="C117" s="1194">
        <f t="shared" ca="1" si="40"/>
        <v>2123</v>
      </c>
      <c r="D117" s="1195">
        <f t="shared" ca="1" si="66"/>
        <v>122288.97109166248</v>
      </c>
      <c r="E117" s="1195">
        <f t="shared" ca="1" si="67"/>
        <v>111700.19638251065</v>
      </c>
      <c r="F117" s="1195">
        <f t="shared" ca="1" si="68"/>
        <v>104878.81987597852</v>
      </c>
      <c r="G117" s="1195">
        <f t="shared" ca="1" si="69"/>
        <v>0</v>
      </c>
      <c r="H117" s="1195">
        <f t="shared" ca="1" si="70"/>
        <v>0</v>
      </c>
      <c r="I117" s="1195">
        <f t="shared" ca="1" si="71"/>
        <v>0</v>
      </c>
      <c r="J117" s="1195">
        <f t="shared" ca="1" si="72"/>
        <v>0</v>
      </c>
      <c r="K117" s="1195">
        <f t="shared" ca="1" si="73"/>
        <v>0</v>
      </c>
      <c r="L117" s="1195">
        <f t="shared" ca="1" si="74"/>
        <v>0</v>
      </c>
      <c r="M117" s="1195">
        <f t="shared" ca="1" si="75"/>
        <v>0</v>
      </c>
      <c r="N117" s="1066">
        <v>0</v>
      </c>
      <c r="O117" s="1196">
        <f ca="1">IF(Rental!Q138&gt;0,Rental!Q138,0)</f>
        <v>0</v>
      </c>
      <c r="P117" s="1189"/>
      <c r="Q117" s="1195">
        <f t="shared" ca="1" si="41"/>
        <v>338867.98735015164</v>
      </c>
      <c r="R117" s="1195">
        <f t="shared" ca="1" si="42"/>
        <v>303769.61222902569</v>
      </c>
      <c r="S117" s="1196">
        <f t="shared" ca="1" si="43"/>
        <v>35098.375121125951</v>
      </c>
      <c r="T117" s="1202">
        <f t="shared" ca="1" si="64"/>
        <v>155</v>
      </c>
      <c r="U117" s="1202">
        <f t="shared" ca="1" si="65"/>
        <v>153</v>
      </c>
      <c r="V117" s="611">
        <f t="shared" ca="1" si="44"/>
        <v>1</v>
      </c>
      <c r="W117" s="611">
        <f t="shared" si="45"/>
        <v>1</v>
      </c>
      <c r="X117" s="611">
        <f t="shared" ca="1" si="46"/>
        <v>1</v>
      </c>
      <c r="Y117" s="611">
        <f t="shared" si="47"/>
        <v>1</v>
      </c>
      <c r="Z117" s="611">
        <f t="shared" ca="1" si="48"/>
        <v>1</v>
      </c>
      <c r="AA117" s="611">
        <f t="shared" si="49"/>
        <v>1</v>
      </c>
      <c r="AB117" s="611">
        <f t="shared" ca="1" si="50"/>
        <v>1</v>
      </c>
      <c r="AC117" s="611">
        <f t="shared" ca="1" si="51"/>
        <v>0</v>
      </c>
      <c r="AD117" s="611">
        <f t="shared" ca="1" si="52"/>
        <v>1</v>
      </c>
      <c r="AE117" s="611">
        <f t="shared" ca="1" si="53"/>
        <v>0</v>
      </c>
      <c r="AF117" s="611">
        <f t="shared" ca="1" si="54"/>
        <v>1</v>
      </c>
      <c r="AG117" s="611">
        <f t="shared" si="55"/>
        <v>1</v>
      </c>
      <c r="AH117" s="611">
        <f t="shared" ca="1" si="56"/>
        <v>1</v>
      </c>
      <c r="AI117" s="611">
        <f t="shared" si="57"/>
        <v>1</v>
      </c>
      <c r="AJ117" s="611">
        <f t="shared" ca="1" si="58"/>
        <v>1</v>
      </c>
      <c r="AK117" s="611">
        <f t="shared" si="59"/>
        <v>1</v>
      </c>
      <c r="AL117" s="611">
        <f t="shared" ca="1" si="60"/>
        <v>1</v>
      </c>
      <c r="AM117" s="611">
        <f t="shared" si="61"/>
        <v>1</v>
      </c>
      <c r="AN117" s="611">
        <f t="shared" ca="1" si="62"/>
        <v>1</v>
      </c>
      <c r="AO117" s="611">
        <f t="shared" si="63"/>
        <v>1</v>
      </c>
    </row>
    <row r="118" spans="1:41" s="612" customFormat="1" ht="18" customHeight="1">
      <c r="A118" s="611" t="str">
        <f ca="1">IF(C118=Retire!$D$12,"==&gt;","")</f>
        <v/>
      </c>
      <c r="C118" s="1192">
        <f t="shared" ca="1" si="40"/>
        <v>2124</v>
      </c>
      <c r="D118" s="1193">
        <f t="shared" ca="1" si="66"/>
        <v>123890.95661296326</v>
      </c>
      <c r="E118" s="1193">
        <f t="shared" ca="1" si="67"/>
        <v>113163.46895512154</v>
      </c>
      <c r="F118" s="1193">
        <f t="shared" ca="1" si="68"/>
        <v>106976.39627349809</v>
      </c>
      <c r="G118" s="1193">
        <f t="shared" ca="1" si="69"/>
        <v>0</v>
      </c>
      <c r="H118" s="1193">
        <f t="shared" ca="1" si="70"/>
        <v>0</v>
      </c>
      <c r="I118" s="1193">
        <f t="shared" ca="1" si="71"/>
        <v>0</v>
      </c>
      <c r="J118" s="1193">
        <f t="shared" ca="1" si="72"/>
        <v>0</v>
      </c>
      <c r="K118" s="1193">
        <f t="shared" ca="1" si="73"/>
        <v>0</v>
      </c>
      <c r="L118" s="1193">
        <f t="shared" ca="1" si="74"/>
        <v>0</v>
      </c>
      <c r="M118" s="1193">
        <f t="shared" ca="1" si="75"/>
        <v>0</v>
      </c>
      <c r="N118" s="1066">
        <v>0</v>
      </c>
      <c r="O118" s="1188">
        <f ca="1">IF(Rental!Q139&gt;0,Rental!Q139,0)</f>
        <v>0</v>
      </c>
      <c r="P118" s="1189"/>
      <c r="Q118" s="1193">
        <f t="shared" ca="1" si="41"/>
        <v>344030.82184158289</v>
      </c>
      <c r="R118" s="1193">
        <f t="shared" ca="1" si="42"/>
        <v>308472.65800637018</v>
      </c>
      <c r="S118" s="1188">
        <f t="shared" ca="1" si="43"/>
        <v>35558.163835212705</v>
      </c>
      <c r="T118" s="1201">
        <f t="shared" ca="1" si="64"/>
        <v>156</v>
      </c>
      <c r="U118" s="1201">
        <f t="shared" ca="1" si="65"/>
        <v>154</v>
      </c>
      <c r="V118" s="611">
        <f t="shared" ca="1" si="44"/>
        <v>1</v>
      </c>
      <c r="W118" s="611">
        <f t="shared" si="45"/>
        <v>1</v>
      </c>
      <c r="X118" s="611">
        <f t="shared" ca="1" si="46"/>
        <v>1</v>
      </c>
      <c r="Y118" s="611">
        <f t="shared" si="47"/>
        <v>1</v>
      </c>
      <c r="Z118" s="611">
        <f t="shared" ca="1" si="48"/>
        <v>1</v>
      </c>
      <c r="AA118" s="611">
        <f t="shared" si="49"/>
        <v>1</v>
      </c>
      <c r="AB118" s="611">
        <f t="shared" ca="1" si="50"/>
        <v>1</v>
      </c>
      <c r="AC118" s="611">
        <f t="shared" ca="1" si="51"/>
        <v>0</v>
      </c>
      <c r="AD118" s="611">
        <f t="shared" ca="1" si="52"/>
        <v>1</v>
      </c>
      <c r="AE118" s="611">
        <f t="shared" ca="1" si="53"/>
        <v>0</v>
      </c>
      <c r="AF118" s="611">
        <f t="shared" ca="1" si="54"/>
        <v>1</v>
      </c>
      <c r="AG118" s="611">
        <f t="shared" si="55"/>
        <v>1</v>
      </c>
      <c r="AH118" s="611">
        <f t="shared" ca="1" si="56"/>
        <v>1</v>
      </c>
      <c r="AI118" s="611">
        <f t="shared" si="57"/>
        <v>1</v>
      </c>
      <c r="AJ118" s="611">
        <f t="shared" ca="1" si="58"/>
        <v>1</v>
      </c>
      <c r="AK118" s="611">
        <f t="shared" si="59"/>
        <v>1</v>
      </c>
      <c r="AL118" s="611">
        <f t="shared" ca="1" si="60"/>
        <v>1</v>
      </c>
      <c r="AM118" s="611">
        <f t="shared" si="61"/>
        <v>1</v>
      </c>
      <c r="AN118" s="611">
        <f t="shared" ca="1" si="62"/>
        <v>1</v>
      </c>
      <c r="AO118" s="611">
        <f t="shared" si="63"/>
        <v>1</v>
      </c>
    </row>
    <row r="119" spans="1:41" s="612" customFormat="1" ht="18" customHeight="1">
      <c r="A119" s="611" t="str">
        <f ca="1">IF(C119=Retire!$D$12,"==&gt;","")</f>
        <v/>
      </c>
      <c r="C119" s="1194">
        <f t="shared" ca="1" si="40"/>
        <v>2125</v>
      </c>
      <c r="D119" s="1195">
        <f t="shared" ca="1" si="66"/>
        <v>125513.92814459308</v>
      </c>
      <c r="E119" s="1195">
        <f t="shared" ca="1" si="67"/>
        <v>114645.91039843364</v>
      </c>
      <c r="F119" s="1195">
        <f t="shared" ca="1" si="68"/>
        <v>109115.92419896804</v>
      </c>
      <c r="G119" s="1195">
        <f t="shared" ca="1" si="69"/>
        <v>0</v>
      </c>
      <c r="H119" s="1195">
        <f t="shared" ca="1" si="70"/>
        <v>0</v>
      </c>
      <c r="I119" s="1195">
        <f t="shared" ca="1" si="71"/>
        <v>0</v>
      </c>
      <c r="J119" s="1195">
        <f t="shared" ca="1" si="72"/>
        <v>0</v>
      </c>
      <c r="K119" s="1195">
        <f t="shared" ca="1" si="73"/>
        <v>0</v>
      </c>
      <c r="L119" s="1195">
        <f t="shared" ca="1" si="74"/>
        <v>0</v>
      </c>
      <c r="M119" s="1195">
        <f t="shared" ca="1" si="75"/>
        <v>0</v>
      </c>
      <c r="N119" s="1066">
        <v>0</v>
      </c>
      <c r="O119" s="1196">
        <f ca="1">IF(Rental!Q140&gt;0,Rental!Q140,0)</f>
        <v>0</v>
      </c>
      <c r="P119" s="1189"/>
      <c r="Q119" s="1195">
        <f t="shared" ca="1" si="41"/>
        <v>349275.76274199475</v>
      </c>
      <c r="R119" s="1195">
        <f t="shared" ca="1" si="42"/>
        <v>313251.78696054075</v>
      </c>
      <c r="S119" s="1196">
        <f t="shared" ca="1" si="43"/>
        <v>36023.975781454006</v>
      </c>
      <c r="T119" s="1202">
        <f t="shared" ca="1" si="64"/>
        <v>157</v>
      </c>
      <c r="U119" s="1202">
        <f t="shared" ca="1" si="65"/>
        <v>155</v>
      </c>
      <c r="V119" s="611">
        <f t="shared" ca="1" si="44"/>
        <v>1</v>
      </c>
      <c r="W119" s="611">
        <f t="shared" si="45"/>
        <v>1</v>
      </c>
      <c r="X119" s="611">
        <f t="shared" ca="1" si="46"/>
        <v>1</v>
      </c>
      <c r="Y119" s="611">
        <f t="shared" si="47"/>
        <v>1</v>
      </c>
      <c r="Z119" s="611">
        <f t="shared" ca="1" si="48"/>
        <v>1</v>
      </c>
      <c r="AA119" s="611">
        <f t="shared" si="49"/>
        <v>1</v>
      </c>
      <c r="AB119" s="611">
        <f t="shared" ca="1" si="50"/>
        <v>1</v>
      </c>
      <c r="AC119" s="611">
        <f t="shared" ca="1" si="51"/>
        <v>0</v>
      </c>
      <c r="AD119" s="611">
        <f t="shared" ca="1" si="52"/>
        <v>1</v>
      </c>
      <c r="AE119" s="611">
        <f t="shared" ca="1" si="53"/>
        <v>0</v>
      </c>
      <c r="AF119" s="611">
        <f t="shared" ca="1" si="54"/>
        <v>1</v>
      </c>
      <c r="AG119" s="611">
        <f t="shared" si="55"/>
        <v>1</v>
      </c>
      <c r="AH119" s="611">
        <f t="shared" ca="1" si="56"/>
        <v>1</v>
      </c>
      <c r="AI119" s="611">
        <f t="shared" si="57"/>
        <v>1</v>
      </c>
      <c r="AJ119" s="611">
        <f t="shared" ca="1" si="58"/>
        <v>1</v>
      </c>
      <c r="AK119" s="611">
        <f t="shared" si="59"/>
        <v>1</v>
      </c>
      <c r="AL119" s="611">
        <f t="shared" ca="1" si="60"/>
        <v>1</v>
      </c>
      <c r="AM119" s="611">
        <f t="shared" si="61"/>
        <v>1</v>
      </c>
      <c r="AN119" s="611">
        <f t="shared" ca="1" si="62"/>
        <v>1</v>
      </c>
      <c r="AO119" s="611">
        <f t="shared" si="63"/>
        <v>1</v>
      </c>
    </row>
    <row r="120" spans="1:41" s="612" customFormat="1" ht="18" customHeight="1">
      <c r="A120" s="611" t="str">
        <f ca="1">IF(C120=Retire!$D$12,"==&gt;","")</f>
        <v/>
      </c>
      <c r="C120" s="1192">
        <f t="shared" ca="1" si="40"/>
        <v>2126</v>
      </c>
      <c r="D120" s="1193">
        <f t="shared" ca="1" si="66"/>
        <v>127158.16060328725</v>
      </c>
      <c r="E120" s="1193">
        <f t="shared" ca="1" si="67"/>
        <v>116147.77182465311</v>
      </c>
      <c r="F120" s="1193">
        <f t="shared" ca="1" si="68"/>
        <v>111298.2426829474</v>
      </c>
      <c r="G120" s="1193">
        <f t="shared" ca="1" si="69"/>
        <v>0</v>
      </c>
      <c r="H120" s="1193">
        <f t="shared" ca="1" si="70"/>
        <v>0</v>
      </c>
      <c r="I120" s="1193">
        <f t="shared" ca="1" si="71"/>
        <v>0</v>
      </c>
      <c r="J120" s="1193">
        <f t="shared" ca="1" si="72"/>
        <v>0</v>
      </c>
      <c r="K120" s="1193">
        <f t="shared" ca="1" si="73"/>
        <v>0</v>
      </c>
      <c r="L120" s="1193">
        <f t="shared" ca="1" si="74"/>
        <v>0</v>
      </c>
      <c r="M120" s="1193">
        <f t="shared" ca="1" si="75"/>
        <v>0</v>
      </c>
      <c r="N120" s="1066">
        <v>0</v>
      </c>
      <c r="O120" s="1188">
        <f ca="1">IF(Rental!Q141&gt;0,Rental!Q141,0)</f>
        <v>0</v>
      </c>
      <c r="P120" s="1189"/>
      <c r="Q120" s="1193">
        <f t="shared" ca="1" si="41"/>
        <v>354604.17511088774</v>
      </c>
      <c r="R120" s="1193">
        <f t="shared" ca="1" si="42"/>
        <v>318108.28524669667</v>
      </c>
      <c r="S120" s="1188">
        <f t="shared" ca="1" si="43"/>
        <v>36495.889864191064</v>
      </c>
      <c r="T120" s="1201">
        <f t="shared" ca="1" si="64"/>
        <v>158</v>
      </c>
      <c r="U120" s="1201">
        <f t="shared" ca="1" si="65"/>
        <v>156</v>
      </c>
      <c r="V120" s="611">
        <f t="shared" ca="1" si="44"/>
        <v>1</v>
      </c>
      <c r="W120" s="611">
        <f t="shared" si="45"/>
        <v>1</v>
      </c>
      <c r="X120" s="611">
        <f t="shared" ca="1" si="46"/>
        <v>1</v>
      </c>
      <c r="Y120" s="611">
        <f t="shared" si="47"/>
        <v>1</v>
      </c>
      <c r="Z120" s="611">
        <f t="shared" ca="1" si="48"/>
        <v>1</v>
      </c>
      <c r="AA120" s="611">
        <f t="shared" si="49"/>
        <v>1</v>
      </c>
      <c r="AB120" s="611">
        <f t="shared" ca="1" si="50"/>
        <v>1</v>
      </c>
      <c r="AC120" s="611">
        <f t="shared" ca="1" si="51"/>
        <v>0</v>
      </c>
      <c r="AD120" s="611">
        <f t="shared" ca="1" si="52"/>
        <v>1</v>
      </c>
      <c r="AE120" s="611">
        <f t="shared" ca="1" si="53"/>
        <v>0</v>
      </c>
      <c r="AF120" s="611">
        <f t="shared" ca="1" si="54"/>
        <v>1</v>
      </c>
      <c r="AG120" s="611">
        <f t="shared" si="55"/>
        <v>1</v>
      </c>
      <c r="AH120" s="611">
        <f t="shared" ca="1" si="56"/>
        <v>1</v>
      </c>
      <c r="AI120" s="611">
        <f t="shared" si="57"/>
        <v>1</v>
      </c>
      <c r="AJ120" s="611">
        <f t="shared" ca="1" si="58"/>
        <v>1</v>
      </c>
      <c r="AK120" s="611">
        <f t="shared" si="59"/>
        <v>1</v>
      </c>
      <c r="AL120" s="611">
        <f t="shared" ca="1" si="60"/>
        <v>1</v>
      </c>
      <c r="AM120" s="611">
        <f t="shared" si="61"/>
        <v>1</v>
      </c>
      <c r="AN120" s="611">
        <f t="shared" ca="1" si="62"/>
        <v>1</v>
      </c>
      <c r="AO120" s="611">
        <f t="shared" si="63"/>
        <v>1</v>
      </c>
    </row>
    <row r="121" spans="1:41" s="612" customFormat="1" ht="18" customHeight="1">
      <c r="A121" s="611" t="str">
        <f ca="1">IF(C121=Retire!$D$12,"==&gt;","")</f>
        <v/>
      </c>
      <c r="C121" s="1194">
        <f t="shared" ca="1" si="40"/>
        <v>2127</v>
      </c>
      <c r="D121" s="1195">
        <f t="shared" ca="1" si="66"/>
        <v>128823.93250719031</v>
      </c>
      <c r="E121" s="1195">
        <f t="shared" ca="1" si="67"/>
        <v>117669.30763555608</v>
      </c>
      <c r="F121" s="1195">
        <f t="shared" ca="1" si="68"/>
        <v>113524.20753660635</v>
      </c>
      <c r="G121" s="1195">
        <f t="shared" ca="1" si="69"/>
        <v>0</v>
      </c>
      <c r="H121" s="1195">
        <f t="shared" ca="1" si="70"/>
        <v>0</v>
      </c>
      <c r="I121" s="1195">
        <f t="shared" ca="1" si="71"/>
        <v>0</v>
      </c>
      <c r="J121" s="1195">
        <f t="shared" ca="1" si="72"/>
        <v>0</v>
      </c>
      <c r="K121" s="1195">
        <f t="shared" ca="1" si="73"/>
        <v>0</v>
      </c>
      <c r="L121" s="1195">
        <f t="shared" ca="1" si="74"/>
        <v>0</v>
      </c>
      <c r="M121" s="1195">
        <f t="shared" ca="1" si="75"/>
        <v>0</v>
      </c>
      <c r="N121" s="1066">
        <v>0</v>
      </c>
      <c r="O121" s="1196">
        <f ca="1">IF(Rental!Q142&gt;0,Rental!Q142,0)</f>
        <v>0</v>
      </c>
      <c r="P121" s="1189"/>
      <c r="Q121" s="1195">
        <f t="shared" ca="1" si="41"/>
        <v>360017.44767935271</v>
      </c>
      <c r="R121" s="1195">
        <f t="shared" ca="1" si="42"/>
        <v>323043.46165794076</v>
      </c>
      <c r="S121" s="1196">
        <f t="shared" ca="1" si="43"/>
        <v>36973.986021411954</v>
      </c>
      <c r="T121" s="1202">
        <f t="shared" ca="1" si="64"/>
        <v>159</v>
      </c>
      <c r="U121" s="1202">
        <f t="shared" ca="1" si="65"/>
        <v>157</v>
      </c>
      <c r="V121" s="611">
        <f t="shared" ca="1" si="44"/>
        <v>1</v>
      </c>
      <c r="W121" s="611">
        <f t="shared" si="45"/>
        <v>1</v>
      </c>
      <c r="X121" s="611">
        <f t="shared" ca="1" si="46"/>
        <v>1</v>
      </c>
      <c r="Y121" s="611">
        <f t="shared" si="47"/>
        <v>1</v>
      </c>
      <c r="Z121" s="611">
        <f t="shared" ca="1" si="48"/>
        <v>1</v>
      </c>
      <c r="AA121" s="611">
        <f t="shared" si="49"/>
        <v>1</v>
      </c>
      <c r="AB121" s="611">
        <f t="shared" ca="1" si="50"/>
        <v>1</v>
      </c>
      <c r="AC121" s="611">
        <f t="shared" ca="1" si="51"/>
        <v>0</v>
      </c>
      <c r="AD121" s="611">
        <f t="shared" ca="1" si="52"/>
        <v>1</v>
      </c>
      <c r="AE121" s="611">
        <f t="shared" ca="1" si="53"/>
        <v>0</v>
      </c>
      <c r="AF121" s="611">
        <f t="shared" ca="1" si="54"/>
        <v>1</v>
      </c>
      <c r="AG121" s="611">
        <f t="shared" si="55"/>
        <v>1</v>
      </c>
      <c r="AH121" s="611">
        <f t="shared" ca="1" si="56"/>
        <v>1</v>
      </c>
      <c r="AI121" s="611">
        <f t="shared" si="57"/>
        <v>1</v>
      </c>
      <c r="AJ121" s="611">
        <f t="shared" ca="1" si="58"/>
        <v>1</v>
      </c>
      <c r="AK121" s="611">
        <f t="shared" si="59"/>
        <v>1</v>
      </c>
      <c r="AL121" s="611">
        <f t="shared" ca="1" si="60"/>
        <v>1</v>
      </c>
      <c r="AM121" s="611">
        <f t="shared" si="61"/>
        <v>1</v>
      </c>
      <c r="AN121" s="611">
        <f t="shared" ca="1" si="62"/>
        <v>1</v>
      </c>
      <c r="AO121" s="611">
        <f t="shared" si="63"/>
        <v>1</v>
      </c>
    </row>
    <row r="122" spans="1:41" s="612" customFormat="1" ht="18" customHeight="1">
      <c r="A122" s="611" t="str">
        <f ca="1">IF(C122=Retire!$D$12,"==&gt;","")</f>
        <v/>
      </c>
      <c r="C122" s="1192">
        <f t="shared" ca="1" si="40"/>
        <v>2128</v>
      </c>
      <c r="D122" s="1193">
        <f t="shared" ca="1" si="66"/>
        <v>130511.5260230345</v>
      </c>
      <c r="E122" s="1193">
        <f t="shared" ca="1" si="67"/>
        <v>119210.77556558186</v>
      </c>
      <c r="F122" s="1193">
        <f t="shared" ca="1" si="68"/>
        <v>115794.69168733848</v>
      </c>
      <c r="G122" s="1193">
        <f t="shared" ca="1" si="69"/>
        <v>0</v>
      </c>
      <c r="H122" s="1193">
        <f t="shared" ca="1" si="70"/>
        <v>0</v>
      </c>
      <c r="I122" s="1193">
        <f t="shared" ca="1" si="71"/>
        <v>0</v>
      </c>
      <c r="J122" s="1193">
        <f t="shared" ca="1" si="72"/>
        <v>0</v>
      </c>
      <c r="K122" s="1193">
        <f t="shared" ca="1" si="73"/>
        <v>0</v>
      </c>
      <c r="L122" s="1193">
        <f t="shared" ca="1" si="74"/>
        <v>0</v>
      </c>
      <c r="M122" s="1193">
        <f t="shared" ca="1" si="75"/>
        <v>0</v>
      </c>
      <c r="N122" s="1066">
        <v>0</v>
      </c>
      <c r="O122" s="1188">
        <f ca="1">IF(Rental!Q143&gt;0,Rental!Q143,0)</f>
        <v>0</v>
      </c>
      <c r="P122" s="1189"/>
      <c r="Q122" s="1193">
        <f t="shared" ca="1" si="41"/>
        <v>365516.99327595485</v>
      </c>
      <c r="R122" s="1193">
        <f t="shared" ca="1" si="42"/>
        <v>328058.64803766238</v>
      </c>
      <c r="S122" s="1188">
        <f t="shared" ca="1" si="43"/>
        <v>37458.345238292473</v>
      </c>
      <c r="T122" s="1201">
        <f t="shared" ca="1" si="64"/>
        <v>160</v>
      </c>
      <c r="U122" s="1201">
        <f t="shared" ca="1" si="65"/>
        <v>158</v>
      </c>
      <c r="V122" s="611">
        <f t="shared" ca="1" si="44"/>
        <v>1</v>
      </c>
      <c r="W122" s="611">
        <f t="shared" si="45"/>
        <v>1</v>
      </c>
      <c r="X122" s="611">
        <f t="shared" ca="1" si="46"/>
        <v>1</v>
      </c>
      <c r="Y122" s="611">
        <f t="shared" si="47"/>
        <v>1</v>
      </c>
      <c r="Z122" s="611">
        <f t="shared" ca="1" si="48"/>
        <v>1</v>
      </c>
      <c r="AA122" s="611">
        <f t="shared" si="49"/>
        <v>1</v>
      </c>
      <c r="AB122" s="611">
        <f t="shared" ca="1" si="50"/>
        <v>1</v>
      </c>
      <c r="AC122" s="611">
        <f t="shared" ca="1" si="51"/>
        <v>0</v>
      </c>
      <c r="AD122" s="611">
        <f t="shared" ca="1" si="52"/>
        <v>1</v>
      </c>
      <c r="AE122" s="611">
        <f t="shared" ca="1" si="53"/>
        <v>0</v>
      </c>
      <c r="AF122" s="611">
        <f t="shared" ca="1" si="54"/>
        <v>1</v>
      </c>
      <c r="AG122" s="611">
        <f t="shared" si="55"/>
        <v>1</v>
      </c>
      <c r="AH122" s="611">
        <f t="shared" ca="1" si="56"/>
        <v>1</v>
      </c>
      <c r="AI122" s="611">
        <f t="shared" si="57"/>
        <v>1</v>
      </c>
      <c r="AJ122" s="611">
        <f t="shared" ca="1" si="58"/>
        <v>1</v>
      </c>
      <c r="AK122" s="611">
        <f t="shared" si="59"/>
        <v>1</v>
      </c>
      <c r="AL122" s="611">
        <f t="shared" ca="1" si="60"/>
        <v>1</v>
      </c>
      <c r="AM122" s="611">
        <f t="shared" si="61"/>
        <v>1</v>
      </c>
      <c r="AN122" s="611">
        <f t="shared" ca="1" si="62"/>
        <v>1</v>
      </c>
      <c r="AO122" s="611">
        <f t="shared" si="63"/>
        <v>1</v>
      </c>
    </row>
    <row r="123" spans="1:41" s="612" customFormat="1" ht="18" customHeight="1">
      <c r="A123" s="611" t="str">
        <f ca="1">IF(C123=Retire!$D$12,"==&gt;","")</f>
        <v/>
      </c>
      <c r="C123" s="1194">
        <f t="shared" ca="1" si="40"/>
        <v>2129</v>
      </c>
      <c r="D123" s="1195">
        <f t="shared" ca="1" si="66"/>
        <v>132221.22701393627</v>
      </c>
      <c r="E123" s="1195">
        <f t="shared" ca="1" si="67"/>
        <v>120772.43672549099</v>
      </c>
      <c r="F123" s="1195">
        <f t="shared" ca="1" si="68"/>
        <v>118110.58552108525</v>
      </c>
      <c r="G123" s="1195">
        <f t="shared" ca="1" si="69"/>
        <v>0</v>
      </c>
      <c r="H123" s="1195">
        <f t="shared" ca="1" si="70"/>
        <v>0</v>
      </c>
      <c r="I123" s="1195">
        <f t="shared" ca="1" si="71"/>
        <v>0</v>
      </c>
      <c r="J123" s="1195">
        <f t="shared" ca="1" si="72"/>
        <v>0</v>
      </c>
      <c r="K123" s="1195">
        <f t="shared" ca="1" si="73"/>
        <v>0</v>
      </c>
      <c r="L123" s="1195">
        <f t="shared" ca="1" si="74"/>
        <v>0</v>
      </c>
      <c r="M123" s="1195">
        <f t="shared" ca="1" si="75"/>
        <v>0</v>
      </c>
      <c r="N123" s="1066">
        <v>0</v>
      </c>
      <c r="O123" s="1196">
        <f ca="1">IF(Rental!Q144&gt;0,Rental!Q144,0)</f>
        <v>0</v>
      </c>
      <c r="P123" s="1189"/>
      <c r="Q123" s="1195">
        <f t="shared" ca="1" si="41"/>
        <v>371104.24926051253</v>
      </c>
      <c r="R123" s="1195">
        <f t="shared" ca="1" si="42"/>
        <v>333155.19969959842</v>
      </c>
      <c r="S123" s="1196">
        <f t="shared" ca="1" si="43"/>
        <v>37949.049560914107</v>
      </c>
      <c r="T123" s="1202">
        <f t="shared" ca="1" si="64"/>
        <v>161</v>
      </c>
      <c r="U123" s="1202">
        <f t="shared" ca="1" si="65"/>
        <v>159</v>
      </c>
      <c r="V123" s="611">
        <f t="shared" ca="1" si="44"/>
        <v>1</v>
      </c>
      <c r="W123" s="611">
        <f t="shared" si="45"/>
        <v>1</v>
      </c>
      <c r="X123" s="611">
        <f t="shared" ca="1" si="46"/>
        <v>1</v>
      </c>
      <c r="Y123" s="611">
        <f t="shared" si="47"/>
        <v>1</v>
      </c>
      <c r="Z123" s="611">
        <f t="shared" ca="1" si="48"/>
        <v>1</v>
      </c>
      <c r="AA123" s="611">
        <f t="shared" si="49"/>
        <v>1</v>
      </c>
      <c r="AB123" s="611">
        <f t="shared" ca="1" si="50"/>
        <v>1</v>
      </c>
      <c r="AC123" s="611">
        <f t="shared" ca="1" si="51"/>
        <v>0</v>
      </c>
      <c r="AD123" s="611">
        <f t="shared" ca="1" si="52"/>
        <v>1</v>
      </c>
      <c r="AE123" s="611">
        <f t="shared" ca="1" si="53"/>
        <v>0</v>
      </c>
      <c r="AF123" s="611">
        <f t="shared" ca="1" si="54"/>
        <v>1</v>
      </c>
      <c r="AG123" s="611">
        <f t="shared" si="55"/>
        <v>1</v>
      </c>
      <c r="AH123" s="611">
        <f t="shared" ca="1" si="56"/>
        <v>1</v>
      </c>
      <c r="AI123" s="611">
        <f t="shared" si="57"/>
        <v>1</v>
      </c>
      <c r="AJ123" s="611">
        <f t="shared" ca="1" si="58"/>
        <v>1</v>
      </c>
      <c r="AK123" s="611">
        <f t="shared" si="59"/>
        <v>1</v>
      </c>
      <c r="AL123" s="611">
        <f t="shared" ca="1" si="60"/>
        <v>1</v>
      </c>
      <c r="AM123" s="611">
        <f t="shared" si="61"/>
        <v>1</v>
      </c>
      <c r="AN123" s="611">
        <f t="shared" ca="1" si="62"/>
        <v>1</v>
      </c>
      <c r="AO123" s="611">
        <f t="shared" si="63"/>
        <v>1</v>
      </c>
    </row>
    <row r="124" spans="1:41" s="612" customFormat="1" ht="18" customHeight="1">
      <c r="A124" s="611" t="str">
        <f ca="1">IF(C124=Retire!$D$12,"==&gt;","")</f>
        <v/>
      </c>
      <c r="C124" s="1192">
        <f t="shared" ca="1" si="40"/>
        <v>2130</v>
      </c>
      <c r="D124" s="1193">
        <f t="shared" ca="1" si="66"/>
        <v>133953.32508781884</v>
      </c>
      <c r="E124" s="1193">
        <f t="shared" ca="1" si="67"/>
        <v>122354.55564659492</v>
      </c>
      <c r="F124" s="1193">
        <f t="shared" ca="1" si="68"/>
        <v>120472.79723150695</v>
      </c>
      <c r="G124" s="1193">
        <f t="shared" ca="1" si="69"/>
        <v>0</v>
      </c>
      <c r="H124" s="1193">
        <f t="shared" ca="1" si="70"/>
        <v>0</v>
      </c>
      <c r="I124" s="1193">
        <f t="shared" ca="1" si="71"/>
        <v>0</v>
      </c>
      <c r="J124" s="1193">
        <f t="shared" ca="1" si="72"/>
        <v>0</v>
      </c>
      <c r="K124" s="1193">
        <f t="shared" ca="1" si="73"/>
        <v>0</v>
      </c>
      <c r="L124" s="1193">
        <f t="shared" ca="1" si="74"/>
        <v>0</v>
      </c>
      <c r="M124" s="1193">
        <f t="shared" ca="1" si="75"/>
        <v>0</v>
      </c>
      <c r="N124" s="1066">
        <v>0</v>
      </c>
      <c r="O124" s="1188">
        <f ca="1">IF(Rental!Q145&gt;0,Rental!Q145,0)</f>
        <v>0</v>
      </c>
      <c r="P124" s="1189"/>
      <c r="Q124" s="1193">
        <f t="shared" ca="1" si="41"/>
        <v>376780.67796592071</v>
      </c>
      <c r="R124" s="1193">
        <f t="shared" ca="1" si="42"/>
        <v>338334.49585575867</v>
      </c>
      <c r="S124" s="1188">
        <f t="shared" ca="1" si="43"/>
        <v>38446.182110162044</v>
      </c>
      <c r="T124" s="1201">
        <f t="shared" ca="1" si="64"/>
        <v>162</v>
      </c>
      <c r="U124" s="1201">
        <f t="shared" ca="1" si="65"/>
        <v>160</v>
      </c>
      <c r="V124" s="611">
        <f t="shared" ca="1" si="44"/>
        <v>1</v>
      </c>
      <c r="W124" s="611">
        <f t="shared" si="45"/>
        <v>1</v>
      </c>
      <c r="X124" s="611">
        <f t="shared" ca="1" si="46"/>
        <v>1</v>
      </c>
      <c r="Y124" s="611">
        <f t="shared" si="47"/>
        <v>1</v>
      </c>
      <c r="Z124" s="611">
        <f t="shared" ca="1" si="48"/>
        <v>1</v>
      </c>
      <c r="AA124" s="611">
        <f t="shared" si="49"/>
        <v>1</v>
      </c>
      <c r="AB124" s="611">
        <f t="shared" ca="1" si="50"/>
        <v>1</v>
      </c>
      <c r="AC124" s="611">
        <f t="shared" ca="1" si="51"/>
        <v>0</v>
      </c>
      <c r="AD124" s="611">
        <f t="shared" ca="1" si="52"/>
        <v>1</v>
      </c>
      <c r="AE124" s="611">
        <f t="shared" ca="1" si="53"/>
        <v>0</v>
      </c>
      <c r="AF124" s="611">
        <f t="shared" ca="1" si="54"/>
        <v>1</v>
      </c>
      <c r="AG124" s="611">
        <f t="shared" si="55"/>
        <v>1</v>
      </c>
      <c r="AH124" s="611">
        <f t="shared" ca="1" si="56"/>
        <v>1</v>
      </c>
      <c r="AI124" s="611">
        <f t="shared" si="57"/>
        <v>1</v>
      </c>
      <c r="AJ124" s="611">
        <f t="shared" ca="1" si="58"/>
        <v>1</v>
      </c>
      <c r="AK124" s="611">
        <f t="shared" si="59"/>
        <v>1</v>
      </c>
      <c r="AL124" s="611">
        <f t="shared" ca="1" si="60"/>
        <v>1</v>
      </c>
      <c r="AM124" s="611">
        <f t="shared" si="61"/>
        <v>1</v>
      </c>
      <c r="AN124" s="611">
        <f t="shared" ca="1" si="62"/>
        <v>1</v>
      </c>
      <c r="AO124" s="611">
        <f t="shared" si="63"/>
        <v>1</v>
      </c>
    </row>
    <row r="125" spans="1:41" s="612" customFormat="1" ht="18" customHeight="1">
      <c r="A125" s="611" t="str">
        <f ca="1">IF(C125=Retire!$D$12,"==&gt;","")</f>
        <v/>
      </c>
      <c r="C125" s="1194">
        <f t="shared" ca="1" si="40"/>
        <v>2131</v>
      </c>
      <c r="D125" s="1195">
        <f t="shared" ca="1" si="66"/>
        <v>135708.11364646925</v>
      </c>
      <c r="E125" s="1195">
        <f t="shared" ca="1" si="67"/>
        <v>123957.40032556531</v>
      </c>
      <c r="F125" s="1195">
        <f t="shared" ca="1" si="68"/>
        <v>122882.25317613709</v>
      </c>
      <c r="G125" s="1195">
        <f t="shared" ca="1" si="69"/>
        <v>0</v>
      </c>
      <c r="H125" s="1195">
        <f t="shared" ca="1" si="70"/>
        <v>0</v>
      </c>
      <c r="I125" s="1195">
        <f t="shared" ca="1" si="71"/>
        <v>0</v>
      </c>
      <c r="J125" s="1195">
        <f t="shared" ca="1" si="72"/>
        <v>0</v>
      </c>
      <c r="K125" s="1195">
        <f t="shared" ca="1" si="73"/>
        <v>0</v>
      </c>
      <c r="L125" s="1195">
        <f t="shared" ca="1" si="74"/>
        <v>0</v>
      </c>
      <c r="M125" s="1195">
        <f t="shared" ca="1" si="75"/>
        <v>0</v>
      </c>
      <c r="N125" s="1066">
        <v>0</v>
      </c>
      <c r="O125" s="1196">
        <f ca="1">IF(Rental!Q146&gt;0,Rental!Q146,0)</f>
        <v>0</v>
      </c>
      <c r="P125" s="1189"/>
      <c r="Q125" s="1195">
        <f t="shared" ca="1" si="41"/>
        <v>382547.76714817167</v>
      </c>
      <c r="R125" s="1195">
        <f t="shared" ca="1" si="42"/>
        <v>343597.94005236647</v>
      </c>
      <c r="S125" s="1196">
        <f t="shared" ca="1" si="43"/>
        <v>38949.827095805202</v>
      </c>
      <c r="T125" s="1202">
        <f t="shared" ca="1" si="64"/>
        <v>163</v>
      </c>
      <c r="U125" s="1202">
        <f t="shared" ca="1" si="65"/>
        <v>161</v>
      </c>
      <c r="V125" s="611">
        <f t="shared" ca="1" si="44"/>
        <v>1</v>
      </c>
      <c r="W125" s="611">
        <f t="shared" si="45"/>
        <v>1</v>
      </c>
      <c r="X125" s="611">
        <f t="shared" ca="1" si="46"/>
        <v>1</v>
      </c>
      <c r="Y125" s="611">
        <f t="shared" si="47"/>
        <v>1</v>
      </c>
      <c r="Z125" s="611">
        <f t="shared" ca="1" si="48"/>
        <v>1</v>
      </c>
      <c r="AA125" s="611">
        <f t="shared" si="49"/>
        <v>1</v>
      </c>
      <c r="AB125" s="611">
        <f t="shared" ca="1" si="50"/>
        <v>1</v>
      </c>
      <c r="AC125" s="611">
        <f t="shared" ca="1" si="51"/>
        <v>0</v>
      </c>
      <c r="AD125" s="611">
        <f t="shared" ca="1" si="52"/>
        <v>1</v>
      </c>
      <c r="AE125" s="611">
        <f t="shared" ca="1" si="53"/>
        <v>0</v>
      </c>
      <c r="AF125" s="611">
        <f t="shared" ca="1" si="54"/>
        <v>1</v>
      </c>
      <c r="AG125" s="611">
        <f t="shared" si="55"/>
        <v>1</v>
      </c>
      <c r="AH125" s="611">
        <f t="shared" ca="1" si="56"/>
        <v>1</v>
      </c>
      <c r="AI125" s="611">
        <f t="shared" si="57"/>
        <v>1</v>
      </c>
      <c r="AJ125" s="611">
        <f t="shared" ca="1" si="58"/>
        <v>1</v>
      </c>
      <c r="AK125" s="611">
        <f t="shared" si="59"/>
        <v>1</v>
      </c>
      <c r="AL125" s="611">
        <f t="shared" ca="1" si="60"/>
        <v>1</v>
      </c>
      <c r="AM125" s="611">
        <f t="shared" si="61"/>
        <v>1</v>
      </c>
      <c r="AN125" s="611">
        <f t="shared" ca="1" si="62"/>
        <v>1</v>
      </c>
      <c r="AO125" s="611">
        <f t="shared" si="63"/>
        <v>1</v>
      </c>
    </row>
    <row r="126" spans="1:41" s="612" customFormat="1" ht="18" customHeight="1">
      <c r="A126" s="611" t="str">
        <f ca="1">IF(C126=Retire!$D$12,"==&gt;","")</f>
        <v/>
      </c>
      <c r="C126" s="1192">
        <f t="shared" ca="1" si="40"/>
        <v>2132</v>
      </c>
      <c r="D126" s="1193">
        <f t="shared" ca="1" si="66"/>
        <v>137485.889935238</v>
      </c>
      <c r="E126" s="1193">
        <f t="shared" ca="1" si="67"/>
        <v>125581.24226983021</v>
      </c>
      <c r="F126" s="1193">
        <f t="shared" ca="1" si="68"/>
        <v>125339.89823965983</v>
      </c>
      <c r="G126" s="1193">
        <f t="shared" ca="1" si="69"/>
        <v>0</v>
      </c>
      <c r="H126" s="1193">
        <f t="shared" ca="1" si="70"/>
        <v>0</v>
      </c>
      <c r="I126" s="1193">
        <f t="shared" ca="1" si="71"/>
        <v>0</v>
      </c>
      <c r="J126" s="1193">
        <f t="shared" ca="1" si="72"/>
        <v>0</v>
      </c>
      <c r="K126" s="1193">
        <f t="shared" ca="1" si="73"/>
        <v>0</v>
      </c>
      <c r="L126" s="1193">
        <f t="shared" ca="1" si="74"/>
        <v>0</v>
      </c>
      <c r="M126" s="1193">
        <f t="shared" ca="1" si="75"/>
        <v>0</v>
      </c>
      <c r="N126" s="1066">
        <v>0</v>
      </c>
      <c r="O126" s="1188">
        <f ca="1">IF(Rental!Q147&gt;0,Rental!Q147,0)</f>
        <v>0</v>
      </c>
      <c r="P126" s="1189"/>
      <c r="Q126" s="1193">
        <f t="shared" ca="1" si="41"/>
        <v>388407.03044472804</v>
      </c>
      <c r="R126" s="1193">
        <f t="shared" ca="1" si="42"/>
        <v>348946.96061396779</v>
      </c>
      <c r="S126" s="1188">
        <f t="shared" ca="1" si="43"/>
        <v>39460.069830760243</v>
      </c>
      <c r="T126" s="1201">
        <f t="shared" ca="1" si="64"/>
        <v>164</v>
      </c>
      <c r="U126" s="1201">
        <f t="shared" ca="1" si="65"/>
        <v>162</v>
      </c>
      <c r="V126" s="611">
        <f t="shared" ca="1" si="44"/>
        <v>1</v>
      </c>
      <c r="W126" s="611">
        <f t="shared" si="45"/>
        <v>1</v>
      </c>
      <c r="X126" s="611">
        <f t="shared" ca="1" si="46"/>
        <v>1</v>
      </c>
      <c r="Y126" s="611">
        <f t="shared" si="47"/>
        <v>1</v>
      </c>
      <c r="Z126" s="611">
        <f t="shared" ca="1" si="48"/>
        <v>1</v>
      </c>
      <c r="AA126" s="611">
        <f t="shared" si="49"/>
        <v>1</v>
      </c>
      <c r="AB126" s="611">
        <f t="shared" ca="1" si="50"/>
        <v>1</v>
      </c>
      <c r="AC126" s="611">
        <f t="shared" ca="1" si="51"/>
        <v>0</v>
      </c>
      <c r="AD126" s="611">
        <f t="shared" ca="1" si="52"/>
        <v>1</v>
      </c>
      <c r="AE126" s="611">
        <f t="shared" ca="1" si="53"/>
        <v>0</v>
      </c>
      <c r="AF126" s="611">
        <f t="shared" ca="1" si="54"/>
        <v>1</v>
      </c>
      <c r="AG126" s="611">
        <f t="shared" si="55"/>
        <v>1</v>
      </c>
      <c r="AH126" s="611">
        <f t="shared" ca="1" si="56"/>
        <v>1</v>
      </c>
      <c r="AI126" s="611">
        <f t="shared" si="57"/>
        <v>1</v>
      </c>
      <c r="AJ126" s="611">
        <f t="shared" ca="1" si="58"/>
        <v>1</v>
      </c>
      <c r="AK126" s="611">
        <f t="shared" si="59"/>
        <v>1</v>
      </c>
      <c r="AL126" s="611">
        <f t="shared" ca="1" si="60"/>
        <v>1</v>
      </c>
      <c r="AM126" s="611">
        <f t="shared" si="61"/>
        <v>1</v>
      </c>
      <c r="AN126" s="611">
        <f t="shared" ca="1" si="62"/>
        <v>1</v>
      </c>
      <c r="AO126" s="611">
        <f t="shared" si="63"/>
        <v>1</v>
      </c>
    </row>
    <row r="127" spans="1:41" s="612" customFormat="1" ht="18" customHeight="1">
      <c r="A127" s="611" t="str">
        <f ca="1">IF(C127=Retire!$D$12,"==&gt;","")</f>
        <v/>
      </c>
      <c r="C127" s="1194">
        <f t="shared" ca="1" si="40"/>
        <v>2133</v>
      </c>
      <c r="D127" s="1195">
        <f t="shared" ca="1" si="66"/>
        <v>139286.95509338961</v>
      </c>
      <c r="E127" s="1195">
        <f t="shared" ca="1" si="67"/>
        <v>127226.35654356498</v>
      </c>
      <c r="F127" s="1195">
        <f t="shared" ca="1" si="68"/>
        <v>127846.69620445302</v>
      </c>
      <c r="G127" s="1195">
        <f t="shared" ca="1" si="69"/>
        <v>0</v>
      </c>
      <c r="H127" s="1195">
        <f t="shared" ca="1" si="70"/>
        <v>0</v>
      </c>
      <c r="I127" s="1195">
        <f t="shared" ca="1" si="71"/>
        <v>0</v>
      </c>
      <c r="J127" s="1195">
        <f t="shared" ca="1" si="72"/>
        <v>0</v>
      </c>
      <c r="K127" s="1195">
        <f t="shared" ca="1" si="73"/>
        <v>0</v>
      </c>
      <c r="L127" s="1195">
        <f t="shared" ca="1" si="74"/>
        <v>0</v>
      </c>
      <c r="M127" s="1195">
        <f t="shared" ca="1" si="75"/>
        <v>0</v>
      </c>
      <c r="N127" s="1066">
        <v>0</v>
      </c>
      <c r="O127" s="1196">
        <f ca="1">IF(Rental!Q148&gt;0,Rental!Q148,0)</f>
        <v>0</v>
      </c>
      <c r="P127" s="1189"/>
      <c r="Q127" s="1195">
        <f t="shared" ca="1" si="41"/>
        <v>394360.00784140761</v>
      </c>
      <c r="R127" s="1195">
        <f t="shared" ca="1" si="42"/>
        <v>354383.01109586441</v>
      </c>
      <c r="S127" s="1196">
        <f t="shared" ca="1" si="43"/>
        <v>39976.996745543205</v>
      </c>
      <c r="T127" s="1202">
        <f t="shared" ca="1" si="64"/>
        <v>165</v>
      </c>
      <c r="U127" s="1202">
        <f t="shared" ca="1" si="65"/>
        <v>163</v>
      </c>
      <c r="V127" s="611">
        <f t="shared" ca="1" si="44"/>
        <v>1</v>
      </c>
      <c r="W127" s="611">
        <f t="shared" si="45"/>
        <v>1</v>
      </c>
      <c r="X127" s="611">
        <f t="shared" ca="1" si="46"/>
        <v>1</v>
      </c>
      <c r="Y127" s="611">
        <f t="shared" si="47"/>
        <v>1</v>
      </c>
      <c r="Z127" s="611">
        <f t="shared" ca="1" si="48"/>
        <v>1</v>
      </c>
      <c r="AA127" s="611">
        <f t="shared" si="49"/>
        <v>1</v>
      </c>
      <c r="AB127" s="611">
        <f t="shared" ca="1" si="50"/>
        <v>1</v>
      </c>
      <c r="AC127" s="611">
        <f t="shared" ca="1" si="51"/>
        <v>0</v>
      </c>
      <c r="AD127" s="611">
        <f t="shared" ca="1" si="52"/>
        <v>1</v>
      </c>
      <c r="AE127" s="611">
        <f t="shared" ca="1" si="53"/>
        <v>0</v>
      </c>
      <c r="AF127" s="611">
        <f t="shared" ca="1" si="54"/>
        <v>1</v>
      </c>
      <c r="AG127" s="611">
        <f t="shared" si="55"/>
        <v>1</v>
      </c>
      <c r="AH127" s="611">
        <f t="shared" ca="1" si="56"/>
        <v>1</v>
      </c>
      <c r="AI127" s="611">
        <f t="shared" si="57"/>
        <v>1</v>
      </c>
      <c r="AJ127" s="611">
        <f t="shared" ca="1" si="58"/>
        <v>1</v>
      </c>
      <c r="AK127" s="611">
        <f t="shared" si="59"/>
        <v>1</v>
      </c>
      <c r="AL127" s="611">
        <f t="shared" ca="1" si="60"/>
        <v>1</v>
      </c>
      <c r="AM127" s="611">
        <f t="shared" si="61"/>
        <v>1</v>
      </c>
      <c r="AN127" s="611">
        <f t="shared" ca="1" si="62"/>
        <v>1</v>
      </c>
      <c r="AO127" s="611">
        <f t="shared" si="63"/>
        <v>1</v>
      </c>
    </row>
    <row r="128" spans="1:41" s="612" customFormat="1" ht="18" customHeight="1">
      <c r="A128" s="611" t="str">
        <f ca="1">IF(C128=Retire!$D$12,"==&gt;","")</f>
        <v/>
      </c>
      <c r="C128" s="1192">
        <f t="shared" ref="C128:C140" ca="1" si="76">C127+1</f>
        <v>2134</v>
      </c>
      <c r="D128" s="1193">
        <f t="shared" ca="1" si="66"/>
        <v>141111.614205113</v>
      </c>
      <c r="E128" s="1193">
        <f t="shared" ca="1" si="67"/>
        <v>128893.02181428568</v>
      </c>
      <c r="F128" s="1193">
        <f t="shared" ca="1" si="68"/>
        <v>130403.63012854208</v>
      </c>
      <c r="G128" s="1193">
        <f t="shared" ca="1" si="69"/>
        <v>0</v>
      </c>
      <c r="H128" s="1193">
        <f t="shared" ca="1" si="70"/>
        <v>0</v>
      </c>
      <c r="I128" s="1193">
        <f t="shared" ca="1" si="71"/>
        <v>0</v>
      </c>
      <c r="J128" s="1193">
        <f t="shared" ca="1" si="72"/>
        <v>0</v>
      </c>
      <c r="K128" s="1193">
        <f t="shared" ca="1" si="73"/>
        <v>0</v>
      </c>
      <c r="L128" s="1193">
        <f t="shared" ca="1" si="74"/>
        <v>0</v>
      </c>
      <c r="M128" s="1193">
        <f t="shared" ca="1" si="75"/>
        <v>0</v>
      </c>
      <c r="N128" s="1066">
        <v>0</v>
      </c>
      <c r="O128" s="1188">
        <f ca="1">IF(Rental!Q149&gt;0,Rental!Q149,0)</f>
        <v>0</v>
      </c>
      <c r="P128" s="1189"/>
      <c r="Q128" s="1193">
        <f t="shared" ref="Q128:Q140" ca="1" si="77">SUM(D128:O128)</f>
        <v>400408.26614794077</v>
      </c>
      <c r="R128" s="1193">
        <f t="shared" ref="R128:R140" ca="1" si="78">SUM((D128*$D$14)+(E128*$E$14)+(F128*$F$14)+(G128*$G$14)+(H128*$H$14)+(I128*$I$14)+(J128*$J$14)+(K128*$K$14)+(L128*$L$14)+(M128*$M$14)+(N128*$N$14)+(O128*$O$14))</f>
        <v>359907.57074503094</v>
      </c>
      <c r="S128" s="1188">
        <f t="shared" ref="S128:S140" ca="1" si="79">Q128-R128</f>
        <v>40500.695402909827</v>
      </c>
      <c r="T128" s="1201">
        <f t="shared" ca="1" si="64"/>
        <v>166</v>
      </c>
      <c r="U128" s="1201">
        <f t="shared" ca="1" si="65"/>
        <v>164</v>
      </c>
      <c r="V128" s="611">
        <f t="shared" ca="1" si="44"/>
        <v>1</v>
      </c>
      <c r="W128" s="611">
        <f t="shared" si="45"/>
        <v>1</v>
      </c>
      <c r="X128" s="611">
        <f t="shared" ca="1" si="46"/>
        <v>1</v>
      </c>
      <c r="Y128" s="611">
        <f t="shared" si="47"/>
        <v>1</v>
      </c>
      <c r="Z128" s="611">
        <f t="shared" ca="1" si="48"/>
        <v>1</v>
      </c>
      <c r="AA128" s="611">
        <f t="shared" si="49"/>
        <v>1</v>
      </c>
      <c r="AB128" s="611">
        <f t="shared" ca="1" si="50"/>
        <v>1</v>
      </c>
      <c r="AC128" s="611">
        <f t="shared" ca="1" si="51"/>
        <v>0</v>
      </c>
      <c r="AD128" s="611">
        <f t="shared" ca="1" si="52"/>
        <v>1</v>
      </c>
      <c r="AE128" s="611">
        <f t="shared" ca="1" si="53"/>
        <v>0</v>
      </c>
      <c r="AF128" s="611">
        <f t="shared" ca="1" si="54"/>
        <v>1</v>
      </c>
      <c r="AG128" s="611">
        <f t="shared" si="55"/>
        <v>1</v>
      </c>
      <c r="AH128" s="611">
        <f t="shared" ca="1" si="56"/>
        <v>1</v>
      </c>
      <c r="AI128" s="611">
        <f t="shared" si="57"/>
        <v>1</v>
      </c>
      <c r="AJ128" s="611">
        <f t="shared" ca="1" si="58"/>
        <v>1</v>
      </c>
      <c r="AK128" s="611">
        <f t="shared" si="59"/>
        <v>1</v>
      </c>
      <c r="AL128" s="611">
        <f t="shared" ca="1" si="60"/>
        <v>1</v>
      </c>
      <c r="AM128" s="611">
        <f t="shared" si="61"/>
        <v>1</v>
      </c>
      <c r="AN128" s="611">
        <f t="shared" ca="1" si="62"/>
        <v>1</v>
      </c>
      <c r="AO128" s="611">
        <f t="shared" si="63"/>
        <v>1</v>
      </c>
    </row>
    <row r="129" spans="1:41" s="612" customFormat="1" ht="18" customHeight="1">
      <c r="A129" s="611" t="str">
        <f ca="1">IF(C129=Retire!$D$12,"==&gt;","")</f>
        <v/>
      </c>
      <c r="C129" s="1194">
        <f t="shared" ca="1" si="76"/>
        <v>2135</v>
      </c>
      <c r="D129" s="1195">
        <f t="shared" ca="1" si="66"/>
        <v>142960.17635119997</v>
      </c>
      <c r="E129" s="1195">
        <f t="shared" ca="1" si="67"/>
        <v>130581.52040005282</v>
      </c>
      <c r="F129" s="1195">
        <f t="shared" ca="1" si="68"/>
        <v>133011.70273111292</v>
      </c>
      <c r="G129" s="1195">
        <f t="shared" ca="1" si="69"/>
        <v>0</v>
      </c>
      <c r="H129" s="1195">
        <f t="shared" ca="1" si="70"/>
        <v>0</v>
      </c>
      <c r="I129" s="1195">
        <f t="shared" ca="1" si="71"/>
        <v>0</v>
      </c>
      <c r="J129" s="1195">
        <f t="shared" ca="1" si="72"/>
        <v>0</v>
      </c>
      <c r="K129" s="1195">
        <f t="shared" ca="1" si="73"/>
        <v>0</v>
      </c>
      <c r="L129" s="1195">
        <f t="shared" ca="1" si="74"/>
        <v>0</v>
      </c>
      <c r="M129" s="1195">
        <f t="shared" ca="1" si="75"/>
        <v>0</v>
      </c>
      <c r="N129" s="1066">
        <v>0</v>
      </c>
      <c r="O129" s="1196">
        <f ca="1">IF(Rental!Q150&gt;0,Rental!Q150,0)</f>
        <v>0</v>
      </c>
      <c r="P129" s="1189"/>
      <c r="Q129" s="1195">
        <f t="shared" ca="1" si="77"/>
        <v>406553.3994823657</v>
      </c>
      <c r="R129" s="1195">
        <f t="shared" ca="1" si="78"/>
        <v>365522.14496967779</v>
      </c>
      <c r="S129" s="1196">
        <f t="shared" ca="1" si="79"/>
        <v>41031.254512687912</v>
      </c>
      <c r="T129" s="1202">
        <f t="shared" ca="1" si="64"/>
        <v>167</v>
      </c>
      <c r="U129" s="1202">
        <f t="shared" ca="1" si="65"/>
        <v>165</v>
      </c>
      <c r="V129" s="611">
        <f t="shared" ca="1" si="44"/>
        <v>1</v>
      </c>
      <c r="W129" s="611">
        <f t="shared" si="45"/>
        <v>1</v>
      </c>
      <c r="X129" s="611">
        <f t="shared" ca="1" si="46"/>
        <v>1</v>
      </c>
      <c r="Y129" s="611">
        <f t="shared" si="47"/>
        <v>1</v>
      </c>
      <c r="Z129" s="611">
        <f t="shared" ca="1" si="48"/>
        <v>1</v>
      </c>
      <c r="AA129" s="611">
        <f t="shared" si="49"/>
        <v>1</v>
      </c>
      <c r="AB129" s="611">
        <f t="shared" ca="1" si="50"/>
        <v>1</v>
      </c>
      <c r="AC129" s="611">
        <f t="shared" ca="1" si="51"/>
        <v>0</v>
      </c>
      <c r="AD129" s="611">
        <f t="shared" ca="1" si="52"/>
        <v>1</v>
      </c>
      <c r="AE129" s="611">
        <f t="shared" ca="1" si="53"/>
        <v>0</v>
      </c>
      <c r="AF129" s="611">
        <f t="shared" ca="1" si="54"/>
        <v>1</v>
      </c>
      <c r="AG129" s="611">
        <f t="shared" si="55"/>
        <v>1</v>
      </c>
      <c r="AH129" s="611">
        <f t="shared" ca="1" si="56"/>
        <v>1</v>
      </c>
      <c r="AI129" s="611">
        <f t="shared" si="57"/>
        <v>1</v>
      </c>
      <c r="AJ129" s="611">
        <f t="shared" ca="1" si="58"/>
        <v>1</v>
      </c>
      <c r="AK129" s="611">
        <f t="shared" si="59"/>
        <v>1</v>
      </c>
      <c r="AL129" s="611">
        <f t="shared" ca="1" si="60"/>
        <v>1</v>
      </c>
      <c r="AM129" s="611">
        <f t="shared" si="61"/>
        <v>1</v>
      </c>
      <c r="AN129" s="611">
        <f t="shared" ca="1" si="62"/>
        <v>1</v>
      </c>
      <c r="AO129" s="611">
        <f t="shared" si="63"/>
        <v>1</v>
      </c>
    </row>
    <row r="130" spans="1:41" s="612" customFormat="1" ht="18" customHeight="1">
      <c r="A130" s="611" t="str">
        <f ca="1">IF(C130=Retire!$D$12,"==&gt;","")</f>
        <v/>
      </c>
      <c r="C130" s="1192">
        <f t="shared" ca="1" si="76"/>
        <v>2136</v>
      </c>
      <c r="D130" s="1193">
        <f t="shared" ca="1" si="66"/>
        <v>144832.9546614007</v>
      </c>
      <c r="E130" s="1193">
        <f t="shared" ca="1" si="67"/>
        <v>132292.13831729352</v>
      </c>
      <c r="F130" s="1193">
        <f t="shared" ca="1" si="68"/>
        <v>135671.93678573519</v>
      </c>
      <c r="G130" s="1193">
        <f t="shared" ca="1" si="69"/>
        <v>0</v>
      </c>
      <c r="H130" s="1193">
        <f t="shared" ca="1" si="70"/>
        <v>0</v>
      </c>
      <c r="I130" s="1193">
        <f t="shared" ca="1" si="71"/>
        <v>0</v>
      </c>
      <c r="J130" s="1193">
        <f t="shared" ca="1" si="72"/>
        <v>0</v>
      </c>
      <c r="K130" s="1193">
        <f t="shared" ca="1" si="73"/>
        <v>0</v>
      </c>
      <c r="L130" s="1193">
        <f t="shared" ca="1" si="74"/>
        <v>0</v>
      </c>
      <c r="M130" s="1193">
        <f t="shared" ca="1" si="75"/>
        <v>0</v>
      </c>
      <c r="N130" s="1066">
        <v>0</v>
      </c>
      <c r="O130" s="1188">
        <f ca="1">IF(Rental!Q151&gt;0,Rental!Q151,0)</f>
        <v>0</v>
      </c>
      <c r="P130" s="1189"/>
      <c r="Q130" s="1193">
        <f t="shared" ca="1" si="77"/>
        <v>412797.02976442943</v>
      </c>
      <c r="R130" s="1193">
        <f t="shared" ca="1" si="78"/>
        <v>371228.26581762527</v>
      </c>
      <c r="S130" s="1188">
        <f t="shared" ca="1" si="79"/>
        <v>41568.76394680416</v>
      </c>
      <c r="T130" s="1201">
        <f t="shared" ca="1" si="64"/>
        <v>168</v>
      </c>
      <c r="U130" s="1201">
        <f t="shared" ca="1" si="65"/>
        <v>166</v>
      </c>
      <c r="V130" s="611">
        <f t="shared" ca="1" si="44"/>
        <v>1</v>
      </c>
      <c r="W130" s="611">
        <f t="shared" si="45"/>
        <v>1</v>
      </c>
      <c r="X130" s="611">
        <f t="shared" ca="1" si="46"/>
        <v>1</v>
      </c>
      <c r="Y130" s="611">
        <f t="shared" si="47"/>
        <v>1</v>
      </c>
      <c r="Z130" s="611">
        <f t="shared" ca="1" si="48"/>
        <v>1</v>
      </c>
      <c r="AA130" s="611">
        <f t="shared" si="49"/>
        <v>1</v>
      </c>
      <c r="AB130" s="611">
        <f t="shared" ca="1" si="50"/>
        <v>1</v>
      </c>
      <c r="AC130" s="611">
        <f t="shared" ca="1" si="51"/>
        <v>0</v>
      </c>
      <c r="AD130" s="611">
        <f t="shared" ca="1" si="52"/>
        <v>1</v>
      </c>
      <c r="AE130" s="611">
        <f t="shared" ca="1" si="53"/>
        <v>0</v>
      </c>
      <c r="AF130" s="611">
        <f t="shared" ca="1" si="54"/>
        <v>1</v>
      </c>
      <c r="AG130" s="611">
        <f t="shared" si="55"/>
        <v>1</v>
      </c>
      <c r="AH130" s="611">
        <f t="shared" ca="1" si="56"/>
        <v>1</v>
      </c>
      <c r="AI130" s="611">
        <f t="shared" si="57"/>
        <v>1</v>
      </c>
      <c r="AJ130" s="611">
        <f t="shared" ca="1" si="58"/>
        <v>1</v>
      </c>
      <c r="AK130" s="611">
        <f t="shared" si="59"/>
        <v>1</v>
      </c>
      <c r="AL130" s="611">
        <f t="shared" ca="1" si="60"/>
        <v>1</v>
      </c>
      <c r="AM130" s="611">
        <f t="shared" si="61"/>
        <v>1</v>
      </c>
      <c r="AN130" s="611">
        <f t="shared" ca="1" si="62"/>
        <v>1</v>
      </c>
      <c r="AO130" s="611">
        <f t="shared" si="63"/>
        <v>1</v>
      </c>
    </row>
    <row r="131" spans="1:41" s="612" customFormat="1" ht="18" customHeight="1">
      <c r="A131" s="611" t="str">
        <f ca="1">IF(C131=Retire!$D$12,"==&gt;","")</f>
        <v/>
      </c>
      <c r="C131" s="1194">
        <f t="shared" ca="1" si="76"/>
        <v>2137</v>
      </c>
      <c r="D131" s="1195">
        <f t="shared" ca="1" si="66"/>
        <v>146730.26636746505</v>
      </c>
      <c r="E131" s="1195">
        <f t="shared" ca="1" si="67"/>
        <v>134025.16532925007</v>
      </c>
      <c r="F131" s="1195">
        <f t="shared" ca="1" si="68"/>
        <v>138385.3755214499</v>
      </c>
      <c r="G131" s="1195">
        <f t="shared" ca="1" si="69"/>
        <v>0</v>
      </c>
      <c r="H131" s="1195">
        <f t="shared" ca="1" si="70"/>
        <v>0</v>
      </c>
      <c r="I131" s="1195">
        <f t="shared" ca="1" si="71"/>
        <v>0</v>
      </c>
      <c r="J131" s="1195">
        <f t="shared" ca="1" si="72"/>
        <v>0</v>
      </c>
      <c r="K131" s="1195">
        <f t="shared" ca="1" si="73"/>
        <v>0</v>
      </c>
      <c r="L131" s="1195">
        <f t="shared" ca="1" si="74"/>
        <v>0</v>
      </c>
      <c r="M131" s="1195">
        <f t="shared" ca="1" si="75"/>
        <v>0</v>
      </c>
      <c r="N131" s="2564">
        <v>0</v>
      </c>
      <c r="O131" s="1196">
        <f ca="1">IF(Rental!Q152&gt;0,Rental!Q152,0)</f>
        <v>0</v>
      </c>
      <c r="P131" s="1189"/>
      <c r="Q131" s="1195">
        <f t="shared" ca="1" si="77"/>
        <v>419140.80721816502</v>
      </c>
      <c r="R131" s="1195">
        <f t="shared" ca="1" si="78"/>
        <v>377027.49246365775</v>
      </c>
      <c r="S131" s="1196">
        <f t="shared" ca="1" si="79"/>
        <v>42113.314754507272</v>
      </c>
      <c r="T131" s="1202">
        <f t="shared" ca="1" si="64"/>
        <v>169</v>
      </c>
      <c r="U131" s="1202">
        <f t="shared" ca="1" si="65"/>
        <v>167</v>
      </c>
      <c r="V131" s="611">
        <f t="shared" ca="1" si="44"/>
        <v>1</v>
      </c>
      <c r="W131" s="611">
        <f t="shared" si="45"/>
        <v>1</v>
      </c>
      <c r="X131" s="611">
        <f t="shared" ca="1" si="46"/>
        <v>1</v>
      </c>
      <c r="Y131" s="611">
        <f t="shared" si="47"/>
        <v>1</v>
      </c>
      <c r="Z131" s="611">
        <f t="shared" ca="1" si="48"/>
        <v>1</v>
      </c>
      <c r="AA131" s="611">
        <f t="shared" si="49"/>
        <v>1</v>
      </c>
      <c r="AB131" s="611">
        <f t="shared" ca="1" si="50"/>
        <v>1</v>
      </c>
      <c r="AC131" s="611">
        <f t="shared" ca="1" si="51"/>
        <v>0</v>
      </c>
      <c r="AD131" s="611">
        <f t="shared" ca="1" si="52"/>
        <v>1</v>
      </c>
      <c r="AE131" s="611">
        <f t="shared" ca="1" si="53"/>
        <v>0</v>
      </c>
      <c r="AF131" s="611">
        <f t="shared" ca="1" si="54"/>
        <v>1</v>
      </c>
      <c r="AG131" s="611">
        <f t="shared" si="55"/>
        <v>1</v>
      </c>
      <c r="AH131" s="611">
        <f t="shared" ca="1" si="56"/>
        <v>1</v>
      </c>
      <c r="AI131" s="611">
        <f t="shared" si="57"/>
        <v>1</v>
      </c>
      <c r="AJ131" s="611">
        <f t="shared" ca="1" si="58"/>
        <v>1</v>
      </c>
      <c r="AK131" s="611">
        <f t="shared" si="59"/>
        <v>1</v>
      </c>
      <c r="AL131" s="611">
        <f t="shared" ca="1" si="60"/>
        <v>1</v>
      </c>
      <c r="AM131" s="611">
        <f t="shared" si="61"/>
        <v>1</v>
      </c>
      <c r="AN131" s="611">
        <f t="shared" ca="1" si="62"/>
        <v>1</v>
      </c>
      <c r="AO131" s="611">
        <f t="shared" si="63"/>
        <v>1</v>
      </c>
    </row>
    <row r="132" spans="1:41" s="612" customFormat="1" ht="18" customHeight="1">
      <c r="A132" s="611" t="str">
        <f ca="1">IF(C132=Retire!$D$12,"==&gt;","")</f>
        <v/>
      </c>
      <c r="C132" s="1192">
        <f t="shared" ca="1" si="76"/>
        <v>2138</v>
      </c>
      <c r="D132" s="1193">
        <f t="shared" ca="1" si="66"/>
        <v>148652.43285687885</v>
      </c>
      <c r="E132" s="1193">
        <f t="shared" ca="1" si="67"/>
        <v>135780.89499506325</v>
      </c>
      <c r="F132" s="1193">
        <f t="shared" ca="1" si="68"/>
        <v>141153.08303187889</v>
      </c>
      <c r="G132" s="1193">
        <f t="shared" ca="1" si="69"/>
        <v>0</v>
      </c>
      <c r="H132" s="1193">
        <f t="shared" ca="1" si="70"/>
        <v>0</v>
      </c>
      <c r="I132" s="1193">
        <f t="shared" ca="1" si="71"/>
        <v>0</v>
      </c>
      <c r="J132" s="1193">
        <f t="shared" ca="1" si="72"/>
        <v>0</v>
      </c>
      <c r="K132" s="1193">
        <f t="shared" ca="1" si="73"/>
        <v>0</v>
      </c>
      <c r="L132" s="1193">
        <f t="shared" ca="1" si="74"/>
        <v>0</v>
      </c>
      <c r="M132" s="1193">
        <f t="shared" ca="1" si="75"/>
        <v>0</v>
      </c>
      <c r="N132" s="2564">
        <v>0</v>
      </c>
      <c r="O132" s="1188">
        <f ca="1">IF(Rental!Q153&gt;0,Rental!Q153,0)</f>
        <v>0</v>
      </c>
      <c r="P132" s="1189"/>
      <c r="Q132" s="1193">
        <f t="shared" ca="1" si="77"/>
        <v>425586.41088382096</v>
      </c>
      <c r="R132" s="1193">
        <f t="shared" ca="1" si="78"/>
        <v>382921.41170602967</v>
      </c>
      <c r="S132" s="1188">
        <f t="shared" ca="1" si="79"/>
        <v>42664.999177791295</v>
      </c>
      <c r="T132" s="1201">
        <f t="shared" ca="1" si="64"/>
        <v>170</v>
      </c>
      <c r="U132" s="1201">
        <f t="shared" ca="1" si="65"/>
        <v>168</v>
      </c>
      <c r="V132" s="611">
        <f t="shared" ca="1" si="44"/>
        <v>1</v>
      </c>
      <c r="W132" s="611">
        <f t="shared" si="45"/>
        <v>1</v>
      </c>
      <c r="X132" s="611">
        <f t="shared" ca="1" si="46"/>
        <v>1</v>
      </c>
      <c r="Y132" s="611">
        <f t="shared" si="47"/>
        <v>1</v>
      </c>
      <c r="Z132" s="611">
        <f t="shared" ca="1" si="48"/>
        <v>1</v>
      </c>
      <c r="AA132" s="611">
        <f t="shared" si="49"/>
        <v>1</v>
      </c>
      <c r="AB132" s="611">
        <f t="shared" ca="1" si="50"/>
        <v>1</v>
      </c>
      <c r="AC132" s="611">
        <f t="shared" ca="1" si="51"/>
        <v>0</v>
      </c>
      <c r="AD132" s="611">
        <f t="shared" ca="1" si="52"/>
        <v>1</v>
      </c>
      <c r="AE132" s="611">
        <f t="shared" ca="1" si="53"/>
        <v>0</v>
      </c>
      <c r="AF132" s="611">
        <f t="shared" ca="1" si="54"/>
        <v>1</v>
      </c>
      <c r="AG132" s="611">
        <f t="shared" si="55"/>
        <v>1</v>
      </c>
      <c r="AH132" s="611">
        <f t="shared" ca="1" si="56"/>
        <v>1</v>
      </c>
      <c r="AI132" s="611">
        <f t="shared" si="57"/>
        <v>1</v>
      </c>
      <c r="AJ132" s="611">
        <f t="shared" ca="1" si="58"/>
        <v>1</v>
      </c>
      <c r="AK132" s="611">
        <f t="shared" si="59"/>
        <v>1</v>
      </c>
      <c r="AL132" s="611">
        <f t="shared" ca="1" si="60"/>
        <v>1</v>
      </c>
      <c r="AM132" s="611">
        <f t="shared" si="61"/>
        <v>1</v>
      </c>
      <c r="AN132" s="611">
        <f t="shared" ca="1" si="62"/>
        <v>1</v>
      </c>
      <c r="AO132" s="611">
        <f t="shared" si="63"/>
        <v>1</v>
      </c>
    </row>
    <row r="133" spans="1:41" s="612" customFormat="1" ht="18" customHeight="1">
      <c r="A133" s="611" t="str">
        <f ca="1">IF(C133=Retire!$D$12,"==&gt;","")</f>
        <v/>
      </c>
      <c r="C133" s="1194">
        <f t="shared" ca="1" si="76"/>
        <v>2139</v>
      </c>
      <c r="D133" s="1195">
        <f t="shared" ca="1" si="66"/>
        <v>150599.77972730395</v>
      </c>
      <c r="E133" s="1195">
        <f t="shared" ca="1" si="67"/>
        <v>137559.62471949859</v>
      </c>
      <c r="F133" s="1195">
        <f t="shared" ca="1" si="68"/>
        <v>143976.14469251648</v>
      </c>
      <c r="G133" s="1195">
        <f t="shared" ca="1" si="69"/>
        <v>0</v>
      </c>
      <c r="H133" s="1195">
        <f t="shared" ca="1" si="70"/>
        <v>0</v>
      </c>
      <c r="I133" s="1195">
        <f t="shared" ca="1" si="71"/>
        <v>0</v>
      </c>
      <c r="J133" s="1195">
        <f t="shared" ca="1" si="72"/>
        <v>0</v>
      </c>
      <c r="K133" s="1195">
        <f t="shared" ca="1" si="73"/>
        <v>0</v>
      </c>
      <c r="L133" s="1195">
        <f t="shared" ca="1" si="74"/>
        <v>0</v>
      </c>
      <c r="M133" s="1195">
        <f t="shared" ca="1" si="75"/>
        <v>0</v>
      </c>
      <c r="N133" s="2564">
        <v>0</v>
      </c>
      <c r="O133" s="1196">
        <f ca="1">IF(Rental!Q154&gt;0,Rental!Q154,0)</f>
        <v>0</v>
      </c>
      <c r="P133" s="1189"/>
      <c r="Q133" s="1195">
        <f t="shared" ca="1" si="77"/>
        <v>432135.54913931905</v>
      </c>
      <c r="R133" s="1195">
        <f t="shared" ca="1" si="78"/>
        <v>388911.63847229863</v>
      </c>
      <c r="S133" s="1196">
        <f t="shared" ca="1" si="79"/>
        <v>43223.91066702042</v>
      </c>
      <c r="T133" s="1202">
        <f t="shared" ca="1" si="64"/>
        <v>171</v>
      </c>
      <c r="U133" s="1202">
        <f t="shared" ca="1" si="65"/>
        <v>169</v>
      </c>
      <c r="V133" s="611">
        <f t="shared" ca="1" si="44"/>
        <v>1</v>
      </c>
      <c r="W133" s="611">
        <f t="shared" si="45"/>
        <v>1</v>
      </c>
      <c r="X133" s="611">
        <f t="shared" ca="1" si="46"/>
        <v>1</v>
      </c>
      <c r="Y133" s="611">
        <f t="shared" si="47"/>
        <v>1</v>
      </c>
      <c r="Z133" s="611">
        <f t="shared" ca="1" si="48"/>
        <v>1</v>
      </c>
      <c r="AA133" s="611">
        <f t="shared" si="49"/>
        <v>1</v>
      </c>
      <c r="AB133" s="611">
        <f t="shared" ca="1" si="50"/>
        <v>1</v>
      </c>
      <c r="AC133" s="611">
        <f t="shared" ca="1" si="51"/>
        <v>0</v>
      </c>
      <c r="AD133" s="611">
        <f t="shared" ca="1" si="52"/>
        <v>1</v>
      </c>
      <c r="AE133" s="611">
        <f t="shared" ca="1" si="53"/>
        <v>0</v>
      </c>
      <c r="AF133" s="611">
        <f t="shared" ca="1" si="54"/>
        <v>1</v>
      </c>
      <c r="AG133" s="611">
        <f t="shared" si="55"/>
        <v>1</v>
      </c>
      <c r="AH133" s="611">
        <f t="shared" ca="1" si="56"/>
        <v>1</v>
      </c>
      <c r="AI133" s="611">
        <f t="shared" si="57"/>
        <v>1</v>
      </c>
      <c r="AJ133" s="611">
        <f t="shared" ca="1" si="58"/>
        <v>1</v>
      </c>
      <c r="AK133" s="611">
        <f t="shared" si="59"/>
        <v>1</v>
      </c>
      <c r="AL133" s="611">
        <f t="shared" ca="1" si="60"/>
        <v>1</v>
      </c>
      <c r="AM133" s="611">
        <f t="shared" si="61"/>
        <v>1</v>
      </c>
      <c r="AN133" s="611">
        <f t="shared" ca="1" si="62"/>
        <v>1</v>
      </c>
      <c r="AO133" s="611">
        <f t="shared" si="63"/>
        <v>1</v>
      </c>
    </row>
    <row r="134" spans="1:41" s="612" customFormat="1" ht="18" customHeight="1">
      <c r="A134" s="611" t="str">
        <f ca="1">IF(C134=Retire!$D$12,"==&gt;","")</f>
        <v/>
      </c>
      <c r="C134" s="1192">
        <f t="shared" ca="1" si="76"/>
        <v>2140</v>
      </c>
      <c r="D134" s="1193">
        <f t="shared" ca="1" si="66"/>
        <v>152572.63684173164</v>
      </c>
      <c r="E134" s="1193">
        <f t="shared" ca="1" si="67"/>
        <v>139361.65580332401</v>
      </c>
      <c r="F134" s="1193">
        <f t="shared" ca="1" si="68"/>
        <v>146855.66758636682</v>
      </c>
      <c r="G134" s="1193">
        <f t="shared" ca="1" si="69"/>
        <v>0</v>
      </c>
      <c r="H134" s="1193">
        <f t="shared" ca="1" si="70"/>
        <v>0</v>
      </c>
      <c r="I134" s="1193">
        <f t="shared" ca="1" si="71"/>
        <v>0</v>
      </c>
      <c r="J134" s="1193">
        <f t="shared" ca="1" si="72"/>
        <v>0</v>
      </c>
      <c r="K134" s="1193">
        <f t="shared" ca="1" si="73"/>
        <v>0</v>
      </c>
      <c r="L134" s="1193">
        <f t="shared" ca="1" si="74"/>
        <v>0</v>
      </c>
      <c r="M134" s="1193">
        <f t="shared" ca="1" si="75"/>
        <v>0</v>
      </c>
      <c r="N134" s="1066">
        <v>0</v>
      </c>
      <c r="O134" s="1188">
        <f ca="1">IF(Rental!Q155&gt;0,Rental!Q155,0)</f>
        <v>0</v>
      </c>
      <c r="P134" s="1189"/>
      <c r="Q134" s="1193">
        <f t="shared" ca="1" si="77"/>
        <v>438789.9602314225</v>
      </c>
      <c r="R134" s="1193">
        <f t="shared" ca="1" si="78"/>
        <v>394999.81633466412</v>
      </c>
      <c r="S134" s="1188">
        <f t="shared" ca="1" si="79"/>
        <v>43790.143896758382</v>
      </c>
      <c r="T134" s="1201">
        <f t="shared" ca="1" si="64"/>
        <v>172</v>
      </c>
      <c r="U134" s="1201">
        <f t="shared" ca="1" si="65"/>
        <v>170</v>
      </c>
      <c r="V134" s="611">
        <f t="shared" ca="1" si="44"/>
        <v>1</v>
      </c>
      <c r="W134" s="611">
        <f t="shared" si="45"/>
        <v>1</v>
      </c>
      <c r="X134" s="611">
        <f t="shared" ca="1" si="46"/>
        <v>1</v>
      </c>
      <c r="Y134" s="611">
        <f t="shared" si="47"/>
        <v>1</v>
      </c>
      <c r="Z134" s="611">
        <f t="shared" ca="1" si="48"/>
        <v>1</v>
      </c>
      <c r="AA134" s="611">
        <f t="shared" si="49"/>
        <v>1</v>
      </c>
      <c r="AB134" s="611">
        <f t="shared" ca="1" si="50"/>
        <v>1</v>
      </c>
      <c r="AC134" s="611">
        <f t="shared" ca="1" si="51"/>
        <v>0</v>
      </c>
      <c r="AD134" s="611">
        <f t="shared" ca="1" si="52"/>
        <v>1</v>
      </c>
      <c r="AE134" s="611">
        <f t="shared" ca="1" si="53"/>
        <v>0</v>
      </c>
      <c r="AF134" s="611">
        <f t="shared" ca="1" si="54"/>
        <v>1</v>
      </c>
      <c r="AG134" s="611">
        <f t="shared" si="55"/>
        <v>1</v>
      </c>
      <c r="AH134" s="611">
        <f t="shared" ca="1" si="56"/>
        <v>1</v>
      </c>
      <c r="AI134" s="611">
        <f t="shared" si="57"/>
        <v>1</v>
      </c>
      <c r="AJ134" s="611">
        <f t="shared" ca="1" si="58"/>
        <v>1</v>
      </c>
      <c r="AK134" s="611">
        <f t="shared" si="59"/>
        <v>1</v>
      </c>
      <c r="AL134" s="611">
        <f t="shared" ca="1" si="60"/>
        <v>1</v>
      </c>
      <c r="AM134" s="611">
        <f t="shared" si="61"/>
        <v>1</v>
      </c>
      <c r="AN134" s="611">
        <f t="shared" ca="1" si="62"/>
        <v>1</v>
      </c>
      <c r="AO134" s="611">
        <f t="shared" si="63"/>
        <v>1</v>
      </c>
    </row>
    <row r="135" spans="1:41" s="612" customFormat="1" ht="18" customHeight="1">
      <c r="A135" s="611" t="str">
        <f ca="1">IF(C135=Retire!$D$12,"==&gt;","")</f>
        <v/>
      </c>
      <c r="C135" s="1194">
        <f t="shared" ca="1" si="76"/>
        <v>2141</v>
      </c>
      <c r="D135" s="1195">
        <f t="shared" ca="1" si="66"/>
        <v>154571.33838435833</v>
      </c>
      <c r="E135" s="1195">
        <f t="shared" ca="1" si="67"/>
        <v>141187.29349434757</v>
      </c>
      <c r="F135" s="1195">
        <f t="shared" ca="1" si="68"/>
        <v>149792.78093809416</v>
      </c>
      <c r="G135" s="1195">
        <f t="shared" ca="1" si="69"/>
        <v>0</v>
      </c>
      <c r="H135" s="1195">
        <f t="shared" ca="1" si="70"/>
        <v>0</v>
      </c>
      <c r="I135" s="1195">
        <f t="shared" ca="1" si="71"/>
        <v>0</v>
      </c>
      <c r="J135" s="1195">
        <f t="shared" ca="1" si="72"/>
        <v>0</v>
      </c>
      <c r="K135" s="1195">
        <f t="shared" ca="1" si="73"/>
        <v>0</v>
      </c>
      <c r="L135" s="1195">
        <f t="shared" ca="1" si="74"/>
        <v>0</v>
      </c>
      <c r="M135" s="1195">
        <f t="shared" ca="1" si="75"/>
        <v>0</v>
      </c>
      <c r="N135" s="2564">
        <v>0</v>
      </c>
      <c r="O135" s="1196">
        <f ca="1">IF(Rental!Q156&gt;0,Rental!Q156,0)</f>
        <v>0</v>
      </c>
      <c r="P135" s="1189"/>
      <c r="Q135" s="1195">
        <f t="shared" ca="1" si="77"/>
        <v>445551.41281680006</v>
      </c>
      <c r="R135" s="1195">
        <f t="shared" ca="1" si="78"/>
        <v>401187.61803499417</v>
      </c>
      <c r="S135" s="1196">
        <f t="shared" ca="1" si="79"/>
        <v>44363.794781805889</v>
      </c>
      <c r="T135" s="1202">
        <f t="shared" ca="1" si="64"/>
        <v>173</v>
      </c>
      <c r="U135" s="1202">
        <f t="shared" ca="1" si="65"/>
        <v>171</v>
      </c>
      <c r="V135" s="611">
        <f t="shared" ca="1" si="44"/>
        <v>1</v>
      </c>
      <c r="W135" s="611">
        <f t="shared" si="45"/>
        <v>1</v>
      </c>
      <c r="X135" s="611">
        <f t="shared" ca="1" si="46"/>
        <v>1</v>
      </c>
      <c r="Y135" s="611">
        <f t="shared" si="47"/>
        <v>1</v>
      </c>
      <c r="Z135" s="611">
        <f t="shared" ca="1" si="48"/>
        <v>1</v>
      </c>
      <c r="AA135" s="611">
        <f t="shared" si="49"/>
        <v>1</v>
      </c>
      <c r="AB135" s="611">
        <f t="shared" ca="1" si="50"/>
        <v>1</v>
      </c>
      <c r="AC135" s="611">
        <f t="shared" ca="1" si="51"/>
        <v>0</v>
      </c>
      <c r="AD135" s="611">
        <f t="shared" ca="1" si="52"/>
        <v>1</v>
      </c>
      <c r="AE135" s="611">
        <f t="shared" ca="1" si="53"/>
        <v>0</v>
      </c>
      <c r="AF135" s="611">
        <f t="shared" ca="1" si="54"/>
        <v>1</v>
      </c>
      <c r="AG135" s="611">
        <f t="shared" si="55"/>
        <v>1</v>
      </c>
      <c r="AH135" s="611">
        <f t="shared" ca="1" si="56"/>
        <v>1</v>
      </c>
      <c r="AI135" s="611">
        <f t="shared" si="57"/>
        <v>1</v>
      </c>
      <c r="AJ135" s="611">
        <f t="shared" ca="1" si="58"/>
        <v>1</v>
      </c>
      <c r="AK135" s="611">
        <f t="shared" si="59"/>
        <v>1</v>
      </c>
      <c r="AL135" s="611">
        <f t="shared" ca="1" si="60"/>
        <v>1</v>
      </c>
      <c r="AM135" s="611">
        <f t="shared" si="61"/>
        <v>1</v>
      </c>
      <c r="AN135" s="611">
        <f t="shared" ca="1" si="62"/>
        <v>1</v>
      </c>
      <c r="AO135" s="611">
        <f t="shared" si="63"/>
        <v>1</v>
      </c>
    </row>
    <row r="136" spans="1:41" s="612" customFormat="1" ht="18" customHeight="1">
      <c r="A136" s="611" t="str">
        <f ca="1">IF(C136=Retire!$D$12,"==&gt;","")</f>
        <v/>
      </c>
      <c r="C136" s="1192">
        <f t="shared" ca="1" si="76"/>
        <v>2142</v>
      </c>
      <c r="D136" s="1193">
        <f t="shared" ca="1" si="66"/>
        <v>156596.22291719343</v>
      </c>
      <c r="E136" s="1193">
        <f t="shared" ca="1" si="67"/>
        <v>143036.84703912353</v>
      </c>
      <c r="F136" s="1193">
        <f t="shared" ca="1" si="68"/>
        <v>152788.63655685604</v>
      </c>
      <c r="G136" s="1193">
        <f t="shared" ca="1" si="69"/>
        <v>0</v>
      </c>
      <c r="H136" s="1193">
        <f t="shared" ca="1" si="70"/>
        <v>0</v>
      </c>
      <c r="I136" s="1193">
        <f t="shared" ca="1" si="71"/>
        <v>0</v>
      </c>
      <c r="J136" s="1193">
        <f t="shared" ca="1" si="72"/>
        <v>0</v>
      </c>
      <c r="K136" s="1193">
        <f t="shared" ca="1" si="73"/>
        <v>0</v>
      </c>
      <c r="L136" s="1193">
        <f t="shared" ca="1" si="74"/>
        <v>0</v>
      </c>
      <c r="M136" s="1193">
        <f t="shared" ca="1" si="75"/>
        <v>0</v>
      </c>
      <c r="N136" s="2564">
        <v>0</v>
      </c>
      <c r="O136" s="1188">
        <f ca="1">IF(Rental!Q157&gt;0,Rental!Q157,0)</f>
        <v>0</v>
      </c>
      <c r="P136" s="1189"/>
      <c r="Q136" s="1193">
        <f t="shared" ca="1" si="77"/>
        <v>452421.70651317301</v>
      </c>
      <c r="R136" s="1193">
        <f t="shared" ca="1" si="78"/>
        <v>407476.74601972545</v>
      </c>
      <c r="S136" s="1188">
        <f t="shared" ca="1" si="79"/>
        <v>44944.96049344755</v>
      </c>
      <c r="T136" s="1201">
        <f t="shared" ca="1" si="64"/>
        <v>174</v>
      </c>
      <c r="U136" s="1201">
        <f t="shared" ca="1" si="65"/>
        <v>172</v>
      </c>
      <c r="V136" s="611">
        <f t="shared" ca="1" si="44"/>
        <v>1</v>
      </c>
      <c r="W136" s="611">
        <f t="shared" si="45"/>
        <v>1</v>
      </c>
      <c r="X136" s="611">
        <f t="shared" ca="1" si="46"/>
        <v>1</v>
      </c>
      <c r="Y136" s="611">
        <f t="shared" si="47"/>
        <v>1</v>
      </c>
      <c r="Z136" s="611">
        <f t="shared" ca="1" si="48"/>
        <v>1</v>
      </c>
      <c r="AA136" s="611">
        <f t="shared" si="49"/>
        <v>1</v>
      </c>
      <c r="AB136" s="611">
        <f t="shared" ca="1" si="50"/>
        <v>1</v>
      </c>
      <c r="AC136" s="611">
        <f t="shared" ca="1" si="51"/>
        <v>0</v>
      </c>
      <c r="AD136" s="611">
        <f t="shared" ca="1" si="52"/>
        <v>1</v>
      </c>
      <c r="AE136" s="611">
        <f t="shared" ca="1" si="53"/>
        <v>0</v>
      </c>
      <c r="AF136" s="611">
        <f t="shared" ca="1" si="54"/>
        <v>1</v>
      </c>
      <c r="AG136" s="611">
        <f t="shared" si="55"/>
        <v>1</v>
      </c>
      <c r="AH136" s="611">
        <f t="shared" ca="1" si="56"/>
        <v>1</v>
      </c>
      <c r="AI136" s="611">
        <f t="shared" si="57"/>
        <v>1</v>
      </c>
      <c r="AJ136" s="611">
        <f t="shared" ca="1" si="58"/>
        <v>1</v>
      </c>
      <c r="AK136" s="611">
        <f t="shared" si="59"/>
        <v>1</v>
      </c>
      <c r="AL136" s="611">
        <f t="shared" ca="1" si="60"/>
        <v>1</v>
      </c>
      <c r="AM136" s="611">
        <f t="shared" si="61"/>
        <v>1</v>
      </c>
      <c r="AN136" s="611">
        <f t="shared" ca="1" si="62"/>
        <v>1</v>
      </c>
      <c r="AO136" s="611">
        <f t="shared" si="63"/>
        <v>1</v>
      </c>
    </row>
    <row r="137" spans="1:41" s="612" customFormat="1" ht="18" customHeight="1">
      <c r="A137" s="611" t="str">
        <f ca="1">IF(C137=Retire!$D$12,"==&gt;","")</f>
        <v/>
      </c>
      <c r="C137" s="1194">
        <f t="shared" ca="1" si="76"/>
        <v>2143</v>
      </c>
      <c r="D137" s="1195">
        <f t="shared" ca="1" si="66"/>
        <v>158647.63343740866</v>
      </c>
      <c r="E137" s="1195">
        <f t="shared" ca="1" si="67"/>
        <v>144910.62973533606</v>
      </c>
      <c r="F137" s="1195">
        <f t="shared" ca="1" si="68"/>
        <v>155844.40928799316</v>
      </c>
      <c r="G137" s="1195">
        <f t="shared" ca="1" si="69"/>
        <v>0</v>
      </c>
      <c r="H137" s="1195">
        <f t="shared" ca="1" si="70"/>
        <v>0</v>
      </c>
      <c r="I137" s="1195">
        <f t="shared" ca="1" si="71"/>
        <v>0</v>
      </c>
      <c r="J137" s="1195">
        <f t="shared" ca="1" si="72"/>
        <v>0</v>
      </c>
      <c r="K137" s="1195">
        <f t="shared" ca="1" si="73"/>
        <v>0</v>
      </c>
      <c r="L137" s="1195">
        <f t="shared" ca="1" si="74"/>
        <v>0</v>
      </c>
      <c r="M137" s="1195">
        <f t="shared" ca="1" si="75"/>
        <v>0</v>
      </c>
      <c r="N137" s="1066">
        <v>0</v>
      </c>
      <c r="O137" s="1196">
        <f ca="1">IF(Rental!Q158&gt;0,Rental!Q158,0)</f>
        <v>0</v>
      </c>
      <c r="P137" s="1189"/>
      <c r="Q137" s="1195">
        <f t="shared" ca="1" si="77"/>
        <v>459402.67246073787</v>
      </c>
      <c r="R137" s="1195">
        <f t="shared" ca="1" si="78"/>
        <v>413868.93298482616</v>
      </c>
      <c r="S137" s="1196">
        <f t="shared" ca="1" si="79"/>
        <v>45533.739475911716</v>
      </c>
      <c r="T137" s="1202">
        <f t="shared" ca="1" si="64"/>
        <v>175</v>
      </c>
      <c r="U137" s="1202">
        <f t="shared" ca="1" si="65"/>
        <v>173</v>
      </c>
      <c r="V137" s="611">
        <f t="shared" ca="1" si="44"/>
        <v>1</v>
      </c>
      <c r="W137" s="611">
        <f t="shared" si="45"/>
        <v>1</v>
      </c>
      <c r="X137" s="611">
        <f t="shared" ca="1" si="46"/>
        <v>1</v>
      </c>
      <c r="Y137" s="611">
        <f t="shared" si="47"/>
        <v>1</v>
      </c>
      <c r="Z137" s="611">
        <f t="shared" ca="1" si="48"/>
        <v>1</v>
      </c>
      <c r="AA137" s="611">
        <f t="shared" si="49"/>
        <v>1</v>
      </c>
      <c r="AB137" s="611">
        <f t="shared" ca="1" si="50"/>
        <v>1</v>
      </c>
      <c r="AC137" s="611">
        <f t="shared" ca="1" si="51"/>
        <v>0</v>
      </c>
      <c r="AD137" s="611">
        <f t="shared" ca="1" si="52"/>
        <v>1</v>
      </c>
      <c r="AE137" s="611">
        <f t="shared" ca="1" si="53"/>
        <v>0</v>
      </c>
      <c r="AF137" s="611">
        <f t="shared" ca="1" si="54"/>
        <v>1</v>
      </c>
      <c r="AG137" s="611">
        <f t="shared" si="55"/>
        <v>1</v>
      </c>
      <c r="AH137" s="611">
        <f t="shared" ca="1" si="56"/>
        <v>1</v>
      </c>
      <c r="AI137" s="611">
        <f t="shared" si="57"/>
        <v>1</v>
      </c>
      <c r="AJ137" s="611">
        <f t="shared" ca="1" si="58"/>
        <v>1</v>
      </c>
      <c r="AK137" s="611">
        <f t="shared" si="59"/>
        <v>1</v>
      </c>
      <c r="AL137" s="611">
        <f t="shared" ca="1" si="60"/>
        <v>1</v>
      </c>
      <c r="AM137" s="611">
        <f t="shared" si="61"/>
        <v>1</v>
      </c>
      <c r="AN137" s="611">
        <f t="shared" ca="1" si="62"/>
        <v>1</v>
      </c>
      <c r="AO137" s="611">
        <f t="shared" si="63"/>
        <v>1</v>
      </c>
    </row>
    <row r="138" spans="1:41" s="612" customFormat="1" ht="18" customHeight="1">
      <c r="A138" s="611" t="str">
        <f ca="1">IF(C138=Retire!$D$12,"==&gt;","")</f>
        <v/>
      </c>
      <c r="C138" s="1192">
        <f t="shared" ca="1" si="76"/>
        <v>2144</v>
      </c>
      <c r="D138" s="1193">
        <f t="shared" ca="1" si="66"/>
        <v>160725.91743543872</v>
      </c>
      <c r="E138" s="1193">
        <f t="shared" ca="1" si="67"/>
        <v>146808.95898486895</v>
      </c>
      <c r="F138" s="1193">
        <f t="shared" ca="1" si="68"/>
        <v>158961.29747375302</v>
      </c>
      <c r="G138" s="1193">
        <f t="shared" ca="1" si="69"/>
        <v>0</v>
      </c>
      <c r="H138" s="1193">
        <f t="shared" ca="1" si="70"/>
        <v>0</v>
      </c>
      <c r="I138" s="1193">
        <f t="shared" ca="1" si="71"/>
        <v>0</v>
      </c>
      <c r="J138" s="1193">
        <f t="shared" ca="1" si="72"/>
        <v>0</v>
      </c>
      <c r="K138" s="1193">
        <f t="shared" ca="1" si="73"/>
        <v>0</v>
      </c>
      <c r="L138" s="1193">
        <f t="shared" ca="1" si="74"/>
        <v>0</v>
      </c>
      <c r="M138" s="1193">
        <f t="shared" ca="1" si="75"/>
        <v>0</v>
      </c>
      <c r="N138" s="1066">
        <v>0</v>
      </c>
      <c r="O138" s="1188">
        <f ca="1">IF(Rental!Q159&gt;0,Rental!Q159,0)</f>
        <v>0</v>
      </c>
      <c r="P138" s="1189"/>
      <c r="Q138" s="1193">
        <f t="shared" ca="1" si="77"/>
        <v>466496.17389406066</v>
      </c>
      <c r="R138" s="1193">
        <f t="shared" ca="1" si="78"/>
        <v>420365.9424310145</v>
      </c>
      <c r="S138" s="1188">
        <f t="shared" ca="1" si="79"/>
        <v>46130.231463046162</v>
      </c>
      <c r="T138" s="1201">
        <f t="shared" ca="1" si="64"/>
        <v>176</v>
      </c>
      <c r="U138" s="1201">
        <f t="shared" ca="1" si="65"/>
        <v>174</v>
      </c>
      <c r="V138" s="611">
        <f t="shared" ca="1" si="44"/>
        <v>1</v>
      </c>
      <c r="W138" s="611">
        <f t="shared" si="45"/>
        <v>1</v>
      </c>
      <c r="X138" s="611">
        <f t="shared" ca="1" si="46"/>
        <v>1</v>
      </c>
      <c r="Y138" s="611">
        <f t="shared" si="47"/>
        <v>1</v>
      </c>
      <c r="Z138" s="611">
        <f t="shared" ca="1" si="48"/>
        <v>1</v>
      </c>
      <c r="AA138" s="611">
        <f t="shared" si="49"/>
        <v>1</v>
      </c>
      <c r="AB138" s="611">
        <f t="shared" ca="1" si="50"/>
        <v>1</v>
      </c>
      <c r="AC138" s="611">
        <f t="shared" ca="1" si="51"/>
        <v>0</v>
      </c>
      <c r="AD138" s="611">
        <f t="shared" ca="1" si="52"/>
        <v>1</v>
      </c>
      <c r="AE138" s="611">
        <f t="shared" ca="1" si="53"/>
        <v>0</v>
      </c>
      <c r="AF138" s="611">
        <f t="shared" ca="1" si="54"/>
        <v>1</v>
      </c>
      <c r="AG138" s="611">
        <f t="shared" si="55"/>
        <v>1</v>
      </c>
      <c r="AH138" s="611">
        <f t="shared" ca="1" si="56"/>
        <v>1</v>
      </c>
      <c r="AI138" s="611">
        <f t="shared" si="57"/>
        <v>1</v>
      </c>
      <c r="AJ138" s="611">
        <f t="shared" ca="1" si="58"/>
        <v>1</v>
      </c>
      <c r="AK138" s="611">
        <f t="shared" si="59"/>
        <v>1</v>
      </c>
      <c r="AL138" s="611">
        <f t="shared" ca="1" si="60"/>
        <v>1</v>
      </c>
      <c r="AM138" s="611">
        <f t="shared" si="61"/>
        <v>1</v>
      </c>
      <c r="AN138" s="611">
        <f t="shared" ca="1" si="62"/>
        <v>1</v>
      </c>
      <c r="AO138" s="611">
        <f t="shared" si="63"/>
        <v>1</v>
      </c>
    </row>
    <row r="139" spans="1:41" s="612" customFormat="1" ht="18" customHeight="1">
      <c r="A139" s="611" t="str">
        <f ca="1">IF(C139=Retire!$D$12,"==&gt;","")</f>
        <v/>
      </c>
      <c r="C139" s="1194">
        <f t="shared" ca="1" si="76"/>
        <v>2145</v>
      </c>
      <c r="D139" s="1195">
        <f t="shared" ca="1" si="66"/>
        <v>162831.42695384298</v>
      </c>
      <c r="E139" s="1195">
        <f t="shared" ca="1" si="67"/>
        <v>148732.15634757074</v>
      </c>
      <c r="F139" s="1195">
        <f t="shared" ca="1" si="68"/>
        <v>162140.52342322806</v>
      </c>
      <c r="G139" s="1195">
        <f t="shared" ca="1" si="69"/>
        <v>0</v>
      </c>
      <c r="H139" s="1195">
        <f t="shared" ca="1" si="70"/>
        <v>0</v>
      </c>
      <c r="I139" s="1195">
        <f t="shared" ca="1" si="71"/>
        <v>0</v>
      </c>
      <c r="J139" s="1195">
        <f t="shared" ca="1" si="72"/>
        <v>0</v>
      </c>
      <c r="K139" s="1195">
        <f t="shared" ca="1" si="73"/>
        <v>0</v>
      </c>
      <c r="L139" s="1195">
        <f t="shared" ca="1" si="74"/>
        <v>0</v>
      </c>
      <c r="M139" s="1195">
        <f t="shared" ca="1" si="75"/>
        <v>0</v>
      </c>
      <c r="N139" s="1066">
        <v>0</v>
      </c>
      <c r="O139" s="1196">
        <f ca="1">IF(Rental!Q160&gt;0,Rental!Q160,0)</f>
        <v>0</v>
      </c>
      <c r="P139" s="1189"/>
      <c r="Q139" s="1195">
        <f t="shared" ca="1" si="77"/>
        <v>473704.10672464175</v>
      </c>
      <c r="R139" s="1195">
        <f t="shared" ca="1" si="78"/>
        <v>426969.5692294297</v>
      </c>
      <c r="S139" s="1196">
        <f t="shared" ca="1" si="79"/>
        <v>46734.537495212047</v>
      </c>
      <c r="T139" s="1202">
        <f t="shared" ca="1" si="64"/>
        <v>177</v>
      </c>
      <c r="U139" s="1202">
        <f t="shared" ca="1" si="65"/>
        <v>175</v>
      </c>
      <c r="V139" s="611">
        <f t="shared" ca="1" si="44"/>
        <v>1</v>
      </c>
      <c r="W139" s="611">
        <f t="shared" si="45"/>
        <v>1</v>
      </c>
      <c r="X139" s="611">
        <f t="shared" ca="1" si="46"/>
        <v>1</v>
      </c>
      <c r="Y139" s="611">
        <f t="shared" si="47"/>
        <v>1</v>
      </c>
      <c r="Z139" s="611">
        <f t="shared" ca="1" si="48"/>
        <v>1</v>
      </c>
      <c r="AA139" s="611">
        <f t="shared" si="49"/>
        <v>1</v>
      </c>
      <c r="AB139" s="611">
        <f t="shared" ca="1" si="50"/>
        <v>1</v>
      </c>
      <c r="AC139" s="611">
        <f t="shared" ca="1" si="51"/>
        <v>0</v>
      </c>
      <c r="AD139" s="611">
        <f t="shared" ca="1" si="52"/>
        <v>1</v>
      </c>
      <c r="AE139" s="611">
        <f t="shared" ca="1" si="53"/>
        <v>0</v>
      </c>
      <c r="AF139" s="611">
        <f t="shared" ca="1" si="54"/>
        <v>1</v>
      </c>
      <c r="AG139" s="611">
        <f t="shared" si="55"/>
        <v>1</v>
      </c>
      <c r="AH139" s="611">
        <f t="shared" ca="1" si="56"/>
        <v>1</v>
      </c>
      <c r="AI139" s="611">
        <f t="shared" si="57"/>
        <v>1</v>
      </c>
      <c r="AJ139" s="611">
        <f t="shared" ca="1" si="58"/>
        <v>1</v>
      </c>
      <c r="AK139" s="611">
        <f t="shared" si="59"/>
        <v>1</v>
      </c>
      <c r="AL139" s="611">
        <f t="shared" ca="1" si="60"/>
        <v>1</v>
      </c>
      <c r="AM139" s="611">
        <f t="shared" si="61"/>
        <v>1</v>
      </c>
      <c r="AN139" s="611">
        <f t="shared" ca="1" si="62"/>
        <v>1</v>
      </c>
      <c r="AO139" s="611">
        <f t="shared" si="63"/>
        <v>1</v>
      </c>
    </row>
    <row r="140" spans="1:41" s="612" customFormat="1" ht="18" customHeight="1">
      <c r="A140" s="611" t="str">
        <f ca="1">IF(C140=Retire!$D$12,"==&gt;","")</f>
        <v/>
      </c>
      <c r="C140" s="1192">
        <f t="shared" ca="1" si="76"/>
        <v>2146</v>
      </c>
      <c r="D140" s="1193">
        <f t="shared" ca="1" si="66"/>
        <v>164964.51864693832</v>
      </c>
      <c r="E140" s="1193">
        <f t="shared" ca="1" si="67"/>
        <v>150680.54759572391</v>
      </c>
      <c r="F140" s="1193">
        <f t="shared" ca="1" si="68"/>
        <v>165383.33389169263</v>
      </c>
      <c r="G140" s="1193">
        <f t="shared" ca="1" si="69"/>
        <v>0</v>
      </c>
      <c r="H140" s="1193">
        <f t="shared" ca="1" si="70"/>
        <v>0</v>
      </c>
      <c r="I140" s="1193">
        <f t="shared" ca="1" si="71"/>
        <v>0</v>
      </c>
      <c r="J140" s="1193">
        <f t="shared" ca="1" si="72"/>
        <v>0</v>
      </c>
      <c r="K140" s="1193">
        <f t="shared" ca="1" si="73"/>
        <v>0</v>
      </c>
      <c r="L140" s="1193">
        <f t="shared" ca="1" si="74"/>
        <v>0</v>
      </c>
      <c r="M140" s="1193">
        <f t="shared" ca="1" si="75"/>
        <v>0</v>
      </c>
      <c r="N140" s="1066">
        <v>0</v>
      </c>
      <c r="O140" s="1188">
        <f ca="1">IF(Rental!Q161&gt;0,Rental!Q161,0)</f>
        <v>0</v>
      </c>
      <c r="P140" s="1189"/>
      <c r="Q140" s="1193">
        <f t="shared" ca="1" si="77"/>
        <v>481028.40013435489</v>
      </c>
      <c r="R140" s="1193">
        <f t="shared" ca="1" si="78"/>
        <v>433681.64019795548</v>
      </c>
      <c r="S140" s="1188">
        <f t="shared" ca="1" si="79"/>
        <v>47346.759936399409</v>
      </c>
      <c r="T140" s="1201">
        <f t="shared" ca="1" si="64"/>
        <v>178</v>
      </c>
      <c r="U140" s="1201">
        <f t="shared" ca="1" si="65"/>
        <v>176</v>
      </c>
      <c r="V140" s="611">
        <f t="shared" ca="1" si="44"/>
        <v>1</v>
      </c>
      <c r="W140" s="611">
        <f t="shared" si="45"/>
        <v>1</v>
      </c>
      <c r="X140" s="611">
        <f t="shared" ca="1" si="46"/>
        <v>1</v>
      </c>
      <c r="Y140" s="611">
        <f t="shared" si="47"/>
        <v>1</v>
      </c>
      <c r="Z140" s="611">
        <f t="shared" ca="1" si="48"/>
        <v>1</v>
      </c>
      <c r="AA140" s="611">
        <f t="shared" si="49"/>
        <v>1</v>
      </c>
      <c r="AB140" s="611">
        <f t="shared" ca="1" si="50"/>
        <v>1</v>
      </c>
      <c r="AC140" s="611">
        <f t="shared" ca="1" si="51"/>
        <v>0</v>
      </c>
      <c r="AD140" s="611">
        <f t="shared" ca="1" si="52"/>
        <v>1</v>
      </c>
      <c r="AE140" s="611">
        <f t="shared" ca="1" si="53"/>
        <v>0</v>
      </c>
      <c r="AF140" s="611">
        <f t="shared" ca="1" si="54"/>
        <v>1</v>
      </c>
      <c r="AG140" s="611">
        <f t="shared" si="55"/>
        <v>1</v>
      </c>
      <c r="AH140" s="611">
        <f t="shared" ca="1" si="56"/>
        <v>1</v>
      </c>
      <c r="AI140" s="611">
        <f t="shared" si="57"/>
        <v>1</v>
      </c>
      <c r="AJ140" s="611">
        <f t="shared" ca="1" si="58"/>
        <v>1</v>
      </c>
      <c r="AK140" s="611">
        <f t="shared" si="59"/>
        <v>1</v>
      </c>
      <c r="AL140" s="611">
        <f t="shared" ca="1" si="60"/>
        <v>1</v>
      </c>
      <c r="AM140" s="611">
        <f t="shared" si="61"/>
        <v>1</v>
      </c>
      <c r="AN140" s="611">
        <f t="shared" ca="1" si="62"/>
        <v>1</v>
      </c>
      <c r="AO140" s="611">
        <f t="shared" si="63"/>
        <v>1</v>
      </c>
    </row>
    <row r="141" spans="1:41">
      <c r="A141" s="413">
        <f ca="1">MATCH("==&gt;",A16:A140,0)+15</f>
        <v>28</v>
      </c>
    </row>
    <row r="801" spans="3:5">
      <c r="C801" s="608"/>
      <c r="D801" s="609"/>
      <c r="E801" s="609"/>
    </row>
    <row r="802" spans="3:5">
      <c r="C802" s="609"/>
      <c r="D802" s="609"/>
      <c r="E802" s="609"/>
    </row>
    <row r="803" spans="3:5">
      <c r="C803" s="609"/>
      <c r="D803" s="609"/>
      <c r="E803" s="609"/>
    </row>
    <row r="804" spans="3:5">
      <c r="C804" s="609"/>
      <c r="D804" s="609"/>
      <c r="E804" s="609"/>
    </row>
    <row r="805" spans="3:5">
      <c r="C805" s="609"/>
      <c r="D805" s="609"/>
      <c r="E805" s="609"/>
    </row>
    <row r="806" spans="3:5">
      <c r="C806" s="609"/>
      <c r="D806" s="609"/>
      <c r="E806" s="609"/>
    </row>
    <row r="807" spans="3:5">
      <c r="C807" s="609"/>
      <c r="D807" s="609"/>
      <c r="E807" s="609"/>
    </row>
    <row r="808" spans="3:5">
      <c r="C808" s="609"/>
      <c r="D808" s="609"/>
      <c r="E808" s="609"/>
    </row>
    <row r="809" spans="3:5">
      <c r="C809" s="609"/>
      <c r="D809" s="609"/>
      <c r="E809" s="609"/>
    </row>
    <row r="810" spans="3:5">
      <c r="C810" s="609"/>
      <c r="D810" s="609"/>
      <c r="E810" s="609"/>
    </row>
    <row r="811" spans="3:5">
      <c r="C811" s="609"/>
      <c r="D811" s="609"/>
      <c r="E811" s="609"/>
    </row>
    <row r="812" spans="3:5">
      <c r="C812" s="609"/>
      <c r="D812" s="609"/>
      <c r="E812" s="609"/>
    </row>
    <row r="813" spans="3:5">
      <c r="C813" s="609"/>
      <c r="D813" s="609"/>
      <c r="E813" s="609"/>
    </row>
    <row r="814" spans="3:5">
      <c r="C814" s="609"/>
      <c r="D814" s="609"/>
      <c r="E814" s="609"/>
    </row>
    <row r="815" spans="3:5">
      <c r="C815" s="609"/>
      <c r="D815" s="609"/>
      <c r="E815" s="609"/>
    </row>
    <row r="816" spans="3:5">
      <c r="C816" s="609"/>
      <c r="D816" s="609"/>
      <c r="E816" s="609"/>
    </row>
    <row r="817" spans="3:5">
      <c r="C817" s="609"/>
      <c r="D817" s="609"/>
      <c r="E817" s="609"/>
    </row>
    <row r="818" spans="3:5">
      <c r="C818" s="609"/>
      <c r="D818" s="609"/>
      <c r="E818" s="609"/>
    </row>
    <row r="819" spans="3:5">
      <c r="C819" s="609"/>
      <c r="D819" s="609"/>
      <c r="E819" s="609"/>
    </row>
    <row r="820" spans="3:5">
      <c r="C820" s="609"/>
      <c r="D820" s="609"/>
      <c r="E820" s="609"/>
    </row>
    <row r="821" spans="3:5">
      <c r="C821" s="609"/>
      <c r="D821" s="609"/>
      <c r="E821" s="609"/>
    </row>
    <row r="822" spans="3:5">
      <c r="C822" s="609"/>
      <c r="D822" s="609"/>
      <c r="E822" s="609"/>
    </row>
    <row r="823" spans="3:5">
      <c r="C823" s="609"/>
      <c r="D823" s="609"/>
      <c r="E823" s="609"/>
    </row>
    <row r="824" spans="3:5">
      <c r="C824" s="609"/>
      <c r="D824" s="609"/>
      <c r="E824" s="609"/>
    </row>
    <row r="825" spans="3:5">
      <c r="C825" s="609"/>
      <c r="D825" s="609"/>
      <c r="E825" s="609"/>
    </row>
    <row r="826" spans="3:5">
      <c r="C826" s="609"/>
      <c r="D826" s="609"/>
      <c r="E826" s="609"/>
    </row>
    <row r="827" spans="3:5">
      <c r="C827" s="609"/>
      <c r="D827" s="609"/>
      <c r="E827" s="609"/>
    </row>
    <row r="828" spans="3:5">
      <c r="C828" s="609"/>
      <c r="D828" s="609"/>
      <c r="E828" s="609"/>
    </row>
    <row r="829" spans="3:5">
      <c r="C829" s="609"/>
      <c r="D829" s="609"/>
      <c r="E829" s="609"/>
    </row>
    <row r="830" spans="3:5">
      <c r="C830" s="609"/>
      <c r="D830" s="609"/>
      <c r="E830" s="609"/>
    </row>
    <row r="831" spans="3:5">
      <c r="C831" s="609"/>
      <c r="D831" s="609"/>
      <c r="E831" s="609"/>
    </row>
    <row r="832" spans="3:5">
      <c r="C832" s="609"/>
      <c r="D832" s="609"/>
      <c r="E832" s="609"/>
    </row>
    <row r="833" spans="3:5">
      <c r="C833" s="609"/>
      <c r="D833" s="609"/>
      <c r="E833" s="609"/>
    </row>
    <row r="834" spans="3:5">
      <c r="C834" s="609"/>
      <c r="D834" s="609"/>
      <c r="E834" s="609"/>
    </row>
    <row r="835" spans="3:5">
      <c r="C835" s="609"/>
      <c r="D835" s="609"/>
      <c r="E835" s="609"/>
    </row>
    <row r="836" spans="3:5">
      <c r="C836" s="609"/>
      <c r="D836" s="609"/>
      <c r="E836" s="609"/>
    </row>
    <row r="837" spans="3:5">
      <c r="C837" s="609"/>
      <c r="D837" s="609"/>
      <c r="E837" s="609"/>
    </row>
    <row r="838" spans="3:5">
      <c r="C838" s="609"/>
      <c r="D838" s="609"/>
      <c r="E838" s="609"/>
    </row>
    <row r="839" spans="3:5">
      <c r="C839" s="609"/>
      <c r="D839" s="609"/>
      <c r="E839" s="609"/>
    </row>
    <row r="840" spans="3:5">
      <c r="C840" s="609"/>
      <c r="D840" s="609"/>
      <c r="E840" s="609"/>
    </row>
    <row r="841" spans="3:5">
      <c r="C841" s="609"/>
      <c r="D841" s="609"/>
      <c r="E841" s="609"/>
    </row>
    <row r="842" spans="3:5">
      <c r="C842" s="609"/>
      <c r="D842" s="609"/>
      <c r="E842" s="609"/>
    </row>
    <row r="843" spans="3:5">
      <c r="C843" s="609"/>
      <c r="D843" s="609"/>
      <c r="E843" s="609"/>
    </row>
    <row r="844" spans="3:5">
      <c r="C844" s="609"/>
      <c r="D844" s="609"/>
      <c r="E844" s="609"/>
    </row>
    <row r="845" spans="3:5">
      <c r="C845" s="609"/>
      <c r="D845" s="609"/>
      <c r="E845" s="609"/>
    </row>
    <row r="846" spans="3:5">
      <c r="C846" s="609"/>
      <c r="D846" s="609"/>
      <c r="E846" s="609"/>
    </row>
    <row r="847" spans="3:5">
      <c r="C847" s="609"/>
      <c r="D847" s="609"/>
      <c r="E847" s="609"/>
    </row>
    <row r="848" spans="3:5">
      <c r="C848" s="609"/>
      <c r="D848" s="609"/>
      <c r="E848" s="609"/>
    </row>
    <row r="849" spans="3:5">
      <c r="C849" s="609"/>
      <c r="D849" s="609"/>
      <c r="E849" s="609"/>
    </row>
    <row r="850" spans="3:5">
      <c r="C850" s="609"/>
      <c r="D850" s="609"/>
      <c r="E850" s="609"/>
    </row>
    <row r="851" spans="3:5">
      <c r="C851" s="609"/>
      <c r="D851" s="609"/>
      <c r="E851" s="609"/>
    </row>
  </sheetData>
  <sheetProtection algorithmName="SHA-512" hashValue="jTbtd/uErp3oywAgTjHr73sPVWU9f2NblKvKGjvgu8XWmaEsSdglF49Rhsy3GYPj3mSITO+gxOx879EmypJt9A==" saltValue="2mFY4nrEI6JrCp+fVBwaIw==" spinCount="100000" sheet="1" objects="1" scenarios="1" formatCells="0" formatColumns="0" formatRows="0" selectLockedCells="1"/>
  <mergeCells count="17">
    <mergeCell ref="V14:AO14"/>
    <mergeCell ref="T11:T14"/>
    <mergeCell ref="U11:U14"/>
    <mergeCell ref="A13:A14"/>
    <mergeCell ref="A7:A8"/>
    <mergeCell ref="Q11:Q14"/>
    <mergeCell ref="R11:R14"/>
    <mergeCell ref="S11:S14"/>
    <mergeCell ref="R9:T9"/>
    <mergeCell ref="R10:S10"/>
    <mergeCell ref="C3:P3"/>
    <mergeCell ref="O10:O13"/>
    <mergeCell ref="F8:M8"/>
    <mergeCell ref="F7:M7"/>
    <mergeCell ref="N7:P7"/>
    <mergeCell ref="C7:D7"/>
    <mergeCell ref="C4:O4"/>
  </mergeCells>
  <conditionalFormatting sqref="O16:P140">
    <cfRule type="cellIs" dxfId="2574" priority="17" operator="lessThan">
      <formula>0</formula>
    </cfRule>
  </conditionalFormatting>
  <conditionalFormatting sqref="T16">
    <cfRule type="cellIs" dxfId="2573" priority="16" operator="lessThan">
      <formula>0</formula>
    </cfRule>
  </conditionalFormatting>
  <conditionalFormatting sqref="O56:P140">
    <cfRule type="cellIs" dxfId="2572" priority="1" operator="lessThan">
      <formula>0</formula>
    </cfRule>
  </conditionalFormatting>
  <conditionalFormatting sqref="E7">
    <cfRule type="expression" dxfId="2571" priority="2631">
      <formula>#REF!&gt;""</formula>
    </cfRule>
  </conditionalFormatting>
  <dataValidations count="7">
    <dataValidation type="whole" allowBlank="1" showErrorMessage="1" error="Must enter a whole number between negative or positive one million_x000a_" prompt="Enter a whole number from 0 to 1,000,000" sqref="N16:N140" xr:uid="{C5902E9E-EC76-2E43-9CF8-CCA00CE66D1A}">
      <formula1>-1000000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hyperlinks>
    <hyperlink ref="C4:O4" r:id="rId1" display="https://www.ssa.gov/benefits/retirement/planner/taxes.html" xr:uid="{12A639A0-7619-034F-90EE-5B904EFFDEFA}"/>
  </hyperlinks>
  <pageMargins left="0.7" right="0.7" top="0.75" bottom="0.75" header="0.3" footer="0.3"/>
  <pageSetup orientation="landscape" horizontalDpi="0" verticalDpi="0"/>
  <ignoredErrors>
    <ignoredError sqref="AQ9" formulaRange="1"/>
  </ignoredError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tabColor rgb="FF5DADE2"/>
  </sheetPr>
  <dimension ref="A1:CO176"/>
  <sheetViews>
    <sheetView showGridLines="0" showRowColHeaders="0" zoomScale="120" zoomScaleNormal="120" zoomScalePageLayoutView="200" workbookViewId="0">
      <pane ySplit="8" topLeftCell="A9" activePane="bottomLeft" state="frozen"/>
      <selection pane="bottomLeft" activeCell="D50" sqref="D50"/>
    </sheetView>
  </sheetViews>
  <sheetFormatPr baseColWidth="10" defaultColWidth="8.140625" defaultRowHeight="16"/>
  <cols>
    <col min="1" max="1" width="5.7109375" style="64" customWidth="1"/>
    <col min="2" max="2" width="1.7109375" style="64" customWidth="1"/>
    <col min="3" max="3" width="18.7109375" style="64" customWidth="1"/>
    <col min="4" max="4" width="9.7109375" style="65" customWidth="1"/>
    <col min="5" max="5" width="8.42578125" style="65" customWidth="1"/>
    <col min="6" max="7" width="9.85546875" style="65" customWidth="1"/>
    <col min="8" max="9" width="10" style="65" customWidth="1"/>
    <col min="10" max="10" width="10.42578125" style="65" customWidth="1"/>
    <col min="11" max="12" width="10.7109375" style="65" customWidth="1"/>
    <col min="13" max="13" width="8.5703125" style="480" customWidth="1"/>
    <col min="14" max="14" width="8.28515625" style="480" customWidth="1"/>
    <col min="15" max="15" width="9.140625" style="480" customWidth="1"/>
    <col min="16" max="16" width="18.140625" style="480" customWidth="1"/>
    <col min="17" max="17" width="5.28515625" style="64" customWidth="1"/>
    <col min="18" max="18" width="8" style="1181" customWidth="1"/>
    <col min="19" max="19" width="7.5703125" style="197" customWidth="1"/>
    <col min="20" max="20" width="3.42578125" style="1295" customWidth="1"/>
    <col min="21" max="21" width="4.85546875" style="1295" customWidth="1"/>
    <col min="22" max="22" width="10" style="1295" customWidth="1"/>
    <col min="23" max="23" width="9.42578125" style="1295" customWidth="1"/>
    <col min="24" max="24" width="8.7109375" style="197" customWidth="1"/>
    <col min="25" max="25" width="2.7109375" style="1295" customWidth="1"/>
    <col min="26" max="26" width="4.140625" style="197" customWidth="1"/>
    <col min="27" max="27" width="10.7109375" style="1295" customWidth="1"/>
    <col min="28" max="28" width="10.7109375" style="197" customWidth="1"/>
    <col min="29" max="29" width="9.5703125" style="197" customWidth="1"/>
    <col min="30" max="30" width="18.85546875" style="197" customWidth="1"/>
    <col min="31" max="31" width="10.7109375" style="197" customWidth="1"/>
    <col min="32" max="32" width="8.7109375" style="1296" customWidth="1"/>
    <col min="33" max="35" width="8.7109375" style="1249" customWidth="1"/>
    <col min="36" max="58" width="8.7109375" style="67" customWidth="1"/>
    <col min="59" max="91" width="8.7109375" style="68" customWidth="1"/>
    <col min="92" max="93" width="5.7109375" style="68" customWidth="1"/>
    <col min="94" max="16384" width="8.140625" style="64"/>
  </cols>
  <sheetData>
    <row r="1" spans="1:93" ht="9" customHeight="1">
      <c r="A1" s="19"/>
      <c r="B1" s="19"/>
      <c r="C1" s="19"/>
      <c r="D1" s="19"/>
      <c r="E1" s="19"/>
      <c r="F1" s="19"/>
      <c r="G1" s="19"/>
      <c r="H1" s="19"/>
      <c r="I1" s="19"/>
      <c r="J1" s="19"/>
      <c r="K1" s="19"/>
      <c r="L1" s="19"/>
      <c r="M1" s="471"/>
      <c r="N1" s="471"/>
      <c r="O1" s="471"/>
      <c r="P1" s="471"/>
      <c r="Q1" s="1747"/>
      <c r="R1" s="1248"/>
    </row>
    <row r="2" spans="1:93" s="69" customFormat="1" ht="40" customHeight="1">
      <c r="B2" s="76"/>
      <c r="C2" s="92" t="s">
        <v>70</v>
      </c>
      <c r="E2" s="77"/>
      <c r="F2" s="78"/>
      <c r="G2" s="78"/>
      <c r="H2" s="2319"/>
      <c r="I2" s="2319"/>
      <c r="J2" s="77"/>
      <c r="K2" s="2319"/>
      <c r="L2" s="2319"/>
      <c r="M2" s="472"/>
      <c r="N2" s="472"/>
      <c r="O2" s="472"/>
      <c r="P2" s="472"/>
      <c r="R2" s="1181"/>
      <c r="S2" s="197"/>
      <c r="T2" s="2320" t="s">
        <v>488</v>
      </c>
      <c r="U2" s="2320"/>
      <c r="V2" s="2320"/>
      <c r="W2" s="2320"/>
      <c r="X2" s="2320"/>
      <c r="Y2" s="2320"/>
      <c r="Z2" s="2320"/>
      <c r="AA2" s="2320"/>
      <c r="AB2" s="2320"/>
      <c r="AC2" s="2320"/>
      <c r="AD2" s="2320"/>
      <c r="AE2" s="2320"/>
      <c r="AF2" s="1296"/>
      <c r="AG2" s="1249"/>
      <c r="AH2" s="1249"/>
      <c r="AI2" s="124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9"/>
      <c r="BU2" s="79"/>
      <c r="BV2" s="79"/>
      <c r="BW2" s="79"/>
      <c r="BX2" s="79"/>
      <c r="BY2" s="79"/>
      <c r="BZ2" s="79"/>
      <c r="CA2" s="79"/>
      <c r="CB2" s="79"/>
      <c r="CC2" s="79"/>
      <c r="CD2" s="79"/>
      <c r="CE2" s="79"/>
      <c r="CF2" s="79"/>
      <c r="CG2" s="79"/>
      <c r="CH2" s="79"/>
      <c r="CI2" s="79"/>
      <c r="CJ2" s="79"/>
      <c r="CK2" s="79"/>
      <c r="CL2" s="79"/>
      <c r="CM2" s="79"/>
      <c r="CN2" s="79"/>
      <c r="CO2" s="79"/>
    </row>
    <row r="3" spans="1:93" s="69" customFormat="1" ht="51" customHeight="1">
      <c r="A3" s="780" t="s">
        <v>1310</v>
      </c>
      <c r="B3" s="76"/>
      <c r="C3" s="2323" t="s">
        <v>2481</v>
      </c>
      <c r="D3" s="2323"/>
      <c r="E3" s="2323"/>
      <c r="F3" s="2323"/>
      <c r="G3" s="2323"/>
      <c r="H3" s="2323"/>
      <c r="I3" s="2323"/>
      <c r="J3" s="2323"/>
      <c r="K3" s="2323"/>
      <c r="L3" s="2323"/>
      <c r="M3" s="473"/>
      <c r="N3" s="473"/>
      <c r="O3" s="473"/>
      <c r="P3" s="473"/>
      <c r="Q3" s="91"/>
      <c r="R3" s="1250"/>
      <c r="S3" s="197" t="s">
        <v>0</v>
      </c>
      <c r="T3" s="2320"/>
      <c r="U3" s="2320"/>
      <c r="V3" s="2320"/>
      <c r="W3" s="2320"/>
      <c r="X3" s="2320"/>
      <c r="Y3" s="2320"/>
      <c r="Z3" s="2320"/>
      <c r="AA3" s="2320"/>
      <c r="AB3" s="2320"/>
      <c r="AC3" s="2320"/>
      <c r="AD3" s="2320"/>
      <c r="AE3" s="2320"/>
      <c r="AF3" s="1296"/>
      <c r="AG3" s="1249"/>
      <c r="AH3" s="1249"/>
      <c r="AI3" s="124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row>
    <row r="4" spans="1:93" s="69" customFormat="1" ht="46" customHeight="1">
      <c r="A4" s="456"/>
      <c r="B4" s="76"/>
      <c r="C4" s="457"/>
      <c r="E4" s="77"/>
      <c r="G4" s="77"/>
      <c r="H4" s="2010" t="s">
        <v>1292</v>
      </c>
      <c r="I4" s="2011" t="s">
        <v>1293</v>
      </c>
      <c r="J4" s="1625">
        <f>COUNTIF(J9:J170,"&gt;0")</f>
        <v>1</v>
      </c>
      <c r="K4" s="2011" t="s">
        <v>1294</v>
      </c>
      <c r="L4" s="2011" t="s">
        <v>1295</v>
      </c>
      <c r="M4" s="472"/>
      <c r="N4" s="2011" t="s">
        <v>2483</v>
      </c>
      <c r="O4" s="2011" t="s">
        <v>467</v>
      </c>
      <c r="P4" s="474"/>
      <c r="Q4" s="91"/>
      <c r="R4" s="1250"/>
      <c r="S4" s="197"/>
      <c r="T4" s="1297"/>
      <c r="U4" s="1297"/>
      <c r="V4" s="1297"/>
      <c r="W4" s="1297"/>
      <c r="X4" s="1297"/>
      <c r="Y4" s="1297"/>
      <c r="Z4" s="1297"/>
      <c r="AA4" s="1297"/>
      <c r="AB4" s="1297"/>
      <c r="AC4" s="1297"/>
      <c r="AD4" s="1297"/>
      <c r="AE4" s="1297"/>
      <c r="AF4" s="1296"/>
      <c r="AG4" s="1249"/>
      <c r="AH4" s="1249"/>
      <c r="AI4" s="124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9"/>
      <c r="BU4" s="79"/>
      <c r="BV4" s="79"/>
      <c r="BW4" s="79"/>
      <c r="BX4" s="79"/>
      <c r="BY4" s="79"/>
      <c r="BZ4" s="79"/>
      <c r="CA4" s="79"/>
      <c r="CB4" s="79"/>
      <c r="CC4" s="79"/>
      <c r="CD4" s="79"/>
      <c r="CE4" s="79"/>
      <c r="CF4" s="79"/>
      <c r="CG4" s="79"/>
      <c r="CH4" s="79"/>
      <c r="CI4" s="79"/>
      <c r="CJ4" s="79"/>
      <c r="CK4" s="79"/>
      <c r="CL4" s="79"/>
      <c r="CM4" s="79"/>
      <c r="CN4" s="79"/>
      <c r="CO4" s="79"/>
    </row>
    <row r="5" spans="1:93" s="69" customFormat="1">
      <c r="B5" s="83"/>
      <c r="C5" s="453" t="s">
        <v>2464</v>
      </c>
      <c r="E5" s="194"/>
      <c r="F5" s="194"/>
      <c r="G5" s="194"/>
      <c r="H5" s="195">
        <f>I5/12</f>
        <v>8882.9166666666661</v>
      </c>
      <c r="I5" s="195">
        <f>SUM(I21+I34+I47+I60+I72+I85+I98+I112+I126+I140+I154+I170)</f>
        <v>106595</v>
      </c>
      <c r="J5" s="450">
        <f>COUNTIF(J9:J170,"&lt;0")</f>
        <v>2</v>
      </c>
      <c r="K5" s="195">
        <f ca="1">L5/12</f>
        <v>9983.0126750278469</v>
      </c>
      <c r="L5" s="196">
        <f ca="1">SUM(L21+L34+L47+L60+L72+L85+L98+L112+L126+L140+L154+L170)</f>
        <v>119796.15210033416</v>
      </c>
      <c r="M5" s="472"/>
      <c r="N5" s="481">
        <f>Retire!D18</f>
        <v>0.03</v>
      </c>
      <c r="O5" s="482">
        <f ca="1">Retire!D12-YEAR(TODAY())</f>
        <v>12</v>
      </c>
      <c r="P5" s="475"/>
      <c r="Q5" s="81"/>
      <c r="R5" s="1251"/>
      <c r="S5" s="197"/>
      <c r="T5" s="1295"/>
      <c r="U5" s="1295"/>
      <c r="V5" s="1295"/>
      <c r="W5" s="1295"/>
      <c r="X5" s="197"/>
      <c r="Y5" s="1295"/>
      <c r="Z5" s="197"/>
      <c r="AA5" s="1295"/>
      <c r="AB5" s="197"/>
      <c r="AC5" s="197"/>
      <c r="AD5" s="197"/>
      <c r="AE5" s="197"/>
      <c r="AF5" s="1296"/>
      <c r="AG5" s="1249"/>
      <c r="AH5" s="1249"/>
      <c r="AI5" s="124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c r="BS5" s="79"/>
      <c r="BT5" s="79"/>
      <c r="BU5" s="79"/>
      <c r="BV5" s="79"/>
      <c r="BW5" s="79"/>
      <c r="BX5" s="79"/>
      <c r="BY5" s="79"/>
      <c r="BZ5" s="79"/>
      <c r="CA5" s="79"/>
      <c r="CB5" s="79"/>
      <c r="CC5" s="79"/>
      <c r="CD5" s="79"/>
      <c r="CE5" s="79"/>
      <c r="CF5" s="79"/>
      <c r="CG5" s="79"/>
      <c r="CH5" s="79"/>
      <c r="CI5" s="79"/>
      <c r="CJ5" s="79"/>
      <c r="CK5" s="79"/>
      <c r="CL5" s="79"/>
      <c r="CM5" s="79"/>
      <c r="CN5" s="79"/>
      <c r="CO5" s="79"/>
    </row>
    <row r="6" spans="1:93" s="69" customFormat="1" ht="16" customHeight="1">
      <c r="B6" s="83"/>
      <c r="C6" s="1624" t="str">
        <f>IF(J6&gt;0,"Defined retirement budget adjustment(s) exist.  View adjustments by toggling the 'eye' icon.","")</f>
        <v>Defined retirement budget adjustment(s) exist.  View adjustments by toggling the 'eye' icon.</v>
      </c>
      <c r="D6" s="77"/>
      <c r="E6" s="77"/>
      <c r="F6" s="77"/>
      <c r="G6" s="77"/>
      <c r="H6" s="90"/>
      <c r="I6" s="90"/>
      <c r="J6" s="450">
        <f>SUM(J4:J5)</f>
        <v>3</v>
      </c>
      <c r="K6" s="90"/>
      <c r="L6" s="90"/>
      <c r="M6" s="473"/>
      <c r="N6" s="473"/>
      <c r="O6" s="473"/>
      <c r="P6" s="473"/>
      <c r="Q6" s="81"/>
      <c r="R6" s="1251"/>
      <c r="S6" s="197"/>
      <c r="T6" s="2321" t="s">
        <v>2419</v>
      </c>
      <c r="U6" s="2321"/>
      <c r="V6" s="2321"/>
      <c r="W6" s="2321"/>
      <c r="X6" s="2321"/>
      <c r="Y6" s="1298"/>
      <c r="Z6" s="197"/>
      <c r="AA6" s="2276" t="s">
        <v>412</v>
      </c>
      <c r="AB6" s="2276"/>
      <c r="AC6" s="2276"/>
      <c r="AD6" s="2320" t="s">
        <v>468</v>
      </c>
      <c r="AE6" s="2320"/>
      <c r="AF6" s="1296"/>
      <c r="AG6" s="1249"/>
      <c r="AH6" s="1249"/>
      <c r="AI6" s="124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79"/>
      <c r="BO6" s="79"/>
      <c r="BP6" s="79"/>
      <c r="BQ6" s="79"/>
      <c r="BR6" s="79"/>
      <c r="BS6" s="79"/>
      <c r="BT6" s="79"/>
      <c r="BU6" s="79"/>
      <c r="BV6" s="79"/>
      <c r="BW6" s="79"/>
      <c r="BX6" s="79"/>
      <c r="BY6" s="79"/>
      <c r="BZ6" s="79"/>
      <c r="CA6" s="79"/>
      <c r="CB6" s="79"/>
      <c r="CC6" s="79"/>
      <c r="CD6" s="79"/>
      <c r="CE6" s="79"/>
      <c r="CF6" s="79"/>
      <c r="CG6" s="79"/>
      <c r="CH6" s="79"/>
      <c r="CI6" s="79"/>
      <c r="CJ6" s="79"/>
      <c r="CK6" s="79"/>
      <c r="CL6" s="79"/>
      <c r="CM6" s="79"/>
      <c r="CN6" s="79"/>
      <c r="CO6" s="79"/>
    </row>
    <row r="7" spans="1:93" s="71" customFormat="1" ht="52" customHeight="1">
      <c r="B7" s="2318" t="s">
        <v>2482</v>
      </c>
      <c r="C7" s="2318"/>
      <c r="D7" s="134" t="s">
        <v>32</v>
      </c>
      <c r="E7" s="134" t="s">
        <v>26</v>
      </c>
      <c r="F7" s="134" t="s">
        <v>82</v>
      </c>
      <c r="G7" s="134" t="s">
        <v>400</v>
      </c>
      <c r="H7" s="134" t="s">
        <v>46</v>
      </c>
      <c r="I7" s="134" t="s">
        <v>47</v>
      </c>
      <c r="J7" s="134" t="s">
        <v>45</v>
      </c>
      <c r="K7" s="134" t="s">
        <v>484</v>
      </c>
      <c r="L7" s="134" t="s">
        <v>485</v>
      </c>
      <c r="M7" s="2322" t="s">
        <v>28</v>
      </c>
      <c r="N7" s="2322"/>
      <c r="O7" s="2322"/>
      <c r="P7" s="2322"/>
      <c r="Q7" s="72"/>
      <c r="R7" s="1252"/>
      <c r="S7" s="1299" t="s">
        <v>0</v>
      </c>
      <c r="T7" s="1300" t="s">
        <v>73</v>
      </c>
      <c r="U7" s="1297" t="s">
        <v>6</v>
      </c>
      <c r="V7" s="1297" t="s">
        <v>280</v>
      </c>
      <c r="W7" s="1297" t="s">
        <v>1375</v>
      </c>
      <c r="X7" s="1297"/>
      <c r="Y7" s="1297"/>
      <c r="Z7" s="1301"/>
      <c r="AA7" s="1297" t="s">
        <v>410</v>
      </c>
      <c r="AB7" s="1297" t="s">
        <v>411</v>
      </c>
      <c r="AC7" s="1297" t="s">
        <v>2577</v>
      </c>
      <c r="AD7" s="2320" t="s">
        <v>469</v>
      </c>
      <c r="AE7" s="2320"/>
      <c r="AF7" s="1297"/>
      <c r="AG7" s="459"/>
      <c r="AH7" s="459"/>
      <c r="AI7" s="1253"/>
      <c r="AJ7" s="74"/>
      <c r="AK7" s="73"/>
      <c r="AL7" s="74"/>
      <c r="AM7" s="73"/>
      <c r="AN7" s="74"/>
      <c r="AO7" s="73"/>
      <c r="AP7" s="74"/>
      <c r="AQ7" s="73"/>
      <c r="AR7" s="74"/>
      <c r="AS7" s="73"/>
      <c r="AT7" s="74"/>
      <c r="AU7" s="73"/>
      <c r="AV7" s="74"/>
      <c r="AW7" s="73"/>
      <c r="AX7" s="74"/>
      <c r="AY7" s="73"/>
      <c r="AZ7" s="74"/>
      <c r="BA7" s="73"/>
      <c r="BB7" s="74"/>
      <c r="BC7" s="73"/>
      <c r="BD7" s="74"/>
      <c r="BE7" s="73"/>
      <c r="BF7" s="74"/>
      <c r="BG7" s="73"/>
      <c r="BH7" s="74"/>
      <c r="BI7" s="73"/>
      <c r="BJ7" s="74"/>
      <c r="BK7" s="73"/>
      <c r="BL7" s="74"/>
      <c r="BM7" s="73"/>
      <c r="BN7" s="74"/>
      <c r="BO7" s="73"/>
      <c r="BP7" s="74"/>
      <c r="BQ7" s="73"/>
      <c r="BR7" s="74"/>
      <c r="BS7" s="73"/>
      <c r="BT7" s="74"/>
      <c r="BU7" s="73"/>
      <c r="BV7" s="74"/>
      <c r="BW7" s="73"/>
      <c r="BX7" s="74"/>
      <c r="BY7" s="73"/>
      <c r="BZ7" s="74"/>
      <c r="CA7" s="73"/>
      <c r="CB7" s="74"/>
      <c r="CC7" s="73"/>
      <c r="CD7" s="74"/>
      <c r="CE7" s="73"/>
      <c r="CF7" s="74"/>
      <c r="CG7" s="73"/>
      <c r="CH7" s="74"/>
      <c r="CI7" s="73"/>
      <c r="CJ7" s="74"/>
      <c r="CK7" s="73"/>
      <c r="CL7" s="74"/>
      <c r="CM7" s="73"/>
      <c r="CN7" s="75"/>
      <c r="CO7" s="75"/>
    </row>
    <row r="8" spans="1:93" s="106" customFormat="1" ht="5" customHeight="1">
      <c r="B8" s="107"/>
      <c r="C8" s="107"/>
      <c r="D8" s="108"/>
      <c r="E8" s="108"/>
      <c r="F8" s="108"/>
      <c r="G8" s="108"/>
      <c r="H8" s="108"/>
      <c r="I8" s="108"/>
      <c r="J8" s="108"/>
      <c r="K8" s="108"/>
      <c r="L8" s="108"/>
      <c r="M8" s="476"/>
      <c r="N8" s="476"/>
      <c r="O8" s="476"/>
      <c r="P8" s="476"/>
      <c r="Q8" s="109"/>
      <c r="R8" s="1254"/>
      <c r="S8" s="1302"/>
      <c r="T8" s="1300"/>
      <c r="U8" s="1297"/>
      <c r="V8" s="1297"/>
      <c r="W8" s="1297"/>
      <c r="X8" s="1297"/>
      <c r="Y8" s="1297"/>
      <c r="Z8" s="1301"/>
      <c r="AA8" s="1297"/>
      <c r="AB8" s="1297"/>
      <c r="AC8" s="1297"/>
      <c r="AD8" s="1297"/>
      <c r="AE8" s="1297"/>
      <c r="AF8" s="1303"/>
      <c r="AG8" s="107"/>
      <c r="AH8" s="107"/>
      <c r="AI8" s="1255"/>
      <c r="AJ8" s="111"/>
      <c r="AK8" s="110"/>
      <c r="AL8" s="111"/>
      <c r="AM8" s="110"/>
      <c r="AN8" s="111"/>
      <c r="AO8" s="110"/>
      <c r="AP8" s="111"/>
      <c r="AQ8" s="110"/>
      <c r="AR8" s="111"/>
      <c r="AS8" s="110"/>
      <c r="AT8" s="111"/>
      <c r="AU8" s="110"/>
      <c r="AV8" s="111"/>
      <c r="AW8" s="110"/>
      <c r="AX8" s="111"/>
      <c r="AY8" s="110"/>
      <c r="AZ8" s="111"/>
      <c r="BA8" s="110"/>
      <c r="BB8" s="111"/>
      <c r="BC8" s="110"/>
      <c r="BD8" s="111"/>
      <c r="BE8" s="110"/>
      <c r="BF8" s="111"/>
      <c r="BG8" s="110"/>
      <c r="BH8" s="111"/>
      <c r="BI8" s="110"/>
      <c r="BJ8" s="111"/>
      <c r="BK8" s="110"/>
      <c r="BL8" s="111"/>
      <c r="BM8" s="110"/>
      <c r="BN8" s="111"/>
      <c r="BO8" s="110"/>
      <c r="BP8" s="111"/>
      <c r="BQ8" s="110"/>
      <c r="BR8" s="111"/>
      <c r="BS8" s="110"/>
      <c r="BT8" s="111"/>
      <c r="BU8" s="110"/>
      <c r="BV8" s="111"/>
      <c r="BW8" s="110"/>
      <c r="BX8" s="111"/>
      <c r="BY8" s="110"/>
      <c r="BZ8" s="111"/>
      <c r="CA8" s="110"/>
      <c r="CB8" s="111"/>
      <c r="CC8" s="110"/>
      <c r="CD8" s="111"/>
      <c r="CE8" s="110"/>
      <c r="CF8" s="111"/>
      <c r="CG8" s="110"/>
      <c r="CH8" s="111"/>
      <c r="CI8" s="110"/>
      <c r="CJ8" s="111"/>
      <c r="CK8" s="110"/>
      <c r="CL8" s="111"/>
      <c r="CM8" s="110"/>
      <c r="CN8" s="112"/>
      <c r="CO8" s="112"/>
    </row>
    <row r="9" spans="1:93" s="69" customFormat="1" ht="20" customHeight="1">
      <c r="B9" s="2325" t="s">
        <v>416</v>
      </c>
      <c r="C9" s="2325"/>
      <c r="D9" s="149" t="s">
        <v>2616</v>
      </c>
      <c r="E9" s="147"/>
      <c r="F9" s="147"/>
      <c r="G9" s="97"/>
      <c r="H9" s="97"/>
      <c r="I9" s="97"/>
      <c r="J9" s="97"/>
      <c r="K9" s="97"/>
      <c r="L9" s="97"/>
      <c r="M9" s="477"/>
      <c r="N9" s="477"/>
      <c r="O9" s="477"/>
      <c r="P9" s="477"/>
      <c r="R9" s="1181"/>
      <c r="S9" s="1304"/>
      <c r="T9" s="1305"/>
      <c r="U9" s="1295"/>
      <c r="V9" s="1295"/>
      <c r="W9" s="1295"/>
      <c r="X9" s="1295"/>
      <c r="Y9" s="1295"/>
      <c r="Z9" s="197"/>
      <c r="AA9" s="1306">
        <f ca="1">SUM(AA10:AA169)</f>
        <v>35854.446924800272</v>
      </c>
      <c r="AB9" s="1306">
        <f ca="1">SUM(AB10:AB169)</f>
        <v>59060.515853676312</v>
      </c>
      <c r="AC9" s="1306">
        <f>Retire!AA9*12</f>
        <v>0</v>
      </c>
      <c r="AD9" s="1295" t="s">
        <v>40</v>
      </c>
      <c r="AE9" s="1295" t="s">
        <v>195</v>
      </c>
      <c r="AF9" s="1296"/>
      <c r="AG9" s="1249"/>
      <c r="AH9" s="1249"/>
      <c r="AI9" s="1249"/>
      <c r="AJ9" s="79"/>
      <c r="AK9" s="79"/>
      <c r="AL9" s="79"/>
      <c r="AM9" s="79"/>
      <c r="AN9" s="79"/>
      <c r="AO9" s="79"/>
      <c r="AP9" s="79"/>
      <c r="AQ9" s="79"/>
      <c r="AR9" s="79"/>
      <c r="AS9" s="79"/>
      <c r="AT9" s="79"/>
      <c r="AU9" s="79"/>
      <c r="AV9" s="79"/>
      <c r="AW9" s="79"/>
      <c r="AX9" s="79"/>
      <c r="AY9" s="79"/>
      <c r="AZ9" s="79"/>
      <c r="BA9" s="79"/>
      <c r="BB9" s="79"/>
      <c r="BC9" s="79"/>
      <c r="BD9" s="79"/>
      <c r="BE9" s="79"/>
      <c r="BF9" s="79"/>
      <c r="BG9" s="79"/>
      <c r="BH9" s="79"/>
      <c r="BI9" s="79"/>
      <c r="BJ9" s="79"/>
      <c r="BK9" s="79"/>
      <c r="BL9" s="79"/>
      <c r="BM9" s="79"/>
      <c r="BN9" s="79"/>
      <c r="BO9" s="79"/>
      <c r="BP9" s="79"/>
      <c r="BQ9" s="79"/>
      <c r="BR9" s="79"/>
      <c r="BS9" s="79"/>
      <c r="BT9" s="79"/>
      <c r="BU9" s="79"/>
      <c r="BV9" s="79"/>
      <c r="BW9" s="79"/>
      <c r="BX9" s="79"/>
      <c r="BY9" s="79"/>
      <c r="BZ9" s="79"/>
      <c r="CA9" s="79"/>
      <c r="CB9" s="79"/>
      <c r="CC9" s="79"/>
      <c r="CD9" s="79"/>
      <c r="CE9" s="79"/>
      <c r="CF9" s="79"/>
      <c r="CG9" s="79"/>
      <c r="CH9" s="79"/>
      <c r="CI9" s="79"/>
      <c r="CJ9" s="79"/>
      <c r="CK9" s="79"/>
      <c r="CL9" s="79"/>
      <c r="CM9" s="79"/>
      <c r="CN9" s="84"/>
      <c r="CO9" s="84"/>
    </row>
    <row r="10" spans="1:93" s="69" customFormat="1" ht="15" customHeight="1">
      <c r="C10" s="93" t="str">
        <f>Housing!C13</f>
        <v>Insurance</v>
      </c>
      <c r="D10" s="1661">
        <f>Housing!D13</f>
        <v>2500</v>
      </c>
      <c r="E10" s="1662">
        <f>Housing!E13</f>
        <v>1</v>
      </c>
      <c r="F10" s="1663" t="str">
        <f>Housing!F13</f>
        <v>Y</v>
      </c>
      <c r="G10" s="1664" t="str">
        <f>Housing!G13</f>
        <v>Required</v>
      </c>
      <c r="H10" s="161">
        <f>IF(ISNUMBER(I10),I10/12,0)</f>
        <v>208.33333333333334</v>
      </c>
      <c r="I10" s="161">
        <f>IF(ISNUMBER(E10),IF(E10&gt;0,D10*E10,0),"")</f>
        <v>2500</v>
      </c>
      <c r="J10" s="1665">
        <v>0</v>
      </c>
      <c r="K10" s="118">
        <f ca="1">IF(ISNUMBER(L10),L10/12,"")</f>
        <v>297.0335180929539</v>
      </c>
      <c r="L10" s="118">
        <f t="shared" ref="L10:L20" ca="1" si="0">IF(ISNUMBER(I10),IF(F10="Y",FV($N$5,$O$5,0,I10*-1)+(J10*12),I10+(J10*12)),"")</f>
        <v>3564.4022171154465</v>
      </c>
      <c r="M10" s="2310"/>
      <c r="N10" s="2311"/>
      <c r="O10" s="2311"/>
      <c r="P10" s="2311"/>
      <c r="R10" s="1181"/>
      <c r="S10" s="1304"/>
      <c r="T10" s="1295">
        <v>1</v>
      </c>
      <c r="U10" s="1307">
        <f>Individuals!G20</f>
        <v>2034</v>
      </c>
      <c r="V10" s="1308">
        <f>I5</f>
        <v>106595</v>
      </c>
      <c r="W10" s="1309">
        <f>I21</f>
        <v>25300</v>
      </c>
      <c r="X10" s="1310"/>
      <c r="Y10" s="197"/>
      <c r="Z10" s="197"/>
      <c r="AA10" s="1311">
        <f t="shared" ref="AA10:AA56" si="1">IF(G10="Optional",L10,0)</f>
        <v>0</v>
      </c>
      <c r="AB10" s="1311">
        <f t="shared" ref="AB10:AB56" ca="1" si="2">IF(G10="Required",L10,0)</f>
        <v>3564.4022171154465</v>
      </c>
      <c r="AC10" s="197"/>
      <c r="AD10" s="1312" t="str">
        <f>B9</f>
        <v>HOUSING</v>
      </c>
      <c r="AE10" s="1312">
        <f>H21*12</f>
        <v>25300</v>
      </c>
      <c r="AF10" s="1313"/>
      <c r="AG10" s="1256"/>
      <c r="AH10" s="1256"/>
      <c r="AI10" s="1256"/>
      <c r="AJ10" s="85"/>
      <c r="AK10" s="85"/>
      <c r="AL10" s="85"/>
      <c r="AM10" s="85"/>
      <c r="AN10" s="85"/>
      <c r="AO10" s="85"/>
      <c r="AP10" s="85"/>
      <c r="AQ10" s="85"/>
      <c r="AR10" s="85"/>
      <c r="AS10" s="85"/>
      <c r="AT10" s="85"/>
      <c r="AU10" s="85"/>
      <c r="AV10" s="85"/>
      <c r="AW10" s="85"/>
      <c r="AX10" s="85"/>
      <c r="AY10" s="85"/>
      <c r="AZ10" s="85"/>
      <c r="BA10" s="85"/>
      <c r="BB10" s="85"/>
      <c r="BC10" s="85"/>
      <c r="BD10" s="85"/>
      <c r="BE10" s="85"/>
      <c r="BF10" s="85"/>
      <c r="BG10" s="85"/>
      <c r="BH10" s="85"/>
      <c r="BI10" s="85"/>
      <c r="BJ10" s="85"/>
      <c r="BK10" s="85"/>
      <c r="BL10" s="85"/>
      <c r="BM10" s="85"/>
      <c r="BN10" s="85"/>
      <c r="BO10" s="85"/>
      <c r="BP10" s="85"/>
      <c r="BQ10" s="85"/>
      <c r="BR10" s="85"/>
      <c r="BS10" s="85"/>
      <c r="BT10" s="85"/>
      <c r="BU10" s="85"/>
      <c r="BV10" s="85"/>
      <c r="BW10" s="85"/>
      <c r="BX10" s="85"/>
      <c r="BY10" s="85"/>
      <c r="BZ10" s="85"/>
      <c r="CA10" s="85"/>
      <c r="CB10" s="85"/>
      <c r="CC10" s="85"/>
      <c r="CD10" s="85"/>
      <c r="CE10" s="85"/>
      <c r="CF10" s="85"/>
      <c r="CG10" s="85"/>
      <c r="CH10" s="85"/>
      <c r="CI10" s="85"/>
      <c r="CJ10" s="85"/>
      <c r="CK10" s="85"/>
      <c r="CL10" s="85"/>
      <c r="CM10" s="85"/>
      <c r="CN10" s="86"/>
      <c r="CO10" s="86"/>
    </row>
    <row r="11" spans="1:93" s="69" customFormat="1" ht="15" customHeight="1">
      <c r="C11" s="95" t="str">
        <f>Housing!C14</f>
        <v>Repairs</v>
      </c>
      <c r="D11" s="484">
        <f>Housing!D14</f>
        <v>3500</v>
      </c>
      <c r="E11" s="96">
        <f>Housing!E14</f>
        <v>1</v>
      </c>
      <c r="F11" s="101" t="str">
        <f>Housing!F14</f>
        <v>Y</v>
      </c>
      <c r="G11" s="104" t="str">
        <f>Housing!G14</f>
        <v>Required</v>
      </c>
      <c r="H11" s="119">
        <f t="shared" ref="H11:H19" si="3">IF(ISNUMBER(I11),I11/12,0)</f>
        <v>291.66666666666669</v>
      </c>
      <c r="I11" s="119">
        <f t="shared" ref="I11:I19" si="4">IF(ISNUMBER(E11),IF(E11&gt;0,D11*E11,0),"")</f>
        <v>3500</v>
      </c>
      <c r="J11" s="1484">
        <v>0</v>
      </c>
      <c r="K11" s="119">
        <f ca="1">IF(ISNUMBER(L11),L11/12,"")</f>
        <v>415.84692533013543</v>
      </c>
      <c r="L11" s="119">
        <f t="shared" ca="1" si="0"/>
        <v>4990.163103961625</v>
      </c>
      <c r="M11" s="2312"/>
      <c r="N11" s="2313"/>
      <c r="O11" s="2313"/>
      <c r="P11" s="2313"/>
      <c r="R11" s="1181"/>
      <c r="S11" s="1304"/>
      <c r="T11" s="1295">
        <f>T10+1</f>
        <v>2</v>
      </c>
      <c r="U11" s="1295">
        <f>U10+1</f>
        <v>2035</v>
      </c>
      <c r="V11" s="1308">
        <f t="shared" ref="V11:W74" si="5">V10+(V10*$N$5)</f>
        <v>109792.85</v>
      </c>
      <c r="W11" s="1308">
        <f>W10+(W10*$N$5)</f>
        <v>26059</v>
      </c>
      <c r="X11" s="1310"/>
      <c r="Y11" s="197"/>
      <c r="Z11" s="197"/>
      <c r="AA11" s="1311">
        <f t="shared" si="1"/>
        <v>0</v>
      </c>
      <c r="AB11" s="1311">
        <f t="shared" ca="1" si="2"/>
        <v>4990.163103961625</v>
      </c>
      <c r="AC11" s="197"/>
      <c r="AD11" s="197" t="str">
        <f>B22</f>
        <v>VEHICLE</v>
      </c>
      <c r="AE11" s="1312">
        <f>H34*12</f>
        <v>18280</v>
      </c>
      <c r="AF11" s="1313"/>
      <c r="AG11" s="1256"/>
      <c r="AH11" s="1256"/>
      <c r="AI11" s="1256"/>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c r="BK11" s="85"/>
      <c r="BL11" s="85"/>
      <c r="BM11" s="85"/>
      <c r="BN11" s="85"/>
      <c r="BO11" s="85"/>
      <c r="BP11" s="85"/>
      <c r="BQ11" s="85"/>
      <c r="BR11" s="85"/>
      <c r="BS11" s="85"/>
      <c r="BT11" s="85"/>
      <c r="BU11" s="85"/>
      <c r="BV11" s="85"/>
      <c r="BW11" s="85"/>
      <c r="BX11" s="85"/>
      <c r="BY11" s="85"/>
      <c r="BZ11" s="85"/>
      <c r="CA11" s="85"/>
      <c r="CB11" s="85"/>
      <c r="CC11" s="85"/>
      <c r="CD11" s="85"/>
      <c r="CE11" s="85"/>
      <c r="CF11" s="85"/>
      <c r="CG11" s="85"/>
      <c r="CH11" s="85"/>
      <c r="CI11" s="85"/>
      <c r="CJ11" s="85"/>
      <c r="CK11" s="85"/>
      <c r="CL11" s="85"/>
      <c r="CM11" s="85"/>
      <c r="CN11" s="86"/>
      <c r="CO11" s="86"/>
    </row>
    <row r="12" spans="1:93" s="69" customFormat="1" ht="15" customHeight="1">
      <c r="C12" s="93" t="str">
        <f>Housing!C15</f>
        <v>Property Taxes</v>
      </c>
      <c r="D12" s="483">
        <f>Housing!D15</f>
        <v>1000</v>
      </c>
      <c r="E12" s="94">
        <f>Housing!E15</f>
        <v>1</v>
      </c>
      <c r="F12" s="100" t="str">
        <f>Housing!F15</f>
        <v>Y</v>
      </c>
      <c r="G12" s="103" t="str">
        <f>Housing!G15</f>
        <v>Required</v>
      </c>
      <c r="H12" s="118">
        <f t="shared" si="3"/>
        <v>83.333333333333329</v>
      </c>
      <c r="I12" s="118">
        <f t="shared" si="4"/>
        <v>1000</v>
      </c>
      <c r="J12" s="1483">
        <v>0</v>
      </c>
      <c r="K12" s="118">
        <f ca="1">IF(ISNUMBER(L12),L12/12,"")</f>
        <v>118.81340723718155</v>
      </c>
      <c r="L12" s="118">
        <f t="shared" ca="1" si="0"/>
        <v>1425.7608868461787</v>
      </c>
      <c r="M12" s="2310"/>
      <c r="N12" s="2311"/>
      <c r="O12" s="2311"/>
      <c r="P12" s="2311"/>
      <c r="R12" s="1181"/>
      <c r="S12" s="1304"/>
      <c r="T12" s="1295">
        <f t="shared" ref="T12:T75" si="6">T11+1</f>
        <v>3</v>
      </c>
      <c r="U12" s="1295">
        <f t="shared" ref="U12:U75" si="7">U11+1</f>
        <v>2036</v>
      </c>
      <c r="V12" s="1308">
        <f t="shared" si="5"/>
        <v>113086.6355</v>
      </c>
      <c r="W12" s="1308">
        <f t="shared" si="5"/>
        <v>26840.77</v>
      </c>
      <c r="X12" s="1310"/>
      <c r="Y12" s="197"/>
      <c r="Z12" s="197"/>
      <c r="AA12" s="1311">
        <f t="shared" si="1"/>
        <v>0</v>
      </c>
      <c r="AB12" s="1311">
        <f t="shared" ca="1" si="2"/>
        <v>1425.7608868461787</v>
      </c>
      <c r="AC12" s="197"/>
      <c r="AD12" s="197" t="str">
        <f>B35</f>
        <v>MED-INSUR</v>
      </c>
      <c r="AE12" s="1312">
        <f>H47*12</f>
        <v>1164</v>
      </c>
      <c r="AF12" s="1313"/>
      <c r="AG12" s="1256"/>
      <c r="AH12" s="1256"/>
      <c r="AI12" s="1256"/>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c r="BK12" s="85"/>
      <c r="BL12" s="85"/>
      <c r="BM12" s="85"/>
      <c r="BN12" s="85"/>
      <c r="BO12" s="85"/>
      <c r="BP12" s="85"/>
      <c r="BQ12" s="85"/>
      <c r="BR12" s="85"/>
      <c r="BS12" s="85"/>
      <c r="BT12" s="85"/>
      <c r="BU12" s="85"/>
      <c r="BV12" s="85"/>
      <c r="BW12" s="85"/>
      <c r="BX12" s="85"/>
      <c r="BY12" s="85"/>
      <c r="BZ12" s="85"/>
      <c r="CA12" s="85"/>
      <c r="CB12" s="85"/>
      <c r="CC12" s="85"/>
      <c r="CD12" s="85"/>
      <c r="CE12" s="85"/>
      <c r="CF12" s="85"/>
      <c r="CG12" s="85"/>
      <c r="CH12" s="85"/>
      <c r="CI12" s="85"/>
      <c r="CJ12" s="85"/>
      <c r="CK12" s="85"/>
      <c r="CL12" s="85"/>
      <c r="CM12" s="85"/>
      <c r="CN12" s="86"/>
      <c r="CO12" s="86"/>
    </row>
    <row r="13" spans="1:93" s="69" customFormat="1" ht="15" customHeight="1">
      <c r="C13" s="95" t="str">
        <f>Housing!C16</f>
        <v>Housekeeper</v>
      </c>
      <c r="D13" s="484">
        <f>Housing!D16</f>
        <v>100</v>
      </c>
      <c r="E13" s="96">
        <f>Housing!E16</f>
        <v>26</v>
      </c>
      <c r="F13" s="101" t="str">
        <f>Housing!F16</f>
        <v>N</v>
      </c>
      <c r="G13" s="104" t="str">
        <f>Housing!G16</f>
        <v>Optional</v>
      </c>
      <c r="H13" s="119">
        <f t="shared" si="3"/>
        <v>216.66666666666666</v>
      </c>
      <c r="I13" s="119">
        <f t="shared" si="4"/>
        <v>2600</v>
      </c>
      <c r="J13" s="1484">
        <v>0</v>
      </c>
      <c r="K13" s="119">
        <f t="shared" ref="K13:K20" si="8">IF(ISNUMBER(L13),L13/12,"")</f>
        <v>216.66666666666666</v>
      </c>
      <c r="L13" s="119">
        <f t="shared" si="0"/>
        <v>2600</v>
      </c>
      <c r="M13" s="2312"/>
      <c r="N13" s="2313"/>
      <c r="O13" s="2313"/>
      <c r="P13" s="2313"/>
      <c r="R13" s="1181"/>
      <c r="S13" s="1304"/>
      <c r="T13" s="1295">
        <f t="shared" si="6"/>
        <v>4</v>
      </c>
      <c r="U13" s="1295">
        <f t="shared" si="7"/>
        <v>2037</v>
      </c>
      <c r="V13" s="1308">
        <f t="shared" si="5"/>
        <v>116479.23456500001</v>
      </c>
      <c r="W13" s="1308">
        <f t="shared" si="5"/>
        <v>27645.9931</v>
      </c>
      <c r="X13" s="1310"/>
      <c r="Y13" s="197"/>
      <c r="Z13" s="197"/>
      <c r="AA13" s="1311">
        <f t="shared" si="1"/>
        <v>2600</v>
      </c>
      <c r="AB13" s="1311">
        <f t="shared" si="2"/>
        <v>0</v>
      </c>
      <c r="AC13" s="197"/>
      <c r="AD13" s="197" t="str">
        <f>B48</f>
        <v>HEALTH</v>
      </c>
      <c r="AE13" s="1312">
        <f>H60*12</f>
        <v>6309.9999999999991</v>
      </c>
      <c r="AF13" s="1313"/>
      <c r="AG13" s="1256"/>
      <c r="AH13" s="1256"/>
      <c r="AI13" s="1256"/>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c r="BK13" s="85"/>
      <c r="BL13" s="85"/>
      <c r="BM13" s="85"/>
      <c r="BN13" s="85"/>
      <c r="BO13" s="85"/>
      <c r="BP13" s="85"/>
      <c r="BQ13" s="85"/>
      <c r="BR13" s="85"/>
      <c r="BS13" s="85"/>
      <c r="BT13" s="85"/>
      <c r="BU13" s="85"/>
      <c r="BV13" s="85"/>
      <c r="BW13" s="85"/>
      <c r="BX13" s="85"/>
      <c r="BY13" s="85"/>
      <c r="BZ13" s="85"/>
      <c r="CA13" s="85"/>
      <c r="CB13" s="85"/>
      <c r="CC13" s="85"/>
      <c r="CD13" s="85"/>
      <c r="CE13" s="85"/>
      <c r="CF13" s="85"/>
      <c r="CG13" s="85"/>
      <c r="CH13" s="85"/>
      <c r="CI13" s="85"/>
      <c r="CJ13" s="85"/>
      <c r="CK13" s="85"/>
      <c r="CL13" s="85"/>
      <c r="CM13" s="85"/>
      <c r="CN13" s="86"/>
      <c r="CO13" s="86"/>
    </row>
    <row r="14" spans="1:93" s="69" customFormat="1" ht="15" customHeight="1">
      <c r="C14" s="93" t="str">
        <f>Housing!C17</f>
        <v>Home Owner Assoc.</v>
      </c>
      <c r="D14" s="483">
        <f>Housing!D17</f>
        <v>100</v>
      </c>
      <c r="E14" s="94">
        <f>Housing!E17</f>
        <v>1</v>
      </c>
      <c r="F14" s="100" t="str">
        <f>Housing!F17</f>
        <v>Y</v>
      </c>
      <c r="G14" s="103" t="str">
        <f>Housing!G17</f>
        <v>Required</v>
      </c>
      <c r="H14" s="118">
        <f t="shared" si="3"/>
        <v>8.3333333333333339</v>
      </c>
      <c r="I14" s="118">
        <f t="shared" si="4"/>
        <v>100</v>
      </c>
      <c r="J14" s="1483">
        <v>0</v>
      </c>
      <c r="K14" s="118">
        <f t="shared" ca="1" si="8"/>
        <v>11.881340723718155</v>
      </c>
      <c r="L14" s="118">
        <f t="shared" ca="1" si="0"/>
        <v>142.57608868461787</v>
      </c>
      <c r="M14" s="2310" t="s">
        <v>0</v>
      </c>
      <c r="N14" s="2311"/>
      <c r="O14" s="2311"/>
      <c r="P14" s="2311"/>
      <c r="R14" s="1181"/>
      <c r="S14" s="1304"/>
      <c r="T14" s="1295">
        <f t="shared" si="6"/>
        <v>5</v>
      </c>
      <c r="U14" s="1295">
        <f t="shared" si="7"/>
        <v>2038</v>
      </c>
      <c r="V14" s="1308">
        <f t="shared" si="5"/>
        <v>119973.61160195</v>
      </c>
      <c r="W14" s="1308">
        <f t="shared" si="5"/>
        <v>28475.372893</v>
      </c>
      <c r="X14" s="1310"/>
      <c r="Y14" s="197"/>
      <c r="Z14" s="197"/>
      <c r="AA14" s="1311">
        <f t="shared" si="1"/>
        <v>0</v>
      </c>
      <c r="AB14" s="1311">
        <f t="shared" ca="1" si="2"/>
        <v>142.57608868461787</v>
      </c>
      <c r="AC14" s="197"/>
      <c r="AD14" s="197" t="str">
        <f>B61</f>
        <v>UTILITIES</v>
      </c>
      <c r="AE14" s="1312">
        <f>H72*12</f>
        <v>6240</v>
      </c>
      <c r="AF14" s="1313"/>
      <c r="AG14" s="1256"/>
      <c r="AH14" s="1256"/>
      <c r="AI14" s="1256"/>
      <c r="AJ14" s="85"/>
      <c r="AK14" s="85"/>
      <c r="AL14" s="85"/>
      <c r="AM14" s="85"/>
      <c r="AN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W14" s="85"/>
      <c r="BX14" s="85"/>
      <c r="BY14" s="85"/>
      <c r="BZ14" s="85"/>
      <c r="CA14" s="85"/>
      <c r="CB14" s="85"/>
      <c r="CC14" s="85"/>
      <c r="CD14" s="85"/>
      <c r="CE14" s="85"/>
      <c r="CF14" s="85"/>
      <c r="CG14" s="85"/>
      <c r="CH14" s="85"/>
      <c r="CI14" s="85"/>
      <c r="CJ14" s="85"/>
      <c r="CK14" s="85"/>
      <c r="CL14" s="85"/>
      <c r="CM14" s="85"/>
      <c r="CN14" s="86"/>
      <c r="CO14" s="86"/>
    </row>
    <row r="15" spans="1:93" s="69" customFormat="1" ht="15" customHeight="1">
      <c r="C15" s="95" t="str">
        <f>Housing!C18</f>
        <v>Home Security</v>
      </c>
      <c r="D15" s="484">
        <f>Housing!D18</f>
        <v>0</v>
      </c>
      <c r="E15" s="96">
        <f>Housing!E18</f>
        <v>0</v>
      </c>
      <c r="F15" s="101" t="str">
        <f>Housing!F18</f>
        <v>N</v>
      </c>
      <c r="G15" s="104" t="str">
        <f>Housing!G18</f>
        <v>Optional</v>
      </c>
      <c r="H15" s="119">
        <f t="shared" si="3"/>
        <v>0</v>
      </c>
      <c r="I15" s="119">
        <f t="shared" si="4"/>
        <v>0</v>
      </c>
      <c r="J15" s="1484">
        <v>0</v>
      </c>
      <c r="K15" s="119">
        <f t="shared" si="8"/>
        <v>0</v>
      </c>
      <c r="L15" s="119">
        <f t="shared" si="0"/>
        <v>0</v>
      </c>
      <c r="M15" s="2312"/>
      <c r="N15" s="2313"/>
      <c r="O15" s="2313"/>
      <c r="P15" s="2313"/>
      <c r="R15" s="1181"/>
      <c r="S15" s="1304"/>
      <c r="T15" s="1295">
        <f t="shared" si="6"/>
        <v>6</v>
      </c>
      <c r="U15" s="1295">
        <f t="shared" si="7"/>
        <v>2039</v>
      </c>
      <c r="V15" s="1308">
        <f t="shared" si="5"/>
        <v>123572.8199500085</v>
      </c>
      <c r="W15" s="1308">
        <f t="shared" si="5"/>
        <v>29329.634079790001</v>
      </c>
      <c r="X15" s="1310"/>
      <c r="Y15" s="197"/>
      <c r="Z15" s="197"/>
      <c r="AA15" s="1311">
        <f t="shared" si="1"/>
        <v>0</v>
      </c>
      <c r="AB15" s="1311">
        <f t="shared" si="2"/>
        <v>0</v>
      </c>
      <c r="AC15" s="197"/>
      <c r="AD15" s="197" t="str">
        <f>B73</f>
        <v>PERSONAL</v>
      </c>
      <c r="AE15" s="1312">
        <f>H85*12</f>
        <v>8805</v>
      </c>
      <c r="AF15" s="1313"/>
      <c r="AG15" s="1256"/>
      <c r="AH15" s="1256"/>
      <c r="AI15" s="1256"/>
      <c r="AJ15" s="85"/>
      <c r="AK15" s="85"/>
      <c r="AL15" s="85"/>
      <c r="AM15" s="85"/>
      <c r="AN15" s="85"/>
      <c r="AO15" s="85"/>
      <c r="AP15" s="85"/>
      <c r="AQ15" s="85"/>
      <c r="AR15" s="85"/>
      <c r="AS15" s="85"/>
      <c r="AT15" s="85"/>
      <c r="AU15" s="85"/>
      <c r="AV15" s="85"/>
      <c r="AW15" s="85"/>
      <c r="AX15" s="85"/>
      <c r="AY15" s="85"/>
      <c r="AZ15" s="85"/>
      <c r="BA15" s="85"/>
      <c r="BB15" s="85"/>
      <c r="BC15" s="85"/>
      <c r="BD15" s="85"/>
      <c r="BE15" s="85"/>
      <c r="BF15" s="85"/>
      <c r="BG15" s="85"/>
      <c r="BH15" s="85"/>
      <c r="BI15" s="85"/>
      <c r="BJ15" s="85"/>
      <c r="BK15" s="85"/>
      <c r="BL15" s="85"/>
      <c r="BM15" s="85"/>
      <c r="BN15" s="85"/>
      <c r="BO15" s="85"/>
      <c r="BP15" s="85"/>
      <c r="BQ15" s="85"/>
      <c r="BR15" s="85"/>
      <c r="BS15" s="85"/>
      <c r="BT15" s="85"/>
      <c r="BU15" s="85"/>
      <c r="BV15" s="85"/>
      <c r="BW15" s="85"/>
      <c r="BX15" s="85"/>
      <c r="BY15" s="85"/>
      <c r="BZ15" s="85"/>
      <c r="CA15" s="85"/>
      <c r="CB15" s="85"/>
      <c r="CC15" s="85"/>
      <c r="CD15" s="85"/>
      <c r="CE15" s="85"/>
      <c r="CF15" s="85"/>
      <c r="CG15" s="85"/>
      <c r="CH15" s="85"/>
      <c r="CI15" s="85"/>
      <c r="CJ15" s="85"/>
      <c r="CK15" s="85"/>
      <c r="CL15" s="85"/>
      <c r="CM15" s="85"/>
      <c r="CN15" s="86"/>
      <c r="CO15" s="86"/>
    </row>
    <row r="16" spans="1:93" s="69" customFormat="1" ht="15" customHeight="1">
      <c r="C16" s="93" t="str">
        <f>Housing!C19</f>
        <v>Lawn Service</v>
      </c>
      <c r="D16" s="483">
        <f>Housing!D19</f>
        <v>0</v>
      </c>
      <c r="E16" s="94">
        <f>Housing!E19</f>
        <v>0</v>
      </c>
      <c r="F16" s="100" t="str">
        <f>Housing!F19</f>
        <v>N</v>
      </c>
      <c r="G16" s="103" t="str">
        <f>Housing!G19</f>
        <v>Optional</v>
      </c>
      <c r="H16" s="118">
        <f t="shared" si="3"/>
        <v>0</v>
      </c>
      <c r="I16" s="118">
        <f t="shared" si="4"/>
        <v>0</v>
      </c>
      <c r="J16" s="1483">
        <v>0</v>
      </c>
      <c r="K16" s="118">
        <f t="shared" si="8"/>
        <v>0</v>
      </c>
      <c r="L16" s="118">
        <f t="shared" si="0"/>
        <v>0</v>
      </c>
      <c r="M16" s="2310" t="s">
        <v>0</v>
      </c>
      <c r="N16" s="2311"/>
      <c r="O16" s="2311"/>
      <c r="P16" s="2311"/>
      <c r="R16" s="1181"/>
      <c r="S16" s="1304"/>
      <c r="T16" s="1295">
        <f t="shared" si="6"/>
        <v>7</v>
      </c>
      <c r="U16" s="1295">
        <f t="shared" si="7"/>
        <v>2040</v>
      </c>
      <c r="V16" s="1308">
        <f t="shared" si="5"/>
        <v>127280.00454850876</v>
      </c>
      <c r="W16" s="1308">
        <f t="shared" si="5"/>
        <v>30209.523102183703</v>
      </c>
      <c r="X16" s="1310"/>
      <c r="Y16" s="197"/>
      <c r="Z16" s="197"/>
      <c r="AA16" s="1311">
        <f t="shared" si="1"/>
        <v>0</v>
      </c>
      <c r="AB16" s="1311">
        <f t="shared" si="2"/>
        <v>0</v>
      </c>
      <c r="AC16" s="197"/>
      <c r="AD16" s="197" t="str">
        <f>B86</f>
        <v>FOOD &amp; DRINK</v>
      </c>
      <c r="AE16" s="1312">
        <f>H98*12</f>
        <v>24660</v>
      </c>
      <c r="AF16" s="1313"/>
      <c r="AG16" s="1256"/>
      <c r="AH16" s="1256"/>
      <c r="AI16" s="1256"/>
      <c r="AJ16" s="85"/>
      <c r="AK16" s="85"/>
      <c r="AL16" s="85"/>
      <c r="AM16" s="85"/>
      <c r="AN16" s="85"/>
      <c r="AO16" s="85"/>
      <c r="AP16" s="85"/>
      <c r="AQ16" s="85"/>
      <c r="AR16" s="85"/>
      <c r="AS16" s="85"/>
      <c r="AT16" s="85"/>
      <c r="AU16" s="85"/>
      <c r="AV16" s="85"/>
      <c r="AW16" s="85"/>
      <c r="AX16" s="85"/>
      <c r="AY16" s="85"/>
      <c r="AZ16" s="85"/>
      <c r="BA16" s="85"/>
      <c r="BB16" s="85"/>
      <c r="BC16" s="85"/>
      <c r="BD16" s="85"/>
      <c r="BE16" s="85"/>
      <c r="BF16" s="85"/>
      <c r="BG16" s="85"/>
      <c r="BH16" s="85"/>
      <c r="BI16" s="85"/>
      <c r="BJ16" s="85"/>
      <c r="BK16" s="85"/>
      <c r="BL16" s="85"/>
      <c r="BM16" s="85"/>
      <c r="BN16" s="85"/>
      <c r="BO16" s="85"/>
      <c r="BP16" s="85"/>
      <c r="BQ16" s="85"/>
      <c r="BR16" s="85"/>
      <c r="BS16" s="85"/>
      <c r="BT16" s="85"/>
      <c r="BU16" s="85"/>
      <c r="BV16" s="85"/>
      <c r="BW16" s="85"/>
      <c r="BX16" s="85"/>
      <c r="BY16" s="85"/>
      <c r="BZ16" s="85"/>
      <c r="CA16" s="85"/>
      <c r="CB16" s="85"/>
      <c r="CC16" s="85"/>
      <c r="CD16" s="85"/>
      <c r="CE16" s="85"/>
      <c r="CF16" s="85"/>
      <c r="CG16" s="85"/>
      <c r="CH16" s="85"/>
      <c r="CI16" s="85"/>
      <c r="CJ16" s="85"/>
      <c r="CK16" s="85"/>
      <c r="CL16" s="85"/>
      <c r="CM16" s="85"/>
      <c r="CN16" s="86"/>
      <c r="CO16" s="86"/>
    </row>
    <row r="17" spans="2:93" s="69" customFormat="1" ht="15" customHeight="1">
      <c r="C17" s="95" t="str">
        <f>Housing!C20</f>
        <v xml:space="preserve">Other </v>
      </c>
      <c r="D17" s="484">
        <f>Housing!D20</f>
        <v>0</v>
      </c>
      <c r="E17" s="96">
        <f>Housing!E20</f>
        <v>0</v>
      </c>
      <c r="F17" s="101" t="str">
        <f>Housing!F20</f>
        <v>N</v>
      </c>
      <c r="G17" s="104" t="str">
        <f>Housing!G20</f>
        <v>Optional</v>
      </c>
      <c r="H17" s="119">
        <f t="shared" si="3"/>
        <v>0</v>
      </c>
      <c r="I17" s="119">
        <f t="shared" si="4"/>
        <v>0</v>
      </c>
      <c r="J17" s="1484">
        <v>0</v>
      </c>
      <c r="K17" s="119">
        <f t="shared" si="8"/>
        <v>0</v>
      </c>
      <c r="L17" s="119">
        <f t="shared" si="0"/>
        <v>0</v>
      </c>
      <c r="M17" s="2312"/>
      <c r="N17" s="2313"/>
      <c r="O17" s="2313"/>
      <c r="P17" s="2313"/>
      <c r="R17" s="1181"/>
      <c r="S17" s="1304"/>
      <c r="T17" s="1295">
        <f t="shared" si="6"/>
        <v>8</v>
      </c>
      <c r="U17" s="1295">
        <f t="shared" si="7"/>
        <v>2041</v>
      </c>
      <c r="V17" s="1308">
        <f t="shared" si="5"/>
        <v>131098.40468496401</v>
      </c>
      <c r="W17" s="1308">
        <f t="shared" si="5"/>
        <v>31115.808795249213</v>
      </c>
      <c r="X17" s="1310"/>
      <c r="Y17" s="197"/>
      <c r="Z17" s="197"/>
      <c r="AA17" s="1311">
        <f t="shared" si="1"/>
        <v>0</v>
      </c>
      <c r="AB17" s="1311">
        <f t="shared" si="2"/>
        <v>0</v>
      </c>
      <c r="AC17" s="197"/>
      <c r="AD17" s="197" t="str">
        <f>B99</f>
        <v>SUBSCRIPTIONS</v>
      </c>
      <c r="AE17" s="1312">
        <f>H112*12</f>
        <v>3336</v>
      </c>
      <c r="AF17" s="1313"/>
      <c r="AG17" s="1256"/>
      <c r="AH17" s="1256"/>
      <c r="AI17" s="1256"/>
      <c r="AJ17" s="85"/>
      <c r="AK17" s="85"/>
      <c r="AL17" s="85"/>
      <c r="AM17" s="85"/>
      <c r="AN17" s="85"/>
      <c r="AO17" s="85"/>
      <c r="AP17" s="85"/>
      <c r="AQ17" s="85"/>
      <c r="AR17" s="85"/>
      <c r="AS17" s="85"/>
      <c r="AT17" s="85"/>
      <c r="AU17" s="85"/>
      <c r="AV17" s="85"/>
      <c r="AW17" s="85"/>
      <c r="AX17" s="85"/>
      <c r="AY17" s="85"/>
      <c r="AZ17" s="85"/>
      <c r="BA17" s="85"/>
      <c r="BB17" s="85"/>
      <c r="BC17" s="85"/>
      <c r="BD17" s="85"/>
      <c r="BE17" s="85"/>
      <c r="BF17" s="85"/>
      <c r="BG17" s="85"/>
      <c r="BH17" s="85"/>
      <c r="BI17" s="85"/>
      <c r="BJ17" s="85"/>
      <c r="BK17" s="85"/>
      <c r="BL17" s="85"/>
      <c r="BM17" s="85"/>
      <c r="BN17" s="85"/>
      <c r="BO17" s="85"/>
      <c r="BP17" s="85"/>
      <c r="BQ17" s="85"/>
      <c r="BR17" s="85"/>
      <c r="BS17" s="85"/>
      <c r="BT17" s="85"/>
      <c r="BU17" s="85"/>
      <c r="BV17" s="85"/>
      <c r="BW17" s="85"/>
      <c r="BX17" s="85"/>
      <c r="BY17" s="85"/>
      <c r="BZ17" s="85"/>
      <c r="CA17" s="85"/>
      <c r="CB17" s="85"/>
      <c r="CC17" s="85"/>
      <c r="CD17" s="85"/>
      <c r="CE17" s="85"/>
      <c r="CF17" s="85"/>
      <c r="CG17" s="85"/>
      <c r="CH17" s="85"/>
      <c r="CI17" s="85"/>
      <c r="CJ17" s="85"/>
      <c r="CK17" s="85"/>
      <c r="CL17" s="85"/>
      <c r="CM17" s="85"/>
      <c r="CN17" s="86"/>
      <c r="CO17" s="86"/>
    </row>
    <row r="18" spans="2:93" s="69" customFormat="1" ht="15" customHeight="1">
      <c r="C18" s="93" t="str">
        <f>Housing!C21</f>
        <v xml:space="preserve">Other </v>
      </c>
      <c r="D18" s="483">
        <f>Housing!D21</f>
        <v>0</v>
      </c>
      <c r="E18" s="94">
        <f>Housing!E21</f>
        <v>0</v>
      </c>
      <c r="F18" s="100" t="str">
        <f>Housing!F21</f>
        <v>N</v>
      </c>
      <c r="G18" s="103" t="str">
        <f>Housing!G21</f>
        <v>Optional</v>
      </c>
      <c r="H18" s="118">
        <f t="shared" si="3"/>
        <v>0</v>
      </c>
      <c r="I18" s="118">
        <f t="shared" si="4"/>
        <v>0</v>
      </c>
      <c r="J18" s="1483">
        <v>0</v>
      </c>
      <c r="K18" s="118">
        <f t="shared" si="8"/>
        <v>0</v>
      </c>
      <c r="L18" s="118">
        <f t="shared" si="0"/>
        <v>0</v>
      </c>
      <c r="M18" s="2310"/>
      <c r="N18" s="2311"/>
      <c r="O18" s="2311"/>
      <c r="P18" s="2311"/>
      <c r="R18" s="1181"/>
      <c r="S18" s="1304"/>
      <c r="T18" s="1295">
        <f t="shared" si="6"/>
        <v>9</v>
      </c>
      <c r="U18" s="1295">
        <f t="shared" si="7"/>
        <v>2042</v>
      </c>
      <c r="V18" s="1308">
        <f t="shared" si="5"/>
        <v>135031.35682551292</v>
      </c>
      <c r="W18" s="1308">
        <f t="shared" si="5"/>
        <v>32049.283059106689</v>
      </c>
      <c r="X18" s="1310"/>
      <c r="Y18" s="197"/>
      <c r="Z18" s="197"/>
      <c r="AA18" s="1311">
        <f t="shared" si="1"/>
        <v>0</v>
      </c>
      <c r="AB18" s="1311">
        <f t="shared" si="2"/>
        <v>0</v>
      </c>
      <c r="AC18" s="197"/>
      <c r="AD18" s="197" t="str">
        <f>B113</f>
        <v>MISCELLANEOUS</v>
      </c>
      <c r="AE18" s="1312">
        <f>H126*12</f>
        <v>12500</v>
      </c>
      <c r="AF18" s="1313"/>
      <c r="AG18" s="1256"/>
      <c r="AH18" s="1256"/>
      <c r="AI18" s="1256"/>
      <c r="AJ18" s="85"/>
      <c r="AK18" s="85"/>
      <c r="AL18" s="85"/>
      <c r="AM18" s="85"/>
      <c r="AN18" s="85"/>
      <c r="AO18" s="85"/>
      <c r="AP18" s="85"/>
      <c r="AQ18" s="85"/>
      <c r="AR18" s="85"/>
      <c r="AS18" s="85"/>
      <c r="AT18" s="85"/>
      <c r="AU18" s="85"/>
      <c r="AV18" s="85"/>
      <c r="AW18" s="85"/>
      <c r="AX18" s="85"/>
      <c r="AY18" s="85"/>
      <c r="AZ18" s="85"/>
      <c r="BA18" s="85"/>
      <c r="BB18" s="85"/>
      <c r="BC18" s="85"/>
      <c r="BD18" s="85"/>
      <c r="BE18" s="85"/>
      <c r="BF18" s="85"/>
      <c r="BG18" s="85"/>
      <c r="BH18" s="85"/>
      <c r="BI18" s="85"/>
      <c r="BJ18" s="85"/>
      <c r="BK18" s="85"/>
      <c r="BL18" s="85"/>
      <c r="BM18" s="85"/>
      <c r="BN18" s="85"/>
      <c r="BO18" s="85"/>
      <c r="BP18" s="85"/>
      <c r="BQ18" s="85"/>
      <c r="BR18" s="85"/>
      <c r="BS18" s="85"/>
      <c r="BT18" s="85"/>
      <c r="BU18" s="85"/>
      <c r="BV18" s="85"/>
      <c r="BW18" s="85"/>
      <c r="BX18" s="85"/>
      <c r="BY18" s="85"/>
      <c r="BZ18" s="85"/>
      <c r="CA18" s="85"/>
      <c r="CB18" s="85"/>
      <c r="CC18" s="85"/>
      <c r="CD18" s="85"/>
      <c r="CE18" s="85"/>
      <c r="CF18" s="85"/>
      <c r="CG18" s="85"/>
      <c r="CH18" s="85"/>
      <c r="CI18" s="85"/>
      <c r="CJ18" s="85"/>
      <c r="CK18" s="85"/>
      <c r="CL18" s="85"/>
      <c r="CM18" s="85"/>
      <c r="CN18" s="86"/>
      <c r="CO18" s="86"/>
    </row>
    <row r="19" spans="2:93" s="69" customFormat="1" ht="15" customHeight="1">
      <c r="C19" s="95" t="str">
        <f>Housing!C22</f>
        <v xml:space="preserve">Other </v>
      </c>
      <c r="D19" s="484">
        <f>Housing!D22</f>
        <v>0</v>
      </c>
      <c r="E19" s="96">
        <f>Housing!E22</f>
        <v>0</v>
      </c>
      <c r="F19" s="101" t="str">
        <f>Housing!F22</f>
        <v>N</v>
      </c>
      <c r="G19" s="104" t="str">
        <f>Housing!G22</f>
        <v>Optional</v>
      </c>
      <c r="H19" s="119">
        <f t="shared" si="3"/>
        <v>0</v>
      </c>
      <c r="I19" s="119">
        <f t="shared" si="4"/>
        <v>0</v>
      </c>
      <c r="J19" s="1484">
        <v>0</v>
      </c>
      <c r="K19" s="119">
        <f t="shared" si="8"/>
        <v>0</v>
      </c>
      <c r="L19" s="119">
        <f t="shared" si="0"/>
        <v>0</v>
      </c>
      <c r="M19" s="2312" t="s">
        <v>0</v>
      </c>
      <c r="N19" s="2313"/>
      <c r="O19" s="2313"/>
      <c r="P19" s="2313"/>
      <c r="R19" s="1181"/>
      <c r="S19" s="1304"/>
      <c r="T19" s="1295">
        <f t="shared" si="6"/>
        <v>10</v>
      </c>
      <c r="U19" s="1295">
        <f t="shared" si="7"/>
        <v>2043</v>
      </c>
      <c r="V19" s="1308">
        <f t="shared" si="5"/>
        <v>139082.2975302783</v>
      </c>
      <c r="W19" s="1308">
        <f t="shared" si="5"/>
        <v>33010.761550879892</v>
      </c>
      <c r="X19" s="1310"/>
      <c r="Y19" s="197"/>
      <c r="Z19" s="197"/>
      <c r="AA19" s="1311">
        <f t="shared" si="1"/>
        <v>0</v>
      </c>
      <c r="AB19" s="1311">
        <f t="shared" si="2"/>
        <v>0</v>
      </c>
      <c r="AC19" s="197"/>
      <c r="AD19" s="197" t="str">
        <f>B127</f>
        <v>N/A</v>
      </c>
      <c r="AE19" s="1312">
        <f>H140*12</f>
        <v>0</v>
      </c>
      <c r="AF19" s="1313"/>
      <c r="AG19" s="1256"/>
      <c r="AH19" s="1256"/>
      <c r="AI19" s="1256"/>
      <c r="AJ19" s="85"/>
      <c r="AK19" s="85"/>
      <c r="AL19" s="85"/>
      <c r="AM19" s="85"/>
      <c r="AN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85"/>
      <c r="BQ19" s="85"/>
      <c r="BR19" s="85"/>
      <c r="BS19" s="85"/>
      <c r="BT19" s="85"/>
      <c r="BU19" s="85"/>
      <c r="BV19" s="85"/>
      <c r="BW19" s="85"/>
      <c r="BX19" s="85"/>
      <c r="BY19" s="85"/>
      <c r="BZ19" s="85"/>
      <c r="CA19" s="85"/>
      <c r="CB19" s="85"/>
      <c r="CC19" s="85"/>
      <c r="CD19" s="85"/>
      <c r="CE19" s="85"/>
      <c r="CF19" s="85"/>
      <c r="CG19" s="85"/>
      <c r="CH19" s="85"/>
      <c r="CI19" s="85"/>
      <c r="CJ19" s="85"/>
      <c r="CK19" s="85"/>
      <c r="CL19" s="85"/>
      <c r="CM19" s="85"/>
      <c r="CN19" s="86"/>
      <c r="CO19" s="86"/>
    </row>
    <row r="20" spans="2:93" s="69" customFormat="1" ht="15" customHeight="1">
      <c r="C20" s="98" t="str">
        <f>Housing!C23</f>
        <v>Mortgage (from Assets)</v>
      </c>
      <c r="D20" s="485">
        <f>Housing!D23</f>
        <v>1300</v>
      </c>
      <c r="E20" s="99">
        <f>Housing!E23</f>
        <v>12</v>
      </c>
      <c r="F20" s="102" t="str">
        <f>Housing!F23</f>
        <v>N</v>
      </c>
      <c r="G20" s="105" t="str">
        <f>Housing!G23</f>
        <v>Required</v>
      </c>
      <c r="H20" s="120">
        <f>IF(ISNUMBER(I20),I20/12,"")</f>
        <v>1300</v>
      </c>
      <c r="I20" s="120">
        <f>IF(ISNUMBER(E20),IF(E20&gt;0,D20*E20,""),"")</f>
        <v>15600</v>
      </c>
      <c r="J20" s="1485">
        <v>-1300</v>
      </c>
      <c r="K20" s="120">
        <f t="shared" si="8"/>
        <v>0</v>
      </c>
      <c r="L20" s="120">
        <f t="shared" si="0"/>
        <v>0</v>
      </c>
      <c r="M20" s="2314"/>
      <c r="N20" s="2315"/>
      <c r="O20" s="2315"/>
      <c r="P20" s="2315"/>
      <c r="R20" s="1181"/>
      <c r="S20" s="1304"/>
      <c r="T20" s="1295">
        <f t="shared" si="6"/>
        <v>11</v>
      </c>
      <c r="U20" s="1295">
        <f t="shared" si="7"/>
        <v>2044</v>
      </c>
      <c r="V20" s="1308">
        <f t="shared" si="5"/>
        <v>143254.76645618665</v>
      </c>
      <c r="W20" s="1308">
        <f t="shared" si="5"/>
        <v>34001.084397406288</v>
      </c>
      <c r="X20" s="1310"/>
      <c r="Y20" s="197"/>
      <c r="Z20" s="197"/>
      <c r="AA20" s="1311">
        <f t="shared" si="1"/>
        <v>0</v>
      </c>
      <c r="AB20" s="1311">
        <f t="shared" si="2"/>
        <v>0</v>
      </c>
      <c r="AC20" s="197"/>
      <c r="AD20" s="197" t="str">
        <f>B141</f>
        <v>N/A</v>
      </c>
      <c r="AE20" s="1312">
        <f>H154*12</f>
        <v>0</v>
      </c>
      <c r="AF20" s="1313"/>
      <c r="AG20" s="1256"/>
      <c r="AH20" s="1256"/>
      <c r="AI20" s="1256"/>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c r="BK20" s="85"/>
      <c r="BL20" s="85"/>
      <c r="BM20" s="85"/>
      <c r="BN20" s="85"/>
      <c r="BO20" s="85"/>
      <c r="BP20" s="85"/>
      <c r="BQ20" s="85"/>
      <c r="BR20" s="85"/>
      <c r="BS20" s="85"/>
      <c r="BT20" s="85"/>
      <c r="BU20" s="85"/>
      <c r="BV20" s="85"/>
      <c r="BW20" s="85"/>
      <c r="BX20" s="85"/>
      <c r="BY20" s="85"/>
      <c r="BZ20" s="85"/>
      <c r="CA20" s="85"/>
      <c r="CB20" s="85"/>
      <c r="CC20" s="85"/>
      <c r="CD20" s="85"/>
      <c r="CE20" s="85"/>
      <c r="CF20" s="85"/>
      <c r="CG20" s="85"/>
      <c r="CH20" s="85"/>
      <c r="CI20" s="85"/>
      <c r="CJ20" s="85"/>
      <c r="CK20" s="85"/>
      <c r="CL20" s="85"/>
      <c r="CM20" s="85"/>
      <c r="CN20" s="86"/>
      <c r="CO20" s="86"/>
    </row>
    <row r="21" spans="2:93" s="69" customFormat="1" ht="25" customHeight="1">
      <c r="C21" s="87"/>
      <c r="D21" s="88"/>
      <c r="E21" s="88"/>
      <c r="F21" s="88"/>
      <c r="G21" s="122"/>
      <c r="H21" s="123">
        <f>SUM(H10:H20)</f>
        <v>2108.3333333333335</v>
      </c>
      <c r="I21" s="123">
        <f>SUM(I10:I20)</f>
        <v>25300</v>
      </c>
      <c r="J21" s="122"/>
      <c r="K21" s="123">
        <f ca="1">SUM(K10:K20)</f>
        <v>1060.2418580506558</v>
      </c>
      <c r="L21" s="123">
        <f ca="1">SUM(L10:L20)</f>
        <v>12722.90229660787</v>
      </c>
      <c r="M21" s="470"/>
      <c r="N21" s="470"/>
      <c r="O21" s="470"/>
      <c r="P21" s="470"/>
      <c r="R21" s="1181"/>
      <c r="S21" s="1304"/>
      <c r="T21" s="1295">
        <f t="shared" si="6"/>
        <v>12</v>
      </c>
      <c r="U21" s="1295">
        <f t="shared" si="7"/>
        <v>2045</v>
      </c>
      <c r="V21" s="1308">
        <f t="shared" si="5"/>
        <v>147552.40944987224</v>
      </c>
      <c r="W21" s="1308">
        <f t="shared" si="5"/>
        <v>35021.116929328477</v>
      </c>
      <c r="X21" s="1310"/>
      <c r="Y21" s="197"/>
      <c r="Z21" s="197"/>
      <c r="AA21" s="1311">
        <f t="shared" si="1"/>
        <v>0</v>
      </c>
      <c r="AB21" s="1311">
        <f t="shared" si="2"/>
        <v>0</v>
      </c>
      <c r="AC21" s="197"/>
      <c r="AD21" s="197" t="str">
        <f>B155</f>
        <v>N/A</v>
      </c>
      <c r="AE21" s="1312">
        <f>H170*12</f>
        <v>0</v>
      </c>
      <c r="AF21" s="1313"/>
      <c r="AG21" s="1256"/>
      <c r="AH21" s="1256"/>
      <c r="AI21" s="1256"/>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c r="BK21" s="85"/>
      <c r="BL21" s="85"/>
      <c r="BM21" s="85"/>
      <c r="BN21" s="85"/>
      <c r="BO21" s="85"/>
      <c r="BP21" s="85"/>
      <c r="BQ21" s="85"/>
      <c r="BR21" s="85"/>
      <c r="BS21" s="85"/>
      <c r="BT21" s="85"/>
      <c r="BU21" s="85"/>
      <c r="BV21" s="85"/>
      <c r="BW21" s="85"/>
      <c r="BX21" s="85"/>
      <c r="BY21" s="85"/>
      <c r="BZ21" s="85"/>
      <c r="CA21" s="85"/>
      <c r="CB21" s="85"/>
      <c r="CC21" s="85"/>
      <c r="CD21" s="85"/>
      <c r="CE21" s="85"/>
      <c r="CF21" s="85"/>
      <c r="CG21" s="85"/>
      <c r="CH21" s="85"/>
      <c r="CI21" s="85"/>
      <c r="CJ21" s="85"/>
      <c r="CK21" s="85"/>
      <c r="CL21" s="85"/>
      <c r="CM21" s="85"/>
      <c r="CN21" s="86"/>
      <c r="CO21" s="86"/>
    </row>
    <row r="22" spans="2:93" s="69" customFormat="1" ht="18" customHeight="1">
      <c r="B22" s="2326" t="s">
        <v>2586</v>
      </c>
      <c r="C22" s="2325"/>
      <c r="D22" s="149" t="s">
        <v>2615</v>
      </c>
      <c r="E22" s="147"/>
      <c r="F22" s="147"/>
      <c r="G22" s="115"/>
      <c r="H22" s="192"/>
      <c r="I22" s="192"/>
      <c r="J22" s="115"/>
      <c r="K22" s="192"/>
      <c r="L22" s="192"/>
      <c r="M22" s="478"/>
      <c r="N22" s="478"/>
      <c r="O22" s="478"/>
      <c r="P22" s="478"/>
      <c r="R22" s="1181"/>
      <c r="S22" s="197"/>
      <c r="T22" s="1295">
        <f t="shared" si="6"/>
        <v>13</v>
      </c>
      <c r="U22" s="1295">
        <f t="shared" si="7"/>
        <v>2046</v>
      </c>
      <c r="V22" s="1308">
        <f t="shared" si="5"/>
        <v>151978.98173336842</v>
      </c>
      <c r="W22" s="1308">
        <f t="shared" si="5"/>
        <v>36071.750437208328</v>
      </c>
      <c r="X22" s="1310"/>
      <c r="Y22" s="197"/>
      <c r="Z22" s="197"/>
      <c r="AA22" s="1311">
        <f t="shared" si="1"/>
        <v>0</v>
      </c>
      <c r="AB22" s="1311">
        <f t="shared" si="2"/>
        <v>0</v>
      </c>
      <c r="AC22" s="197"/>
      <c r="AD22" s="197"/>
      <c r="AE22" s="197"/>
      <c r="AF22" s="1313"/>
      <c r="AG22" s="1256"/>
      <c r="AH22" s="1256"/>
      <c r="AI22" s="1256"/>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c r="BK22" s="85"/>
      <c r="BL22" s="85"/>
      <c r="BM22" s="85"/>
      <c r="BN22" s="85"/>
      <c r="BO22" s="85"/>
      <c r="BP22" s="85"/>
      <c r="BQ22" s="85"/>
      <c r="BR22" s="85"/>
      <c r="BS22" s="85"/>
      <c r="BT22" s="85"/>
      <c r="BU22" s="85"/>
      <c r="BV22" s="85"/>
      <c r="BW22" s="85"/>
      <c r="BX22" s="85"/>
      <c r="BY22" s="85"/>
      <c r="BZ22" s="85"/>
      <c r="CA22" s="85"/>
      <c r="CB22" s="85"/>
      <c r="CC22" s="85"/>
      <c r="CD22" s="85"/>
      <c r="CE22" s="85"/>
      <c r="CF22" s="85"/>
      <c r="CG22" s="85"/>
      <c r="CH22" s="85"/>
      <c r="CI22" s="85"/>
      <c r="CJ22" s="85"/>
      <c r="CK22" s="85"/>
      <c r="CL22" s="85"/>
      <c r="CM22" s="85"/>
      <c r="CN22" s="79"/>
      <c r="CO22" s="79"/>
    </row>
    <row r="23" spans="2:93" s="69" customFormat="1" ht="15" customHeight="1">
      <c r="C23" s="116" t="str">
        <f>Vehicle!C21</f>
        <v>Insurance premium(s)</v>
      </c>
      <c r="D23" s="486">
        <f>Vehicle!D21</f>
        <v>2000</v>
      </c>
      <c r="E23" s="117">
        <f>Vehicle!E21</f>
        <v>2</v>
      </c>
      <c r="F23" s="128" t="str">
        <f>Vehicle!F21</f>
        <v>Y</v>
      </c>
      <c r="G23" s="131" t="s">
        <v>395</v>
      </c>
      <c r="H23" s="118">
        <f t="shared" ref="H23:H33" si="9">IF(ISNUMBER(I23),I23/12,0)</f>
        <v>333.33333333333331</v>
      </c>
      <c r="I23" s="118">
        <f t="shared" ref="I23:I33" si="10">IF(ISNUMBER(E23),IF(E23&gt;0,D23*E23,0),"")</f>
        <v>4000</v>
      </c>
      <c r="J23" s="1486">
        <v>0</v>
      </c>
      <c r="K23" s="118">
        <f t="shared" ref="K23:K30" ca="1" si="11">IF(ISNUMBER(L23),L23/12,"")</f>
        <v>475.2536289487262</v>
      </c>
      <c r="L23" s="118">
        <f t="shared" ref="L23:L33" ca="1" si="12">IF(ISNUMBER(I23),IF(F23="Y",FV($N$5,$O$5,0,I23*-1)+(J23*12),I23+(J23*12)),"")</f>
        <v>5703.0435473847147</v>
      </c>
      <c r="M23" s="2310"/>
      <c r="N23" s="2311"/>
      <c r="O23" s="2311"/>
      <c r="P23" s="2311"/>
      <c r="R23" s="1181"/>
      <c r="S23" s="197"/>
      <c r="T23" s="1295">
        <f t="shared" si="6"/>
        <v>14</v>
      </c>
      <c r="U23" s="1295">
        <f t="shared" si="7"/>
        <v>2047</v>
      </c>
      <c r="V23" s="1308">
        <f t="shared" si="5"/>
        <v>156538.35118536948</v>
      </c>
      <c r="W23" s="1308">
        <f t="shared" si="5"/>
        <v>37153.902950324577</v>
      </c>
      <c r="X23" s="1310"/>
      <c r="Y23" s="197"/>
      <c r="Z23" s="197"/>
      <c r="AA23" s="1311">
        <f t="shared" si="1"/>
        <v>0</v>
      </c>
      <c r="AB23" s="1311">
        <f t="shared" ca="1" si="2"/>
        <v>5703.0435473847147</v>
      </c>
      <c r="AC23" s="197"/>
      <c r="AD23" s="1295" t="s">
        <v>40</v>
      </c>
      <c r="AE23" s="1295" t="s">
        <v>74</v>
      </c>
      <c r="AF23" s="1313"/>
      <c r="AG23" s="1256"/>
      <c r="AH23" s="1256"/>
      <c r="AI23" s="1256"/>
      <c r="AJ23" s="85"/>
      <c r="AK23" s="85"/>
      <c r="AL23" s="85"/>
      <c r="AM23" s="85"/>
      <c r="AN23" s="85"/>
      <c r="AO23" s="85"/>
      <c r="AP23" s="85"/>
      <c r="AQ23" s="85"/>
      <c r="AR23" s="85"/>
      <c r="AS23" s="85"/>
      <c r="AT23" s="85"/>
      <c r="AU23" s="85"/>
      <c r="AV23" s="85"/>
      <c r="AW23" s="85"/>
      <c r="AX23" s="85"/>
      <c r="AY23" s="85"/>
      <c r="AZ23" s="85"/>
      <c r="BA23" s="85"/>
      <c r="BB23" s="85"/>
      <c r="BC23" s="85"/>
      <c r="BD23" s="85"/>
      <c r="BE23" s="85"/>
      <c r="BF23" s="85"/>
      <c r="BG23" s="85"/>
      <c r="BH23" s="85"/>
      <c r="BI23" s="85"/>
      <c r="BJ23" s="85"/>
      <c r="BK23" s="85"/>
      <c r="BL23" s="85"/>
      <c r="BM23" s="85"/>
      <c r="BN23" s="85"/>
      <c r="BO23" s="85"/>
      <c r="BP23" s="85"/>
      <c r="BQ23" s="85"/>
      <c r="BR23" s="85"/>
      <c r="BS23" s="85"/>
      <c r="BT23" s="85"/>
      <c r="BU23" s="85"/>
      <c r="BV23" s="85"/>
      <c r="BW23" s="85"/>
      <c r="BX23" s="85"/>
      <c r="BY23" s="85"/>
      <c r="BZ23" s="85"/>
      <c r="CA23" s="85"/>
      <c r="CB23" s="85"/>
      <c r="CC23" s="85"/>
      <c r="CD23" s="85"/>
      <c r="CE23" s="85"/>
      <c r="CF23" s="85"/>
      <c r="CG23" s="85"/>
      <c r="CH23" s="85"/>
      <c r="CI23" s="85"/>
      <c r="CJ23" s="85"/>
      <c r="CK23" s="85"/>
      <c r="CL23" s="85"/>
      <c r="CM23" s="85"/>
      <c r="CN23" s="79"/>
      <c r="CO23" s="79"/>
    </row>
    <row r="24" spans="2:93" s="69" customFormat="1" ht="15" customHeight="1">
      <c r="C24" s="124" t="str">
        <f>Vehicle!C22</f>
        <v>Maintenance</v>
      </c>
      <c r="D24" s="487">
        <f>Vehicle!D22</f>
        <v>600</v>
      </c>
      <c r="E24" s="125">
        <f>Vehicle!E22</f>
        <v>2</v>
      </c>
      <c r="F24" s="129" t="str">
        <f>Vehicle!F22</f>
        <v>Y</v>
      </c>
      <c r="G24" s="132" t="s">
        <v>395</v>
      </c>
      <c r="H24" s="119">
        <f t="shared" si="9"/>
        <v>100</v>
      </c>
      <c r="I24" s="119">
        <f t="shared" si="10"/>
        <v>1200</v>
      </c>
      <c r="J24" s="1487">
        <v>0</v>
      </c>
      <c r="K24" s="119">
        <f t="shared" ca="1" si="11"/>
        <v>142.57608868461787</v>
      </c>
      <c r="L24" s="119">
        <f t="shared" ca="1" si="12"/>
        <v>1710.9130642154144</v>
      </c>
      <c r="M24" s="2312"/>
      <c r="N24" s="2313"/>
      <c r="O24" s="2313"/>
      <c r="P24" s="2313"/>
      <c r="R24" s="1181"/>
      <c r="S24" s="197"/>
      <c r="T24" s="1295">
        <f t="shared" si="6"/>
        <v>15</v>
      </c>
      <c r="U24" s="1295">
        <f t="shared" si="7"/>
        <v>2048</v>
      </c>
      <c r="V24" s="1308">
        <f t="shared" si="5"/>
        <v>161234.50172093057</v>
      </c>
      <c r="W24" s="1308">
        <f t="shared" si="5"/>
        <v>38268.520038834315</v>
      </c>
      <c r="X24" s="1310"/>
      <c r="Y24" s="197"/>
      <c r="Z24" s="197"/>
      <c r="AA24" s="1311">
        <f t="shared" si="1"/>
        <v>0</v>
      </c>
      <c r="AB24" s="1311">
        <f t="shared" ca="1" si="2"/>
        <v>1710.9130642154144</v>
      </c>
      <c r="AC24" s="197"/>
      <c r="AD24" s="1312" t="str">
        <f>AD10</f>
        <v>HOUSING</v>
      </c>
      <c r="AE24" s="1312">
        <f ca="1">K21*12</f>
        <v>12722.90229660787</v>
      </c>
      <c r="AF24" s="1313"/>
      <c r="AG24" s="1256"/>
      <c r="AH24" s="1256"/>
      <c r="AI24" s="1256"/>
      <c r="AJ24" s="85"/>
      <c r="AK24" s="85"/>
      <c r="AL24" s="85"/>
      <c r="AM24" s="85"/>
      <c r="AN24" s="85"/>
      <c r="AO24" s="85"/>
      <c r="AP24" s="85"/>
      <c r="AQ24" s="85"/>
      <c r="AR24" s="85"/>
      <c r="AS24" s="85"/>
      <c r="AT24" s="85"/>
      <c r="AU24" s="85"/>
      <c r="AV24" s="85"/>
      <c r="AW24" s="85"/>
      <c r="AX24" s="85"/>
      <c r="AY24" s="85"/>
      <c r="AZ24" s="85"/>
      <c r="BA24" s="85"/>
      <c r="BB24" s="85"/>
      <c r="BC24" s="85"/>
      <c r="BD24" s="85"/>
      <c r="BE24" s="85"/>
      <c r="BF24" s="85"/>
      <c r="BG24" s="85"/>
      <c r="BH24" s="85"/>
      <c r="BI24" s="85"/>
      <c r="BJ24" s="85"/>
      <c r="BK24" s="85"/>
      <c r="BL24" s="85"/>
      <c r="BM24" s="85"/>
      <c r="BN24" s="85"/>
      <c r="BO24" s="85"/>
      <c r="BP24" s="85"/>
      <c r="BQ24" s="85"/>
      <c r="BR24" s="85"/>
      <c r="BS24" s="85"/>
      <c r="BT24" s="85"/>
      <c r="BU24" s="85"/>
      <c r="BV24" s="85"/>
      <c r="BW24" s="85"/>
      <c r="BX24" s="85"/>
      <c r="BY24" s="85"/>
      <c r="BZ24" s="85"/>
      <c r="CA24" s="85"/>
      <c r="CB24" s="85"/>
      <c r="CC24" s="85"/>
      <c r="CD24" s="85"/>
      <c r="CE24" s="85"/>
      <c r="CF24" s="85"/>
      <c r="CG24" s="85"/>
      <c r="CH24" s="85"/>
      <c r="CI24" s="85"/>
      <c r="CJ24" s="85"/>
      <c r="CK24" s="85"/>
      <c r="CL24" s="85"/>
      <c r="CM24" s="85"/>
      <c r="CN24" s="79"/>
      <c r="CO24" s="79"/>
    </row>
    <row r="25" spans="2:93" s="69" customFormat="1" ht="15" customHeight="1">
      <c r="C25" s="116" t="str">
        <f>Vehicle!C23</f>
        <v>Repairs</v>
      </c>
      <c r="D25" s="486">
        <f>Vehicle!D23</f>
        <v>100</v>
      </c>
      <c r="E25" s="117">
        <f>Vehicle!E23</f>
        <v>12</v>
      </c>
      <c r="F25" s="128" t="str">
        <f>Vehicle!F23</f>
        <v>Y</v>
      </c>
      <c r="G25" s="131" t="s">
        <v>395</v>
      </c>
      <c r="H25" s="118">
        <f t="shared" si="9"/>
        <v>100</v>
      </c>
      <c r="I25" s="118">
        <f t="shared" si="10"/>
        <v>1200</v>
      </c>
      <c r="J25" s="1486">
        <v>0</v>
      </c>
      <c r="K25" s="118">
        <f t="shared" ca="1" si="11"/>
        <v>142.57608868461787</v>
      </c>
      <c r="L25" s="118">
        <f t="shared" ca="1" si="12"/>
        <v>1710.9130642154144</v>
      </c>
      <c r="M25" s="2310"/>
      <c r="N25" s="2311"/>
      <c r="O25" s="2311"/>
      <c r="P25" s="2311"/>
      <c r="R25" s="1181"/>
      <c r="S25" s="197"/>
      <c r="T25" s="1295">
        <f t="shared" si="6"/>
        <v>16</v>
      </c>
      <c r="U25" s="1295">
        <f t="shared" si="7"/>
        <v>2049</v>
      </c>
      <c r="V25" s="1308">
        <f t="shared" si="5"/>
        <v>166071.53677255849</v>
      </c>
      <c r="W25" s="1308">
        <f t="shared" si="5"/>
        <v>39416.575639999341</v>
      </c>
      <c r="X25" s="1310"/>
      <c r="Y25" s="197"/>
      <c r="Z25" s="197"/>
      <c r="AA25" s="1311">
        <f t="shared" si="1"/>
        <v>0</v>
      </c>
      <c r="AB25" s="1311">
        <f t="shared" ca="1" si="2"/>
        <v>1710.9130642154144</v>
      </c>
      <c r="AC25" s="197"/>
      <c r="AD25" s="1312" t="str">
        <f t="shared" ref="AD25:AD35" si="13">AD11</f>
        <v>VEHICLE</v>
      </c>
      <c r="AE25" s="1312">
        <f ca="1">K34*12</f>
        <v>12375.604497824832</v>
      </c>
      <c r="AF25" s="1313"/>
      <c r="AG25" s="1256"/>
      <c r="AH25" s="1256"/>
      <c r="AI25" s="1256"/>
      <c r="AJ25" s="85"/>
      <c r="AK25" s="85"/>
      <c r="AL25" s="85"/>
      <c r="AM25" s="85"/>
      <c r="AN25" s="85"/>
      <c r="AO25" s="85"/>
      <c r="AP25" s="85"/>
      <c r="AQ25" s="85"/>
      <c r="AR25" s="85"/>
      <c r="AS25" s="85"/>
      <c r="AT25" s="85"/>
      <c r="AU25" s="85"/>
      <c r="AV25" s="85"/>
      <c r="AW25" s="85"/>
      <c r="AX25" s="85"/>
      <c r="AY25" s="85"/>
      <c r="AZ25" s="85"/>
      <c r="BA25" s="85"/>
      <c r="BB25" s="85"/>
      <c r="BC25" s="85"/>
      <c r="BD25" s="85"/>
      <c r="BE25" s="85"/>
      <c r="BF25" s="85"/>
      <c r="BG25" s="85"/>
      <c r="BH25" s="85"/>
      <c r="BI25" s="85"/>
      <c r="BJ25" s="85"/>
      <c r="BK25" s="85"/>
      <c r="BL25" s="85"/>
      <c r="BM25" s="85"/>
      <c r="BN25" s="85"/>
      <c r="BO25" s="85"/>
      <c r="BP25" s="85"/>
      <c r="BQ25" s="85"/>
      <c r="BR25" s="85"/>
      <c r="BS25" s="85"/>
      <c r="BT25" s="85"/>
      <c r="BU25" s="85"/>
      <c r="BV25" s="85"/>
      <c r="BW25" s="85"/>
      <c r="BX25" s="85"/>
      <c r="BY25" s="85"/>
      <c r="BZ25" s="85"/>
      <c r="CA25" s="85"/>
      <c r="CB25" s="85"/>
      <c r="CC25" s="85"/>
      <c r="CD25" s="85"/>
      <c r="CE25" s="85"/>
      <c r="CF25" s="85"/>
      <c r="CG25" s="85"/>
      <c r="CH25" s="85"/>
      <c r="CI25" s="85"/>
      <c r="CJ25" s="85"/>
      <c r="CK25" s="85"/>
      <c r="CL25" s="85"/>
      <c r="CM25" s="85"/>
      <c r="CN25" s="79"/>
      <c r="CO25" s="79"/>
    </row>
    <row r="26" spans="2:93" s="69" customFormat="1" ht="15" customHeight="1">
      <c r="C26" s="124" t="str">
        <f>Vehicle!C24</f>
        <v>Fuel</v>
      </c>
      <c r="D26" s="487">
        <f>Vehicle!D24</f>
        <v>50</v>
      </c>
      <c r="E26" s="125">
        <f>Vehicle!E24</f>
        <v>12</v>
      </c>
      <c r="F26" s="129" t="str">
        <f>Vehicle!F24</f>
        <v>Y</v>
      </c>
      <c r="G26" s="132" t="s">
        <v>395</v>
      </c>
      <c r="H26" s="119">
        <f t="shared" si="9"/>
        <v>50</v>
      </c>
      <c r="I26" s="119">
        <f t="shared" si="10"/>
        <v>600</v>
      </c>
      <c r="J26" s="1487">
        <v>0</v>
      </c>
      <c r="K26" s="119">
        <f t="shared" ca="1" si="11"/>
        <v>71.288044342308936</v>
      </c>
      <c r="L26" s="119">
        <f t="shared" ca="1" si="12"/>
        <v>855.45653210770718</v>
      </c>
      <c r="M26" s="2312"/>
      <c r="N26" s="2313"/>
      <c r="O26" s="2313"/>
      <c r="P26" s="2313"/>
      <c r="R26" s="1181"/>
      <c r="S26" s="197"/>
      <c r="T26" s="1295">
        <f t="shared" si="6"/>
        <v>17</v>
      </c>
      <c r="U26" s="1295">
        <f t="shared" si="7"/>
        <v>2050</v>
      </c>
      <c r="V26" s="1308">
        <f t="shared" si="5"/>
        <v>171053.68287573525</v>
      </c>
      <c r="W26" s="1308">
        <f t="shared" si="5"/>
        <v>40599.07290919932</v>
      </c>
      <c r="X26" s="1310"/>
      <c r="Y26" s="197"/>
      <c r="Z26" s="197"/>
      <c r="AA26" s="1311">
        <f t="shared" si="1"/>
        <v>0</v>
      </c>
      <c r="AB26" s="1311">
        <f t="shared" ca="1" si="2"/>
        <v>855.45653210770718</v>
      </c>
      <c r="AC26" s="197"/>
      <c r="AD26" s="1312" t="str">
        <f t="shared" si="13"/>
        <v>MED-INSUR</v>
      </c>
      <c r="AE26" s="1312">
        <f ca="1">K47*12</f>
        <v>6564</v>
      </c>
      <c r="AF26" s="1313"/>
      <c r="AG26" s="1256"/>
      <c r="AH26" s="1256"/>
      <c r="AI26" s="1256"/>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79"/>
      <c r="CO26" s="79"/>
    </row>
    <row r="27" spans="2:93" s="69" customFormat="1" ht="15" customHeight="1">
      <c r="C27" s="116" t="str">
        <f>Vehicle!C25</f>
        <v>Registration(s)</v>
      </c>
      <c r="D27" s="486">
        <f>Vehicle!D25</f>
        <v>115</v>
      </c>
      <c r="E27" s="117">
        <f>Vehicle!E25</f>
        <v>2</v>
      </c>
      <c r="F27" s="128" t="str">
        <f>Vehicle!F25</f>
        <v>Y</v>
      </c>
      <c r="G27" s="131" t="s">
        <v>395</v>
      </c>
      <c r="H27" s="118">
        <f t="shared" si="9"/>
        <v>19.166666666666668</v>
      </c>
      <c r="I27" s="118">
        <f t="shared" si="10"/>
        <v>230</v>
      </c>
      <c r="J27" s="1486">
        <v>0</v>
      </c>
      <c r="K27" s="118">
        <f t="shared" ca="1" si="11"/>
        <v>27.327083664551754</v>
      </c>
      <c r="L27" s="118">
        <f t="shared" ca="1" si="12"/>
        <v>327.92500397462106</v>
      </c>
      <c r="M27" s="2310"/>
      <c r="N27" s="2311"/>
      <c r="O27" s="2311"/>
      <c r="P27" s="2311"/>
      <c r="R27" s="1181"/>
      <c r="S27" s="197"/>
      <c r="T27" s="1295">
        <f t="shared" si="6"/>
        <v>18</v>
      </c>
      <c r="U27" s="1295">
        <f t="shared" si="7"/>
        <v>2051</v>
      </c>
      <c r="V27" s="1308">
        <f t="shared" si="5"/>
        <v>176185.2933620073</v>
      </c>
      <c r="W27" s="1308">
        <f t="shared" si="5"/>
        <v>41817.045096475296</v>
      </c>
      <c r="X27" s="1310"/>
      <c r="Y27" s="197"/>
      <c r="Z27" s="197"/>
      <c r="AA27" s="1311">
        <f t="shared" si="1"/>
        <v>0</v>
      </c>
      <c r="AB27" s="1311">
        <f t="shared" ca="1" si="2"/>
        <v>327.92500397462106</v>
      </c>
      <c r="AC27" s="197"/>
      <c r="AD27" s="1312" t="str">
        <f t="shared" si="13"/>
        <v>HEALTH</v>
      </c>
      <c r="AE27" s="1312">
        <f ca="1">K60*12</f>
        <v>8996.5511959993892</v>
      </c>
      <c r="AF27" s="1313"/>
      <c r="AG27" s="1256"/>
      <c r="AH27" s="1256"/>
      <c r="AI27" s="1256"/>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79"/>
      <c r="CO27" s="79"/>
    </row>
    <row r="28" spans="2:93" s="69" customFormat="1" ht="15" customHeight="1">
      <c r="C28" s="124" t="str">
        <f>Vehicle!C26</f>
        <v>Tolls / Parking</v>
      </c>
      <c r="D28" s="487">
        <f>Vehicle!D26</f>
        <v>100</v>
      </c>
      <c r="E28" s="125">
        <f>Vehicle!E26</f>
        <v>12</v>
      </c>
      <c r="F28" s="129" t="str">
        <f>Vehicle!F26</f>
        <v>Y</v>
      </c>
      <c r="G28" s="132" t="s">
        <v>395</v>
      </c>
      <c r="H28" s="119">
        <f t="shared" si="9"/>
        <v>100</v>
      </c>
      <c r="I28" s="119">
        <f t="shared" si="10"/>
        <v>1200</v>
      </c>
      <c r="J28" s="1487">
        <v>0</v>
      </c>
      <c r="K28" s="119">
        <f t="shared" ca="1" si="11"/>
        <v>142.57608868461787</v>
      </c>
      <c r="L28" s="119">
        <f t="shared" ca="1" si="12"/>
        <v>1710.9130642154144</v>
      </c>
      <c r="M28" s="2312"/>
      <c r="N28" s="2313"/>
      <c r="O28" s="2313"/>
      <c r="P28" s="2313"/>
      <c r="R28" s="1181"/>
      <c r="S28" s="197"/>
      <c r="T28" s="1295">
        <f t="shared" si="6"/>
        <v>19</v>
      </c>
      <c r="U28" s="1295">
        <f t="shared" si="7"/>
        <v>2052</v>
      </c>
      <c r="V28" s="1308">
        <f t="shared" si="5"/>
        <v>181470.85216286752</v>
      </c>
      <c r="W28" s="1308">
        <f t="shared" si="5"/>
        <v>43071.556449369557</v>
      </c>
      <c r="X28" s="1310"/>
      <c r="Y28" s="197"/>
      <c r="Z28" s="197"/>
      <c r="AA28" s="1311">
        <f t="shared" si="1"/>
        <v>0</v>
      </c>
      <c r="AB28" s="1311">
        <f t="shared" ca="1" si="2"/>
        <v>1710.9130642154144</v>
      </c>
      <c r="AC28" s="197"/>
      <c r="AD28" s="1312" t="str">
        <f t="shared" si="13"/>
        <v>UTILITIES</v>
      </c>
      <c r="AE28" s="1312">
        <f ca="1">K72*12</f>
        <v>8896.7479339201545</v>
      </c>
      <c r="AF28" s="1313"/>
      <c r="AG28" s="1256"/>
      <c r="AH28" s="1256"/>
      <c r="AI28" s="1256"/>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79"/>
      <c r="CO28" s="79"/>
    </row>
    <row r="29" spans="2:93" s="69" customFormat="1" ht="15" customHeight="1">
      <c r="C29" s="116" t="str">
        <f>Vehicle!C27</f>
        <v>AAA membership</v>
      </c>
      <c r="D29" s="486">
        <f>Vehicle!D27</f>
        <v>250</v>
      </c>
      <c r="E29" s="117">
        <f>Vehicle!E27</f>
        <v>1</v>
      </c>
      <c r="F29" s="128" t="str">
        <f>Vehicle!F27</f>
        <v>Y</v>
      </c>
      <c r="G29" s="131" t="s">
        <v>395</v>
      </c>
      <c r="H29" s="118">
        <f t="shared" si="9"/>
        <v>20.833333333333332</v>
      </c>
      <c r="I29" s="118">
        <f t="shared" si="10"/>
        <v>250</v>
      </c>
      <c r="J29" s="1486">
        <v>0</v>
      </c>
      <c r="K29" s="118">
        <f t="shared" ca="1" si="11"/>
        <v>29.703351809295388</v>
      </c>
      <c r="L29" s="118">
        <f t="shared" ca="1" si="12"/>
        <v>356.44022171154467</v>
      </c>
      <c r="M29" s="2310"/>
      <c r="N29" s="2311"/>
      <c r="O29" s="2311"/>
      <c r="P29" s="2311"/>
      <c r="R29" s="1181"/>
      <c r="S29" s="197"/>
      <c r="T29" s="1295">
        <f t="shared" si="6"/>
        <v>20</v>
      </c>
      <c r="U29" s="1295">
        <f t="shared" si="7"/>
        <v>2053</v>
      </c>
      <c r="V29" s="1308">
        <f t="shared" si="5"/>
        <v>186914.97772775355</v>
      </c>
      <c r="W29" s="1308">
        <f t="shared" si="5"/>
        <v>44363.703142850645</v>
      </c>
      <c r="X29" s="1310"/>
      <c r="Y29" s="197"/>
      <c r="Z29" s="197"/>
      <c r="AA29" s="1311">
        <f t="shared" si="1"/>
        <v>0</v>
      </c>
      <c r="AB29" s="1311">
        <f t="shared" ca="1" si="2"/>
        <v>356.44022171154467</v>
      </c>
      <c r="AC29" s="197"/>
      <c r="AD29" s="1312" t="str">
        <f t="shared" si="13"/>
        <v>PERSONAL</v>
      </c>
      <c r="AE29" s="1312">
        <f ca="1">K85*12</f>
        <v>12553.824608680603</v>
      </c>
      <c r="AF29" s="1313"/>
      <c r="AG29" s="1256"/>
      <c r="AH29" s="1256"/>
      <c r="AI29" s="1256"/>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79"/>
      <c r="CO29" s="79"/>
    </row>
    <row r="30" spans="2:93" s="69" customFormat="1" ht="15" customHeight="1">
      <c r="C30" s="124" t="str">
        <f>Vehicle!C28</f>
        <v>Other</v>
      </c>
      <c r="D30" s="487">
        <f>Vehicle!D28</f>
        <v>0</v>
      </c>
      <c r="E30" s="125">
        <f>Vehicle!E28</f>
        <v>0</v>
      </c>
      <c r="F30" s="129" t="str">
        <f>Vehicle!F28</f>
        <v>Y</v>
      </c>
      <c r="G30" s="132" t="s">
        <v>395</v>
      </c>
      <c r="H30" s="119">
        <f t="shared" si="9"/>
        <v>0</v>
      </c>
      <c r="I30" s="119">
        <f t="shared" si="10"/>
        <v>0</v>
      </c>
      <c r="J30" s="1487">
        <v>0</v>
      </c>
      <c r="K30" s="119">
        <f t="shared" ca="1" si="11"/>
        <v>0</v>
      </c>
      <c r="L30" s="119">
        <f t="shared" ca="1" si="12"/>
        <v>0</v>
      </c>
      <c r="M30" s="2312"/>
      <c r="N30" s="2313"/>
      <c r="O30" s="2313"/>
      <c r="P30" s="2313"/>
      <c r="R30" s="1181"/>
      <c r="S30" s="197"/>
      <c r="T30" s="1295">
        <f t="shared" si="6"/>
        <v>21</v>
      </c>
      <c r="U30" s="1295">
        <f t="shared" si="7"/>
        <v>2054</v>
      </c>
      <c r="V30" s="1308">
        <f t="shared" si="5"/>
        <v>192522.42705958616</v>
      </c>
      <c r="W30" s="1308">
        <f t="shared" si="5"/>
        <v>45694.614237136164</v>
      </c>
      <c r="X30" s="1310"/>
      <c r="Y30" s="197"/>
      <c r="Z30" s="197"/>
      <c r="AA30" s="1311">
        <f t="shared" si="1"/>
        <v>0</v>
      </c>
      <c r="AB30" s="1311">
        <f t="shared" ca="1" si="2"/>
        <v>0</v>
      </c>
      <c r="AC30" s="197"/>
      <c r="AD30" s="1312" t="str">
        <f t="shared" si="13"/>
        <v>FOOD &amp; DRINK</v>
      </c>
      <c r="AE30" s="1312">
        <f ca="1">K98*12</f>
        <v>35159.263469626763</v>
      </c>
      <c r="AF30" s="1313"/>
      <c r="AG30" s="1256"/>
      <c r="AH30" s="1256"/>
      <c r="AI30" s="1256"/>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79"/>
      <c r="CO30" s="79"/>
    </row>
    <row r="31" spans="2:93" s="69" customFormat="1" ht="15" customHeight="1">
      <c r="C31" s="116" t="str">
        <f>Vehicle!C29</f>
        <v>Other</v>
      </c>
      <c r="D31" s="486">
        <f>Vehicle!D29</f>
        <v>0</v>
      </c>
      <c r="E31" s="117">
        <f>Vehicle!E29</f>
        <v>0</v>
      </c>
      <c r="F31" s="128" t="str">
        <f>Vehicle!F29</f>
        <v>N</v>
      </c>
      <c r="G31" s="131" t="s">
        <v>402</v>
      </c>
      <c r="H31" s="118">
        <f t="shared" si="9"/>
        <v>0</v>
      </c>
      <c r="I31" s="118">
        <f t="shared" si="10"/>
        <v>0</v>
      </c>
      <c r="J31" s="1486">
        <v>0</v>
      </c>
      <c r="K31" s="118">
        <f>IF(ISNUMBER(L31),L31/12,"")</f>
        <v>0</v>
      </c>
      <c r="L31" s="118">
        <f t="shared" si="12"/>
        <v>0</v>
      </c>
      <c r="M31" s="2310"/>
      <c r="N31" s="2311"/>
      <c r="O31" s="2311"/>
      <c r="P31" s="2311"/>
      <c r="R31" s="1181"/>
      <c r="S31" s="197"/>
      <c r="T31" s="1295">
        <f t="shared" si="6"/>
        <v>22</v>
      </c>
      <c r="U31" s="1295">
        <f t="shared" si="7"/>
        <v>2055</v>
      </c>
      <c r="V31" s="1308">
        <f t="shared" si="5"/>
        <v>198298.09987137374</v>
      </c>
      <c r="W31" s="1308">
        <f t="shared" si="5"/>
        <v>47065.452664250246</v>
      </c>
      <c r="X31" s="1310"/>
      <c r="Y31" s="197"/>
      <c r="Z31" s="197"/>
      <c r="AA31" s="1311">
        <f t="shared" si="1"/>
        <v>0</v>
      </c>
      <c r="AB31" s="1311">
        <f t="shared" si="2"/>
        <v>0</v>
      </c>
      <c r="AC31" s="197"/>
      <c r="AD31" s="1312" t="str">
        <f t="shared" si="13"/>
        <v>SUBSCRIPTIONS</v>
      </c>
      <c r="AE31" s="1312">
        <f ca="1">K112*12</f>
        <v>4705.2470120973103</v>
      </c>
      <c r="AF31" s="1313"/>
      <c r="AG31" s="1256"/>
      <c r="AH31" s="1256"/>
      <c r="AI31" s="1256"/>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79"/>
      <c r="CO31" s="79"/>
    </row>
    <row r="32" spans="2:93" s="69" customFormat="1" ht="15" customHeight="1">
      <c r="C32" s="124" t="str">
        <f>Vehicle!C30</f>
        <v>Other</v>
      </c>
      <c r="D32" s="487">
        <f>Vehicle!D30</f>
        <v>0</v>
      </c>
      <c r="E32" s="125">
        <f>Vehicle!E30</f>
        <v>0</v>
      </c>
      <c r="F32" s="129" t="str">
        <f>Vehicle!F30</f>
        <v>N</v>
      </c>
      <c r="G32" s="132" t="s">
        <v>402</v>
      </c>
      <c r="H32" s="119">
        <f t="shared" si="9"/>
        <v>0</v>
      </c>
      <c r="I32" s="119">
        <f t="shared" si="10"/>
        <v>0</v>
      </c>
      <c r="J32" s="1487">
        <v>0</v>
      </c>
      <c r="K32" s="119">
        <f>IF(ISNUMBER(L32),L32/12,"")</f>
        <v>0</v>
      </c>
      <c r="L32" s="119">
        <f t="shared" si="12"/>
        <v>0</v>
      </c>
      <c r="M32" s="2312"/>
      <c r="N32" s="2313"/>
      <c r="O32" s="2313"/>
      <c r="P32" s="2313"/>
      <c r="R32" s="1181"/>
      <c r="S32" s="197"/>
      <c r="T32" s="1295">
        <f t="shared" si="6"/>
        <v>23</v>
      </c>
      <c r="U32" s="1295">
        <f t="shared" si="7"/>
        <v>2056</v>
      </c>
      <c r="V32" s="1308">
        <f t="shared" si="5"/>
        <v>204247.04286751495</v>
      </c>
      <c r="W32" s="1308">
        <f t="shared" si="5"/>
        <v>48477.416244177752</v>
      </c>
      <c r="X32" s="1310"/>
      <c r="Y32" s="197"/>
      <c r="Z32" s="197"/>
      <c r="AA32" s="1311">
        <f t="shared" si="1"/>
        <v>0</v>
      </c>
      <c r="AB32" s="1311">
        <f t="shared" si="2"/>
        <v>0</v>
      </c>
      <c r="AC32" s="197"/>
      <c r="AD32" s="1312" t="str">
        <f t="shared" si="13"/>
        <v>MISCELLANEOUS</v>
      </c>
      <c r="AE32" s="1312">
        <f ca="1">K126*12</f>
        <v>17822.011085577236</v>
      </c>
      <c r="AF32" s="1313"/>
      <c r="AG32" s="1256"/>
      <c r="AH32" s="1256"/>
      <c r="AI32" s="1256"/>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79"/>
      <c r="CO32" s="79"/>
    </row>
    <row r="33" spans="2:93" s="69" customFormat="1" ht="15" customHeight="1">
      <c r="C33" s="126" t="str">
        <f>Vehicle!C31</f>
        <v>Monthly car payments</v>
      </c>
      <c r="D33" s="488">
        <f>Vehicle!D31</f>
        <v>800</v>
      </c>
      <c r="E33" s="127">
        <f>Vehicle!E31</f>
        <v>12</v>
      </c>
      <c r="F33" s="130" t="str">
        <f>Vehicle!F31</f>
        <v>N</v>
      </c>
      <c r="G33" s="133" t="s">
        <v>402</v>
      </c>
      <c r="H33" s="186">
        <f t="shared" si="9"/>
        <v>800</v>
      </c>
      <c r="I33" s="186">
        <f t="shared" si="10"/>
        <v>9600</v>
      </c>
      <c r="J33" s="1488">
        <v>-800</v>
      </c>
      <c r="K33" s="120">
        <f>IF(ISNUMBER(L33),L33/12,"")</f>
        <v>0</v>
      </c>
      <c r="L33" s="120">
        <f t="shared" si="12"/>
        <v>0</v>
      </c>
      <c r="M33" s="2314"/>
      <c r="N33" s="2315"/>
      <c r="O33" s="2315"/>
      <c r="P33" s="2315"/>
      <c r="R33" s="1181"/>
      <c r="S33" s="197"/>
      <c r="T33" s="1295">
        <f t="shared" si="6"/>
        <v>24</v>
      </c>
      <c r="U33" s="1295">
        <f t="shared" si="7"/>
        <v>2057</v>
      </c>
      <c r="V33" s="1308">
        <f t="shared" si="5"/>
        <v>210374.4541535404</v>
      </c>
      <c r="W33" s="1308">
        <f t="shared" si="5"/>
        <v>49931.738731503086</v>
      </c>
      <c r="X33" s="1310"/>
      <c r="Y33" s="197"/>
      <c r="Z33" s="197"/>
      <c r="AA33" s="1311">
        <f t="shared" si="1"/>
        <v>0</v>
      </c>
      <c r="AB33" s="1311">
        <f t="shared" si="2"/>
        <v>0</v>
      </c>
      <c r="AC33" s="197"/>
      <c r="AD33" s="1312" t="str">
        <f t="shared" si="13"/>
        <v>N/A</v>
      </c>
      <c r="AE33" s="1312">
        <f ca="1">K140*12</f>
        <v>0</v>
      </c>
      <c r="AF33" s="1313"/>
      <c r="AG33" s="1256"/>
      <c r="AH33" s="1256"/>
      <c r="AI33" s="1256"/>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79"/>
      <c r="CO33" s="79"/>
    </row>
    <row r="34" spans="2:93" s="69" customFormat="1" ht="25" customHeight="1">
      <c r="C34" s="87"/>
      <c r="D34" s="81"/>
      <c r="F34" s="89"/>
      <c r="G34" s="123"/>
      <c r="H34" s="123">
        <f>SUM(H23:H33)</f>
        <v>1523.3333333333333</v>
      </c>
      <c r="I34" s="123">
        <f>SUM(I23:I33)</f>
        <v>18280</v>
      </c>
      <c r="J34" s="123"/>
      <c r="K34" s="123">
        <f ca="1">SUM(K23:K33)</f>
        <v>1031.3003748187359</v>
      </c>
      <c r="L34" s="123">
        <f ca="1">SUM(L23:L33)</f>
        <v>12375.60449782483</v>
      </c>
      <c r="M34" s="470"/>
      <c r="N34" s="470"/>
      <c r="O34" s="470"/>
      <c r="P34" s="470"/>
      <c r="R34" s="1181"/>
      <c r="S34" s="197"/>
      <c r="T34" s="1295">
        <f t="shared" si="6"/>
        <v>25</v>
      </c>
      <c r="U34" s="1295">
        <f t="shared" si="7"/>
        <v>2058</v>
      </c>
      <c r="V34" s="1308">
        <f t="shared" si="5"/>
        <v>216685.68777814662</v>
      </c>
      <c r="W34" s="1308">
        <f t="shared" si="5"/>
        <v>51429.690893448176</v>
      </c>
      <c r="X34" s="1310"/>
      <c r="Y34" s="197"/>
      <c r="Z34" s="197"/>
      <c r="AA34" s="1311">
        <f t="shared" si="1"/>
        <v>0</v>
      </c>
      <c r="AB34" s="1311">
        <f t="shared" si="2"/>
        <v>0</v>
      </c>
      <c r="AC34" s="197"/>
      <c r="AD34" s="1312" t="str">
        <f t="shared" si="13"/>
        <v>N/A</v>
      </c>
      <c r="AE34" s="1312">
        <f ca="1">K154*12</f>
        <v>0</v>
      </c>
      <c r="AF34" s="1313"/>
      <c r="AG34" s="1256"/>
      <c r="AH34" s="1256"/>
      <c r="AI34" s="1256"/>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79"/>
      <c r="CO34" s="79"/>
    </row>
    <row r="35" spans="2:93" s="69" customFormat="1" ht="18" customHeight="1">
      <c r="B35" s="2325" t="s">
        <v>417</v>
      </c>
      <c r="C35" s="2325"/>
      <c r="D35" s="148" t="s">
        <v>2617</v>
      </c>
      <c r="E35" s="147"/>
      <c r="F35" s="147"/>
      <c r="G35" s="115"/>
      <c r="H35" s="192"/>
      <c r="I35" s="192"/>
      <c r="J35" s="115"/>
      <c r="K35" s="192"/>
      <c r="L35" s="192"/>
      <c r="M35" s="478"/>
      <c r="N35" s="478"/>
      <c r="O35" s="478"/>
      <c r="P35" s="478"/>
      <c r="R35" s="1181"/>
      <c r="S35" s="1304"/>
      <c r="T35" s="1295">
        <f t="shared" si="6"/>
        <v>26</v>
      </c>
      <c r="U35" s="1295">
        <f t="shared" si="7"/>
        <v>2059</v>
      </c>
      <c r="V35" s="1308">
        <f t="shared" si="5"/>
        <v>223186.25841149103</v>
      </c>
      <c r="W35" s="1308">
        <f t="shared" si="5"/>
        <v>52972.581620251622</v>
      </c>
      <c r="X35" s="1310"/>
      <c r="Y35" s="197"/>
      <c r="Z35" s="197"/>
      <c r="AA35" s="1311">
        <f t="shared" si="1"/>
        <v>0</v>
      </c>
      <c r="AB35" s="1311">
        <f t="shared" si="2"/>
        <v>0</v>
      </c>
      <c r="AC35" s="197"/>
      <c r="AD35" s="1312" t="str">
        <f t="shared" si="13"/>
        <v>N/A</v>
      </c>
      <c r="AE35" s="1312">
        <f ca="1">K170*12</f>
        <v>0</v>
      </c>
      <c r="AF35" s="1313"/>
      <c r="AG35" s="1256"/>
      <c r="AH35" s="1256"/>
      <c r="AI35" s="1256"/>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79"/>
      <c r="CO35" s="79"/>
    </row>
    <row r="36" spans="2:93" s="69" customFormat="1" ht="15" customHeight="1">
      <c r="C36" s="172" t="str">
        <f>'Med-Insur'!C11</f>
        <v>Rx</v>
      </c>
      <c r="D36" s="174">
        <f>'Med-Insur'!D11</f>
        <v>97</v>
      </c>
      <c r="E36" s="173">
        <f>'Med-Insur'!E11</f>
        <v>12</v>
      </c>
      <c r="F36" s="173" t="str">
        <f>'Med-Insur'!F11</f>
        <v>N</v>
      </c>
      <c r="G36" s="175" t="s">
        <v>395</v>
      </c>
      <c r="H36" s="118">
        <f t="shared" ref="H36:H46" si="14">IF(ISNUMBER(I36),I36/12,0)</f>
        <v>97</v>
      </c>
      <c r="I36" s="118">
        <f t="shared" ref="I36:I46" si="15">IF(ISNUMBER(E36),IF(E36&gt;0,D36*E36,0),"")</f>
        <v>1164</v>
      </c>
      <c r="J36" s="1489">
        <v>0</v>
      </c>
      <c r="K36" s="161">
        <f t="shared" ref="K36:K46" si="16">IF(ISNUMBER(L36),L36/12,"")</f>
        <v>97</v>
      </c>
      <c r="L36" s="161">
        <f t="shared" ref="L36:L46" si="17">IF(ISNUMBER(I36),IF(F36="Y",FV($N$5,$O$5,0,I36*-1)+(J36*12),I36+(J36*12)),"")</f>
        <v>1164</v>
      </c>
      <c r="M36" s="2310"/>
      <c r="N36" s="2311"/>
      <c r="O36" s="2311"/>
      <c r="P36" s="2311"/>
      <c r="R36" s="1181"/>
      <c r="S36" s="1304"/>
      <c r="T36" s="1295">
        <f t="shared" si="6"/>
        <v>27</v>
      </c>
      <c r="U36" s="1295">
        <f t="shared" si="7"/>
        <v>2060</v>
      </c>
      <c r="V36" s="1308">
        <f t="shared" si="5"/>
        <v>229881.84616383575</v>
      </c>
      <c r="W36" s="1308">
        <f t="shared" si="5"/>
        <v>54561.759068859174</v>
      </c>
      <c r="X36" s="1310"/>
      <c r="Y36" s="197"/>
      <c r="Z36" s="197"/>
      <c r="AA36" s="1311">
        <f t="shared" si="1"/>
        <v>0</v>
      </c>
      <c r="AB36" s="1311">
        <f t="shared" si="2"/>
        <v>1164</v>
      </c>
      <c r="AC36" s="197"/>
      <c r="AD36" s="197"/>
      <c r="AE36" s="197"/>
      <c r="AF36" s="1313"/>
      <c r="AG36" s="1256"/>
      <c r="AH36" s="1256"/>
      <c r="AI36" s="1256"/>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79"/>
      <c r="CO36" s="79"/>
    </row>
    <row r="37" spans="2:93" s="69" customFormat="1" ht="15" customHeight="1">
      <c r="C37" s="176" t="str">
        <f>'Med-Insur'!C12</f>
        <v>Other</v>
      </c>
      <c r="D37" s="178">
        <f>'Med-Insur'!D12</f>
        <v>0</v>
      </c>
      <c r="E37" s="177">
        <f>'Med-Insur'!E12</f>
        <v>0</v>
      </c>
      <c r="F37" s="177" t="str">
        <f>'Med-Insur'!F12</f>
        <v>N</v>
      </c>
      <c r="G37" s="179" t="s">
        <v>395</v>
      </c>
      <c r="H37" s="119">
        <f t="shared" si="14"/>
        <v>0</v>
      </c>
      <c r="I37" s="119">
        <f t="shared" si="15"/>
        <v>0</v>
      </c>
      <c r="J37" s="1490">
        <v>450</v>
      </c>
      <c r="K37" s="165">
        <f t="shared" si="16"/>
        <v>450</v>
      </c>
      <c r="L37" s="165">
        <f t="shared" si="17"/>
        <v>5400</v>
      </c>
      <c r="M37" s="2312"/>
      <c r="N37" s="2313"/>
      <c r="O37" s="2313"/>
      <c r="P37" s="2313"/>
      <c r="R37" s="1181"/>
      <c r="S37" s="1304"/>
      <c r="T37" s="1295">
        <f t="shared" si="6"/>
        <v>28</v>
      </c>
      <c r="U37" s="1295">
        <f t="shared" si="7"/>
        <v>2061</v>
      </c>
      <c r="V37" s="1308">
        <f t="shared" si="5"/>
        <v>236778.30154875084</v>
      </c>
      <c r="W37" s="1308">
        <f t="shared" si="5"/>
        <v>56198.611840924947</v>
      </c>
      <c r="X37" s="1310"/>
      <c r="Y37" s="197"/>
      <c r="Z37" s="197"/>
      <c r="AA37" s="1311">
        <f t="shared" si="1"/>
        <v>0</v>
      </c>
      <c r="AB37" s="1311">
        <f t="shared" si="2"/>
        <v>5400</v>
      </c>
      <c r="AC37" s="197"/>
      <c r="AD37" s="197"/>
      <c r="AE37" s="197"/>
      <c r="AF37" s="1313"/>
      <c r="AG37" s="1256"/>
      <c r="AH37" s="1256"/>
      <c r="AI37" s="1256"/>
      <c r="AJ37" s="85"/>
      <c r="AK37" s="85"/>
      <c r="AL37" s="85"/>
      <c r="AM37" s="85"/>
      <c r="AN37" s="85"/>
      <c r="AO37" s="85"/>
      <c r="AP37" s="85"/>
      <c r="AQ37" s="85"/>
      <c r="AR37" s="85"/>
      <c r="AS37" s="85"/>
      <c r="AT37" s="85"/>
      <c r="AU37" s="85"/>
      <c r="AV37" s="85"/>
      <c r="AW37" s="85"/>
      <c r="AX37" s="85"/>
      <c r="AY37" s="85"/>
      <c r="AZ37" s="85"/>
      <c r="BA37" s="85"/>
      <c r="BB37" s="85"/>
      <c r="BC37" s="85"/>
      <c r="BD37" s="85"/>
      <c r="BE37" s="85"/>
      <c r="BF37" s="85"/>
      <c r="BG37" s="85"/>
      <c r="BH37" s="85"/>
      <c r="BI37" s="85"/>
      <c r="BJ37" s="85"/>
      <c r="BK37" s="85"/>
      <c r="BL37" s="85"/>
      <c r="BM37" s="85"/>
      <c r="BN37" s="85"/>
      <c r="BO37" s="85"/>
      <c r="BP37" s="85"/>
      <c r="BQ37" s="85"/>
      <c r="BR37" s="85"/>
      <c r="BS37" s="85"/>
      <c r="BT37" s="85"/>
      <c r="BU37" s="85"/>
      <c r="BV37" s="85"/>
      <c r="BW37" s="85"/>
      <c r="BX37" s="85"/>
      <c r="BY37" s="85"/>
      <c r="BZ37" s="85"/>
      <c r="CA37" s="85"/>
      <c r="CB37" s="85"/>
      <c r="CC37" s="85"/>
      <c r="CD37" s="85"/>
      <c r="CE37" s="85"/>
      <c r="CF37" s="85"/>
      <c r="CG37" s="85"/>
      <c r="CH37" s="85"/>
      <c r="CI37" s="85"/>
      <c r="CJ37" s="85"/>
      <c r="CK37" s="85"/>
      <c r="CL37" s="85"/>
      <c r="CM37" s="85"/>
      <c r="CN37" s="79"/>
      <c r="CO37" s="79"/>
    </row>
    <row r="38" spans="2:93" s="69" customFormat="1" ht="15" customHeight="1">
      <c r="C38" s="172" t="str">
        <f>'Med-Insur'!C13</f>
        <v>Other</v>
      </c>
      <c r="D38" s="174">
        <f>'Med-Insur'!D13</f>
        <v>0</v>
      </c>
      <c r="E38" s="173">
        <f>'Med-Insur'!E13</f>
        <v>0</v>
      </c>
      <c r="F38" s="173" t="str">
        <f>'Med-Insur'!F13</f>
        <v>N</v>
      </c>
      <c r="G38" s="175" t="s">
        <v>402</v>
      </c>
      <c r="H38" s="118">
        <f t="shared" si="14"/>
        <v>0</v>
      </c>
      <c r="I38" s="118">
        <f t="shared" si="15"/>
        <v>0</v>
      </c>
      <c r="J38" s="1489">
        <v>0</v>
      </c>
      <c r="K38" s="161">
        <f t="shared" si="16"/>
        <v>0</v>
      </c>
      <c r="L38" s="161">
        <f t="shared" si="17"/>
        <v>0</v>
      </c>
      <c r="M38" s="2310"/>
      <c r="N38" s="2311"/>
      <c r="O38" s="2311"/>
      <c r="P38" s="2311"/>
      <c r="R38" s="1181"/>
      <c r="S38" s="1304"/>
      <c r="T38" s="1295">
        <f t="shared" si="6"/>
        <v>29</v>
      </c>
      <c r="U38" s="1295">
        <f t="shared" si="7"/>
        <v>2062</v>
      </c>
      <c r="V38" s="1308">
        <f t="shared" si="5"/>
        <v>243881.65059521337</v>
      </c>
      <c r="W38" s="1308">
        <f t="shared" si="5"/>
        <v>57884.570196152694</v>
      </c>
      <c r="X38" s="1310"/>
      <c r="Y38" s="197"/>
      <c r="Z38" s="197"/>
      <c r="AA38" s="1311">
        <f t="shared" si="1"/>
        <v>0</v>
      </c>
      <c r="AB38" s="1311">
        <f t="shared" si="2"/>
        <v>0</v>
      </c>
      <c r="AC38" s="197"/>
      <c r="AD38" s="197"/>
      <c r="AE38" s="197"/>
      <c r="AF38" s="1313"/>
      <c r="AG38" s="1256"/>
      <c r="AH38" s="1256"/>
      <c r="AI38" s="1256"/>
      <c r="AJ38" s="85"/>
      <c r="AK38" s="85"/>
      <c r="AL38" s="85"/>
      <c r="AM38" s="85"/>
      <c r="AN38" s="85"/>
      <c r="AO38" s="85"/>
      <c r="AP38" s="85"/>
      <c r="AQ38" s="85"/>
      <c r="AR38" s="85"/>
      <c r="AS38" s="85"/>
      <c r="AT38" s="85"/>
      <c r="AU38" s="85"/>
      <c r="AV38" s="85"/>
      <c r="AW38" s="85"/>
      <c r="AX38" s="85"/>
      <c r="AY38" s="85"/>
      <c r="AZ38" s="85"/>
      <c r="BA38" s="85"/>
      <c r="BB38" s="85"/>
      <c r="BC38" s="85"/>
      <c r="BD38" s="85"/>
      <c r="BE38" s="85"/>
      <c r="BF38" s="85"/>
      <c r="BG38" s="85"/>
      <c r="BH38" s="85"/>
      <c r="BI38" s="85"/>
      <c r="BJ38" s="85"/>
      <c r="BK38" s="85"/>
      <c r="BL38" s="85"/>
      <c r="BM38" s="85"/>
      <c r="BN38" s="85"/>
      <c r="BO38" s="85"/>
      <c r="BP38" s="85"/>
      <c r="BQ38" s="85"/>
      <c r="BR38" s="85"/>
      <c r="BS38" s="85"/>
      <c r="BT38" s="85"/>
      <c r="BU38" s="85"/>
      <c r="BV38" s="85"/>
      <c r="BW38" s="85"/>
      <c r="BX38" s="85"/>
      <c r="BY38" s="85"/>
      <c r="BZ38" s="85"/>
      <c r="CA38" s="85"/>
      <c r="CB38" s="85"/>
      <c r="CC38" s="85"/>
      <c r="CD38" s="85"/>
      <c r="CE38" s="85"/>
      <c r="CF38" s="85"/>
      <c r="CG38" s="85"/>
      <c r="CH38" s="85"/>
      <c r="CI38" s="85"/>
      <c r="CJ38" s="85"/>
      <c r="CK38" s="85"/>
      <c r="CL38" s="85"/>
      <c r="CM38" s="85"/>
      <c r="CN38" s="79"/>
      <c r="CO38" s="79"/>
    </row>
    <row r="39" spans="2:93" s="69" customFormat="1" ht="15" customHeight="1">
      <c r="C39" s="176" t="str">
        <f>'Med-Insur'!C14</f>
        <v>Other</v>
      </c>
      <c r="D39" s="178">
        <f>'Med-Insur'!D14</f>
        <v>0</v>
      </c>
      <c r="E39" s="177">
        <f>'Med-Insur'!E14</f>
        <v>0</v>
      </c>
      <c r="F39" s="177" t="str">
        <f>'Med-Insur'!F14</f>
        <v>N</v>
      </c>
      <c r="G39" s="179" t="s">
        <v>395</v>
      </c>
      <c r="H39" s="119">
        <f t="shared" si="14"/>
        <v>0</v>
      </c>
      <c r="I39" s="119">
        <f t="shared" si="15"/>
        <v>0</v>
      </c>
      <c r="J39" s="1490">
        <v>0</v>
      </c>
      <c r="K39" s="165">
        <f t="shared" si="16"/>
        <v>0</v>
      </c>
      <c r="L39" s="165">
        <f t="shared" si="17"/>
        <v>0</v>
      </c>
      <c r="M39" s="2312"/>
      <c r="N39" s="2313"/>
      <c r="O39" s="2313"/>
      <c r="P39" s="2313"/>
      <c r="R39" s="1181"/>
      <c r="S39" s="1304"/>
      <c r="T39" s="1295">
        <f t="shared" si="6"/>
        <v>30</v>
      </c>
      <c r="U39" s="1295">
        <f t="shared" si="7"/>
        <v>2063</v>
      </c>
      <c r="V39" s="1308">
        <f t="shared" si="5"/>
        <v>251198.10011306978</v>
      </c>
      <c r="W39" s="1308">
        <f t="shared" si="5"/>
        <v>59621.107302037271</v>
      </c>
      <c r="X39" s="1310"/>
      <c r="Y39" s="197"/>
      <c r="Z39" s="197"/>
      <c r="AA39" s="1311">
        <f t="shared" si="1"/>
        <v>0</v>
      </c>
      <c r="AB39" s="1311">
        <f t="shared" si="2"/>
        <v>0</v>
      </c>
      <c r="AC39" s="197"/>
      <c r="AD39" s="197"/>
      <c r="AE39" s="197"/>
      <c r="AF39" s="1313"/>
      <c r="AG39" s="1256"/>
      <c r="AH39" s="1256"/>
      <c r="AI39" s="1256"/>
      <c r="AJ39" s="85"/>
      <c r="AK39" s="85"/>
      <c r="AL39" s="85"/>
      <c r="AM39" s="85"/>
      <c r="AN39" s="85"/>
      <c r="AO39" s="85"/>
      <c r="AP39" s="85"/>
      <c r="AQ39" s="85"/>
      <c r="AR39" s="85"/>
      <c r="AS39" s="85"/>
      <c r="AT39" s="85"/>
      <c r="AU39" s="85"/>
      <c r="AV39" s="85"/>
      <c r="AW39" s="85"/>
      <c r="AX39" s="85"/>
      <c r="AY39" s="85"/>
      <c r="AZ39" s="85"/>
      <c r="BA39" s="85"/>
      <c r="BB39" s="85"/>
      <c r="BC39" s="85"/>
      <c r="BD39" s="85"/>
      <c r="BE39" s="85"/>
      <c r="BF39" s="85"/>
      <c r="BG39" s="85"/>
      <c r="BH39" s="85"/>
      <c r="BI39" s="85"/>
      <c r="BJ39" s="85"/>
      <c r="BK39" s="85"/>
      <c r="BL39" s="85"/>
      <c r="BM39" s="85"/>
      <c r="BN39" s="85"/>
      <c r="BO39" s="85"/>
      <c r="BP39" s="85"/>
      <c r="BQ39" s="85"/>
      <c r="BR39" s="85"/>
      <c r="BS39" s="85"/>
      <c r="BT39" s="85"/>
      <c r="BU39" s="85"/>
      <c r="BV39" s="85"/>
      <c r="BW39" s="85"/>
      <c r="BX39" s="85"/>
      <c r="BY39" s="85"/>
      <c r="BZ39" s="85"/>
      <c r="CA39" s="85"/>
      <c r="CB39" s="85"/>
      <c r="CC39" s="85"/>
      <c r="CD39" s="85"/>
      <c r="CE39" s="85"/>
      <c r="CF39" s="85"/>
      <c r="CG39" s="85"/>
      <c r="CH39" s="85"/>
      <c r="CI39" s="85"/>
      <c r="CJ39" s="85"/>
      <c r="CK39" s="85"/>
      <c r="CL39" s="85"/>
      <c r="CM39" s="85"/>
      <c r="CN39" s="79"/>
      <c r="CO39" s="79"/>
    </row>
    <row r="40" spans="2:93" s="69" customFormat="1" ht="15" customHeight="1">
      <c r="C40" s="172" t="str">
        <f>'Med-Insur'!C15</f>
        <v>Other</v>
      </c>
      <c r="D40" s="174">
        <f>'Med-Insur'!D15</f>
        <v>0</v>
      </c>
      <c r="E40" s="173">
        <f>'Med-Insur'!E15</f>
        <v>0</v>
      </c>
      <c r="F40" s="173" t="str">
        <f>'Med-Insur'!F15</f>
        <v>N</v>
      </c>
      <c r="G40" s="175" t="s">
        <v>395</v>
      </c>
      <c r="H40" s="118">
        <f t="shared" si="14"/>
        <v>0</v>
      </c>
      <c r="I40" s="118">
        <f t="shared" si="15"/>
        <v>0</v>
      </c>
      <c r="J40" s="1489">
        <v>0</v>
      </c>
      <c r="K40" s="161">
        <f t="shared" si="16"/>
        <v>0</v>
      </c>
      <c r="L40" s="161">
        <f t="shared" si="17"/>
        <v>0</v>
      </c>
      <c r="M40" s="2310"/>
      <c r="N40" s="2311"/>
      <c r="O40" s="2311"/>
      <c r="P40" s="2311"/>
      <c r="R40" s="1181"/>
      <c r="S40" s="1304"/>
      <c r="T40" s="1295">
        <f t="shared" si="6"/>
        <v>31</v>
      </c>
      <c r="U40" s="1295">
        <f t="shared" si="7"/>
        <v>2064</v>
      </c>
      <c r="V40" s="1308">
        <f t="shared" si="5"/>
        <v>258734.04311646186</v>
      </c>
      <c r="W40" s="1308">
        <f t="shared" si="5"/>
        <v>61409.740521098392</v>
      </c>
      <c r="X40" s="1310"/>
      <c r="Y40" s="197"/>
      <c r="Z40" s="197"/>
      <c r="AA40" s="1311">
        <f t="shared" si="1"/>
        <v>0</v>
      </c>
      <c r="AB40" s="1311">
        <f t="shared" si="2"/>
        <v>0</v>
      </c>
      <c r="AC40" s="197"/>
      <c r="AD40" s="197"/>
      <c r="AE40" s="197"/>
      <c r="AF40" s="1313"/>
      <c r="AG40" s="1256"/>
      <c r="AH40" s="1256"/>
      <c r="AI40" s="1256"/>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c r="CC40" s="85"/>
      <c r="CD40" s="85"/>
      <c r="CE40" s="85"/>
      <c r="CF40" s="85"/>
      <c r="CG40" s="85"/>
      <c r="CH40" s="85"/>
      <c r="CI40" s="85"/>
      <c r="CJ40" s="85"/>
      <c r="CK40" s="85"/>
      <c r="CL40" s="85"/>
      <c r="CM40" s="85"/>
      <c r="CN40" s="79"/>
      <c r="CO40" s="79"/>
    </row>
    <row r="41" spans="2:93" s="69" customFormat="1" ht="15" customHeight="1">
      <c r="C41" s="176" t="str">
        <f>'Med-Insur'!C16</f>
        <v>Other</v>
      </c>
      <c r="D41" s="178">
        <f>'Med-Insur'!D16</f>
        <v>0</v>
      </c>
      <c r="E41" s="177">
        <f>'Med-Insur'!E16</f>
        <v>0</v>
      </c>
      <c r="F41" s="177" t="str">
        <f>'Med-Insur'!F16</f>
        <v>N</v>
      </c>
      <c r="G41" s="179" t="s">
        <v>395</v>
      </c>
      <c r="H41" s="119">
        <f t="shared" si="14"/>
        <v>0</v>
      </c>
      <c r="I41" s="119">
        <f t="shared" si="15"/>
        <v>0</v>
      </c>
      <c r="J41" s="1490">
        <v>0</v>
      </c>
      <c r="K41" s="165">
        <f t="shared" si="16"/>
        <v>0</v>
      </c>
      <c r="L41" s="165">
        <f t="shared" si="17"/>
        <v>0</v>
      </c>
      <c r="M41" s="2312"/>
      <c r="N41" s="2313"/>
      <c r="O41" s="2313"/>
      <c r="P41" s="2313"/>
      <c r="R41" s="1181"/>
      <c r="S41" s="1304"/>
      <c r="T41" s="1295">
        <f t="shared" si="6"/>
        <v>32</v>
      </c>
      <c r="U41" s="1295">
        <f t="shared" si="7"/>
        <v>2065</v>
      </c>
      <c r="V41" s="1308">
        <f t="shared" si="5"/>
        <v>266496.0644099557</v>
      </c>
      <c r="W41" s="1308">
        <f t="shared" si="5"/>
        <v>63252.032736731344</v>
      </c>
      <c r="X41" s="1310"/>
      <c r="Y41" s="197"/>
      <c r="Z41" s="197"/>
      <c r="AA41" s="1311">
        <f t="shared" si="1"/>
        <v>0</v>
      </c>
      <c r="AB41" s="1311">
        <f t="shared" si="2"/>
        <v>0</v>
      </c>
      <c r="AC41" s="197"/>
      <c r="AD41" s="197"/>
      <c r="AE41" s="197"/>
      <c r="AF41" s="1313"/>
      <c r="AG41" s="1256"/>
      <c r="AH41" s="1256"/>
      <c r="AI41" s="1256"/>
      <c r="AJ41" s="85"/>
      <c r="AK41" s="85"/>
      <c r="AL41" s="85"/>
      <c r="AM41" s="85"/>
      <c r="AN41" s="85"/>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BM41" s="85"/>
      <c r="BN41" s="85"/>
      <c r="BO41" s="85"/>
      <c r="BP41" s="85"/>
      <c r="BQ41" s="85"/>
      <c r="BR41" s="85"/>
      <c r="BS41" s="85"/>
      <c r="BT41" s="85"/>
      <c r="BU41" s="85"/>
      <c r="BV41" s="85"/>
      <c r="BW41" s="85"/>
      <c r="BX41" s="85"/>
      <c r="BY41" s="85"/>
      <c r="BZ41" s="85"/>
      <c r="CA41" s="85"/>
      <c r="CB41" s="85"/>
      <c r="CC41" s="85"/>
      <c r="CD41" s="85"/>
      <c r="CE41" s="85"/>
      <c r="CF41" s="85"/>
      <c r="CG41" s="85"/>
      <c r="CH41" s="85"/>
      <c r="CI41" s="85"/>
      <c r="CJ41" s="85"/>
      <c r="CK41" s="85"/>
      <c r="CL41" s="85"/>
      <c r="CM41" s="85"/>
      <c r="CN41" s="79"/>
      <c r="CO41" s="79"/>
    </row>
    <row r="42" spans="2:93" s="69" customFormat="1" ht="15" customHeight="1">
      <c r="C42" s="172" t="str">
        <f>'Med-Insur'!C17</f>
        <v>Other</v>
      </c>
      <c r="D42" s="174">
        <f>'Med-Insur'!D17</f>
        <v>0</v>
      </c>
      <c r="E42" s="173">
        <f>'Med-Insur'!E17</f>
        <v>0</v>
      </c>
      <c r="F42" s="173" t="str">
        <f>'Med-Insur'!F17</f>
        <v>N</v>
      </c>
      <c r="G42" s="175" t="s">
        <v>395</v>
      </c>
      <c r="H42" s="118">
        <f t="shared" si="14"/>
        <v>0</v>
      </c>
      <c r="I42" s="118">
        <f t="shared" si="15"/>
        <v>0</v>
      </c>
      <c r="J42" s="1489">
        <v>0</v>
      </c>
      <c r="K42" s="161">
        <f t="shared" si="16"/>
        <v>0</v>
      </c>
      <c r="L42" s="161">
        <f t="shared" si="17"/>
        <v>0</v>
      </c>
      <c r="M42" s="2310"/>
      <c r="N42" s="2311"/>
      <c r="O42" s="2311"/>
      <c r="P42" s="2311"/>
      <c r="R42" s="1181"/>
      <c r="S42" s="1304"/>
      <c r="T42" s="1295">
        <f t="shared" si="6"/>
        <v>33</v>
      </c>
      <c r="U42" s="1295">
        <f t="shared" si="7"/>
        <v>2066</v>
      </c>
      <c r="V42" s="1308">
        <f t="shared" si="5"/>
        <v>274490.94634225435</v>
      </c>
      <c r="W42" s="1308">
        <f t="shared" si="5"/>
        <v>65149.593718833283</v>
      </c>
      <c r="X42" s="1310"/>
      <c r="Y42" s="197"/>
      <c r="Z42" s="197"/>
      <c r="AA42" s="1311">
        <f t="shared" si="1"/>
        <v>0</v>
      </c>
      <c r="AB42" s="1311">
        <f t="shared" si="2"/>
        <v>0</v>
      </c>
      <c r="AC42" s="197"/>
      <c r="AD42" s="197"/>
      <c r="AE42" s="197"/>
      <c r="AF42" s="1313"/>
      <c r="AG42" s="1256"/>
      <c r="AH42" s="1256"/>
      <c r="AI42" s="1256"/>
      <c r="AJ42" s="85"/>
      <c r="AK42" s="85"/>
      <c r="AL42" s="85"/>
      <c r="AM42" s="85"/>
      <c r="AN42" s="85"/>
      <c r="AO42" s="85"/>
      <c r="AP42" s="85"/>
      <c r="AQ42" s="85"/>
      <c r="AR42" s="85"/>
      <c r="AS42" s="85"/>
      <c r="AT42" s="85"/>
      <c r="AU42" s="85"/>
      <c r="AV42" s="85"/>
      <c r="AW42" s="85"/>
      <c r="AX42" s="85"/>
      <c r="AY42" s="85"/>
      <c r="AZ42" s="85"/>
      <c r="BA42" s="85"/>
      <c r="BB42" s="85"/>
      <c r="BC42" s="85"/>
      <c r="BD42" s="85"/>
      <c r="BE42" s="85"/>
      <c r="BF42" s="85"/>
      <c r="BG42" s="85"/>
      <c r="BH42" s="85"/>
      <c r="BI42" s="85"/>
      <c r="BJ42" s="85"/>
      <c r="BK42" s="85"/>
      <c r="BL42" s="85"/>
      <c r="BM42" s="85"/>
      <c r="BN42" s="85"/>
      <c r="BO42" s="85"/>
      <c r="BP42" s="85"/>
      <c r="BQ42" s="85"/>
      <c r="BR42" s="85"/>
      <c r="BS42" s="85"/>
      <c r="BT42" s="85"/>
      <c r="BU42" s="85"/>
      <c r="BV42" s="85"/>
      <c r="BW42" s="85"/>
      <c r="BX42" s="85"/>
      <c r="BY42" s="85"/>
      <c r="BZ42" s="85"/>
      <c r="CA42" s="85"/>
      <c r="CB42" s="85"/>
      <c r="CC42" s="85"/>
      <c r="CD42" s="85"/>
      <c r="CE42" s="85"/>
      <c r="CF42" s="85"/>
      <c r="CG42" s="85"/>
      <c r="CH42" s="85"/>
      <c r="CI42" s="85"/>
      <c r="CJ42" s="85"/>
      <c r="CK42" s="85"/>
      <c r="CL42" s="85"/>
      <c r="CM42" s="85"/>
      <c r="CN42" s="79"/>
      <c r="CO42" s="79"/>
    </row>
    <row r="43" spans="2:93" s="69" customFormat="1" ht="15" customHeight="1">
      <c r="C43" s="176" t="str">
        <f>'Med-Insur'!C18</f>
        <v>Other</v>
      </c>
      <c r="D43" s="178">
        <f>'Med-Insur'!D18</f>
        <v>0</v>
      </c>
      <c r="E43" s="177">
        <f>'Med-Insur'!E18</f>
        <v>0</v>
      </c>
      <c r="F43" s="177" t="str">
        <f>'Med-Insur'!F18</f>
        <v>N</v>
      </c>
      <c r="G43" s="179" t="s">
        <v>402</v>
      </c>
      <c r="H43" s="119">
        <f t="shared" si="14"/>
        <v>0</v>
      </c>
      <c r="I43" s="119">
        <f t="shared" si="15"/>
        <v>0</v>
      </c>
      <c r="J43" s="1490">
        <v>0</v>
      </c>
      <c r="K43" s="165">
        <f t="shared" si="16"/>
        <v>0</v>
      </c>
      <c r="L43" s="165">
        <f t="shared" si="17"/>
        <v>0</v>
      </c>
      <c r="M43" s="2312"/>
      <c r="N43" s="2313"/>
      <c r="O43" s="2313"/>
      <c r="P43" s="2313"/>
      <c r="R43" s="1181"/>
      <c r="S43" s="1304"/>
      <c r="T43" s="1295">
        <f t="shared" si="6"/>
        <v>34</v>
      </c>
      <c r="U43" s="1295">
        <f t="shared" si="7"/>
        <v>2067</v>
      </c>
      <c r="V43" s="1308">
        <f t="shared" si="5"/>
        <v>282725.67473252199</v>
      </c>
      <c r="W43" s="1308">
        <f t="shared" si="5"/>
        <v>67104.081530398282</v>
      </c>
      <c r="X43" s="1310"/>
      <c r="Y43" s="197"/>
      <c r="Z43" s="197"/>
      <c r="AA43" s="1311">
        <f t="shared" si="1"/>
        <v>0</v>
      </c>
      <c r="AB43" s="1311">
        <f t="shared" si="2"/>
        <v>0</v>
      </c>
      <c r="AC43" s="197"/>
      <c r="AD43" s="197"/>
      <c r="AE43" s="197"/>
      <c r="AF43" s="1313"/>
      <c r="AG43" s="1256"/>
      <c r="AH43" s="1256"/>
      <c r="AI43" s="1256"/>
      <c r="AJ43" s="85"/>
      <c r="AK43" s="85"/>
      <c r="AL43" s="85"/>
      <c r="AM43" s="85"/>
      <c r="AN43" s="85"/>
      <c r="AO43" s="85"/>
      <c r="AP43" s="85"/>
      <c r="AQ43" s="85"/>
      <c r="AR43" s="85"/>
      <c r="AS43" s="85"/>
      <c r="AT43" s="85"/>
      <c r="AU43" s="85"/>
      <c r="AV43" s="85"/>
      <c r="AW43" s="85"/>
      <c r="AX43" s="85"/>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c r="CL43" s="85"/>
      <c r="CM43" s="85"/>
      <c r="CN43" s="79"/>
      <c r="CO43" s="79"/>
    </row>
    <row r="44" spans="2:93" s="69" customFormat="1" ht="15" customHeight="1">
      <c r="C44" s="172" t="str">
        <f>'Med-Insur'!C19</f>
        <v>Other</v>
      </c>
      <c r="D44" s="174">
        <f>'Med-Insur'!D19</f>
        <v>0</v>
      </c>
      <c r="E44" s="173">
        <f>'Med-Insur'!E19</f>
        <v>0</v>
      </c>
      <c r="F44" s="173" t="str">
        <f>'Med-Insur'!F19</f>
        <v>N</v>
      </c>
      <c r="G44" s="175" t="s">
        <v>402</v>
      </c>
      <c r="H44" s="118">
        <f t="shared" si="14"/>
        <v>0</v>
      </c>
      <c r="I44" s="118">
        <f t="shared" si="15"/>
        <v>0</v>
      </c>
      <c r="J44" s="1489">
        <v>0</v>
      </c>
      <c r="K44" s="161">
        <f t="shared" si="16"/>
        <v>0</v>
      </c>
      <c r="L44" s="161">
        <f t="shared" si="17"/>
        <v>0</v>
      </c>
      <c r="M44" s="2310"/>
      <c r="N44" s="2311"/>
      <c r="O44" s="2311"/>
      <c r="P44" s="2311"/>
      <c r="R44" s="1181"/>
      <c r="S44" s="1304"/>
      <c r="T44" s="1295">
        <f t="shared" si="6"/>
        <v>35</v>
      </c>
      <c r="U44" s="1295">
        <f t="shared" si="7"/>
        <v>2068</v>
      </c>
      <c r="V44" s="1308">
        <f t="shared" si="5"/>
        <v>291207.44497449766</v>
      </c>
      <c r="W44" s="1308">
        <f t="shared" si="5"/>
        <v>69117.203976310237</v>
      </c>
      <c r="X44" s="1310"/>
      <c r="Y44" s="197"/>
      <c r="Z44" s="197"/>
      <c r="AA44" s="1311">
        <f t="shared" si="1"/>
        <v>0</v>
      </c>
      <c r="AB44" s="1311">
        <f t="shared" si="2"/>
        <v>0</v>
      </c>
      <c r="AC44" s="197"/>
      <c r="AD44" s="197"/>
      <c r="AE44" s="197"/>
      <c r="AF44" s="1313"/>
      <c r="AG44" s="1256"/>
      <c r="AH44" s="1256"/>
      <c r="AI44" s="1256"/>
      <c r="AJ44" s="85"/>
      <c r="AK44" s="85"/>
      <c r="AL44" s="85"/>
      <c r="AM44" s="85"/>
      <c r="AN44" s="85"/>
      <c r="AO44" s="85"/>
      <c r="AP44" s="85"/>
      <c r="AQ44" s="85"/>
      <c r="AR44" s="85"/>
      <c r="AS44" s="85"/>
      <c r="AT44" s="85"/>
      <c r="AU44" s="85"/>
      <c r="AV44" s="85"/>
      <c r="AW44" s="85"/>
      <c r="AX44" s="85"/>
      <c r="AY44" s="85"/>
      <c r="AZ44" s="85"/>
      <c r="BA44" s="85"/>
      <c r="BB44" s="85"/>
      <c r="BC44" s="85"/>
      <c r="BD44" s="85"/>
      <c r="BE44" s="85"/>
      <c r="BF44" s="85"/>
      <c r="BG44" s="85"/>
      <c r="BH44" s="85"/>
      <c r="BI44" s="85"/>
      <c r="BJ44" s="85"/>
      <c r="BK44" s="85"/>
      <c r="BL44" s="85"/>
      <c r="BM44" s="85"/>
      <c r="BN44" s="85"/>
      <c r="BO44" s="85"/>
      <c r="BP44" s="85"/>
      <c r="BQ44" s="85"/>
      <c r="BR44" s="85"/>
      <c r="BS44" s="85"/>
      <c r="BT44" s="85"/>
      <c r="BU44" s="85"/>
      <c r="BV44" s="85"/>
      <c r="BW44" s="85"/>
      <c r="BX44" s="85"/>
      <c r="BY44" s="85"/>
      <c r="BZ44" s="85"/>
      <c r="CA44" s="85"/>
      <c r="CB44" s="85"/>
      <c r="CC44" s="85"/>
      <c r="CD44" s="85"/>
      <c r="CE44" s="85"/>
      <c r="CF44" s="85"/>
      <c r="CG44" s="85"/>
      <c r="CH44" s="85"/>
      <c r="CI44" s="85"/>
      <c r="CJ44" s="85"/>
      <c r="CK44" s="85"/>
      <c r="CL44" s="85"/>
      <c r="CM44" s="85"/>
      <c r="CN44" s="79"/>
      <c r="CO44" s="79"/>
    </row>
    <row r="45" spans="2:93" s="69" customFormat="1" ht="15" customHeight="1">
      <c r="C45" s="176" t="str">
        <f>'Med-Insur'!C20</f>
        <v>Other</v>
      </c>
      <c r="D45" s="178">
        <f>'Med-Insur'!D20</f>
        <v>0</v>
      </c>
      <c r="E45" s="177">
        <f>'Med-Insur'!E20</f>
        <v>0</v>
      </c>
      <c r="F45" s="177" t="str">
        <f>'Med-Insur'!F20</f>
        <v>N</v>
      </c>
      <c r="G45" s="179" t="s">
        <v>402</v>
      </c>
      <c r="H45" s="119">
        <f t="shared" si="14"/>
        <v>0</v>
      </c>
      <c r="I45" s="119">
        <f t="shared" si="15"/>
        <v>0</v>
      </c>
      <c r="J45" s="1490">
        <v>0</v>
      </c>
      <c r="K45" s="165">
        <f t="shared" si="16"/>
        <v>0</v>
      </c>
      <c r="L45" s="165">
        <f t="shared" si="17"/>
        <v>0</v>
      </c>
      <c r="M45" s="2312"/>
      <c r="N45" s="2313"/>
      <c r="O45" s="2313"/>
      <c r="P45" s="2313"/>
      <c r="R45" s="1181"/>
      <c r="S45" s="1304"/>
      <c r="T45" s="1295">
        <f t="shared" si="6"/>
        <v>36</v>
      </c>
      <c r="U45" s="1295">
        <f t="shared" si="7"/>
        <v>2069</v>
      </c>
      <c r="V45" s="1308">
        <f t="shared" si="5"/>
        <v>299943.66832373256</v>
      </c>
      <c r="W45" s="1308">
        <f t="shared" si="5"/>
        <v>71190.72009559955</v>
      </c>
      <c r="X45" s="1310"/>
      <c r="Y45" s="197"/>
      <c r="Z45" s="197"/>
      <c r="AA45" s="1311">
        <f t="shared" si="1"/>
        <v>0</v>
      </c>
      <c r="AB45" s="1311">
        <f t="shared" si="2"/>
        <v>0</v>
      </c>
      <c r="AC45" s="197"/>
      <c r="AD45" s="197"/>
      <c r="AE45" s="197"/>
      <c r="AF45" s="1313"/>
      <c r="AG45" s="1256"/>
      <c r="AH45" s="1256"/>
      <c r="AI45" s="1256"/>
      <c r="AJ45" s="85"/>
      <c r="AK45" s="85"/>
      <c r="AL45" s="85"/>
      <c r="AM45" s="85"/>
      <c r="AN45" s="85"/>
      <c r="AO45" s="85"/>
      <c r="AP45" s="85"/>
      <c r="AQ45" s="85"/>
      <c r="AR45" s="85"/>
      <c r="AS45" s="85"/>
      <c r="AT45" s="85"/>
      <c r="AU45" s="85"/>
      <c r="AV45" s="85"/>
      <c r="AW45" s="85"/>
      <c r="AX45" s="85"/>
      <c r="AY45" s="85"/>
      <c r="AZ45" s="85"/>
      <c r="BA45" s="85"/>
      <c r="BB45" s="85"/>
      <c r="BC45" s="85"/>
      <c r="BD45" s="85"/>
      <c r="BE45" s="85"/>
      <c r="BF45" s="85"/>
      <c r="BG45" s="85"/>
      <c r="BH45" s="85"/>
      <c r="BI45" s="85"/>
      <c r="BJ45" s="85"/>
      <c r="BK45" s="85"/>
      <c r="BL45" s="85"/>
      <c r="BM45" s="85"/>
      <c r="BN45" s="85"/>
      <c r="BO45" s="85"/>
      <c r="BP45" s="85"/>
      <c r="BQ45" s="85"/>
      <c r="BR45" s="85"/>
      <c r="BS45" s="85"/>
      <c r="BT45" s="85"/>
      <c r="BU45" s="85"/>
      <c r="BV45" s="85"/>
      <c r="BW45" s="85"/>
      <c r="BX45" s="85"/>
      <c r="BY45" s="85"/>
      <c r="BZ45" s="85"/>
      <c r="CA45" s="85"/>
      <c r="CB45" s="85"/>
      <c r="CC45" s="85"/>
      <c r="CD45" s="85"/>
      <c r="CE45" s="85"/>
      <c r="CF45" s="85"/>
      <c r="CG45" s="85"/>
      <c r="CH45" s="85"/>
      <c r="CI45" s="85"/>
      <c r="CJ45" s="85"/>
      <c r="CK45" s="85"/>
      <c r="CL45" s="85"/>
      <c r="CM45" s="85"/>
      <c r="CN45" s="79"/>
      <c r="CO45" s="79"/>
    </row>
    <row r="46" spans="2:93" s="69" customFormat="1" ht="15" customHeight="1">
      <c r="C46" s="180" t="str">
        <f>'Med-Insur'!C21</f>
        <v>Medicare B &amp; D</v>
      </c>
      <c r="D46" s="182">
        <f>'Med-Insur'!D21</f>
        <v>0</v>
      </c>
      <c r="E46" s="181">
        <f>'Med-Insur'!E21</f>
        <v>12</v>
      </c>
      <c r="F46" s="181" t="str">
        <f>'Med-Insur'!F21</f>
        <v>Y</v>
      </c>
      <c r="G46" s="183" t="s">
        <v>402</v>
      </c>
      <c r="H46" s="186">
        <f t="shared" si="14"/>
        <v>0</v>
      </c>
      <c r="I46" s="120">
        <f t="shared" si="15"/>
        <v>0</v>
      </c>
      <c r="J46" s="1491">
        <v>0</v>
      </c>
      <c r="K46" s="170">
        <f t="shared" ca="1" si="16"/>
        <v>0</v>
      </c>
      <c r="L46" s="170">
        <f t="shared" ca="1" si="17"/>
        <v>0</v>
      </c>
      <c r="M46" s="2314"/>
      <c r="N46" s="2315"/>
      <c r="O46" s="2315"/>
      <c r="P46" s="2315"/>
      <c r="R46" s="1181"/>
      <c r="S46" s="1304"/>
      <c r="T46" s="1295">
        <f t="shared" si="6"/>
        <v>37</v>
      </c>
      <c r="U46" s="1295">
        <f t="shared" si="7"/>
        <v>2070</v>
      </c>
      <c r="V46" s="1308">
        <f t="shared" si="5"/>
        <v>308941.97837344452</v>
      </c>
      <c r="W46" s="1308">
        <f t="shared" si="5"/>
        <v>73326.441698467534</v>
      </c>
      <c r="X46" s="1310"/>
      <c r="Y46" s="197"/>
      <c r="Z46" s="197"/>
      <c r="AA46" s="1311">
        <f t="shared" ca="1" si="1"/>
        <v>0</v>
      </c>
      <c r="AB46" s="1311">
        <f t="shared" si="2"/>
        <v>0</v>
      </c>
      <c r="AC46" s="197"/>
      <c r="AD46" s="197"/>
      <c r="AE46" s="197"/>
      <c r="AF46" s="1313"/>
      <c r="AG46" s="1256"/>
      <c r="AH46" s="1256"/>
      <c r="AI46" s="1256"/>
      <c r="AJ46" s="85"/>
      <c r="AK46" s="85"/>
      <c r="AL46" s="85"/>
      <c r="AM46" s="85"/>
      <c r="AN46" s="85"/>
      <c r="AO46" s="85"/>
      <c r="AP46" s="85"/>
      <c r="AQ46" s="85"/>
      <c r="AR46" s="85"/>
      <c r="AS46" s="85"/>
      <c r="AT46" s="85"/>
      <c r="AU46" s="85"/>
      <c r="AV46" s="85"/>
      <c r="AW46" s="85"/>
      <c r="AX46" s="85"/>
      <c r="AY46" s="85"/>
      <c r="AZ46" s="85"/>
      <c r="BA46" s="85"/>
      <c r="BB46" s="85"/>
      <c r="BC46" s="85"/>
      <c r="BD46" s="85"/>
      <c r="BE46" s="85"/>
      <c r="BF46" s="85"/>
      <c r="BG46" s="85"/>
      <c r="BH46" s="85"/>
      <c r="BI46" s="85"/>
      <c r="BJ46" s="85"/>
      <c r="BK46" s="85"/>
      <c r="BL46" s="85"/>
      <c r="BM46" s="85"/>
      <c r="BN46" s="85"/>
      <c r="BO46" s="85"/>
      <c r="BP46" s="85"/>
      <c r="BQ46" s="85"/>
      <c r="BR46" s="85"/>
      <c r="BS46" s="85"/>
      <c r="BT46" s="85"/>
      <c r="BU46" s="85"/>
      <c r="BV46" s="85"/>
      <c r="BW46" s="85"/>
      <c r="BX46" s="85"/>
      <c r="BY46" s="85"/>
      <c r="BZ46" s="85"/>
      <c r="CA46" s="85"/>
      <c r="CB46" s="85"/>
      <c r="CC46" s="85"/>
      <c r="CD46" s="85"/>
      <c r="CE46" s="85"/>
      <c r="CF46" s="85"/>
      <c r="CG46" s="85"/>
      <c r="CH46" s="85"/>
      <c r="CI46" s="85"/>
      <c r="CJ46" s="85"/>
      <c r="CK46" s="85"/>
      <c r="CL46" s="85"/>
      <c r="CM46" s="85"/>
      <c r="CN46" s="79"/>
      <c r="CO46" s="79"/>
    </row>
    <row r="47" spans="2:93" s="69" customFormat="1" ht="39" customHeight="1">
      <c r="B47" s="2008" t="s">
        <v>2526</v>
      </c>
      <c r="C47" s="1850"/>
      <c r="D47" s="81"/>
      <c r="F47" s="89"/>
      <c r="G47" s="123"/>
      <c r="H47" s="123">
        <f>SUM(H36:H46)</f>
        <v>97</v>
      </c>
      <c r="I47" s="123">
        <f>SUM(I36:I46)</f>
        <v>1164</v>
      </c>
      <c r="J47" s="123">
        <v>0</v>
      </c>
      <c r="K47" s="123">
        <f ca="1">SUM(K36:K46)</f>
        <v>547</v>
      </c>
      <c r="L47" s="123">
        <f ca="1">SUM(L36:L46)</f>
        <v>6564</v>
      </c>
      <c r="M47" s="470"/>
      <c r="N47" s="470"/>
      <c r="O47" s="470"/>
      <c r="P47" s="470"/>
      <c r="R47" s="1181"/>
      <c r="S47" s="1304"/>
      <c r="T47" s="1295">
        <f t="shared" si="6"/>
        <v>38</v>
      </c>
      <c r="U47" s="1295">
        <f t="shared" si="7"/>
        <v>2071</v>
      </c>
      <c r="V47" s="1308">
        <f t="shared" si="5"/>
        <v>318210.23772464786</v>
      </c>
      <c r="W47" s="1308">
        <f t="shared" si="5"/>
        <v>75526.23494942156</v>
      </c>
      <c r="X47" s="1310"/>
      <c r="Y47" s="197"/>
      <c r="Z47" s="197"/>
      <c r="AA47" s="1311">
        <f t="shared" si="1"/>
        <v>0</v>
      </c>
      <c r="AB47" s="1311">
        <f t="shared" si="2"/>
        <v>0</v>
      </c>
      <c r="AC47" s="197"/>
      <c r="AD47" s="197"/>
      <c r="AE47" s="197"/>
      <c r="AF47" s="1313"/>
      <c r="AG47" s="1256"/>
      <c r="AH47" s="1256"/>
      <c r="AI47" s="1256"/>
      <c r="AJ47" s="85"/>
      <c r="AK47" s="85"/>
      <c r="AL47" s="85"/>
      <c r="AM47" s="85"/>
      <c r="AN47" s="85"/>
      <c r="AO47" s="85"/>
      <c r="AP47" s="85"/>
      <c r="AQ47" s="85"/>
      <c r="AR47" s="85"/>
      <c r="AS47" s="85"/>
      <c r="AT47" s="85"/>
      <c r="AU47" s="85"/>
      <c r="AV47" s="85"/>
      <c r="AW47" s="85"/>
      <c r="AX47" s="85"/>
      <c r="AY47" s="85"/>
      <c r="AZ47" s="85"/>
      <c r="BA47" s="85"/>
      <c r="BB47" s="85"/>
      <c r="BC47" s="85"/>
      <c r="BD47" s="85"/>
      <c r="BE47" s="85"/>
      <c r="BF47" s="85"/>
      <c r="BG47" s="85"/>
      <c r="BH47" s="85"/>
      <c r="BI47" s="85"/>
      <c r="BJ47" s="85"/>
      <c r="BK47" s="85"/>
      <c r="BL47" s="85"/>
      <c r="BM47" s="85"/>
      <c r="BN47" s="85"/>
      <c r="BO47" s="85"/>
      <c r="BP47" s="85"/>
      <c r="BQ47" s="85"/>
      <c r="BR47" s="85"/>
      <c r="BS47" s="85"/>
      <c r="BT47" s="85"/>
      <c r="BU47" s="85"/>
      <c r="BV47" s="85"/>
      <c r="BW47" s="85"/>
      <c r="BX47" s="85"/>
      <c r="BY47" s="85"/>
      <c r="BZ47" s="85"/>
      <c r="CA47" s="85"/>
      <c r="CB47" s="85"/>
      <c r="CC47" s="85"/>
      <c r="CD47" s="85"/>
      <c r="CE47" s="85"/>
      <c r="CF47" s="85"/>
      <c r="CG47" s="85"/>
      <c r="CH47" s="85"/>
      <c r="CI47" s="85"/>
      <c r="CJ47" s="85"/>
      <c r="CK47" s="85"/>
      <c r="CL47" s="85"/>
      <c r="CM47" s="85"/>
      <c r="CN47" s="79"/>
      <c r="CO47" s="79"/>
    </row>
    <row r="48" spans="2:93" s="69" customFormat="1" ht="18" customHeight="1">
      <c r="B48" s="2556" t="s">
        <v>2638</v>
      </c>
      <c r="C48" s="2324"/>
      <c r="D48" s="114" t="s">
        <v>0</v>
      </c>
      <c r="E48" s="114"/>
      <c r="F48" s="113"/>
      <c r="G48" s="115"/>
      <c r="H48" s="193" t="str">
        <f>IF(ISNUMBER(I48),I48/12,"")</f>
        <v/>
      </c>
      <c r="I48" s="193" t="str">
        <f>IF(ISNUMBER(D48),IF(D48&gt;0,F48*D48,""),"")</f>
        <v/>
      </c>
      <c r="J48" s="115"/>
      <c r="K48" s="193" t="str">
        <f t="shared" ref="K48:K59" si="18">IF(ISNUMBER(L48),L48/12,"")</f>
        <v/>
      </c>
      <c r="L48" s="193" t="str">
        <f>IF(ISNUMBER(I48),IF(E48="Y",FV($N$5,$O$5,0,I48*-1)+(J48*12),I48+(J48*12)),"")</f>
        <v/>
      </c>
      <c r="M48" s="478"/>
      <c r="N48" s="478"/>
      <c r="O48" s="478"/>
      <c r="P48" s="478"/>
      <c r="R48" s="1181"/>
      <c r="S48" s="1314"/>
      <c r="T48" s="1295">
        <f t="shared" si="6"/>
        <v>39</v>
      </c>
      <c r="U48" s="1295">
        <f t="shared" si="7"/>
        <v>2072</v>
      </c>
      <c r="V48" s="1308">
        <f t="shared" si="5"/>
        <v>327756.54485638731</v>
      </c>
      <c r="W48" s="1308">
        <f t="shared" si="5"/>
        <v>77792.021997904201</v>
      </c>
      <c r="X48" s="1310"/>
      <c r="Y48" s="197"/>
      <c r="Z48" s="197"/>
      <c r="AA48" s="1311">
        <f t="shared" si="1"/>
        <v>0</v>
      </c>
      <c r="AB48" s="1311">
        <f t="shared" si="2"/>
        <v>0</v>
      </c>
      <c r="AC48" s="197"/>
      <c r="AD48" s="197"/>
      <c r="AE48" s="197"/>
      <c r="AF48" s="1313"/>
      <c r="AG48" s="1256"/>
      <c r="AH48" s="1256"/>
      <c r="AI48" s="1256"/>
      <c r="AJ48" s="85"/>
      <c r="AK48" s="85"/>
      <c r="AL48" s="85"/>
      <c r="AM48" s="85"/>
      <c r="AN48" s="85"/>
      <c r="AO48" s="85"/>
      <c r="AP48" s="85"/>
      <c r="AQ48" s="85"/>
      <c r="AR48" s="85"/>
      <c r="AS48" s="85"/>
      <c r="AT48" s="85"/>
      <c r="AU48" s="85"/>
      <c r="AV48" s="85"/>
      <c r="AW48" s="85"/>
      <c r="AX48" s="85"/>
      <c r="AY48" s="85"/>
      <c r="AZ48" s="85"/>
      <c r="BA48" s="85"/>
      <c r="BB48" s="85"/>
      <c r="BC48" s="85"/>
      <c r="BD48" s="85"/>
      <c r="BE48" s="85"/>
      <c r="BF48" s="85"/>
      <c r="BG48" s="85"/>
      <c r="BH48" s="85"/>
      <c r="BI48" s="85"/>
      <c r="BJ48" s="85"/>
      <c r="BK48" s="85"/>
      <c r="BL48" s="85"/>
      <c r="BM48" s="85"/>
      <c r="BN48" s="85"/>
      <c r="BO48" s="85"/>
      <c r="BP48" s="85"/>
      <c r="BQ48" s="85"/>
      <c r="BR48" s="85"/>
      <c r="BS48" s="85"/>
      <c r="BT48" s="85"/>
      <c r="BU48" s="85"/>
      <c r="BV48" s="85"/>
      <c r="BW48" s="85"/>
      <c r="BX48" s="85"/>
      <c r="BY48" s="85"/>
      <c r="BZ48" s="85"/>
      <c r="CA48" s="85"/>
      <c r="CB48" s="85"/>
      <c r="CC48" s="85"/>
      <c r="CD48" s="85"/>
      <c r="CE48" s="85"/>
      <c r="CF48" s="85"/>
      <c r="CG48" s="85"/>
      <c r="CH48" s="85"/>
      <c r="CI48" s="85"/>
      <c r="CJ48" s="85"/>
      <c r="CK48" s="85"/>
      <c r="CL48" s="85"/>
      <c r="CM48" s="85"/>
      <c r="CN48" s="79"/>
      <c r="CO48" s="79"/>
    </row>
    <row r="49" spans="2:93" s="69" customFormat="1" ht="15" customHeight="1">
      <c r="C49" s="2557" t="s">
        <v>2641</v>
      </c>
      <c r="D49" s="463">
        <v>75</v>
      </c>
      <c r="E49" s="138">
        <v>4</v>
      </c>
      <c r="F49" s="138" t="s">
        <v>42</v>
      </c>
      <c r="G49" s="2043" t="s">
        <v>395</v>
      </c>
      <c r="H49" s="118">
        <f t="shared" ref="H49:H59" si="19">IF(ISNUMBER(I49),I49/12,0)</f>
        <v>25</v>
      </c>
      <c r="I49" s="118">
        <f t="shared" ref="I49:I59" si="20">IF(ISNUMBER(E49),IF(E49&gt;0,D49*E49,0),"")</f>
        <v>300</v>
      </c>
      <c r="J49" s="160">
        <v>0</v>
      </c>
      <c r="K49" s="161">
        <f t="shared" ca="1" si="18"/>
        <v>35.644022171154468</v>
      </c>
      <c r="L49" s="161">
        <f t="shared" ref="L49:L59" ca="1" si="21">IF(ISNUMBER(I49),IF(F49="Y",FV($N$5,$O$5,0,I49*-1)+(J49*12),I49+(J49*12)),"")</f>
        <v>427.72826605385359</v>
      </c>
      <c r="M49" s="2310" t="s">
        <v>0</v>
      </c>
      <c r="N49" s="2311"/>
      <c r="O49" s="2311"/>
      <c r="P49" s="2311"/>
      <c r="R49" s="1181"/>
      <c r="S49" s="1304"/>
      <c r="T49" s="1295">
        <f t="shared" si="6"/>
        <v>40</v>
      </c>
      <c r="U49" s="1295">
        <f t="shared" si="7"/>
        <v>2073</v>
      </c>
      <c r="V49" s="1308">
        <f t="shared" si="5"/>
        <v>337589.24120207893</v>
      </c>
      <c r="W49" s="1308">
        <f t="shared" si="5"/>
        <v>80125.782657841322</v>
      </c>
      <c r="X49" s="1310"/>
      <c r="Y49" s="197"/>
      <c r="Z49" s="197"/>
      <c r="AA49" s="1311">
        <f t="shared" si="1"/>
        <v>0</v>
      </c>
      <c r="AB49" s="1311">
        <f t="shared" ca="1" si="2"/>
        <v>427.72826605385359</v>
      </c>
      <c r="AC49" s="197"/>
      <c r="AD49" s="197"/>
      <c r="AE49" s="197"/>
      <c r="AF49" s="1313"/>
      <c r="AG49" s="1256"/>
      <c r="AH49" s="1256"/>
      <c r="AI49" s="1256"/>
      <c r="AJ49" s="85"/>
      <c r="AK49" s="85"/>
      <c r="AL49" s="85"/>
      <c r="AM49" s="85"/>
      <c r="AN49" s="85"/>
      <c r="AO49" s="85"/>
      <c r="AP49" s="85"/>
      <c r="AQ49" s="85"/>
      <c r="AR49" s="85"/>
      <c r="AS49" s="85"/>
      <c r="AT49" s="85"/>
      <c r="AU49" s="85"/>
      <c r="AV49" s="85"/>
      <c r="AW49" s="85"/>
      <c r="AX49" s="85"/>
      <c r="AY49" s="85"/>
      <c r="AZ49" s="85"/>
      <c r="BA49" s="85"/>
      <c r="BB49" s="85"/>
      <c r="BC49" s="85"/>
      <c r="BD49" s="85"/>
      <c r="BE49" s="85"/>
      <c r="BF49" s="85"/>
      <c r="BG49" s="85"/>
      <c r="BH49" s="85"/>
      <c r="BI49" s="85"/>
      <c r="BJ49" s="85"/>
      <c r="BK49" s="85"/>
      <c r="BL49" s="85"/>
      <c r="BM49" s="85"/>
      <c r="BN49" s="85"/>
      <c r="BO49" s="85"/>
      <c r="BP49" s="85"/>
      <c r="BQ49" s="85"/>
      <c r="BR49" s="85"/>
      <c r="BS49" s="85"/>
      <c r="BT49" s="85"/>
      <c r="BU49" s="85"/>
      <c r="BV49" s="85"/>
      <c r="BW49" s="85"/>
      <c r="BX49" s="85"/>
      <c r="BY49" s="85"/>
      <c r="BZ49" s="85"/>
      <c r="CA49" s="85"/>
      <c r="CB49" s="85"/>
      <c r="CC49" s="85"/>
      <c r="CD49" s="85"/>
      <c r="CE49" s="85"/>
      <c r="CF49" s="85"/>
      <c r="CG49" s="85"/>
      <c r="CH49" s="85"/>
      <c r="CI49" s="85"/>
      <c r="CJ49" s="85"/>
      <c r="CK49" s="85"/>
      <c r="CL49" s="85"/>
      <c r="CM49" s="85"/>
      <c r="CN49" s="79"/>
      <c r="CO49" s="79"/>
    </row>
    <row r="50" spans="2:93" s="69" customFormat="1" ht="15" customHeight="1">
      <c r="C50" s="2040" t="s">
        <v>2642</v>
      </c>
      <c r="D50" s="464">
        <v>400</v>
      </c>
      <c r="E50" s="144">
        <v>2</v>
      </c>
      <c r="F50" s="144" t="s">
        <v>42</v>
      </c>
      <c r="G50" s="2042" t="s">
        <v>395</v>
      </c>
      <c r="H50" s="119">
        <f t="shared" si="19"/>
        <v>66.666666666666671</v>
      </c>
      <c r="I50" s="119">
        <f t="shared" si="20"/>
        <v>800</v>
      </c>
      <c r="J50" s="164">
        <v>0</v>
      </c>
      <c r="K50" s="165">
        <f t="shared" ca="1" si="18"/>
        <v>95.050725789745243</v>
      </c>
      <c r="L50" s="165">
        <f t="shared" ca="1" si="21"/>
        <v>1140.608709476943</v>
      </c>
      <c r="M50" s="2312"/>
      <c r="N50" s="2313"/>
      <c r="O50" s="2313"/>
      <c r="P50" s="2313"/>
      <c r="R50" s="1181"/>
      <c r="S50" s="1304"/>
      <c r="T50" s="1295">
        <f t="shared" si="6"/>
        <v>41</v>
      </c>
      <c r="U50" s="1295">
        <f t="shared" si="7"/>
        <v>2074</v>
      </c>
      <c r="V50" s="1308">
        <f t="shared" si="5"/>
        <v>347716.91843814129</v>
      </c>
      <c r="W50" s="1308">
        <f t="shared" si="5"/>
        <v>82529.556137576568</v>
      </c>
      <c r="X50" s="1310"/>
      <c r="Y50" s="197"/>
      <c r="Z50" s="197"/>
      <c r="AA50" s="1311"/>
      <c r="AB50" s="1311"/>
      <c r="AC50" s="197"/>
      <c r="AD50" s="197"/>
      <c r="AE50" s="197"/>
      <c r="AF50" s="1313"/>
      <c r="AG50" s="1256"/>
      <c r="AH50" s="1256"/>
      <c r="AI50" s="1256"/>
      <c r="AJ50" s="85"/>
      <c r="AK50" s="85"/>
      <c r="AL50" s="85"/>
      <c r="AM50" s="85"/>
      <c r="AN50" s="85"/>
      <c r="AO50" s="85"/>
      <c r="AP50" s="85"/>
      <c r="AQ50" s="85"/>
      <c r="AR50" s="85"/>
      <c r="AS50" s="85"/>
      <c r="AT50" s="85"/>
      <c r="AU50" s="85"/>
      <c r="AV50" s="85"/>
      <c r="AW50" s="85"/>
      <c r="AX50" s="85"/>
      <c r="AY50" s="85"/>
      <c r="AZ50" s="85"/>
      <c r="BA50" s="85"/>
      <c r="BB50" s="85"/>
      <c r="BC50" s="85"/>
      <c r="BD50" s="85"/>
      <c r="BE50" s="85"/>
      <c r="BF50" s="85"/>
      <c r="BG50" s="85"/>
      <c r="BH50" s="85"/>
      <c r="BI50" s="85"/>
      <c r="BJ50" s="85"/>
      <c r="BK50" s="85"/>
      <c r="BL50" s="85"/>
      <c r="BM50" s="85"/>
      <c r="BN50" s="85"/>
      <c r="BO50" s="85"/>
      <c r="BP50" s="85"/>
      <c r="BQ50" s="85"/>
      <c r="BR50" s="85"/>
      <c r="BS50" s="85"/>
      <c r="BT50" s="85"/>
      <c r="BU50" s="85"/>
      <c r="BV50" s="85"/>
      <c r="BW50" s="85"/>
      <c r="BX50" s="85"/>
      <c r="BY50" s="85"/>
      <c r="BZ50" s="85"/>
      <c r="CA50" s="85"/>
      <c r="CB50" s="85"/>
      <c r="CC50" s="85"/>
      <c r="CD50" s="85"/>
      <c r="CE50" s="85"/>
      <c r="CF50" s="85"/>
      <c r="CG50" s="85"/>
      <c r="CH50" s="85"/>
      <c r="CI50" s="85"/>
      <c r="CJ50" s="85"/>
      <c r="CK50" s="85"/>
      <c r="CL50" s="85"/>
      <c r="CM50" s="85"/>
      <c r="CN50" s="79"/>
      <c r="CO50" s="79"/>
    </row>
    <row r="51" spans="2:93" s="69" customFormat="1" ht="15" customHeight="1">
      <c r="C51" s="2039" t="s">
        <v>2639</v>
      </c>
      <c r="D51" s="463">
        <v>100</v>
      </c>
      <c r="E51" s="138">
        <v>12</v>
      </c>
      <c r="F51" s="138" t="s">
        <v>42</v>
      </c>
      <c r="G51" s="2043" t="s">
        <v>395</v>
      </c>
      <c r="H51" s="118">
        <f t="shared" si="19"/>
        <v>100</v>
      </c>
      <c r="I51" s="118">
        <f t="shared" si="20"/>
        <v>1200</v>
      </c>
      <c r="J51" s="160">
        <v>0</v>
      </c>
      <c r="K51" s="161">
        <f t="shared" ca="1" si="18"/>
        <v>142.57608868461787</v>
      </c>
      <c r="L51" s="161">
        <f t="shared" ca="1" si="21"/>
        <v>1710.9130642154144</v>
      </c>
      <c r="M51" s="2310"/>
      <c r="N51" s="2311"/>
      <c r="O51" s="2311"/>
      <c r="P51" s="2311"/>
      <c r="R51" s="1181"/>
      <c r="S51" s="1304"/>
      <c r="T51" s="1295">
        <f t="shared" si="6"/>
        <v>42</v>
      </c>
      <c r="U51" s="1295">
        <f t="shared" si="7"/>
        <v>2075</v>
      </c>
      <c r="V51" s="1308">
        <f t="shared" si="5"/>
        <v>358148.42599128553</v>
      </c>
      <c r="W51" s="1308">
        <f t="shared" si="5"/>
        <v>85005.442821703866</v>
      </c>
      <c r="X51" s="1310"/>
      <c r="Y51" s="197"/>
      <c r="Z51" s="197"/>
      <c r="AA51" s="1311"/>
      <c r="AB51" s="1311"/>
      <c r="AC51" s="197"/>
      <c r="AD51" s="197"/>
      <c r="AE51" s="197"/>
      <c r="AF51" s="1313"/>
      <c r="AG51" s="1256"/>
      <c r="AH51" s="1256"/>
      <c r="AI51" s="1256"/>
      <c r="AJ51" s="85"/>
      <c r="AK51" s="85"/>
      <c r="AL51" s="85"/>
      <c r="AM51" s="85"/>
      <c r="AN51" s="8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85"/>
      <c r="BX51" s="85"/>
      <c r="BY51" s="85"/>
      <c r="BZ51" s="85"/>
      <c r="CA51" s="85"/>
      <c r="CB51" s="85"/>
      <c r="CC51" s="85"/>
      <c r="CD51" s="85"/>
      <c r="CE51" s="85"/>
      <c r="CF51" s="85"/>
      <c r="CG51" s="85"/>
      <c r="CH51" s="85"/>
      <c r="CI51" s="85"/>
      <c r="CJ51" s="85"/>
      <c r="CK51" s="85"/>
      <c r="CL51" s="85"/>
      <c r="CM51" s="85"/>
      <c r="CN51" s="79"/>
      <c r="CO51" s="79"/>
    </row>
    <row r="52" spans="2:93" s="69" customFormat="1" ht="15" customHeight="1">
      <c r="C52" s="2558" t="s">
        <v>2640</v>
      </c>
      <c r="D52" s="464">
        <v>130</v>
      </c>
      <c r="E52" s="144">
        <v>12</v>
      </c>
      <c r="F52" s="2046" t="s">
        <v>42</v>
      </c>
      <c r="G52" s="146" t="s">
        <v>395</v>
      </c>
      <c r="H52" s="119">
        <f t="shared" si="19"/>
        <v>130</v>
      </c>
      <c r="I52" s="119">
        <f t="shared" si="20"/>
        <v>1560</v>
      </c>
      <c r="J52" s="164">
        <v>0</v>
      </c>
      <c r="K52" s="165">
        <f t="shared" ca="1" si="18"/>
        <v>185.34891529000322</v>
      </c>
      <c r="L52" s="165">
        <f t="shared" ca="1" si="21"/>
        <v>2224.1869834800386</v>
      </c>
      <c r="M52" s="2312"/>
      <c r="N52" s="2313"/>
      <c r="O52" s="2313"/>
      <c r="P52" s="2313"/>
      <c r="R52" s="1181"/>
      <c r="S52" s="1304"/>
      <c r="T52" s="1295">
        <f t="shared" si="6"/>
        <v>43</v>
      </c>
      <c r="U52" s="1295">
        <f t="shared" si="7"/>
        <v>2076</v>
      </c>
      <c r="V52" s="1308">
        <f t="shared" si="5"/>
        <v>368892.87877102412</v>
      </c>
      <c r="W52" s="1308">
        <f t="shared" si="5"/>
        <v>87555.606106354986</v>
      </c>
      <c r="X52" s="1310"/>
      <c r="Y52" s="197"/>
      <c r="Z52" s="197"/>
      <c r="AA52" s="1311"/>
      <c r="AB52" s="1311"/>
      <c r="AC52" s="197"/>
      <c r="AD52" s="197"/>
      <c r="AE52" s="197"/>
      <c r="AF52" s="1313"/>
      <c r="AG52" s="1256"/>
      <c r="AH52" s="1256"/>
      <c r="AI52" s="1256"/>
      <c r="AJ52" s="85"/>
      <c r="AK52" s="85"/>
      <c r="AL52" s="85"/>
      <c r="AM52" s="85"/>
      <c r="AN52" s="85"/>
      <c r="AO52" s="85"/>
      <c r="AP52" s="85"/>
      <c r="AQ52" s="85"/>
      <c r="AR52" s="85"/>
      <c r="AS52" s="85"/>
      <c r="AT52" s="85"/>
      <c r="AU52" s="85"/>
      <c r="AV52" s="85"/>
      <c r="AW52" s="85"/>
      <c r="AX52" s="85"/>
      <c r="AY52" s="85"/>
      <c r="AZ52" s="85"/>
      <c r="BA52" s="85"/>
      <c r="BB52" s="85"/>
      <c r="BC52" s="85"/>
      <c r="BD52" s="85"/>
      <c r="BE52" s="85"/>
      <c r="BF52" s="85"/>
      <c r="BG52" s="85"/>
      <c r="BH52" s="85"/>
      <c r="BI52" s="85"/>
      <c r="BJ52" s="85"/>
      <c r="BK52" s="85"/>
      <c r="BL52" s="85"/>
      <c r="BM52" s="85"/>
      <c r="BN52" s="85"/>
      <c r="BO52" s="85"/>
      <c r="BP52" s="85"/>
      <c r="BQ52" s="85"/>
      <c r="BR52" s="85"/>
      <c r="BS52" s="85"/>
      <c r="BT52" s="85"/>
      <c r="BU52" s="85"/>
      <c r="BV52" s="85"/>
      <c r="BW52" s="85"/>
      <c r="BX52" s="85"/>
      <c r="BY52" s="85"/>
      <c r="BZ52" s="85"/>
      <c r="CA52" s="85"/>
      <c r="CB52" s="85"/>
      <c r="CC52" s="85"/>
      <c r="CD52" s="85"/>
      <c r="CE52" s="85"/>
      <c r="CF52" s="85"/>
      <c r="CG52" s="85"/>
      <c r="CH52" s="85"/>
      <c r="CI52" s="85"/>
      <c r="CJ52" s="85"/>
      <c r="CK52" s="85"/>
      <c r="CL52" s="85"/>
      <c r="CM52" s="85"/>
      <c r="CN52" s="79"/>
      <c r="CO52" s="79"/>
    </row>
    <row r="53" spans="2:93" s="69" customFormat="1" ht="15" customHeight="1">
      <c r="C53" s="2557" t="s">
        <v>23</v>
      </c>
      <c r="D53" s="463">
        <v>1000</v>
      </c>
      <c r="E53" s="138">
        <v>1</v>
      </c>
      <c r="F53" s="138" t="s">
        <v>42</v>
      </c>
      <c r="G53" s="142" t="s">
        <v>402</v>
      </c>
      <c r="H53" s="118">
        <f t="shared" si="19"/>
        <v>83.333333333333329</v>
      </c>
      <c r="I53" s="118">
        <f t="shared" si="20"/>
        <v>1000</v>
      </c>
      <c r="J53" s="160">
        <v>0</v>
      </c>
      <c r="K53" s="161">
        <f t="shared" ca="1" si="18"/>
        <v>118.81340723718155</v>
      </c>
      <c r="L53" s="161">
        <f t="shared" ca="1" si="21"/>
        <v>1425.7608868461787</v>
      </c>
      <c r="M53" s="2310"/>
      <c r="N53" s="2311"/>
      <c r="O53" s="2311"/>
      <c r="P53" s="2311"/>
      <c r="R53" s="1181"/>
      <c r="S53" s="1304"/>
      <c r="T53" s="1295">
        <f t="shared" si="6"/>
        <v>44</v>
      </c>
      <c r="U53" s="1295">
        <f t="shared" si="7"/>
        <v>2077</v>
      </c>
      <c r="V53" s="1308">
        <f t="shared" si="5"/>
        <v>379959.66513415484</v>
      </c>
      <c r="W53" s="1308">
        <f t="shared" si="5"/>
        <v>90182.274289545632</v>
      </c>
      <c r="X53" s="1310"/>
      <c r="Y53" s="197"/>
      <c r="Z53" s="197"/>
      <c r="AA53" s="1311"/>
      <c r="AB53" s="1311"/>
      <c r="AC53" s="197"/>
      <c r="AD53" s="197"/>
      <c r="AE53" s="197"/>
      <c r="AF53" s="1313"/>
      <c r="AG53" s="1256"/>
      <c r="AH53" s="1256"/>
      <c r="AI53" s="1256"/>
      <c r="AJ53" s="85"/>
      <c r="AK53" s="85"/>
      <c r="AL53" s="85"/>
      <c r="AM53" s="85"/>
      <c r="AN53" s="85"/>
      <c r="AO53" s="85"/>
      <c r="AP53" s="85"/>
      <c r="AQ53" s="85"/>
      <c r="AR53" s="85"/>
      <c r="AS53" s="85"/>
      <c r="AT53" s="85"/>
      <c r="AU53" s="85"/>
      <c r="AV53" s="85"/>
      <c r="AW53" s="85"/>
      <c r="AX53" s="85"/>
      <c r="AY53" s="85"/>
      <c r="AZ53" s="85"/>
      <c r="BA53" s="85"/>
      <c r="BB53" s="85"/>
      <c r="BC53" s="85"/>
      <c r="BD53" s="85"/>
      <c r="BE53" s="85"/>
      <c r="BF53" s="85"/>
      <c r="BG53" s="85"/>
      <c r="BH53" s="85"/>
      <c r="BI53" s="85"/>
      <c r="BJ53" s="85"/>
      <c r="BK53" s="85"/>
      <c r="BL53" s="85"/>
      <c r="BM53" s="85"/>
      <c r="BN53" s="85"/>
      <c r="BO53" s="85"/>
      <c r="BP53" s="85"/>
      <c r="BQ53" s="85"/>
      <c r="BR53" s="85"/>
      <c r="BS53" s="85"/>
      <c r="BT53" s="85"/>
      <c r="BU53" s="85"/>
      <c r="BV53" s="85"/>
      <c r="BW53" s="85"/>
      <c r="BX53" s="85"/>
      <c r="BY53" s="85"/>
      <c r="BZ53" s="85"/>
      <c r="CA53" s="85"/>
      <c r="CB53" s="85"/>
      <c r="CC53" s="85"/>
      <c r="CD53" s="85"/>
      <c r="CE53" s="85"/>
      <c r="CF53" s="85"/>
      <c r="CG53" s="85"/>
      <c r="CH53" s="85"/>
      <c r="CI53" s="85"/>
      <c r="CJ53" s="85"/>
      <c r="CK53" s="85"/>
      <c r="CL53" s="85"/>
      <c r="CM53" s="85"/>
      <c r="CN53" s="79"/>
      <c r="CO53" s="79"/>
    </row>
    <row r="54" spans="2:93" s="69" customFormat="1" ht="15" customHeight="1">
      <c r="C54" s="2558" t="s">
        <v>12</v>
      </c>
      <c r="D54" s="464">
        <v>0</v>
      </c>
      <c r="E54" s="144">
        <v>0</v>
      </c>
      <c r="F54" s="144" t="s">
        <v>42</v>
      </c>
      <c r="G54" s="146" t="s">
        <v>402</v>
      </c>
      <c r="H54" s="119">
        <f t="shared" si="19"/>
        <v>0</v>
      </c>
      <c r="I54" s="119">
        <f t="shared" si="20"/>
        <v>0</v>
      </c>
      <c r="J54" s="164">
        <v>0</v>
      </c>
      <c r="K54" s="165">
        <f t="shared" ca="1" si="18"/>
        <v>0</v>
      </c>
      <c r="L54" s="165">
        <f t="shared" ca="1" si="21"/>
        <v>0</v>
      </c>
      <c r="M54" s="2312"/>
      <c r="N54" s="2313"/>
      <c r="O54" s="2313"/>
      <c r="P54" s="2313"/>
      <c r="R54" s="1181"/>
      <c r="S54" s="1304"/>
      <c r="T54" s="1295">
        <f t="shared" si="6"/>
        <v>45</v>
      </c>
      <c r="U54" s="1295">
        <f t="shared" si="7"/>
        <v>2078</v>
      </c>
      <c r="V54" s="1308">
        <f t="shared" si="5"/>
        <v>391358.4550881795</v>
      </c>
      <c r="W54" s="1308">
        <f t="shared" si="5"/>
        <v>92887.742518232</v>
      </c>
      <c r="X54" s="1310"/>
      <c r="Y54" s="197"/>
      <c r="Z54" s="197"/>
      <c r="AA54" s="1311"/>
      <c r="AB54" s="1311"/>
      <c r="AC54" s="197"/>
      <c r="AD54" s="197"/>
      <c r="AE54" s="197"/>
      <c r="AF54" s="1313"/>
      <c r="AG54" s="1256"/>
      <c r="AH54" s="1256"/>
      <c r="AI54" s="1256"/>
      <c r="AJ54" s="85"/>
      <c r="AK54" s="85"/>
      <c r="AL54" s="85"/>
      <c r="AM54" s="85"/>
      <c r="AN54" s="85"/>
      <c r="AO54" s="85"/>
      <c r="AP54" s="85"/>
      <c r="AQ54" s="85"/>
      <c r="AR54" s="85"/>
      <c r="AS54" s="85"/>
      <c r="AT54" s="85"/>
      <c r="AU54" s="85"/>
      <c r="AV54" s="85"/>
      <c r="AW54" s="85"/>
      <c r="AX54" s="85"/>
      <c r="AY54" s="85"/>
      <c r="AZ54" s="85"/>
      <c r="BA54" s="85"/>
      <c r="BB54" s="85"/>
      <c r="BC54" s="85"/>
      <c r="BD54" s="85"/>
      <c r="BE54" s="85"/>
      <c r="BF54" s="85"/>
      <c r="BG54" s="85"/>
      <c r="BH54" s="85"/>
      <c r="BI54" s="85"/>
      <c r="BJ54" s="85"/>
      <c r="BK54" s="85"/>
      <c r="BL54" s="85"/>
      <c r="BM54" s="85"/>
      <c r="BN54" s="85"/>
      <c r="BO54" s="85"/>
      <c r="BP54" s="85"/>
      <c r="BQ54" s="85"/>
      <c r="BR54" s="85"/>
      <c r="BS54" s="85"/>
      <c r="BT54" s="85"/>
      <c r="BU54" s="85"/>
      <c r="BV54" s="85"/>
      <c r="BW54" s="85"/>
      <c r="BX54" s="85"/>
      <c r="BY54" s="85"/>
      <c r="BZ54" s="85"/>
      <c r="CA54" s="85"/>
      <c r="CB54" s="85"/>
      <c r="CC54" s="85"/>
      <c r="CD54" s="85"/>
      <c r="CE54" s="85"/>
      <c r="CF54" s="85"/>
      <c r="CG54" s="85"/>
      <c r="CH54" s="85"/>
      <c r="CI54" s="85"/>
      <c r="CJ54" s="85"/>
      <c r="CK54" s="85"/>
      <c r="CL54" s="85"/>
      <c r="CM54" s="85"/>
      <c r="CN54" s="79"/>
      <c r="CO54" s="79"/>
    </row>
    <row r="55" spans="2:93" s="69" customFormat="1" ht="15" customHeight="1">
      <c r="C55" s="2039" t="s">
        <v>12</v>
      </c>
      <c r="D55" s="463">
        <v>0</v>
      </c>
      <c r="E55" s="138">
        <v>0</v>
      </c>
      <c r="F55" s="138" t="s">
        <v>42</v>
      </c>
      <c r="G55" s="142" t="s">
        <v>402</v>
      </c>
      <c r="H55" s="118">
        <f t="shared" si="19"/>
        <v>0</v>
      </c>
      <c r="I55" s="118">
        <f t="shared" si="20"/>
        <v>0</v>
      </c>
      <c r="J55" s="160">
        <v>0</v>
      </c>
      <c r="K55" s="161">
        <f t="shared" ca="1" si="18"/>
        <v>0</v>
      </c>
      <c r="L55" s="161">
        <f t="shared" ca="1" si="21"/>
        <v>0</v>
      </c>
      <c r="M55" s="2310"/>
      <c r="N55" s="2311"/>
      <c r="O55" s="2311"/>
      <c r="P55" s="2311"/>
      <c r="R55" s="1181"/>
      <c r="S55" s="1304"/>
      <c r="T55" s="1295">
        <f t="shared" si="6"/>
        <v>46</v>
      </c>
      <c r="U55" s="1295">
        <f t="shared" si="7"/>
        <v>2079</v>
      </c>
      <c r="V55" s="1308">
        <f t="shared" si="5"/>
        <v>403099.20874082489</v>
      </c>
      <c r="W55" s="1308">
        <f t="shared" si="5"/>
        <v>95674.374793778959</v>
      </c>
      <c r="X55" s="1310"/>
      <c r="Y55" s="197"/>
      <c r="Z55" s="197"/>
      <c r="AA55" s="1311"/>
      <c r="AB55" s="1311"/>
      <c r="AC55" s="197"/>
      <c r="AD55" s="197"/>
      <c r="AE55" s="197"/>
      <c r="AF55" s="1313"/>
      <c r="AG55" s="1256"/>
      <c r="AH55" s="1256"/>
      <c r="AI55" s="1256"/>
      <c r="AJ55" s="85"/>
      <c r="AK55" s="85"/>
      <c r="AL55" s="85"/>
      <c r="AM55" s="85"/>
      <c r="AN55" s="85"/>
      <c r="AO55" s="85"/>
      <c r="AP55" s="85"/>
      <c r="AQ55" s="85"/>
      <c r="AR55" s="85"/>
      <c r="AS55" s="85"/>
      <c r="AT55" s="85"/>
      <c r="AU55" s="85"/>
      <c r="AV55" s="85"/>
      <c r="AW55" s="85"/>
      <c r="AX55" s="85"/>
      <c r="AY55" s="85"/>
      <c r="AZ55" s="85"/>
      <c r="BA55" s="85"/>
      <c r="BB55" s="85"/>
      <c r="BC55" s="85"/>
      <c r="BD55" s="85"/>
      <c r="BE55" s="85"/>
      <c r="BF55" s="85"/>
      <c r="BG55" s="85"/>
      <c r="BH55" s="85"/>
      <c r="BI55" s="85"/>
      <c r="BJ55" s="85"/>
      <c r="BK55" s="85"/>
      <c r="BL55" s="85"/>
      <c r="BM55" s="85"/>
      <c r="BN55" s="85"/>
      <c r="BO55" s="85"/>
      <c r="BP55" s="85"/>
      <c r="BQ55" s="85"/>
      <c r="BR55" s="85"/>
      <c r="BS55" s="85"/>
      <c r="BT55" s="85"/>
      <c r="BU55" s="85"/>
      <c r="BV55" s="85"/>
      <c r="BW55" s="85"/>
      <c r="BX55" s="85"/>
      <c r="BY55" s="85"/>
      <c r="BZ55" s="85"/>
      <c r="CA55" s="85"/>
      <c r="CB55" s="85"/>
      <c r="CC55" s="85"/>
      <c r="CD55" s="85"/>
      <c r="CE55" s="85"/>
      <c r="CF55" s="85"/>
      <c r="CG55" s="85"/>
      <c r="CH55" s="85"/>
      <c r="CI55" s="85"/>
      <c r="CJ55" s="85"/>
      <c r="CK55" s="85"/>
      <c r="CL55" s="85"/>
      <c r="CM55" s="85"/>
      <c r="CN55" s="79"/>
      <c r="CO55" s="79"/>
    </row>
    <row r="56" spans="2:93" s="69" customFormat="1" ht="15" customHeight="1">
      <c r="C56" s="1581" t="s">
        <v>38</v>
      </c>
      <c r="D56" s="464">
        <v>200</v>
      </c>
      <c r="E56" s="144">
        <v>2</v>
      </c>
      <c r="F56" s="144" t="s">
        <v>42</v>
      </c>
      <c r="G56" s="2042" t="s">
        <v>395</v>
      </c>
      <c r="H56" s="119">
        <f t="shared" si="19"/>
        <v>33.333333333333336</v>
      </c>
      <c r="I56" s="119">
        <f t="shared" si="20"/>
        <v>400</v>
      </c>
      <c r="J56" s="164">
        <v>0</v>
      </c>
      <c r="K56" s="165">
        <f t="shared" ca="1" si="18"/>
        <v>47.525362894872622</v>
      </c>
      <c r="L56" s="165">
        <f t="shared" ca="1" si="21"/>
        <v>570.30435473847149</v>
      </c>
      <c r="M56" s="2312"/>
      <c r="N56" s="2313"/>
      <c r="O56" s="2313"/>
      <c r="P56" s="2313"/>
      <c r="R56" s="1181"/>
      <c r="S56" s="1304"/>
      <c r="T56" s="1295">
        <f t="shared" si="6"/>
        <v>47</v>
      </c>
      <c r="U56" s="1295">
        <f t="shared" si="7"/>
        <v>2080</v>
      </c>
      <c r="V56" s="1308">
        <f t="shared" si="5"/>
        <v>415192.18500304961</v>
      </c>
      <c r="W56" s="1308">
        <f t="shared" si="5"/>
        <v>98544.606037592326</v>
      </c>
      <c r="X56" s="1310"/>
      <c r="Y56" s="197"/>
      <c r="Z56" s="197"/>
      <c r="AA56" s="1311">
        <f t="shared" si="1"/>
        <v>0</v>
      </c>
      <c r="AB56" s="1311">
        <f t="shared" ca="1" si="2"/>
        <v>570.30435473847149</v>
      </c>
      <c r="AC56" s="197"/>
      <c r="AD56" s="197"/>
      <c r="AE56" s="197"/>
      <c r="AF56" s="1313"/>
      <c r="AG56" s="1256"/>
      <c r="AH56" s="1256"/>
      <c r="AI56" s="1256"/>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85"/>
      <c r="BL56" s="85"/>
      <c r="BM56" s="85"/>
      <c r="BN56" s="85"/>
      <c r="BO56" s="85"/>
      <c r="BP56" s="85"/>
      <c r="BQ56" s="85"/>
      <c r="BR56" s="85"/>
      <c r="BS56" s="85"/>
      <c r="BT56" s="85"/>
      <c r="BU56" s="85"/>
      <c r="BV56" s="85"/>
      <c r="BW56" s="85"/>
      <c r="BX56" s="85"/>
      <c r="BY56" s="85"/>
      <c r="BZ56" s="85"/>
      <c r="CA56" s="85"/>
      <c r="CB56" s="85"/>
      <c r="CC56" s="85"/>
      <c r="CD56" s="85"/>
      <c r="CE56" s="85"/>
      <c r="CF56" s="85"/>
      <c r="CG56" s="85"/>
      <c r="CH56" s="85"/>
      <c r="CI56" s="85"/>
      <c r="CJ56" s="85"/>
      <c r="CK56" s="85"/>
      <c r="CL56" s="85"/>
      <c r="CM56" s="85"/>
      <c r="CN56" s="79"/>
      <c r="CO56" s="79"/>
    </row>
    <row r="57" spans="2:93" s="69" customFormat="1" ht="15" customHeight="1">
      <c r="C57" s="1580" t="s">
        <v>39</v>
      </c>
      <c r="D57" s="463">
        <v>350</v>
      </c>
      <c r="E57" s="138">
        <v>3</v>
      </c>
      <c r="F57" s="138" t="s">
        <v>42</v>
      </c>
      <c r="G57" s="2043" t="s">
        <v>395</v>
      </c>
      <c r="H57" s="118">
        <f t="shared" si="19"/>
        <v>87.5</v>
      </c>
      <c r="I57" s="118">
        <f t="shared" si="20"/>
        <v>1050</v>
      </c>
      <c r="J57" s="160">
        <v>0</v>
      </c>
      <c r="K57" s="161">
        <f t="shared" ca="1" si="18"/>
        <v>124.75407759904063</v>
      </c>
      <c r="L57" s="161">
        <f t="shared" ca="1" si="21"/>
        <v>1497.0489311884876</v>
      </c>
      <c r="M57" s="2310"/>
      <c r="N57" s="2311"/>
      <c r="O57" s="2311"/>
      <c r="P57" s="2311"/>
      <c r="R57" s="1181"/>
      <c r="S57" s="1304"/>
      <c r="T57" s="1295">
        <f t="shared" si="6"/>
        <v>48</v>
      </c>
      <c r="U57" s="1295">
        <f t="shared" si="7"/>
        <v>2081</v>
      </c>
      <c r="V57" s="1308">
        <f t="shared" si="5"/>
        <v>427647.95055314113</v>
      </c>
      <c r="W57" s="1308">
        <f t="shared" si="5"/>
        <v>101500.94421872009</v>
      </c>
      <c r="X57" s="1310"/>
      <c r="Y57" s="197"/>
      <c r="Z57" s="197"/>
      <c r="AA57" s="1311"/>
      <c r="AB57" s="1311"/>
      <c r="AC57" s="197"/>
      <c r="AD57" s="197"/>
      <c r="AE57" s="197"/>
      <c r="AF57" s="1313"/>
      <c r="AG57" s="1256"/>
      <c r="AH57" s="1256"/>
      <c r="AI57" s="1256"/>
      <c r="AJ57" s="85"/>
      <c r="AK57" s="85"/>
      <c r="AL57" s="85"/>
      <c r="AM57" s="85"/>
      <c r="AN57" s="85"/>
      <c r="AO57" s="85"/>
      <c r="AP57" s="85"/>
      <c r="AQ57" s="85"/>
      <c r="AR57" s="85"/>
      <c r="AS57" s="85"/>
      <c r="AT57" s="85"/>
      <c r="AU57" s="85"/>
      <c r="AV57" s="85"/>
      <c r="AW57" s="85"/>
      <c r="AX57" s="85"/>
      <c r="AY57" s="85"/>
      <c r="AZ57" s="85"/>
      <c r="BA57" s="85"/>
      <c r="BB57" s="85"/>
      <c r="BC57" s="85"/>
      <c r="BD57" s="85"/>
      <c r="BE57" s="85"/>
      <c r="BF57" s="85"/>
      <c r="BG57" s="85"/>
      <c r="BH57" s="85"/>
      <c r="BI57" s="85"/>
      <c r="BJ57" s="85"/>
      <c r="BK57" s="85"/>
      <c r="BL57" s="85"/>
      <c r="BM57" s="85"/>
      <c r="BN57" s="85"/>
      <c r="BO57" s="85"/>
      <c r="BP57" s="85"/>
      <c r="BQ57" s="85"/>
      <c r="BR57" s="85"/>
      <c r="BS57" s="85"/>
      <c r="BT57" s="85"/>
      <c r="BU57" s="85"/>
      <c r="BV57" s="85"/>
      <c r="BW57" s="85"/>
      <c r="BX57" s="85"/>
      <c r="BY57" s="85"/>
      <c r="BZ57" s="85"/>
      <c r="CA57" s="85"/>
      <c r="CB57" s="85"/>
      <c r="CC57" s="85"/>
      <c r="CD57" s="85"/>
      <c r="CE57" s="85"/>
      <c r="CF57" s="85"/>
      <c r="CG57" s="85"/>
      <c r="CH57" s="85"/>
      <c r="CI57" s="85"/>
      <c r="CJ57" s="85"/>
      <c r="CK57" s="85"/>
      <c r="CL57" s="85"/>
      <c r="CM57" s="85"/>
      <c r="CN57" s="79"/>
      <c r="CO57" s="79"/>
    </row>
    <row r="58" spans="2:93" s="69" customFormat="1" ht="15" customHeight="1">
      <c r="C58" s="162" t="s">
        <v>12</v>
      </c>
      <c r="D58" s="461">
        <v>0</v>
      </c>
      <c r="E58" s="163">
        <v>0</v>
      </c>
      <c r="F58" s="2568" t="s">
        <v>42</v>
      </c>
      <c r="G58" s="166" t="s">
        <v>402</v>
      </c>
      <c r="H58" s="119">
        <f t="shared" si="19"/>
        <v>0</v>
      </c>
      <c r="I58" s="119">
        <f t="shared" si="20"/>
        <v>0</v>
      </c>
      <c r="J58" s="164">
        <v>0</v>
      </c>
      <c r="K58" s="165">
        <f t="shared" ca="1" si="18"/>
        <v>0</v>
      </c>
      <c r="L58" s="165">
        <f t="shared" ca="1" si="21"/>
        <v>0</v>
      </c>
      <c r="M58" s="2312"/>
      <c r="N58" s="2313"/>
      <c r="O58" s="2313"/>
      <c r="P58" s="2313"/>
      <c r="R58" s="1181"/>
      <c r="S58" s="1304"/>
      <c r="T58" s="1295">
        <f t="shared" si="6"/>
        <v>49</v>
      </c>
      <c r="U58" s="1295">
        <f t="shared" si="7"/>
        <v>2082</v>
      </c>
      <c r="V58" s="1308">
        <f t="shared" si="5"/>
        <v>440477.38906973536</v>
      </c>
      <c r="W58" s="1308">
        <f t="shared" si="5"/>
        <v>104545.97254528169</v>
      </c>
      <c r="X58" s="1310"/>
      <c r="Y58" s="197"/>
      <c r="Z58" s="197"/>
      <c r="AA58" s="1311"/>
      <c r="AB58" s="1311"/>
      <c r="AC58" s="197"/>
      <c r="AD58" s="197"/>
      <c r="AE58" s="197"/>
      <c r="AF58" s="1313"/>
      <c r="AG58" s="1256"/>
      <c r="AH58" s="1256"/>
      <c r="AI58" s="1256"/>
      <c r="AJ58" s="85"/>
      <c r="AK58" s="85"/>
      <c r="AL58" s="85"/>
      <c r="AM58" s="85"/>
      <c r="AN58" s="85"/>
      <c r="AO58" s="85"/>
      <c r="AP58" s="85"/>
      <c r="AQ58" s="85"/>
      <c r="AR58" s="85"/>
      <c r="AS58" s="85"/>
      <c r="AT58" s="85"/>
      <c r="AU58" s="85"/>
      <c r="AV58" s="85"/>
      <c r="AW58" s="85"/>
      <c r="AX58" s="85"/>
      <c r="AY58" s="85"/>
      <c r="AZ58" s="85"/>
      <c r="BA58" s="85"/>
      <c r="BB58" s="85"/>
      <c r="BC58" s="85"/>
      <c r="BD58" s="85"/>
      <c r="BE58" s="85"/>
      <c r="BF58" s="85"/>
      <c r="BG58" s="85"/>
      <c r="BH58" s="85"/>
      <c r="BI58" s="85"/>
      <c r="BJ58" s="85"/>
      <c r="BK58" s="85"/>
      <c r="BL58" s="85"/>
      <c r="BM58" s="85"/>
      <c r="BN58" s="85"/>
      <c r="BO58" s="85"/>
      <c r="BP58" s="85"/>
      <c r="BQ58" s="85"/>
      <c r="BR58" s="85"/>
      <c r="BS58" s="85"/>
      <c r="BT58" s="85"/>
      <c r="BU58" s="85"/>
      <c r="BV58" s="85"/>
      <c r="BW58" s="85"/>
      <c r="BX58" s="85"/>
      <c r="BY58" s="85"/>
      <c r="BZ58" s="85"/>
      <c r="CA58" s="85"/>
      <c r="CB58" s="85"/>
      <c r="CC58" s="85"/>
      <c r="CD58" s="85"/>
      <c r="CE58" s="85"/>
      <c r="CF58" s="85"/>
      <c r="CG58" s="85"/>
      <c r="CH58" s="85"/>
      <c r="CI58" s="85"/>
      <c r="CJ58" s="85"/>
      <c r="CK58" s="85"/>
      <c r="CL58" s="85"/>
      <c r="CM58" s="85"/>
      <c r="CN58" s="79"/>
      <c r="CO58" s="79"/>
    </row>
    <row r="59" spans="2:93" s="69" customFormat="1" ht="15" customHeight="1">
      <c r="C59" s="167" t="s">
        <v>12</v>
      </c>
      <c r="D59" s="462">
        <v>0</v>
      </c>
      <c r="E59" s="168">
        <v>0</v>
      </c>
      <c r="F59" s="2569" t="s">
        <v>42</v>
      </c>
      <c r="G59" s="171" t="s">
        <v>402</v>
      </c>
      <c r="H59" s="186">
        <f t="shared" si="19"/>
        <v>0</v>
      </c>
      <c r="I59" s="120">
        <f t="shared" si="20"/>
        <v>0</v>
      </c>
      <c r="J59" s="169">
        <v>0</v>
      </c>
      <c r="K59" s="170">
        <f t="shared" ca="1" si="18"/>
        <v>0</v>
      </c>
      <c r="L59" s="170">
        <f t="shared" ca="1" si="21"/>
        <v>0</v>
      </c>
      <c r="M59" s="2314"/>
      <c r="N59" s="2315"/>
      <c r="O59" s="2315"/>
      <c r="P59" s="2315"/>
      <c r="R59" s="1181"/>
      <c r="S59" s="1304"/>
      <c r="T59" s="1295">
        <f t="shared" si="6"/>
        <v>50</v>
      </c>
      <c r="U59" s="1295">
        <f t="shared" si="7"/>
        <v>2083</v>
      </c>
      <c r="V59" s="1308">
        <f t="shared" si="5"/>
        <v>453691.71074182744</v>
      </c>
      <c r="W59" s="1308">
        <f t="shared" si="5"/>
        <v>107682.35172164014</v>
      </c>
      <c r="X59" s="1310"/>
      <c r="Y59" s="197"/>
      <c r="Z59" s="197"/>
      <c r="AA59" s="1311">
        <f t="shared" ref="AA59:AA81" ca="1" si="22">IF(G59="Optional",L59,0)</f>
        <v>0</v>
      </c>
      <c r="AB59" s="1311">
        <f t="shared" ref="AB59:AB81" si="23">IF(G59="Required",L59,0)</f>
        <v>0</v>
      </c>
      <c r="AC59" s="197"/>
      <c r="AD59" s="197"/>
      <c r="AE59" s="197"/>
      <c r="AF59" s="1313"/>
      <c r="AG59" s="1256"/>
      <c r="AH59" s="1256"/>
      <c r="AI59" s="1256"/>
      <c r="AJ59" s="85"/>
      <c r="AK59" s="85"/>
      <c r="AL59" s="85"/>
      <c r="AM59" s="85"/>
      <c r="AN59" s="85"/>
      <c r="AO59" s="85"/>
      <c r="AP59" s="85"/>
      <c r="AQ59" s="85"/>
      <c r="AR59" s="85"/>
      <c r="AS59" s="85"/>
      <c r="AT59" s="85"/>
      <c r="AU59" s="85"/>
      <c r="AV59" s="85"/>
      <c r="AW59" s="85"/>
      <c r="AX59" s="85"/>
      <c r="AY59" s="85"/>
      <c r="AZ59" s="85"/>
      <c r="BA59" s="85"/>
      <c r="BB59" s="85"/>
      <c r="BC59" s="85"/>
      <c r="BD59" s="85"/>
      <c r="BE59" s="85"/>
      <c r="BF59" s="85"/>
      <c r="BG59" s="85"/>
      <c r="BH59" s="85"/>
      <c r="BI59" s="85"/>
      <c r="BJ59" s="85"/>
      <c r="BK59" s="85"/>
      <c r="BL59" s="85"/>
      <c r="BM59" s="85"/>
      <c r="BN59" s="85"/>
      <c r="BO59" s="85"/>
      <c r="BP59" s="85"/>
      <c r="BQ59" s="85"/>
      <c r="BR59" s="85"/>
      <c r="BS59" s="85"/>
      <c r="BT59" s="85"/>
      <c r="BU59" s="85"/>
      <c r="BV59" s="85"/>
      <c r="BW59" s="85"/>
      <c r="BX59" s="85"/>
      <c r="BY59" s="85"/>
      <c r="BZ59" s="85"/>
      <c r="CA59" s="85"/>
      <c r="CB59" s="85"/>
      <c r="CC59" s="85"/>
      <c r="CD59" s="85"/>
      <c r="CE59" s="85"/>
      <c r="CF59" s="85"/>
      <c r="CG59" s="85"/>
      <c r="CH59" s="85"/>
      <c r="CI59" s="85"/>
      <c r="CJ59" s="85"/>
      <c r="CK59" s="85"/>
      <c r="CL59" s="85"/>
      <c r="CM59" s="85"/>
      <c r="CN59" s="79"/>
      <c r="CO59" s="79"/>
    </row>
    <row r="60" spans="2:93" s="69" customFormat="1" ht="25" customHeight="1">
      <c r="C60" s="87"/>
      <c r="D60" s="81"/>
      <c r="E60" s="81"/>
      <c r="F60" s="82"/>
      <c r="G60" s="158"/>
      <c r="H60" s="158">
        <f>SUM(H49:H59)</f>
        <v>525.83333333333326</v>
      </c>
      <c r="I60" s="158">
        <f>SUM(I49:I59)</f>
        <v>6310</v>
      </c>
      <c r="J60" s="158"/>
      <c r="K60" s="158">
        <f ca="1">SUM(K49:K59)</f>
        <v>749.71259966661569</v>
      </c>
      <c r="L60" s="158">
        <f ca="1">SUM(L49:L59)</f>
        <v>8996.5511959993873</v>
      </c>
      <c r="M60" s="470"/>
      <c r="N60" s="470"/>
      <c r="O60" s="470"/>
      <c r="P60" s="470"/>
      <c r="R60" s="1181"/>
      <c r="S60" s="1304"/>
      <c r="T60" s="1295">
        <f t="shared" si="6"/>
        <v>51</v>
      </c>
      <c r="U60" s="1295">
        <f t="shared" si="7"/>
        <v>2084</v>
      </c>
      <c r="V60" s="1308">
        <f t="shared" si="5"/>
        <v>467302.46206408227</v>
      </c>
      <c r="W60" s="1308">
        <f t="shared" si="5"/>
        <v>110912.82227328935</v>
      </c>
      <c r="X60" s="1310"/>
      <c r="Y60" s="197"/>
      <c r="Z60" s="197"/>
      <c r="AA60" s="1311">
        <f t="shared" si="22"/>
        <v>0</v>
      </c>
      <c r="AB60" s="1311">
        <f t="shared" si="23"/>
        <v>0</v>
      </c>
      <c r="AC60" s="197"/>
      <c r="AD60" s="197"/>
      <c r="AE60" s="197"/>
      <c r="AF60" s="1313"/>
      <c r="AG60" s="1256"/>
      <c r="AH60" s="1256"/>
      <c r="AI60" s="1256"/>
      <c r="AJ60" s="85"/>
      <c r="AK60" s="85"/>
      <c r="AL60" s="85"/>
      <c r="AM60" s="85"/>
      <c r="AN60" s="85"/>
      <c r="AO60" s="85"/>
      <c r="AP60" s="85"/>
      <c r="AQ60" s="85"/>
      <c r="AR60" s="85"/>
      <c r="AS60" s="85"/>
      <c r="AT60" s="85"/>
      <c r="AU60" s="85"/>
      <c r="AV60" s="85"/>
      <c r="AW60" s="85"/>
      <c r="AX60" s="85"/>
      <c r="AY60" s="85"/>
      <c r="AZ60" s="85"/>
      <c r="BA60" s="85"/>
      <c r="BB60" s="85"/>
      <c r="BC60" s="85"/>
      <c r="BD60" s="85"/>
      <c r="BE60" s="85"/>
      <c r="BF60" s="85"/>
      <c r="BG60" s="85"/>
      <c r="BH60" s="85"/>
      <c r="BI60" s="85"/>
      <c r="BJ60" s="85"/>
      <c r="BK60" s="85"/>
      <c r="BL60" s="85"/>
      <c r="BM60" s="85"/>
      <c r="BN60" s="85"/>
      <c r="BO60" s="85"/>
      <c r="BP60" s="85"/>
      <c r="BQ60" s="85"/>
      <c r="BR60" s="85"/>
      <c r="BS60" s="85"/>
      <c r="BT60" s="85"/>
      <c r="BU60" s="85"/>
      <c r="BV60" s="85"/>
      <c r="BW60" s="85"/>
      <c r="BX60" s="85"/>
      <c r="BY60" s="85"/>
      <c r="BZ60" s="85"/>
      <c r="CA60" s="85"/>
      <c r="CB60" s="85"/>
      <c r="CC60" s="85"/>
      <c r="CD60" s="85"/>
      <c r="CE60" s="85"/>
      <c r="CF60" s="85"/>
      <c r="CG60" s="85"/>
      <c r="CH60" s="85"/>
      <c r="CI60" s="85"/>
      <c r="CJ60" s="85"/>
      <c r="CK60" s="85"/>
      <c r="CL60" s="85"/>
      <c r="CM60" s="85"/>
      <c r="CN60" s="79"/>
      <c r="CO60" s="79"/>
    </row>
    <row r="61" spans="2:93" s="69" customFormat="1" ht="18" customHeight="1">
      <c r="B61" s="2556" t="s">
        <v>418</v>
      </c>
      <c r="C61" s="2324"/>
      <c r="D61" s="114"/>
      <c r="E61" s="114"/>
      <c r="F61" s="115"/>
      <c r="G61" s="115"/>
      <c r="H61" s="192"/>
      <c r="I61" s="192"/>
      <c r="J61" s="115"/>
      <c r="K61" s="192"/>
      <c r="L61" s="192"/>
      <c r="M61" s="478"/>
      <c r="N61" s="478"/>
      <c r="O61" s="478"/>
      <c r="P61" s="478"/>
      <c r="R61" s="1181"/>
      <c r="S61" s="1304"/>
      <c r="T61" s="1295">
        <f t="shared" si="6"/>
        <v>52</v>
      </c>
      <c r="U61" s="1295">
        <f t="shared" si="7"/>
        <v>2085</v>
      </c>
      <c r="V61" s="1308">
        <f t="shared" si="5"/>
        <v>481321.53592600476</v>
      </c>
      <c r="W61" s="1308">
        <f t="shared" si="5"/>
        <v>114240.20694148802</v>
      </c>
      <c r="X61" s="1310"/>
      <c r="Y61" s="197"/>
      <c r="Z61" s="197"/>
      <c r="AA61" s="1311">
        <f t="shared" si="22"/>
        <v>0</v>
      </c>
      <c r="AB61" s="1311">
        <f t="shared" si="23"/>
        <v>0</v>
      </c>
      <c r="AC61" s="197"/>
      <c r="AD61" s="197"/>
      <c r="AE61" s="197"/>
      <c r="AF61" s="1313"/>
      <c r="AG61" s="1256"/>
      <c r="AH61" s="1256"/>
      <c r="AI61" s="1256"/>
      <c r="AJ61" s="85"/>
      <c r="AK61" s="85"/>
      <c r="AL61" s="85"/>
      <c r="AM61" s="85"/>
      <c r="AN61" s="85"/>
      <c r="AO61" s="85"/>
      <c r="AP61" s="85"/>
      <c r="AQ61" s="85"/>
      <c r="AR61" s="85"/>
      <c r="AS61" s="85"/>
      <c r="AT61" s="85"/>
      <c r="AU61" s="85"/>
      <c r="AV61" s="85"/>
      <c r="AW61" s="85"/>
      <c r="AX61" s="85"/>
      <c r="AY61" s="85"/>
      <c r="AZ61" s="85"/>
      <c r="BA61" s="85"/>
      <c r="BB61" s="85"/>
      <c r="BC61" s="85"/>
      <c r="BD61" s="85"/>
      <c r="BE61" s="85"/>
      <c r="BF61" s="85"/>
      <c r="BG61" s="85"/>
      <c r="BH61" s="85"/>
      <c r="BI61" s="85"/>
      <c r="BJ61" s="85"/>
      <c r="BK61" s="85"/>
      <c r="BL61" s="85"/>
      <c r="BM61" s="85"/>
      <c r="BN61" s="85"/>
      <c r="BO61" s="85"/>
      <c r="BP61" s="85"/>
      <c r="BQ61" s="85"/>
      <c r="BR61" s="85"/>
      <c r="BS61" s="85"/>
      <c r="BT61" s="85"/>
      <c r="BU61" s="85"/>
      <c r="BV61" s="85"/>
      <c r="BW61" s="85"/>
      <c r="BX61" s="85"/>
      <c r="BY61" s="85"/>
      <c r="BZ61" s="85"/>
      <c r="CA61" s="85"/>
      <c r="CB61" s="85"/>
      <c r="CC61" s="85"/>
      <c r="CD61" s="85"/>
      <c r="CE61" s="85"/>
      <c r="CF61" s="85"/>
      <c r="CG61" s="85"/>
      <c r="CH61" s="85"/>
      <c r="CI61" s="85"/>
      <c r="CJ61" s="85"/>
      <c r="CK61" s="85"/>
      <c r="CL61" s="85"/>
      <c r="CM61" s="85"/>
      <c r="CN61" s="79"/>
      <c r="CO61" s="79"/>
    </row>
    <row r="62" spans="2:93" s="69" customFormat="1" ht="15" customHeight="1">
      <c r="C62" s="2039" t="s">
        <v>13</v>
      </c>
      <c r="D62" s="463">
        <v>0</v>
      </c>
      <c r="E62" s="138">
        <v>0</v>
      </c>
      <c r="F62" s="138" t="s">
        <v>42</v>
      </c>
      <c r="G62" s="2043" t="s">
        <v>402</v>
      </c>
      <c r="H62" s="118">
        <f t="shared" ref="H62:H71" si="24">IF(ISNUMBER(I62),I62/12,0)</f>
        <v>0</v>
      </c>
      <c r="I62" s="118">
        <f t="shared" ref="I62:I71" si="25">IF(ISNUMBER(E62),IF(E62&gt;0,D62*E62,0),"")</f>
        <v>0</v>
      </c>
      <c r="J62" s="140">
        <v>0</v>
      </c>
      <c r="K62" s="118">
        <f ca="1">IF(ISNUMBER(L62),L62/12,"")</f>
        <v>0</v>
      </c>
      <c r="L62" s="118">
        <f t="shared" ref="L62:L71" ca="1" si="26">IF(ISNUMBER(I62),IF(F62="Y",FV($N$5,$O$5,0,I62*-1)+(J62*12),I62+(J62*12)),"")</f>
        <v>0</v>
      </c>
      <c r="M62" s="2310"/>
      <c r="N62" s="2311"/>
      <c r="O62" s="2311"/>
      <c r="P62" s="2311"/>
      <c r="R62" s="1181"/>
      <c r="S62" s="1304"/>
      <c r="T62" s="1295">
        <f t="shared" si="6"/>
        <v>53</v>
      </c>
      <c r="U62" s="1295">
        <f t="shared" si="7"/>
        <v>2086</v>
      </c>
      <c r="V62" s="1308">
        <f t="shared" si="5"/>
        <v>495761.18200378492</v>
      </c>
      <c r="W62" s="1308">
        <f t="shared" si="5"/>
        <v>117667.41314973266</v>
      </c>
      <c r="X62" s="1310"/>
      <c r="Y62" s="197"/>
      <c r="Z62" s="197"/>
      <c r="AA62" s="1311">
        <f t="shared" ca="1" si="22"/>
        <v>0</v>
      </c>
      <c r="AB62" s="1311">
        <f t="shared" si="23"/>
        <v>0</v>
      </c>
      <c r="AC62" s="197"/>
      <c r="AD62" s="197"/>
      <c r="AE62" s="197"/>
      <c r="AF62" s="1313"/>
      <c r="AG62" s="1256"/>
      <c r="AH62" s="1256"/>
      <c r="AI62" s="1256"/>
      <c r="AJ62" s="85"/>
      <c r="AK62" s="85"/>
      <c r="AL62" s="85"/>
      <c r="AM62" s="85"/>
      <c r="AN62" s="85"/>
      <c r="AO62" s="85"/>
      <c r="AP62" s="85"/>
      <c r="AQ62" s="85"/>
      <c r="AR62" s="85"/>
      <c r="AS62" s="85"/>
      <c r="AT62" s="85"/>
      <c r="AU62" s="85"/>
      <c r="AV62" s="85"/>
      <c r="AW62" s="85"/>
      <c r="AX62" s="85"/>
      <c r="AY62" s="85"/>
      <c r="AZ62" s="85"/>
      <c r="BA62" s="85"/>
      <c r="BB62" s="85"/>
      <c r="BC62" s="85"/>
      <c r="BD62" s="85"/>
      <c r="BE62" s="85"/>
      <c r="BF62" s="85"/>
      <c r="BG62" s="85"/>
      <c r="BH62" s="85"/>
      <c r="BI62" s="85"/>
      <c r="BJ62" s="85"/>
      <c r="BK62" s="85"/>
      <c r="BL62" s="85"/>
      <c r="BM62" s="85"/>
      <c r="BN62" s="85"/>
      <c r="BO62" s="85"/>
      <c r="BP62" s="85"/>
      <c r="BQ62" s="85"/>
      <c r="BR62" s="85"/>
      <c r="BS62" s="85"/>
      <c r="BT62" s="85"/>
      <c r="BU62" s="85"/>
      <c r="BV62" s="85"/>
      <c r="BW62" s="85"/>
      <c r="BX62" s="85"/>
      <c r="BY62" s="85"/>
      <c r="BZ62" s="85"/>
      <c r="CA62" s="85"/>
      <c r="CB62" s="85"/>
      <c r="CC62" s="85"/>
      <c r="CD62" s="85"/>
      <c r="CE62" s="85"/>
      <c r="CF62" s="85"/>
      <c r="CG62" s="85"/>
      <c r="CH62" s="85"/>
      <c r="CI62" s="85"/>
      <c r="CJ62" s="85"/>
      <c r="CK62" s="85"/>
      <c r="CL62" s="85"/>
      <c r="CM62" s="85"/>
      <c r="CN62" s="79"/>
      <c r="CO62" s="79"/>
    </row>
    <row r="63" spans="2:93" s="69" customFormat="1" ht="15" customHeight="1">
      <c r="C63" s="2040" t="s">
        <v>2290</v>
      </c>
      <c r="D63" s="464">
        <v>150</v>
      </c>
      <c r="E63" s="144">
        <v>12</v>
      </c>
      <c r="F63" s="144" t="s">
        <v>42</v>
      </c>
      <c r="G63" s="2042" t="s">
        <v>395</v>
      </c>
      <c r="H63" s="119">
        <f t="shared" si="24"/>
        <v>150</v>
      </c>
      <c r="I63" s="119">
        <f t="shared" si="25"/>
        <v>1800</v>
      </c>
      <c r="J63" s="145">
        <v>0</v>
      </c>
      <c r="K63" s="119">
        <f t="shared" ref="K63:K71" ca="1" si="27">IF(ISNUMBER(L63),L63/12,"")</f>
        <v>213.86413302692679</v>
      </c>
      <c r="L63" s="119">
        <f t="shared" ca="1" si="26"/>
        <v>2566.3695963231216</v>
      </c>
      <c r="M63" s="2312"/>
      <c r="N63" s="2313"/>
      <c r="O63" s="2313"/>
      <c r="P63" s="2313"/>
      <c r="R63" s="1181"/>
      <c r="S63" s="1304"/>
      <c r="T63" s="1295">
        <f t="shared" si="6"/>
        <v>54</v>
      </c>
      <c r="U63" s="1295">
        <f t="shared" si="7"/>
        <v>2087</v>
      </c>
      <c r="V63" s="1308">
        <f t="shared" si="5"/>
        <v>510634.01746389846</v>
      </c>
      <c r="W63" s="1308">
        <f t="shared" si="5"/>
        <v>121197.43554422465</v>
      </c>
      <c r="X63" s="1310"/>
      <c r="Y63" s="197"/>
      <c r="Z63" s="197"/>
      <c r="AA63" s="1311">
        <f t="shared" si="22"/>
        <v>0</v>
      </c>
      <c r="AB63" s="1311">
        <f t="shared" ca="1" si="23"/>
        <v>2566.3695963231216</v>
      </c>
      <c r="AC63" s="197"/>
      <c r="AD63" s="197"/>
      <c r="AE63" s="197"/>
      <c r="AF63" s="1313"/>
      <c r="AG63" s="1256"/>
      <c r="AH63" s="1256"/>
      <c r="AI63" s="1256"/>
      <c r="AJ63" s="85"/>
      <c r="AK63" s="85"/>
      <c r="AL63" s="85"/>
      <c r="AM63" s="85"/>
      <c r="AN63" s="85"/>
      <c r="AO63" s="85"/>
      <c r="AP63" s="85"/>
      <c r="AQ63" s="85"/>
      <c r="AR63" s="85"/>
      <c r="AS63" s="85"/>
      <c r="AT63" s="85"/>
      <c r="AU63" s="85"/>
      <c r="AV63" s="85"/>
      <c r="AW63" s="85"/>
      <c r="AX63" s="85"/>
      <c r="AY63" s="85"/>
      <c r="AZ63" s="85"/>
      <c r="BA63" s="85"/>
      <c r="BB63" s="85"/>
      <c r="BC63" s="85"/>
      <c r="BD63" s="85"/>
      <c r="BE63" s="85"/>
      <c r="BF63" s="85"/>
      <c r="BG63" s="85"/>
      <c r="BH63" s="85"/>
      <c r="BI63" s="85"/>
      <c r="BJ63" s="85"/>
      <c r="BK63" s="85"/>
      <c r="BL63" s="85"/>
      <c r="BM63" s="85"/>
      <c r="BN63" s="85"/>
      <c r="BO63" s="85"/>
      <c r="BP63" s="85"/>
      <c r="BQ63" s="85"/>
      <c r="BR63" s="85"/>
      <c r="BS63" s="85"/>
      <c r="BT63" s="85"/>
      <c r="BU63" s="85"/>
      <c r="BV63" s="85"/>
      <c r="BW63" s="85"/>
      <c r="BX63" s="85"/>
      <c r="BY63" s="85"/>
      <c r="BZ63" s="85"/>
      <c r="CA63" s="85"/>
      <c r="CB63" s="85"/>
      <c r="CC63" s="85"/>
      <c r="CD63" s="85"/>
      <c r="CE63" s="85"/>
      <c r="CF63" s="85"/>
      <c r="CG63" s="85"/>
      <c r="CH63" s="85"/>
      <c r="CI63" s="85"/>
      <c r="CJ63" s="85"/>
      <c r="CK63" s="85"/>
      <c r="CL63" s="85"/>
      <c r="CM63" s="85"/>
      <c r="CN63" s="79"/>
      <c r="CO63" s="79"/>
    </row>
    <row r="64" spans="2:93" s="69" customFormat="1" ht="15" customHeight="1">
      <c r="C64" s="2039" t="s">
        <v>14</v>
      </c>
      <c r="D64" s="463">
        <v>50</v>
      </c>
      <c r="E64" s="138">
        <v>12</v>
      </c>
      <c r="F64" s="138" t="s">
        <v>42</v>
      </c>
      <c r="G64" s="2043" t="s">
        <v>395</v>
      </c>
      <c r="H64" s="118">
        <f t="shared" si="24"/>
        <v>50</v>
      </c>
      <c r="I64" s="118">
        <f t="shared" si="25"/>
        <v>600</v>
      </c>
      <c r="J64" s="140">
        <v>0</v>
      </c>
      <c r="K64" s="118">
        <f t="shared" ca="1" si="27"/>
        <v>71.288044342308936</v>
      </c>
      <c r="L64" s="118">
        <f t="shared" ca="1" si="26"/>
        <v>855.45653210770718</v>
      </c>
      <c r="M64" s="2310"/>
      <c r="N64" s="2311"/>
      <c r="O64" s="2311"/>
      <c r="P64" s="2311"/>
      <c r="R64" s="1181"/>
      <c r="S64" s="1304"/>
      <c r="T64" s="1295">
        <f t="shared" si="6"/>
        <v>55</v>
      </c>
      <c r="U64" s="1295">
        <f t="shared" si="7"/>
        <v>2088</v>
      </c>
      <c r="V64" s="1308">
        <f t="shared" si="5"/>
        <v>525953.03798781545</v>
      </c>
      <c r="W64" s="1308">
        <f t="shared" si="5"/>
        <v>124833.35861055138</v>
      </c>
      <c r="X64" s="1310"/>
      <c r="Y64" s="197"/>
      <c r="Z64" s="197"/>
      <c r="AA64" s="1311">
        <f t="shared" si="22"/>
        <v>0</v>
      </c>
      <c r="AB64" s="1311">
        <f t="shared" ca="1" si="23"/>
        <v>855.45653210770718</v>
      </c>
      <c r="AC64" s="197"/>
      <c r="AD64" s="197"/>
      <c r="AE64" s="197"/>
      <c r="AF64" s="1313"/>
      <c r="AG64" s="1256"/>
      <c r="AH64" s="1256"/>
      <c r="AI64" s="1256"/>
      <c r="AJ64" s="85"/>
      <c r="AK64" s="85"/>
      <c r="AL64" s="85"/>
      <c r="AM64" s="85"/>
      <c r="AN64" s="85"/>
      <c r="AO64" s="85"/>
      <c r="AP64" s="85"/>
      <c r="AQ64" s="85"/>
      <c r="AR64" s="85"/>
      <c r="AS64" s="85"/>
      <c r="AT64" s="85"/>
      <c r="AU64" s="85"/>
      <c r="AV64" s="85"/>
      <c r="AW64" s="85"/>
      <c r="AX64" s="85"/>
      <c r="AY64" s="85"/>
      <c r="AZ64" s="85"/>
      <c r="BA64" s="85"/>
      <c r="BB64" s="85"/>
      <c r="BC64" s="85"/>
      <c r="BD64" s="85"/>
      <c r="BE64" s="85"/>
      <c r="BF64" s="85"/>
      <c r="BG64" s="85"/>
      <c r="BH64" s="85"/>
      <c r="BI64" s="85"/>
      <c r="BJ64" s="85"/>
      <c r="BK64" s="85"/>
      <c r="BL64" s="85"/>
      <c r="BM64" s="85"/>
      <c r="BN64" s="85"/>
      <c r="BO64" s="85"/>
      <c r="BP64" s="85"/>
      <c r="BQ64" s="85"/>
      <c r="BR64" s="85"/>
      <c r="BS64" s="85"/>
      <c r="BT64" s="85"/>
      <c r="BU64" s="85"/>
      <c r="BV64" s="85"/>
      <c r="BW64" s="85"/>
      <c r="BX64" s="85"/>
      <c r="BY64" s="85"/>
      <c r="BZ64" s="85"/>
      <c r="CA64" s="85"/>
      <c r="CB64" s="85"/>
      <c r="CC64" s="85"/>
      <c r="CD64" s="85"/>
      <c r="CE64" s="85"/>
      <c r="CF64" s="85"/>
      <c r="CG64" s="85"/>
      <c r="CH64" s="85"/>
      <c r="CI64" s="85"/>
      <c r="CJ64" s="85"/>
      <c r="CK64" s="85"/>
      <c r="CL64" s="85"/>
      <c r="CM64" s="85"/>
      <c r="CN64" s="79"/>
      <c r="CO64" s="79"/>
    </row>
    <row r="65" spans="2:93" s="69" customFormat="1" ht="15" customHeight="1">
      <c r="C65" s="2558" t="s">
        <v>12</v>
      </c>
      <c r="D65" s="464">
        <v>0</v>
      </c>
      <c r="E65" s="144">
        <v>0</v>
      </c>
      <c r="F65" s="2046" t="s">
        <v>42</v>
      </c>
      <c r="G65" s="146" t="s">
        <v>402</v>
      </c>
      <c r="H65" s="119">
        <f t="shared" si="24"/>
        <v>0</v>
      </c>
      <c r="I65" s="119">
        <f t="shared" si="25"/>
        <v>0</v>
      </c>
      <c r="J65" s="145">
        <v>0</v>
      </c>
      <c r="K65" s="119">
        <f t="shared" ca="1" si="27"/>
        <v>0</v>
      </c>
      <c r="L65" s="119">
        <f t="shared" ca="1" si="26"/>
        <v>0</v>
      </c>
      <c r="M65" s="2312"/>
      <c r="N65" s="2313"/>
      <c r="O65" s="2313"/>
      <c r="P65" s="2313"/>
      <c r="R65" s="1181"/>
      <c r="S65" s="1304"/>
      <c r="T65" s="1295">
        <f t="shared" si="6"/>
        <v>56</v>
      </c>
      <c r="U65" s="1295">
        <f t="shared" si="7"/>
        <v>2089</v>
      </c>
      <c r="V65" s="1308">
        <f t="shared" si="5"/>
        <v>541731.62912744994</v>
      </c>
      <c r="W65" s="1308">
        <f t="shared" si="5"/>
        <v>128578.35936886792</v>
      </c>
      <c r="X65" s="1310"/>
      <c r="Y65" s="197"/>
      <c r="Z65" s="197"/>
      <c r="AA65" s="1311">
        <f t="shared" ca="1" si="22"/>
        <v>0</v>
      </c>
      <c r="AB65" s="1311">
        <f t="shared" si="23"/>
        <v>0</v>
      </c>
      <c r="AC65" s="197"/>
      <c r="AD65" s="197"/>
      <c r="AE65" s="197"/>
      <c r="AF65" s="1313"/>
      <c r="AG65" s="1256"/>
      <c r="AH65" s="1256"/>
      <c r="AI65" s="1256"/>
      <c r="AJ65" s="85"/>
      <c r="AK65" s="85"/>
      <c r="AL65" s="85"/>
      <c r="AM65" s="85"/>
      <c r="AN65" s="85"/>
      <c r="AO65" s="85"/>
      <c r="AP65" s="85"/>
      <c r="AQ65" s="85"/>
      <c r="AR65" s="85"/>
      <c r="AS65" s="85"/>
      <c r="AT65" s="85"/>
      <c r="AU65" s="85"/>
      <c r="AV65" s="85"/>
      <c r="AW65" s="85"/>
      <c r="AX65" s="85"/>
      <c r="AY65" s="85"/>
      <c r="AZ65" s="85"/>
      <c r="BA65" s="85"/>
      <c r="BB65" s="85"/>
      <c r="BC65" s="85"/>
      <c r="BD65" s="85"/>
      <c r="BE65" s="85"/>
      <c r="BF65" s="85"/>
      <c r="BG65" s="85"/>
      <c r="BH65" s="85"/>
      <c r="BI65" s="85"/>
      <c r="BJ65" s="85"/>
      <c r="BK65" s="85"/>
      <c r="BL65" s="85"/>
      <c r="BM65" s="85"/>
      <c r="BN65" s="85"/>
      <c r="BO65" s="85"/>
      <c r="BP65" s="85"/>
      <c r="BQ65" s="85"/>
      <c r="BR65" s="85"/>
      <c r="BS65" s="85"/>
      <c r="BT65" s="85"/>
      <c r="BU65" s="85"/>
      <c r="BV65" s="85"/>
      <c r="BW65" s="85"/>
      <c r="BX65" s="85"/>
      <c r="BY65" s="85"/>
      <c r="BZ65" s="85"/>
      <c r="CA65" s="85"/>
      <c r="CB65" s="85"/>
      <c r="CC65" s="85"/>
      <c r="CD65" s="85"/>
      <c r="CE65" s="85"/>
      <c r="CF65" s="85"/>
      <c r="CG65" s="85"/>
      <c r="CH65" s="85"/>
      <c r="CI65" s="85"/>
      <c r="CJ65" s="85"/>
      <c r="CK65" s="85"/>
      <c r="CL65" s="85"/>
      <c r="CM65" s="85"/>
      <c r="CN65" s="79"/>
      <c r="CO65" s="79"/>
    </row>
    <row r="66" spans="2:93" s="69" customFormat="1" ht="15" customHeight="1">
      <c r="C66" s="2557" t="s">
        <v>2291</v>
      </c>
      <c r="D66" s="463">
        <v>80</v>
      </c>
      <c r="E66" s="138">
        <v>12</v>
      </c>
      <c r="F66" s="138" t="s">
        <v>42</v>
      </c>
      <c r="G66" s="142" t="s">
        <v>395</v>
      </c>
      <c r="H66" s="118">
        <f t="shared" si="24"/>
        <v>80</v>
      </c>
      <c r="I66" s="118">
        <f t="shared" si="25"/>
        <v>960</v>
      </c>
      <c r="J66" s="140">
        <v>0</v>
      </c>
      <c r="K66" s="118">
        <f t="shared" ca="1" si="27"/>
        <v>114.0608709476943</v>
      </c>
      <c r="L66" s="118">
        <f t="shared" ca="1" si="26"/>
        <v>1368.7304513723316</v>
      </c>
      <c r="M66" s="2310"/>
      <c r="N66" s="2311"/>
      <c r="O66" s="2311"/>
      <c r="P66" s="2311"/>
      <c r="R66" s="1181"/>
      <c r="S66" s="1304"/>
      <c r="T66" s="1295">
        <f t="shared" si="6"/>
        <v>57</v>
      </c>
      <c r="U66" s="1295">
        <f t="shared" si="7"/>
        <v>2090</v>
      </c>
      <c r="V66" s="1308">
        <f t="shared" si="5"/>
        <v>557983.57800127345</v>
      </c>
      <c r="W66" s="1308">
        <f t="shared" si="5"/>
        <v>132435.71014993396</v>
      </c>
      <c r="X66" s="1310"/>
      <c r="Y66" s="197"/>
      <c r="Z66" s="197"/>
      <c r="AA66" s="1311">
        <f t="shared" si="22"/>
        <v>0</v>
      </c>
      <c r="AB66" s="1311">
        <f t="shared" ca="1" si="23"/>
        <v>1368.7304513723316</v>
      </c>
      <c r="AC66" s="197"/>
      <c r="AD66" s="197"/>
      <c r="AE66" s="197"/>
      <c r="AF66" s="1313"/>
      <c r="AG66" s="1256"/>
      <c r="AH66" s="1256"/>
      <c r="AI66" s="1256"/>
      <c r="AJ66" s="85"/>
      <c r="AK66" s="85"/>
      <c r="AL66" s="85"/>
      <c r="AM66" s="85"/>
      <c r="AN66" s="85"/>
      <c r="AO66" s="85"/>
      <c r="AP66" s="85"/>
      <c r="AQ66" s="85"/>
      <c r="AR66" s="85"/>
      <c r="AS66" s="85"/>
      <c r="AT66" s="85"/>
      <c r="AU66" s="85"/>
      <c r="AV66" s="85"/>
      <c r="AW66" s="85"/>
      <c r="AX66" s="85"/>
      <c r="AY66" s="85"/>
      <c r="AZ66" s="85"/>
      <c r="BA66" s="85"/>
      <c r="BB66" s="85"/>
      <c r="BC66" s="85"/>
      <c r="BD66" s="85"/>
      <c r="BE66" s="85"/>
      <c r="BF66" s="85"/>
      <c r="BG66" s="85"/>
      <c r="BH66" s="85"/>
      <c r="BI66" s="85"/>
      <c r="BJ66" s="85"/>
      <c r="BK66" s="85"/>
      <c r="BL66" s="85"/>
      <c r="BM66" s="85"/>
      <c r="BN66" s="85"/>
      <c r="BO66" s="85"/>
      <c r="BP66" s="85"/>
      <c r="BQ66" s="85"/>
      <c r="BR66" s="85"/>
      <c r="BS66" s="85"/>
      <c r="BT66" s="85"/>
      <c r="BU66" s="85"/>
      <c r="BV66" s="85"/>
      <c r="BW66" s="85"/>
      <c r="BX66" s="85"/>
      <c r="BY66" s="85"/>
      <c r="BZ66" s="85"/>
      <c r="CA66" s="85"/>
      <c r="CB66" s="85"/>
      <c r="CC66" s="85"/>
      <c r="CD66" s="85"/>
      <c r="CE66" s="85"/>
      <c r="CF66" s="85"/>
      <c r="CG66" s="85"/>
      <c r="CH66" s="85"/>
      <c r="CI66" s="85"/>
      <c r="CJ66" s="85"/>
      <c r="CK66" s="85"/>
      <c r="CL66" s="85"/>
      <c r="CM66" s="85"/>
      <c r="CN66" s="79"/>
      <c r="CO66" s="79"/>
    </row>
    <row r="67" spans="2:93" s="69" customFormat="1" ht="15" customHeight="1">
      <c r="C67" s="2558" t="s">
        <v>15</v>
      </c>
      <c r="D67" s="464">
        <v>45</v>
      </c>
      <c r="E67" s="144">
        <v>12</v>
      </c>
      <c r="F67" s="144" t="s">
        <v>42</v>
      </c>
      <c r="G67" s="146" t="s">
        <v>395</v>
      </c>
      <c r="H67" s="119">
        <f t="shared" si="24"/>
        <v>45</v>
      </c>
      <c r="I67" s="119">
        <f t="shared" si="25"/>
        <v>540</v>
      </c>
      <c r="J67" s="145">
        <v>0</v>
      </c>
      <c r="K67" s="119">
        <f t="shared" ca="1" si="27"/>
        <v>64.159239908078035</v>
      </c>
      <c r="L67" s="119">
        <f t="shared" ca="1" si="26"/>
        <v>769.91087889693642</v>
      </c>
      <c r="M67" s="2312"/>
      <c r="N67" s="2313"/>
      <c r="O67" s="2313"/>
      <c r="P67" s="2313"/>
      <c r="R67" s="1181"/>
      <c r="S67" s="1304"/>
      <c r="T67" s="1295">
        <f t="shared" si="6"/>
        <v>58</v>
      </c>
      <c r="U67" s="1295">
        <f t="shared" si="7"/>
        <v>2091</v>
      </c>
      <c r="V67" s="1308">
        <f t="shared" si="5"/>
        <v>574723.08534131164</v>
      </c>
      <c r="W67" s="1308">
        <f t="shared" si="5"/>
        <v>136408.78145443197</v>
      </c>
      <c r="X67" s="1310"/>
      <c r="Y67" s="197"/>
      <c r="Z67" s="197"/>
      <c r="AA67" s="1311">
        <f t="shared" si="22"/>
        <v>0</v>
      </c>
      <c r="AB67" s="1311">
        <f t="shared" ca="1" si="23"/>
        <v>769.91087889693642</v>
      </c>
      <c r="AC67" s="197"/>
      <c r="AD67" s="197"/>
      <c r="AE67" s="197"/>
      <c r="AF67" s="1313"/>
      <c r="AG67" s="1256"/>
      <c r="AH67" s="1256"/>
      <c r="AI67" s="1256"/>
      <c r="AJ67" s="85"/>
      <c r="AK67" s="85"/>
      <c r="AL67" s="85"/>
      <c r="AM67" s="85"/>
      <c r="AN67" s="85"/>
      <c r="AO67" s="85"/>
      <c r="AP67" s="85"/>
      <c r="AQ67" s="85"/>
      <c r="AR67" s="85"/>
      <c r="AS67" s="85"/>
      <c r="AT67" s="85"/>
      <c r="AU67" s="85"/>
      <c r="AV67" s="85"/>
      <c r="AW67" s="85"/>
      <c r="AX67" s="85"/>
      <c r="AY67" s="85"/>
      <c r="AZ67" s="85"/>
      <c r="BA67" s="85"/>
      <c r="BB67" s="85"/>
      <c r="BC67" s="85"/>
      <c r="BD67" s="85"/>
      <c r="BE67" s="85"/>
      <c r="BF67" s="85"/>
      <c r="BG67" s="85"/>
      <c r="BH67" s="85"/>
      <c r="BI67" s="85"/>
      <c r="BJ67" s="85"/>
      <c r="BK67" s="85"/>
      <c r="BL67" s="85"/>
      <c r="BM67" s="85"/>
      <c r="BN67" s="85"/>
      <c r="BO67" s="85"/>
      <c r="BP67" s="85"/>
      <c r="BQ67" s="85"/>
      <c r="BR67" s="85"/>
      <c r="BS67" s="85"/>
      <c r="BT67" s="85"/>
      <c r="BU67" s="85"/>
      <c r="BV67" s="85"/>
      <c r="BW67" s="85"/>
      <c r="BX67" s="85"/>
      <c r="BY67" s="85"/>
      <c r="BZ67" s="85"/>
      <c r="CA67" s="85"/>
      <c r="CB67" s="85"/>
      <c r="CC67" s="85"/>
      <c r="CD67" s="85"/>
      <c r="CE67" s="85"/>
      <c r="CF67" s="85"/>
      <c r="CG67" s="85"/>
      <c r="CH67" s="85"/>
      <c r="CI67" s="85"/>
      <c r="CJ67" s="85"/>
      <c r="CK67" s="85"/>
      <c r="CL67" s="85"/>
      <c r="CM67" s="85"/>
      <c r="CN67" s="79"/>
      <c r="CO67" s="79"/>
    </row>
    <row r="68" spans="2:93" s="69" customFormat="1" ht="15" customHeight="1">
      <c r="C68" s="2039" t="s">
        <v>16</v>
      </c>
      <c r="D68" s="463">
        <v>25</v>
      </c>
      <c r="E68" s="138">
        <v>12</v>
      </c>
      <c r="F68" s="138" t="s">
        <v>42</v>
      </c>
      <c r="G68" s="142" t="s">
        <v>395</v>
      </c>
      <c r="H68" s="118">
        <f t="shared" si="24"/>
        <v>25</v>
      </c>
      <c r="I68" s="118">
        <f t="shared" si="25"/>
        <v>300</v>
      </c>
      <c r="J68" s="140">
        <v>0</v>
      </c>
      <c r="K68" s="118">
        <f t="shared" ca="1" si="27"/>
        <v>35.644022171154468</v>
      </c>
      <c r="L68" s="118">
        <f t="shared" ca="1" si="26"/>
        <v>427.72826605385359</v>
      </c>
      <c r="M68" s="2310"/>
      <c r="N68" s="2311"/>
      <c r="O68" s="2311"/>
      <c r="P68" s="2311"/>
      <c r="R68" s="1181"/>
      <c r="S68" s="1304"/>
      <c r="T68" s="1295">
        <f t="shared" si="6"/>
        <v>59</v>
      </c>
      <c r="U68" s="1295">
        <f t="shared" si="7"/>
        <v>2092</v>
      </c>
      <c r="V68" s="1308">
        <f t="shared" si="5"/>
        <v>591964.77790155099</v>
      </c>
      <c r="W68" s="1308">
        <f t="shared" si="5"/>
        <v>140501.04489806492</v>
      </c>
      <c r="X68" s="1310"/>
      <c r="Y68" s="197"/>
      <c r="Z68" s="197"/>
      <c r="AA68" s="1311">
        <f t="shared" si="22"/>
        <v>0</v>
      </c>
      <c r="AB68" s="1311">
        <f t="shared" ca="1" si="23"/>
        <v>427.72826605385359</v>
      </c>
      <c r="AC68" s="197"/>
      <c r="AD68" s="197"/>
      <c r="AE68" s="197"/>
      <c r="AF68" s="1313"/>
      <c r="AG68" s="1256"/>
      <c r="AH68" s="1256"/>
      <c r="AI68" s="1256"/>
      <c r="AJ68" s="85"/>
      <c r="AK68" s="85"/>
      <c r="AL68" s="85"/>
      <c r="AM68" s="85"/>
      <c r="AN68" s="85"/>
      <c r="AO68" s="85"/>
      <c r="AP68" s="85"/>
      <c r="AQ68" s="85"/>
      <c r="AR68" s="85"/>
      <c r="AS68" s="85"/>
      <c r="AT68" s="85"/>
      <c r="AU68" s="85"/>
      <c r="AV68" s="85"/>
      <c r="AW68" s="85"/>
      <c r="AX68" s="85"/>
      <c r="AY68" s="85"/>
      <c r="AZ68" s="85"/>
      <c r="BA68" s="85"/>
      <c r="BB68" s="85"/>
      <c r="BC68" s="85"/>
      <c r="BD68" s="85"/>
      <c r="BE68" s="85"/>
      <c r="BF68" s="85"/>
      <c r="BG68" s="85"/>
      <c r="BH68" s="85"/>
      <c r="BI68" s="85"/>
      <c r="BJ68" s="85"/>
      <c r="BK68" s="85"/>
      <c r="BL68" s="85"/>
      <c r="BM68" s="85"/>
      <c r="BN68" s="85"/>
      <c r="BO68" s="85"/>
      <c r="BP68" s="85"/>
      <c r="BQ68" s="85"/>
      <c r="BR68" s="85"/>
      <c r="BS68" s="85"/>
      <c r="BT68" s="85"/>
      <c r="BU68" s="85"/>
      <c r="BV68" s="85"/>
      <c r="BW68" s="85"/>
      <c r="BX68" s="85"/>
      <c r="BY68" s="85"/>
      <c r="BZ68" s="85"/>
      <c r="CA68" s="85"/>
      <c r="CB68" s="85"/>
      <c r="CC68" s="85"/>
      <c r="CD68" s="85"/>
      <c r="CE68" s="85"/>
      <c r="CF68" s="85"/>
      <c r="CG68" s="85"/>
      <c r="CH68" s="85"/>
      <c r="CI68" s="85"/>
      <c r="CJ68" s="85"/>
      <c r="CK68" s="85"/>
      <c r="CL68" s="85"/>
      <c r="CM68" s="85"/>
      <c r="CN68" s="79"/>
      <c r="CO68" s="79"/>
    </row>
    <row r="69" spans="2:93" s="69" customFormat="1" ht="15" customHeight="1">
      <c r="C69" s="1581" t="s">
        <v>17</v>
      </c>
      <c r="D69" s="464">
        <v>45</v>
      </c>
      <c r="E69" s="144">
        <v>12</v>
      </c>
      <c r="F69" s="144" t="s">
        <v>42</v>
      </c>
      <c r="G69" s="2042" t="s">
        <v>395</v>
      </c>
      <c r="H69" s="119">
        <f t="shared" si="24"/>
        <v>45</v>
      </c>
      <c r="I69" s="119">
        <f t="shared" si="25"/>
        <v>540</v>
      </c>
      <c r="J69" s="145">
        <v>0</v>
      </c>
      <c r="K69" s="119">
        <f t="shared" ca="1" si="27"/>
        <v>64.159239908078035</v>
      </c>
      <c r="L69" s="119">
        <f t="shared" ca="1" si="26"/>
        <v>769.91087889693642</v>
      </c>
      <c r="M69" s="2312"/>
      <c r="N69" s="2313"/>
      <c r="O69" s="2313"/>
      <c r="P69" s="2313"/>
      <c r="R69" s="1181"/>
      <c r="S69" s="1304"/>
      <c r="T69" s="1295">
        <f t="shared" si="6"/>
        <v>60</v>
      </c>
      <c r="U69" s="1295">
        <f t="shared" si="7"/>
        <v>2093</v>
      </c>
      <c r="V69" s="1308">
        <f t="shared" si="5"/>
        <v>609723.72123859753</v>
      </c>
      <c r="W69" s="1308">
        <f t="shared" si="5"/>
        <v>144716.07624500687</v>
      </c>
      <c r="X69" s="1310"/>
      <c r="Y69" s="197"/>
      <c r="Z69" s="197"/>
      <c r="AA69" s="1311">
        <f t="shared" si="22"/>
        <v>0</v>
      </c>
      <c r="AB69" s="1311">
        <f t="shared" ca="1" si="23"/>
        <v>769.91087889693642</v>
      </c>
      <c r="AC69" s="197"/>
      <c r="AD69" s="197"/>
      <c r="AE69" s="197"/>
      <c r="AF69" s="1313"/>
      <c r="AG69" s="1256"/>
      <c r="AH69" s="1256"/>
      <c r="AI69" s="1256"/>
      <c r="AJ69" s="85"/>
      <c r="AK69" s="85"/>
      <c r="AL69" s="85"/>
      <c r="AM69" s="85"/>
      <c r="AN69" s="85"/>
      <c r="AO69" s="85"/>
      <c r="AP69" s="85"/>
      <c r="AQ69" s="85"/>
      <c r="AR69" s="85"/>
      <c r="AS69" s="85"/>
      <c r="AT69" s="85"/>
      <c r="AU69" s="85"/>
      <c r="AV69" s="85"/>
      <c r="AW69" s="85"/>
      <c r="AX69" s="85"/>
      <c r="AY69" s="85"/>
      <c r="AZ69" s="85"/>
      <c r="BA69" s="85"/>
      <c r="BB69" s="85"/>
      <c r="BC69" s="85"/>
      <c r="BD69" s="85"/>
      <c r="BE69" s="85"/>
      <c r="BF69" s="85"/>
      <c r="BG69" s="85"/>
      <c r="BH69" s="85"/>
      <c r="BI69" s="85"/>
      <c r="BJ69" s="85"/>
      <c r="BK69" s="85"/>
      <c r="BL69" s="85"/>
      <c r="BM69" s="85"/>
      <c r="BN69" s="85"/>
      <c r="BO69" s="85"/>
      <c r="BP69" s="85"/>
      <c r="BQ69" s="85"/>
      <c r="BR69" s="85"/>
      <c r="BS69" s="85"/>
      <c r="BT69" s="85"/>
      <c r="BU69" s="85"/>
      <c r="BV69" s="85"/>
      <c r="BW69" s="85"/>
      <c r="BX69" s="85"/>
      <c r="BY69" s="85"/>
      <c r="BZ69" s="85"/>
      <c r="CA69" s="85"/>
      <c r="CB69" s="85"/>
      <c r="CC69" s="85"/>
      <c r="CD69" s="85"/>
      <c r="CE69" s="85"/>
      <c r="CF69" s="85"/>
      <c r="CG69" s="85"/>
      <c r="CH69" s="85"/>
      <c r="CI69" s="85"/>
      <c r="CJ69" s="85"/>
      <c r="CK69" s="85"/>
      <c r="CL69" s="85"/>
      <c r="CM69" s="85"/>
      <c r="CN69" s="79"/>
      <c r="CO69" s="79"/>
    </row>
    <row r="70" spans="2:93" s="69" customFormat="1" ht="15" customHeight="1">
      <c r="C70" s="1580" t="s">
        <v>34</v>
      </c>
      <c r="D70" s="463">
        <v>125</v>
      </c>
      <c r="E70" s="138">
        <v>12</v>
      </c>
      <c r="F70" s="138" t="s">
        <v>42</v>
      </c>
      <c r="G70" s="2043" t="s">
        <v>395</v>
      </c>
      <c r="H70" s="118">
        <f t="shared" si="24"/>
        <v>125</v>
      </c>
      <c r="I70" s="118">
        <f t="shared" si="25"/>
        <v>1500</v>
      </c>
      <c r="J70" s="140">
        <v>0</v>
      </c>
      <c r="K70" s="118">
        <f t="shared" ca="1" si="27"/>
        <v>178.22011085577233</v>
      </c>
      <c r="L70" s="118">
        <f t="shared" ca="1" si="26"/>
        <v>2138.6413302692681</v>
      </c>
      <c r="M70" s="2310"/>
      <c r="N70" s="2311"/>
      <c r="O70" s="2311"/>
      <c r="P70" s="2311"/>
      <c r="R70" s="1181"/>
      <c r="S70" s="1304"/>
      <c r="T70" s="1295">
        <f t="shared" si="6"/>
        <v>61</v>
      </c>
      <c r="U70" s="1295">
        <f t="shared" si="7"/>
        <v>2094</v>
      </c>
      <c r="V70" s="1308">
        <f t="shared" si="5"/>
        <v>628015.43287575548</v>
      </c>
      <c r="W70" s="1308">
        <f t="shared" si="5"/>
        <v>149057.55853235707</v>
      </c>
      <c r="X70" s="1310"/>
      <c r="Y70" s="197"/>
      <c r="Z70" s="197"/>
      <c r="AA70" s="1311">
        <f t="shared" si="22"/>
        <v>0</v>
      </c>
      <c r="AB70" s="1311">
        <f t="shared" ca="1" si="23"/>
        <v>2138.6413302692681</v>
      </c>
      <c r="AC70" s="197"/>
      <c r="AD70" s="197"/>
      <c r="AE70" s="197"/>
      <c r="AF70" s="1313"/>
      <c r="AG70" s="1256"/>
      <c r="AH70" s="1256"/>
      <c r="AI70" s="1256"/>
      <c r="AJ70" s="85"/>
      <c r="AK70" s="85"/>
      <c r="AL70" s="85"/>
      <c r="AM70" s="85"/>
      <c r="AN70" s="85"/>
      <c r="AO70" s="85"/>
      <c r="AP70" s="85"/>
      <c r="AQ70" s="85"/>
      <c r="AR70" s="85"/>
      <c r="AS70" s="85"/>
      <c r="AT70" s="85"/>
      <c r="AU70" s="85"/>
      <c r="AV70" s="85"/>
      <c r="AW70" s="85"/>
      <c r="AX70" s="85"/>
      <c r="AY70" s="85"/>
      <c r="AZ70" s="85"/>
      <c r="BA70" s="85"/>
      <c r="BB70" s="85"/>
      <c r="BC70" s="85"/>
      <c r="BD70" s="85"/>
      <c r="BE70" s="85"/>
      <c r="BF70" s="85"/>
      <c r="BG70" s="85"/>
      <c r="BH70" s="85"/>
      <c r="BI70" s="85"/>
      <c r="BJ70" s="85"/>
      <c r="BK70" s="85"/>
      <c r="BL70" s="85"/>
      <c r="BM70" s="85"/>
      <c r="BN70" s="85"/>
      <c r="BO70" s="85"/>
      <c r="BP70" s="85"/>
      <c r="BQ70" s="85"/>
      <c r="BR70" s="85"/>
      <c r="BS70" s="85"/>
      <c r="BT70" s="85"/>
      <c r="BU70" s="85"/>
      <c r="BV70" s="85"/>
      <c r="BW70" s="85"/>
      <c r="BX70" s="85"/>
      <c r="BY70" s="85"/>
      <c r="BZ70" s="85"/>
      <c r="CA70" s="85"/>
      <c r="CB70" s="85"/>
      <c r="CC70" s="85"/>
      <c r="CD70" s="85"/>
      <c r="CE70" s="85"/>
      <c r="CF70" s="85"/>
      <c r="CG70" s="85"/>
      <c r="CH70" s="85"/>
      <c r="CI70" s="85"/>
      <c r="CJ70" s="85"/>
      <c r="CK70" s="85"/>
      <c r="CL70" s="85"/>
      <c r="CM70" s="85"/>
      <c r="CN70" s="79"/>
      <c r="CO70" s="79"/>
    </row>
    <row r="71" spans="2:93" s="69" customFormat="1" ht="15" customHeight="1">
      <c r="C71" s="2567" t="s">
        <v>12</v>
      </c>
      <c r="D71" s="465">
        <v>0</v>
      </c>
      <c r="E71" s="154">
        <v>0</v>
      </c>
      <c r="F71" s="2041" t="s">
        <v>43</v>
      </c>
      <c r="G71" s="2566" t="s">
        <v>402</v>
      </c>
      <c r="H71" s="254">
        <f t="shared" si="24"/>
        <v>0</v>
      </c>
      <c r="I71" s="156">
        <f t="shared" si="25"/>
        <v>0</v>
      </c>
      <c r="J71" s="155">
        <v>0</v>
      </c>
      <c r="K71" s="156">
        <f t="shared" si="27"/>
        <v>0</v>
      </c>
      <c r="L71" s="156">
        <f t="shared" si="26"/>
        <v>0</v>
      </c>
      <c r="M71" s="2316"/>
      <c r="N71" s="2317"/>
      <c r="O71" s="2317"/>
      <c r="P71" s="2317"/>
      <c r="R71" s="1181"/>
      <c r="S71" s="1304"/>
      <c r="T71" s="1295">
        <f t="shared" si="6"/>
        <v>62</v>
      </c>
      <c r="U71" s="1295">
        <f t="shared" si="7"/>
        <v>2095</v>
      </c>
      <c r="V71" s="1308">
        <f t="shared" si="5"/>
        <v>646855.89586202812</v>
      </c>
      <c r="W71" s="1308">
        <f t="shared" si="5"/>
        <v>153529.28528832778</v>
      </c>
      <c r="X71" s="1310"/>
      <c r="Y71" s="197"/>
      <c r="Z71" s="197"/>
      <c r="AA71" s="1311">
        <f t="shared" si="22"/>
        <v>0</v>
      </c>
      <c r="AB71" s="1311">
        <f t="shared" si="23"/>
        <v>0</v>
      </c>
      <c r="AC71" s="197"/>
      <c r="AD71" s="197"/>
      <c r="AE71" s="197"/>
      <c r="AF71" s="1313"/>
      <c r="AG71" s="1256"/>
      <c r="AH71" s="1256"/>
      <c r="AI71" s="1256"/>
      <c r="AJ71" s="85"/>
      <c r="AK71" s="85"/>
      <c r="AL71" s="85"/>
      <c r="AM71" s="85"/>
      <c r="AN71" s="85"/>
      <c r="AO71" s="85"/>
      <c r="AP71" s="85"/>
      <c r="AQ71" s="85"/>
      <c r="AR71" s="85"/>
      <c r="AS71" s="85"/>
      <c r="AT71" s="85"/>
      <c r="AU71" s="85"/>
      <c r="AV71" s="85"/>
      <c r="AW71" s="85"/>
      <c r="AX71" s="85"/>
      <c r="AY71" s="85"/>
      <c r="AZ71" s="85"/>
      <c r="BA71" s="85"/>
      <c r="BB71" s="85"/>
      <c r="BC71" s="85"/>
      <c r="BD71" s="85"/>
      <c r="BE71" s="85"/>
      <c r="BF71" s="85"/>
      <c r="BG71" s="85"/>
      <c r="BH71" s="85"/>
      <c r="BI71" s="85"/>
      <c r="BJ71" s="85"/>
      <c r="BK71" s="85"/>
      <c r="BL71" s="85"/>
      <c r="BM71" s="85"/>
      <c r="BN71" s="85"/>
      <c r="BO71" s="85"/>
      <c r="BP71" s="85"/>
      <c r="BQ71" s="85"/>
      <c r="BR71" s="85"/>
      <c r="BS71" s="85"/>
      <c r="BT71" s="85"/>
      <c r="BU71" s="85"/>
      <c r="BV71" s="85"/>
      <c r="BW71" s="85"/>
      <c r="BX71" s="85"/>
      <c r="BY71" s="85"/>
      <c r="BZ71" s="85"/>
      <c r="CA71" s="85"/>
      <c r="CB71" s="85"/>
      <c r="CC71" s="85"/>
      <c r="CD71" s="85"/>
      <c r="CE71" s="85"/>
      <c r="CF71" s="85"/>
      <c r="CG71" s="85"/>
      <c r="CH71" s="85"/>
      <c r="CI71" s="85"/>
      <c r="CJ71" s="85"/>
      <c r="CK71" s="85"/>
      <c r="CL71" s="85"/>
      <c r="CM71" s="85"/>
      <c r="CN71" s="79"/>
      <c r="CO71" s="79"/>
    </row>
    <row r="72" spans="2:93" s="69" customFormat="1" ht="25" customHeight="1">
      <c r="C72" s="135"/>
      <c r="D72" s="150"/>
      <c r="E72" s="150"/>
      <c r="F72" s="70"/>
      <c r="G72" s="157"/>
      <c r="H72" s="123">
        <f>SUM(H62:H71)</f>
        <v>520</v>
      </c>
      <c r="I72" s="123">
        <f>SUM(I62:I71)</f>
        <v>6240</v>
      </c>
      <c r="J72" s="157"/>
      <c r="K72" s="123">
        <f ca="1">SUM(K62:K71)</f>
        <v>741.39566116001288</v>
      </c>
      <c r="L72" s="123">
        <f ca="1">SUM(L62:L71)</f>
        <v>8896.7479339201545</v>
      </c>
      <c r="M72" s="479"/>
      <c r="N72" s="479"/>
      <c r="O72" s="479"/>
      <c r="P72" s="479"/>
      <c r="R72" s="1181"/>
      <c r="S72" s="1304"/>
      <c r="T72" s="1295">
        <f t="shared" si="6"/>
        <v>63</v>
      </c>
      <c r="U72" s="1295">
        <f t="shared" si="7"/>
        <v>2096</v>
      </c>
      <c r="V72" s="1308">
        <f t="shared" si="5"/>
        <v>666261.57273788902</v>
      </c>
      <c r="W72" s="1308">
        <f t="shared" si="5"/>
        <v>158135.16384697761</v>
      </c>
      <c r="X72" s="1310"/>
      <c r="Y72" s="197"/>
      <c r="Z72" s="197"/>
      <c r="AA72" s="1311">
        <f t="shared" si="22"/>
        <v>0</v>
      </c>
      <c r="AB72" s="1311">
        <f t="shared" si="23"/>
        <v>0</v>
      </c>
      <c r="AC72" s="197"/>
      <c r="AD72" s="197"/>
      <c r="AE72" s="197"/>
      <c r="AF72" s="1313"/>
      <c r="AG72" s="1256"/>
      <c r="AH72" s="1256"/>
      <c r="AI72" s="1256"/>
      <c r="AJ72" s="85"/>
      <c r="AK72" s="85"/>
      <c r="AL72" s="85"/>
      <c r="AM72" s="85"/>
      <c r="AN72" s="85"/>
      <c r="AO72" s="85"/>
      <c r="AP72" s="85"/>
      <c r="AQ72" s="85"/>
      <c r="AR72" s="85"/>
      <c r="AS72" s="85"/>
      <c r="AT72" s="85"/>
      <c r="AU72" s="85"/>
      <c r="AV72" s="85"/>
      <c r="AW72" s="85"/>
      <c r="AX72" s="85"/>
      <c r="AY72" s="85"/>
      <c r="AZ72" s="85"/>
      <c r="BA72" s="85"/>
      <c r="BB72" s="85"/>
      <c r="BC72" s="85"/>
      <c r="BD72" s="85"/>
      <c r="BE72" s="85"/>
      <c r="BF72" s="85"/>
      <c r="BG72" s="85"/>
      <c r="BH72" s="85"/>
      <c r="BI72" s="85"/>
      <c r="BJ72" s="85"/>
      <c r="BK72" s="85"/>
      <c r="BL72" s="85"/>
      <c r="BM72" s="85"/>
      <c r="BN72" s="85"/>
      <c r="BO72" s="85"/>
      <c r="BP72" s="85"/>
      <c r="BQ72" s="85"/>
      <c r="BR72" s="85"/>
      <c r="BS72" s="85"/>
      <c r="BT72" s="85"/>
      <c r="BU72" s="85"/>
      <c r="BV72" s="85"/>
      <c r="BW72" s="85"/>
      <c r="BX72" s="85"/>
      <c r="BY72" s="85"/>
      <c r="BZ72" s="85"/>
      <c r="CA72" s="85"/>
      <c r="CB72" s="85"/>
      <c r="CC72" s="85"/>
      <c r="CD72" s="85"/>
      <c r="CE72" s="85"/>
      <c r="CF72" s="85"/>
      <c r="CG72" s="85"/>
      <c r="CH72" s="85"/>
      <c r="CI72" s="85"/>
      <c r="CJ72" s="85"/>
      <c r="CK72" s="85"/>
      <c r="CL72" s="85"/>
      <c r="CM72" s="85"/>
      <c r="CN72" s="79"/>
      <c r="CO72" s="79"/>
    </row>
    <row r="73" spans="2:93" s="69" customFormat="1" ht="18" customHeight="1">
      <c r="B73" s="2556" t="s">
        <v>2587</v>
      </c>
      <c r="C73" s="2324"/>
      <c r="D73" s="115"/>
      <c r="E73" s="114"/>
      <c r="F73" s="115"/>
      <c r="G73" s="115"/>
      <c r="H73" s="192"/>
      <c r="I73" s="192"/>
      <c r="J73" s="115"/>
      <c r="K73" s="192"/>
      <c r="L73" s="192"/>
      <c r="M73" s="478"/>
      <c r="N73" s="478"/>
      <c r="O73" s="478"/>
      <c r="P73" s="478"/>
      <c r="R73" s="1181"/>
      <c r="S73" s="1304"/>
      <c r="T73" s="1295">
        <f t="shared" si="6"/>
        <v>64</v>
      </c>
      <c r="U73" s="1295">
        <f t="shared" si="7"/>
        <v>2097</v>
      </c>
      <c r="V73" s="1308">
        <f t="shared" si="5"/>
        <v>686249.41992002563</v>
      </c>
      <c r="W73" s="1308">
        <f t="shared" si="5"/>
        <v>162879.21876238694</v>
      </c>
      <c r="X73" s="1310"/>
      <c r="Y73" s="197"/>
      <c r="Z73" s="197"/>
      <c r="AA73" s="1311">
        <f t="shared" si="22"/>
        <v>0</v>
      </c>
      <c r="AB73" s="1311">
        <f t="shared" si="23"/>
        <v>0</v>
      </c>
      <c r="AC73" s="197"/>
      <c r="AD73" s="197"/>
      <c r="AE73" s="197"/>
      <c r="AF73" s="1313"/>
      <c r="AG73" s="1256"/>
      <c r="AH73" s="1256"/>
      <c r="AI73" s="1256"/>
      <c r="AJ73" s="85"/>
      <c r="AK73" s="85"/>
      <c r="AL73" s="85"/>
      <c r="AM73" s="85"/>
      <c r="AN73" s="85"/>
      <c r="AO73" s="85"/>
      <c r="AP73" s="85"/>
      <c r="AQ73" s="85"/>
      <c r="AR73" s="85"/>
      <c r="AS73" s="85"/>
      <c r="AT73" s="85"/>
      <c r="AU73" s="85"/>
      <c r="AV73" s="85"/>
      <c r="AW73" s="85"/>
      <c r="AX73" s="85"/>
      <c r="AY73" s="85"/>
      <c r="AZ73" s="85"/>
      <c r="BA73" s="85"/>
      <c r="BB73" s="85"/>
      <c r="BC73" s="85"/>
      <c r="BD73" s="85"/>
      <c r="BE73" s="85"/>
      <c r="BF73" s="85"/>
      <c r="BG73" s="85"/>
      <c r="BH73" s="85"/>
      <c r="BI73" s="85"/>
      <c r="BJ73" s="85"/>
      <c r="BK73" s="85"/>
      <c r="BL73" s="85"/>
      <c r="BM73" s="85"/>
      <c r="BN73" s="85"/>
      <c r="BO73" s="85"/>
      <c r="BP73" s="85"/>
      <c r="BQ73" s="85"/>
      <c r="BR73" s="85"/>
      <c r="BS73" s="85"/>
      <c r="BT73" s="85"/>
      <c r="BU73" s="85"/>
      <c r="BV73" s="85"/>
      <c r="BW73" s="85"/>
      <c r="BX73" s="85"/>
      <c r="BY73" s="85"/>
      <c r="BZ73" s="85"/>
      <c r="CA73" s="85"/>
      <c r="CB73" s="85"/>
      <c r="CC73" s="85"/>
      <c r="CD73" s="85"/>
      <c r="CE73" s="85"/>
      <c r="CF73" s="85"/>
      <c r="CG73" s="85"/>
      <c r="CH73" s="85"/>
      <c r="CI73" s="85"/>
      <c r="CJ73" s="85"/>
      <c r="CK73" s="85"/>
      <c r="CL73" s="85"/>
      <c r="CM73" s="85"/>
      <c r="CN73" s="79"/>
      <c r="CO73" s="79"/>
    </row>
    <row r="74" spans="2:93" s="69" customFormat="1" ht="15" customHeight="1">
      <c r="C74" s="2039" t="s">
        <v>5</v>
      </c>
      <c r="D74" s="463">
        <v>200</v>
      </c>
      <c r="E74" s="138">
        <v>12</v>
      </c>
      <c r="F74" s="138" t="s">
        <v>42</v>
      </c>
      <c r="G74" s="2043" t="s">
        <v>395</v>
      </c>
      <c r="H74" s="118">
        <f t="shared" ref="H74:H84" si="28">IF(ISNUMBER(I74),I74/12,0)</f>
        <v>200</v>
      </c>
      <c r="I74" s="118">
        <f t="shared" ref="I74:I84" si="29">IF(ISNUMBER(E74),IF(E74&gt;0,D74*E74,0),"")</f>
        <v>2400</v>
      </c>
      <c r="J74" s="140">
        <v>0</v>
      </c>
      <c r="K74" s="118">
        <f t="shared" ref="K74:K84" ca="1" si="30">IF(ISNUMBER(L74),L74/12,"")</f>
        <v>285.15217736923574</v>
      </c>
      <c r="L74" s="118">
        <f t="shared" ref="L74:L84" ca="1" si="31">IF(ISNUMBER(I74),IF(F74="Y",FV($N$5,$O$5,0,I74*-1)+(J74*12),I74+(J74*12)),"")</f>
        <v>3421.8261284308287</v>
      </c>
      <c r="M74" s="2310"/>
      <c r="N74" s="2311"/>
      <c r="O74" s="2311"/>
      <c r="P74" s="2311"/>
      <c r="R74" s="1181"/>
      <c r="S74" s="1304"/>
      <c r="T74" s="1295">
        <f t="shared" si="6"/>
        <v>65</v>
      </c>
      <c r="U74" s="1295">
        <f t="shared" si="7"/>
        <v>2098</v>
      </c>
      <c r="V74" s="1308">
        <f t="shared" si="5"/>
        <v>706836.90251762641</v>
      </c>
      <c r="W74" s="1308">
        <f t="shared" si="5"/>
        <v>167765.59532525856</v>
      </c>
      <c r="X74" s="1310"/>
      <c r="Y74" s="197"/>
      <c r="Z74" s="197"/>
      <c r="AA74" s="1311">
        <f t="shared" si="22"/>
        <v>0</v>
      </c>
      <c r="AB74" s="1311">
        <f t="shared" ca="1" si="23"/>
        <v>3421.8261284308287</v>
      </c>
      <c r="AC74" s="197"/>
      <c r="AD74" s="197"/>
      <c r="AE74" s="197"/>
      <c r="AF74" s="1313"/>
      <c r="AG74" s="1256"/>
      <c r="AH74" s="1256"/>
      <c r="AI74" s="1256"/>
      <c r="AJ74" s="85"/>
      <c r="AK74" s="85"/>
      <c r="AL74" s="85"/>
      <c r="AM74" s="85"/>
      <c r="AN74" s="85"/>
      <c r="AO74" s="85"/>
      <c r="AP74" s="85"/>
      <c r="AQ74" s="85"/>
      <c r="AR74" s="85"/>
      <c r="AS74" s="85"/>
      <c r="AT74" s="85"/>
      <c r="AU74" s="85"/>
      <c r="AV74" s="85"/>
      <c r="AW74" s="85"/>
      <c r="AX74" s="85"/>
      <c r="AY74" s="85"/>
      <c r="AZ74" s="85"/>
      <c r="BA74" s="85"/>
      <c r="BB74" s="85"/>
      <c r="BC74" s="85"/>
      <c r="BD74" s="85"/>
      <c r="BE74" s="85"/>
      <c r="BF74" s="85"/>
      <c r="BG74" s="85"/>
      <c r="BH74" s="85"/>
      <c r="BI74" s="85"/>
      <c r="BJ74" s="85"/>
      <c r="BK74" s="85"/>
      <c r="BL74" s="85"/>
      <c r="BM74" s="85"/>
      <c r="BN74" s="85"/>
      <c r="BO74" s="85"/>
      <c r="BP74" s="85"/>
      <c r="BQ74" s="85"/>
      <c r="BR74" s="85"/>
      <c r="BS74" s="85"/>
      <c r="BT74" s="85"/>
      <c r="BU74" s="85"/>
      <c r="BV74" s="85"/>
      <c r="BW74" s="85"/>
      <c r="BX74" s="85"/>
      <c r="BY74" s="85"/>
      <c r="BZ74" s="85"/>
      <c r="CA74" s="85"/>
      <c r="CB74" s="85"/>
      <c r="CC74" s="85"/>
      <c r="CD74" s="85"/>
      <c r="CE74" s="85"/>
      <c r="CF74" s="85"/>
      <c r="CG74" s="85"/>
      <c r="CH74" s="85"/>
      <c r="CI74" s="85"/>
      <c r="CJ74" s="85"/>
      <c r="CK74" s="85"/>
      <c r="CL74" s="85"/>
      <c r="CM74" s="85"/>
      <c r="CN74" s="79"/>
      <c r="CO74" s="79"/>
    </row>
    <row r="75" spans="2:93" s="69" customFormat="1" ht="15" customHeight="1">
      <c r="C75" s="2040" t="s">
        <v>22</v>
      </c>
      <c r="D75" s="464">
        <v>50</v>
      </c>
      <c r="E75" s="144">
        <v>12</v>
      </c>
      <c r="F75" s="144" t="s">
        <v>42</v>
      </c>
      <c r="G75" s="2042" t="s">
        <v>395</v>
      </c>
      <c r="H75" s="119">
        <f t="shared" si="28"/>
        <v>50</v>
      </c>
      <c r="I75" s="119">
        <f t="shared" si="29"/>
        <v>600</v>
      </c>
      <c r="J75" s="145">
        <v>0</v>
      </c>
      <c r="K75" s="119">
        <f t="shared" ca="1" si="30"/>
        <v>71.288044342308936</v>
      </c>
      <c r="L75" s="119">
        <f t="shared" ca="1" si="31"/>
        <v>855.45653210770718</v>
      </c>
      <c r="M75" s="2312"/>
      <c r="N75" s="2313"/>
      <c r="O75" s="2313"/>
      <c r="P75" s="2313"/>
      <c r="R75" s="1181"/>
      <c r="S75" s="1304"/>
      <c r="T75" s="1295">
        <f t="shared" si="6"/>
        <v>66</v>
      </c>
      <c r="U75" s="1295">
        <f t="shared" si="7"/>
        <v>2099</v>
      </c>
      <c r="V75" s="1308">
        <f t="shared" ref="V75:W113" si="32">V74+(V74*$N$5)</f>
        <v>728042.00959315524</v>
      </c>
      <c r="W75" s="1308">
        <f t="shared" si="32"/>
        <v>172798.5631850163</v>
      </c>
      <c r="X75" s="1310"/>
      <c r="Y75" s="197"/>
      <c r="Z75" s="197"/>
      <c r="AA75" s="1311"/>
      <c r="AB75" s="1311"/>
      <c r="AC75" s="197"/>
      <c r="AD75" s="197"/>
      <c r="AE75" s="197"/>
      <c r="AF75" s="1313"/>
      <c r="AG75" s="1256"/>
      <c r="AH75" s="1256"/>
      <c r="AI75" s="1256"/>
      <c r="AJ75" s="85"/>
      <c r="AK75" s="85"/>
      <c r="AL75" s="85"/>
      <c r="AM75" s="85"/>
      <c r="AN75" s="85"/>
      <c r="AO75" s="85"/>
      <c r="AP75" s="85"/>
      <c r="AQ75" s="85"/>
      <c r="AR75" s="85"/>
      <c r="AS75" s="85"/>
      <c r="AT75" s="85"/>
      <c r="AU75" s="85"/>
      <c r="AV75" s="85"/>
      <c r="AW75" s="85"/>
      <c r="AX75" s="85"/>
      <c r="AY75" s="85"/>
      <c r="AZ75" s="85"/>
      <c r="BA75" s="85"/>
      <c r="BB75" s="85"/>
      <c r="BC75" s="85"/>
      <c r="BD75" s="85"/>
      <c r="BE75" s="85"/>
      <c r="BF75" s="85"/>
      <c r="BG75" s="85"/>
      <c r="BH75" s="85"/>
      <c r="BI75" s="85"/>
      <c r="BJ75" s="85"/>
      <c r="BK75" s="85"/>
      <c r="BL75" s="85"/>
      <c r="BM75" s="85"/>
      <c r="BN75" s="85"/>
      <c r="BO75" s="85"/>
      <c r="BP75" s="85"/>
      <c r="BQ75" s="85"/>
      <c r="BR75" s="85"/>
      <c r="BS75" s="85"/>
      <c r="BT75" s="85"/>
      <c r="BU75" s="85"/>
      <c r="BV75" s="85"/>
      <c r="BW75" s="85"/>
      <c r="BX75" s="85"/>
      <c r="BY75" s="85"/>
      <c r="BZ75" s="85"/>
      <c r="CA75" s="85"/>
      <c r="CB75" s="85"/>
      <c r="CC75" s="85"/>
      <c r="CD75" s="85"/>
      <c r="CE75" s="85"/>
      <c r="CF75" s="85"/>
      <c r="CG75" s="85"/>
      <c r="CH75" s="85"/>
      <c r="CI75" s="85"/>
      <c r="CJ75" s="85"/>
      <c r="CK75" s="85"/>
      <c r="CL75" s="85"/>
      <c r="CM75" s="85"/>
      <c r="CN75" s="79"/>
      <c r="CO75" s="79"/>
    </row>
    <row r="76" spans="2:93" s="69" customFormat="1" ht="15" customHeight="1">
      <c r="C76" s="2039" t="s">
        <v>22</v>
      </c>
      <c r="D76" s="463">
        <v>125</v>
      </c>
      <c r="E76" s="138">
        <v>9</v>
      </c>
      <c r="F76" s="138" t="s">
        <v>42</v>
      </c>
      <c r="G76" s="2043" t="s">
        <v>395</v>
      </c>
      <c r="H76" s="118">
        <f t="shared" si="28"/>
        <v>93.75</v>
      </c>
      <c r="I76" s="118">
        <f t="shared" si="29"/>
        <v>1125</v>
      </c>
      <c r="J76" s="140">
        <v>0</v>
      </c>
      <c r="K76" s="118">
        <f t="shared" ca="1" si="30"/>
        <v>133.66508314182923</v>
      </c>
      <c r="L76" s="118">
        <f t="shared" ca="1" si="31"/>
        <v>1603.9809977019509</v>
      </c>
      <c r="M76" s="2310"/>
      <c r="N76" s="2311"/>
      <c r="O76" s="2311"/>
      <c r="P76" s="2311"/>
      <c r="R76" s="1181"/>
      <c r="S76" s="1304"/>
      <c r="T76" s="1295">
        <f t="shared" ref="T76:U91" si="33">T75+1</f>
        <v>67</v>
      </c>
      <c r="U76" s="1295">
        <f t="shared" si="33"/>
        <v>2100</v>
      </c>
      <c r="V76" s="1308">
        <f t="shared" si="32"/>
        <v>749883.26988094987</v>
      </c>
      <c r="W76" s="1308">
        <f t="shared" si="32"/>
        <v>177982.52008056678</v>
      </c>
      <c r="X76" s="1310"/>
      <c r="Y76" s="197"/>
      <c r="Z76" s="197"/>
      <c r="AA76" s="1311"/>
      <c r="AB76" s="1311"/>
      <c r="AC76" s="197"/>
      <c r="AD76" s="197"/>
      <c r="AE76" s="197"/>
      <c r="AF76" s="1313"/>
      <c r="AG76" s="1256"/>
      <c r="AH76" s="1256"/>
      <c r="AI76" s="1256"/>
      <c r="AJ76" s="85"/>
      <c r="AK76" s="85"/>
      <c r="AL76" s="85"/>
      <c r="AM76" s="85"/>
      <c r="AN76" s="85"/>
      <c r="AO76" s="85"/>
      <c r="AP76" s="85"/>
      <c r="AQ76" s="85"/>
      <c r="AR76" s="85"/>
      <c r="AS76" s="85"/>
      <c r="AT76" s="85"/>
      <c r="AU76" s="85"/>
      <c r="AV76" s="85"/>
      <c r="AW76" s="85"/>
      <c r="AX76" s="85"/>
      <c r="AY76" s="85"/>
      <c r="AZ76" s="85"/>
      <c r="BA76" s="85"/>
      <c r="BB76" s="85"/>
      <c r="BC76" s="85"/>
      <c r="BD76" s="85"/>
      <c r="BE76" s="85"/>
      <c r="BF76" s="85"/>
      <c r="BG76" s="85"/>
      <c r="BH76" s="85"/>
      <c r="BI76" s="85"/>
      <c r="BJ76" s="85"/>
      <c r="BK76" s="85"/>
      <c r="BL76" s="85"/>
      <c r="BM76" s="85"/>
      <c r="BN76" s="85"/>
      <c r="BO76" s="85"/>
      <c r="BP76" s="85"/>
      <c r="BQ76" s="85"/>
      <c r="BR76" s="85"/>
      <c r="BS76" s="85"/>
      <c r="BT76" s="85"/>
      <c r="BU76" s="85"/>
      <c r="BV76" s="85"/>
      <c r="BW76" s="85"/>
      <c r="BX76" s="85"/>
      <c r="BY76" s="85"/>
      <c r="BZ76" s="85"/>
      <c r="CA76" s="85"/>
      <c r="CB76" s="85"/>
      <c r="CC76" s="85"/>
      <c r="CD76" s="85"/>
      <c r="CE76" s="85"/>
      <c r="CF76" s="85"/>
      <c r="CG76" s="85"/>
      <c r="CH76" s="85"/>
      <c r="CI76" s="85"/>
      <c r="CJ76" s="85"/>
      <c r="CK76" s="85"/>
      <c r="CL76" s="85"/>
      <c r="CM76" s="85"/>
      <c r="CN76" s="79"/>
      <c r="CO76" s="79"/>
    </row>
    <row r="77" spans="2:93" s="69" customFormat="1" ht="15" customHeight="1">
      <c r="C77" s="2558" t="s">
        <v>52</v>
      </c>
      <c r="D77" s="464">
        <v>130</v>
      </c>
      <c r="E77" s="144">
        <v>12</v>
      </c>
      <c r="F77" s="2046" t="s">
        <v>42</v>
      </c>
      <c r="G77" s="146" t="s">
        <v>402</v>
      </c>
      <c r="H77" s="119">
        <f t="shared" si="28"/>
        <v>130</v>
      </c>
      <c r="I77" s="119">
        <f t="shared" si="29"/>
        <v>1560</v>
      </c>
      <c r="J77" s="145">
        <v>0</v>
      </c>
      <c r="K77" s="119">
        <f t="shared" ca="1" si="30"/>
        <v>185.34891529000322</v>
      </c>
      <c r="L77" s="119">
        <f t="shared" ca="1" si="31"/>
        <v>2224.1869834800386</v>
      </c>
      <c r="M77" s="2312"/>
      <c r="N77" s="2313"/>
      <c r="O77" s="2313"/>
      <c r="P77" s="2313"/>
      <c r="R77" s="1181"/>
      <c r="S77" s="1304"/>
      <c r="T77" s="1295">
        <f t="shared" si="33"/>
        <v>68</v>
      </c>
      <c r="U77" s="1295">
        <f t="shared" si="33"/>
        <v>2101</v>
      </c>
      <c r="V77" s="1308">
        <f t="shared" si="32"/>
        <v>772379.76797737833</v>
      </c>
      <c r="W77" s="1308">
        <f t="shared" si="32"/>
        <v>183321.99568298378</v>
      </c>
      <c r="X77" s="1310"/>
      <c r="Y77" s="197"/>
      <c r="Z77" s="197"/>
      <c r="AA77" s="1311"/>
      <c r="AB77" s="1311"/>
      <c r="AC77" s="197"/>
      <c r="AD77" s="197"/>
      <c r="AE77" s="197"/>
      <c r="AF77" s="1313"/>
      <c r="AG77" s="1256"/>
      <c r="AH77" s="1256"/>
      <c r="AI77" s="1256"/>
      <c r="AJ77" s="85"/>
      <c r="AK77" s="85"/>
      <c r="AL77" s="85"/>
      <c r="AM77" s="85"/>
      <c r="AN77" s="85"/>
      <c r="AO77" s="85"/>
      <c r="AP77" s="85"/>
      <c r="AQ77" s="85"/>
      <c r="AR77" s="85"/>
      <c r="AS77" s="85"/>
      <c r="AT77" s="85"/>
      <c r="AU77" s="85"/>
      <c r="AV77" s="85"/>
      <c r="AW77" s="85"/>
      <c r="AX77" s="85"/>
      <c r="AY77" s="85"/>
      <c r="AZ77" s="85"/>
      <c r="BA77" s="85"/>
      <c r="BB77" s="85"/>
      <c r="BC77" s="85"/>
      <c r="BD77" s="85"/>
      <c r="BE77" s="85"/>
      <c r="BF77" s="85"/>
      <c r="BG77" s="85"/>
      <c r="BH77" s="85"/>
      <c r="BI77" s="85"/>
      <c r="BJ77" s="85"/>
      <c r="BK77" s="85"/>
      <c r="BL77" s="85"/>
      <c r="BM77" s="85"/>
      <c r="BN77" s="85"/>
      <c r="BO77" s="85"/>
      <c r="BP77" s="85"/>
      <c r="BQ77" s="85"/>
      <c r="BR77" s="85"/>
      <c r="BS77" s="85"/>
      <c r="BT77" s="85"/>
      <c r="BU77" s="85"/>
      <c r="BV77" s="85"/>
      <c r="BW77" s="85"/>
      <c r="BX77" s="85"/>
      <c r="BY77" s="85"/>
      <c r="BZ77" s="85"/>
      <c r="CA77" s="85"/>
      <c r="CB77" s="85"/>
      <c r="CC77" s="85"/>
      <c r="CD77" s="85"/>
      <c r="CE77" s="85"/>
      <c r="CF77" s="85"/>
      <c r="CG77" s="85"/>
      <c r="CH77" s="85"/>
      <c r="CI77" s="85"/>
      <c r="CJ77" s="85"/>
      <c r="CK77" s="85"/>
      <c r="CL77" s="85"/>
      <c r="CM77" s="85"/>
      <c r="CN77" s="79"/>
      <c r="CO77" s="79"/>
    </row>
    <row r="78" spans="2:93" s="69" customFormat="1" ht="15" customHeight="1">
      <c r="C78" s="2557" t="s">
        <v>274</v>
      </c>
      <c r="D78" s="463">
        <v>260</v>
      </c>
      <c r="E78" s="138">
        <v>12</v>
      </c>
      <c r="F78" s="138" t="s">
        <v>42</v>
      </c>
      <c r="G78" s="142" t="s">
        <v>402</v>
      </c>
      <c r="H78" s="118">
        <f t="shared" si="28"/>
        <v>260</v>
      </c>
      <c r="I78" s="118">
        <f t="shared" si="29"/>
        <v>3120</v>
      </c>
      <c r="J78" s="140">
        <v>0</v>
      </c>
      <c r="K78" s="118">
        <f t="shared" ca="1" si="30"/>
        <v>370.69783058000644</v>
      </c>
      <c r="L78" s="118">
        <f t="shared" ca="1" si="31"/>
        <v>4448.3739669600773</v>
      </c>
      <c r="M78" s="2310"/>
      <c r="N78" s="2311"/>
      <c r="O78" s="2311"/>
      <c r="P78" s="2311"/>
      <c r="R78" s="1181"/>
      <c r="S78" s="1304"/>
      <c r="T78" s="1295">
        <f t="shared" si="33"/>
        <v>69</v>
      </c>
      <c r="U78" s="1295">
        <f t="shared" si="33"/>
        <v>2102</v>
      </c>
      <c r="V78" s="1308">
        <f t="shared" si="32"/>
        <v>795551.16101669963</v>
      </c>
      <c r="W78" s="1308">
        <f t="shared" si="32"/>
        <v>188821.65555347328</v>
      </c>
      <c r="X78" s="1310"/>
      <c r="Y78" s="197"/>
      <c r="Z78" s="197"/>
      <c r="AA78" s="1311"/>
      <c r="AB78" s="1311"/>
      <c r="AC78" s="197"/>
      <c r="AD78" s="197"/>
      <c r="AE78" s="197"/>
      <c r="AF78" s="1313"/>
      <c r="AG78" s="1256"/>
      <c r="AH78" s="1256"/>
      <c r="AI78" s="1256"/>
      <c r="AJ78" s="85"/>
      <c r="AK78" s="85"/>
      <c r="AL78" s="85"/>
      <c r="AM78" s="85"/>
      <c r="AN78" s="85"/>
      <c r="AO78" s="85"/>
      <c r="AP78" s="85"/>
      <c r="AQ78" s="85"/>
      <c r="AR78" s="85"/>
      <c r="AS78" s="85"/>
      <c r="AT78" s="85"/>
      <c r="AU78" s="85"/>
      <c r="AV78" s="85"/>
      <c r="AW78" s="85"/>
      <c r="AX78" s="85"/>
      <c r="AY78" s="85"/>
      <c r="AZ78" s="85"/>
      <c r="BA78" s="85"/>
      <c r="BB78" s="85"/>
      <c r="BC78" s="85"/>
      <c r="BD78" s="85"/>
      <c r="BE78" s="85"/>
      <c r="BF78" s="85"/>
      <c r="BG78" s="85"/>
      <c r="BH78" s="85"/>
      <c r="BI78" s="85"/>
      <c r="BJ78" s="85"/>
      <c r="BK78" s="85"/>
      <c r="BL78" s="85"/>
      <c r="BM78" s="85"/>
      <c r="BN78" s="85"/>
      <c r="BO78" s="85"/>
      <c r="BP78" s="85"/>
      <c r="BQ78" s="85"/>
      <c r="BR78" s="85"/>
      <c r="BS78" s="85"/>
      <c r="BT78" s="85"/>
      <c r="BU78" s="85"/>
      <c r="BV78" s="85"/>
      <c r="BW78" s="85"/>
      <c r="BX78" s="85"/>
      <c r="BY78" s="85"/>
      <c r="BZ78" s="85"/>
      <c r="CA78" s="85"/>
      <c r="CB78" s="85"/>
      <c r="CC78" s="85"/>
      <c r="CD78" s="85"/>
      <c r="CE78" s="85"/>
      <c r="CF78" s="85"/>
      <c r="CG78" s="85"/>
      <c r="CH78" s="85"/>
      <c r="CI78" s="85"/>
      <c r="CJ78" s="85"/>
      <c r="CK78" s="85"/>
      <c r="CL78" s="85"/>
      <c r="CM78" s="85"/>
      <c r="CN78" s="79"/>
      <c r="CO78" s="79"/>
    </row>
    <row r="79" spans="2:93" s="69" customFormat="1" ht="15" customHeight="1">
      <c r="C79" s="2558" t="s">
        <v>12</v>
      </c>
      <c r="D79" s="464">
        <v>0</v>
      </c>
      <c r="E79" s="144">
        <v>0</v>
      </c>
      <c r="F79" s="144" t="s">
        <v>42</v>
      </c>
      <c r="G79" s="146" t="s">
        <v>395</v>
      </c>
      <c r="H79" s="119">
        <f t="shared" si="28"/>
        <v>0</v>
      </c>
      <c r="I79" s="119">
        <f t="shared" si="29"/>
        <v>0</v>
      </c>
      <c r="J79" s="145">
        <v>0</v>
      </c>
      <c r="K79" s="119">
        <f t="shared" ca="1" si="30"/>
        <v>0</v>
      </c>
      <c r="L79" s="119">
        <f t="shared" ca="1" si="31"/>
        <v>0</v>
      </c>
      <c r="M79" s="2312"/>
      <c r="N79" s="2313"/>
      <c r="O79" s="2313"/>
      <c r="P79" s="2313"/>
      <c r="R79" s="1181"/>
      <c r="S79" s="1304"/>
      <c r="T79" s="1295">
        <f t="shared" si="33"/>
        <v>70</v>
      </c>
      <c r="U79" s="1295">
        <f t="shared" si="33"/>
        <v>2103</v>
      </c>
      <c r="V79" s="1308">
        <f t="shared" si="32"/>
        <v>819417.69584720058</v>
      </c>
      <c r="W79" s="1308">
        <f t="shared" si="32"/>
        <v>194486.30522007748</v>
      </c>
      <c r="X79" s="1310"/>
      <c r="Y79" s="197"/>
      <c r="Z79" s="197"/>
      <c r="AA79" s="1311"/>
      <c r="AB79" s="1311"/>
      <c r="AC79" s="197"/>
      <c r="AD79" s="197"/>
      <c r="AE79" s="197"/>
      <c r="AF79" s="1313"/>
      <c r="AG79" s="1256"/>
      <c r="AH79" s="1256"/>
      <c r="AI79" s="1256"/>
      <c r="AJ79" s="85"/>
      <c r="AK79" s="85"/>
      <c r="AL79" s="85"/>
      <c r="AM79" s="85"/>
      <c r="AN79" s="85"/>
      <c r="AO79" s="85"/>
      <c r="AP79" s="85"/>
      <c r="AQ79" s="85"/>
      <c r="AR79" s="85"/>
      <c r="AS79" s="85"/>
      <c r="AT79" s="85"/>
      <c r="AU79" s="85"/>
      <c r="AV79" s="85"/>
      <c r="AW79" s="85"/>
      <c r="AX79" s="85"/>
      <c r="AY79" s="85"/>
      <c r="AZ79" s="85"/>
      <c r="BA79" s="85"/>
      <c r="BB79" s="85"/>
      <c r="BC79" s="85"/>
      <c r="BD79" s="85"/>
      <c r="BE79" s="85"/>
      <c r="BF79" s="85"/>
      <c r="BG79" s="85"/>
      <c r="BH79" s="85"/>
      <c r="BI79" s="85"/>
      <c r="BJ79" s="85"/>
      <c r="BK79" s="85"/>
      <c r="BL79" s="85"/>
      <c r="BM79" s="85"/>
      <c r="BN79" s="85"/>
      <c r="BO79" s="85"/>
      <c r="BP79" s="85"/>
      <c r="BQ79" s="85"/>
      <c r="BR79" s="85"/>
      <c r="BS79" s="85"/>
      <c r="BT79" s="85"/>
      <c r="BU79" s="85"/>
      <c r="BV79" s="85"/>
      <c r="BW79" s="85"/>
      <c r="BX79" s="85"/>
      <c r="BY79" s="85"/>
      <c r="BZ79" s="85"/>
      <c r="CA79" s="85"/>
      <c r="CB79" s="85"/>
      <c r="CC79" s="85"/>
      <c r="CD79" s="85"/>
      <c r="CE79" s="85"/>
      <c r="CF79" s="85"/>
      <c r="CG79" s="85"/>
      <c r="CH79" s="85"/>
      <c r="CI79" s="85"/>
      <c r="CJ79" s="85"/>
      <c r="CK79" s="85"/>
      <c r="CL79" s="85"/>
      <c r="CM79" s="85"/>
      <c r="CN79" s="79"/>
      <c r="CO79" s="79"/>
    </row>
    <row r="80" spans="2:93" s="69" customFormat="1" ht="15" customHeight="1">
      <c r="C80" s="2039" t="s">
        <v>12</v>
      </c>
      <c r="D80" s="463">
        <v>0</v>
      </c>
      <c r="E80" s="138">
        <v>0</v>
      </c>
      <c r="F80" s="138" t="s">
        <v>42</v>
      </c>
      <c r="G80" s="142" t="s">
        <v>395</v>
      </c>
      <c r="H80" s="118">
        <f t="shared" si="28"/>
        <v>0</v>
      </c>
      <c r="I80" s="118">
        <f t="shared" si="29"/>
        <v>0</v>
      </c>
      <c r="J80" s="140">
        <v>0</v>
      </c>
      <c r="K80" s="118">
        <f t="shared" ca="1" si="30"/>
        <v>0</v>
      </c>
      <c r="L80" s="118">
        <f t="shared" ca="1" si="31"/>
        <v>0</v>
      </c>
      <c r="M80" s="2310"/>
      <c r="N80" s="2311"/>
      <c r="O80" s="2311"/>
      <c r="P80" s="2311"/>
      <c r="R80" s="1181"/>
      <c r="S80" s="1304"/>
      <c r="T80" s="1295">
        <f t="shared" si="33"/>
        <v>71</v>
      </c>
      <c r="U80" s="1295">
        <f t="shared" si="33"/>
        <v>2104</v>
      </c>
      <c r="V80" s="1308">
        <f t="shared" si="32"/>
        <v>844000.22672261659</v>
      </c>
      <c r="W80" s="1308">
        <f t="shared" si="32"/>
        <v>200320.89437667982</v>
      </c>
      <c r="X80" s="1310"/>
      <c r="Y80" s="197"/>
      <c r="Z80" s="197"/>
      <c r="AA80" s="1311"/>
      <c r="AB80" s="1311"/>
      <c r="AC80" s="197"/>
      <c r="AD80" s="197"/>
      <c r="AE80" s="197"/>
      <c r="AF80" s="1313"/>
      <c r="AG80" s="1256"/>
      <c r="AH80" s="1256"/>
      <c r="AI80" s="1256"/>
      <c r="AJ80" s="85"/>
      <c r="AK80" s="85"/>
      <c r="AL80" s="85"/>
      <c r="AM80" s="85"/>
      <c r="AN80" s="85"/>
      <c r="AO80" s="85"/>
      <c r="AP80" s="85"/>
      <c r="AQ80" s="85"/>
      <c r="AR80" s="85"/>
      <c r="AS80" s="85"/>
      <c r="AT80" s="85"/>
      <c r="AU80" s="85"/>
      <c r="AV80" s="85"/>
      <c r="AW80" s="85"/>
      <c r="AX80" s="85"/>
      <c r="AY80" s="85"/>
      <c r="AZ80" s="85"/>
      <c r="BA80" s="85"/>
      <c r="BB80" s="85"/>
      <c r="BC80" s="85"/>
      <c r="BD80" s="85"/>
      <c r="BE80" s="85"/>
      <c r="BF80" s="85"/>
      <c r="BG80" s="85"/>
      <c r="BH80" s="85"/>
      <c r="BI80" s="85"/>
      <c r="BJ80" s="85"/>
      <c r="BK80" s="85"/>
      <c r="BL80" s="85"/>
      <c r="BM80" s="85"/>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79"/>
      <c r="CO80" s="79"/>
    </row>
    <row r="81" spans="2:93" s="69" customFormat="1" ht="15" customHeight="1">
      <c r="C81" s="1581" t="s">
        <v>12</v>
      </c>
      <c r="D81" s="464">
        <v>0</v>
      </c>
      <c r="E81" s="144">
        <v>0</v>
      </c>
      <c r="F81" s="144" t="s">
        <v>42</v>
      </c>
      <c r="G81" s="2042" t="s">
        <v>395</v>
      </c>
      <c r="H81" s="119">
        <f t="shared" si="28"/>
        <v>0</v>
      </c>
      <c r="I81" s="119">
        <f t="shared" si="29"/>
        <v>0</v>
      </c>
      <c r="J81" s="145">
        <v>0</v>
      </c>
      <c r="K81" s="119">
        <f t="shared" ca="1" si="30"/>
        <v>0</v>
      </c>
      <c r="L81" s="119">
        <f t="shared" ca="1" si="31"/>
        <v>0</v>
      </c>
      <c r="M81" s="2312"/>
      <c r="N81" s="2313"/>
      <c r="O81" s="2313"/>
      <c r="P81" s="2313"/>
      <c r="R81" s="1181"/>
      <c r="S81" s="1304"/>
      <c r="T81" s="1295">
        <f t="shared" si="33"/>
        <v>72</v>
      </c>
      <c r="U81" s="1295">
        <f t="shared" si="33"/>
        <v>2105</v>
      </c>
      <c r="V81" s="1308">
        <f t="shared" si="32"/>
        <v>869320.23352429504</v>
      </c>
      <c r="W81" s="1308">
        <f t="shared" si="32"/>
        <v>206330.5212079802</v>
      </c>
      <c r="X81" s="1310"/>
      <c r="Y81" s="197"/>
      <c r="Z81" s="197"/>
      <c r="AA81" s="1311">
        <f t="shared" si="22"/>
        <v>0</v>
      </c>
      <c r="AB81" s="1311">
        <f t="shared" ca="1" si="23"/>
        <v>0</v>
      </c>
      <c r="AC81" s="197"/>
      <c r="AD81" s="197"/>
      <c r="AE81" s="197"/>
      <c r="AF81" s="1313"/>
      <c r="AG81" s="1256"/>
      <c r="AH81" s="1256"/>
      <c r="AI81" s="1256"/>
      <c r="AJ81" s="85"/>
      <c r="AK81" s="85"/>
      <c r="AL81" s="85"/>
      <c r="AM81" s="85"/>
      <c r="AN81" s="85"/>
      <c r="AO81" s="85"/>
      <c r="AP81" s="85"/>
      <c r="AQ81" s="85"/>
      <c r="AR81" s="85"/>
      <c r="AS81" s="85"/>
      <c r="AT81" s="85"/>
      <c r="AU81" s="85"/>
      <c r="AV81" s="85"/>
      <c r="AW81" s="85"/>
      <c r="AX81" s="85"/>
      <c r="AY81" s="85"/>
      <c r="AZ81" s="85"/>
      <c r="BA81" s="85"/>
      <c r="BB81" s="85"/>
      <c r="BC81" s="85"/>
      <c r="BD81" s="85"/>
      <c r="BE81" s="85"/>
      <c r="BF81" s="85"/>
      <c r="BG81" s="85"/>
      <c r="BH81" s="85"/>
      <c r="BI81" s="85"/>
      <c r="BJ81" s="85"/>
      <c r="BK81" s="85"/>
      <c r="BL81" s="85"/>
      <c r="BM81" s="85"/>
      <c r="BN81" s="85"/>
      <c r="BO81" s="85"/>
      <c r="BP81" s="85"/>
      <c r="BQ81" s="85"/>
      <c r="BR81" s="85"/>
      <c r="BS81" s="85"/>
      <c r="BT81" s="85"/>
      <c r="BU81" s="85"/>
      <c r="BV81" s="85"/>
      <c r="BW81" s="85"/>
      <c r="BX81" s="85"/>
      <c r="BY81" s="85"/>
      <c r="BZ81" s="85"/>
      <c r="CA81" s="85"/>
      <c r="CB81" s="85"/>
      <c r="CC81" s="85"/>
      <c r="CD81" s="85"/>
      <c r="CE81" s="85"/>
      <c r="CF81" s="85"/>
      <c r="CG81" s="85"/>
      <c r="CH81" s="85"/>
      <c r="CI81" s="85"/>
      <c r="CJ81" s="85"/>
      <c r="CK81" s="85"/>
      <c r="CL81" s="85"/>
      <c r="CM81" s="85"/>
      <c r="CN81" s="79"/>
      <c r="CO81" s="79"/>
    </row>
    <row r="82" spans="2:93" s="69" customFormat="1" ht="15" customHeight="1">
      <c r="C82" s="1580" t="s">
        <v>12</v>
      </c>
      <c r="D82" s="463">
        <v>0</v>
      </c>
      <c r="E82" s="138">
        <v>0</v>
      </c>
      <c r="F82" s="138" t="s">
        <v>42</v>
      </c>
      <c r="G82" s="2043" t="s">
        <v>395</v>
      </c>
      <c r="H82" s="118">
        <f t="shared" si="28"/>
        <v>0</v>
      </c>
      <c r="I82" s="118">
        <f t="shared" si="29"/>
        <v>0</v>
      </c>
      <c r="J82" s="140">
        <v>0</v>
      </c>
      <c r="K82" s="118">
        <f t="shared" ca="1" si="30"/>
        <v>0</v>
      </c>
      <c r="L82" s="118">
        <f t="shared" ca="1" si="31"/>
        <v>0</v>
      </c>
      <c r="M82" s="2310"/>
      <c r="N82" s="2311"/>
      <c r="O82" s="2311"/>
      <c r="P82" s="2311"/>
      <c r="R82" s="1181"/>
      <c r="S82" s="1304"/>
      <c r="T82" s="1295">
        <f t="shared" si="33"/>
        <v>73</v>
      </c>
      <c r="U82" s="1295">
        <f t="shared" si="33"/>
        <v>2106</v>
      </c>
      <c r="V82" s="1308">
        <f t="shared" si="32"/>
        <v>895399.84053002391</v>
      </c>
      <c r="W82" s="1308">
        <f t="shared" si="32"/>
        <v>212520.4368442196</v>
      </c>
      <c r="X82" s="1310"/>
      <c r="Y82" s="197"/>
      <c r="Z82" s="197"/>
      <c r="AA82" s="1311"/>
      <c r="AB82" s="1311"/>
      <c r="AC82" s="197"/>
      <c r="AD82" s="197"/>
      <c r="AE82" s="197"/>
      <c r="AF82" s="1313"/>
      <c r="AG82" s="1256"/>
      <c r="AH82" s="1256"/>
      <c r="AI82" s="1256"/>
      <c r="AJ82" s="85"/>
      <c r="AK82" s="85"/>
      <c r="AL82" s="85"/>
      <c r="AM82" s="85"/>
      <c r="AN82" s="85"/>
      <c r="AO82" s="85"/>
      <c r="AP82" s="85"/>
      <c r="AQ82" s="85"/>
      <c r="AR82" s="85"/>
      <c r="AS82" s="85"/>
      <c r="AT82" s="85"/>
      <c r="AU82" s="85"/>
      <c r="AV82" s="85"/>
      <c r="AW82" s="85"/>
      <c r="AX82" s="85"/>
      <c r="AY82" s="85"/>
      <c r="AZ82" s="85"/>
      <c r="BA82" s="85"/>
      <c r="BB82" s="85"/>
      <c r="BC82" s="85"/>
      <c r="BD82" s="85"/>
      <c r="BE82" s="85"/>
      <c r="BF82" s="85"/>
      <c r="BG82" s="85"/>
      <c r="BH82" s="85"/>
      <c r="BI82" s="85"/>
      <c r="BJ82" s="85"/>
      <c r="BK82" s="85"/>
      <c r="BL82" s="85"/>
      <c r="BM82" s="85"/>
      <c r="BN82" s="85"/>
      <c r="BO82" s="85"/>
      <c r="BP82" s="85"/>
      <c r="BQ82" s="85"/>
      <c r="BR82" s="85"/>
      <c r="BS82" s="85"/>
      <c r="BT82" s="85"/>
      <c r="BU82" s="85"/>
      <c r="BV82" s="85"/>
      <c r="BW82" s="85"/>
      <c r="BX82" s="85"/>
      <c r="BY82" s="85"/>
      <c r="BZ82" s="85"/>
      <c r="CA82" s="85"/>
      <c r="CB82" s="85"/>
      <c r="CC82" s="85"/>
      <c r="CD82" s="85"/>
      <c r="CE82" s="85"/>
      <c r="CF82" s="85"/>
      <c r="CG82" s="85"/>
      <c r="CH82" s="85"/>
      <c r="CI82" s="85"/>
      <c r="CJ82" s="85"/>
      <c r="CK82" s="85"/>
      <c r="CL82" s="85"/>
      <c r="CM82" s="85"/>
      <c r="CN82" s="79"/>
      <c r="CO82" s="79"/>
    </row>
    <row r="83" spans="2:93" s="69" customFormat="1" ht="15" customHeight="1">
      <c r="C83" s="24" t="s">
        <v>12</v>
      </c>
      <c r="D83" s="464">
        <v>0</v>
      </c>
      <c r="E83" s="144">
        <v>0</v>
      </c>
      <c r="F83" s="144" t="s">
        <v>42</v>
      </c>
      <c r="G83" s="2562" t="s">
        <v>395</v>
      </c>
      <c r="H83" s="119">
        <f t="shared" si="28"/>
        <v>0</v>
      </c>
      <c r="I83" s="119">
        <f t="shared" si="29"/>
        <v>0</v>
      </c>
      <c r="J83" s="145">
        <v>0</v>
      </c>
      <c r="K83" s="119">
        <f t="shared" ca="1" si="30"/>
        <v>0</v>
      </c>
      <c r="L83" s="119">
        <f t="shared" ca="1" si="31"/>
        <v>0</v>
      </c>
      <c r="M83" s="2312"/>
      <c r="N83" s="2313"/>
      <c r="O83" s="2313"/>
      <c r="P83" s="2313"/>
      <c r="R83" s="1181"/>
      <c r="S83" s="1304"/>
      <c r="T83" s="1295">
        <f t="shared" si="33"/>
        <v>74</v>
      </c>
      <c r="U83" s="1295">
        <f t="shared" si="33"/>
        <v>2107</v>
      </c>
      <c r="V83" s="1308">
        <f t="shared" si="32"/>
        <v>922261.83574592462</v>
      </c>
      <c r="W83" s="1308">
        <f t="shared" si="32"/>
        <v>218896.0499495462</v>
      </c>
      <c r="X83" s="1310"/>
      <c r="Y83" s="197"/>
      <c r="Z83" s="197"/>
      <c r="AA83" s="1311"/>
      <c r="AB83" s="1311"/>
      <c r="AC83" s="197"/>
      <c r="AD83" s="197"/>
      <c r="AE83" s="197"/>
      <c r="AF83" s="1313"/>
      <c r="AG83" s="1256"/>
      <c r="AH83" s="1256"/>
      <c r="AI83" s="1256"/>
      <c r="AJ83" s="85"/>
      <c r="AK83" s="85"/>
      <c r="AL83" s="85"/>
      <c r="AM83" s="85"/>
      <c r="AN83" s="85"/>
      <c r="AO83" s="85"/>
      <c r="AP83" s="85"/>
      <c r="AQ83" s="85"/>
      <c r="AR83" s="85"/>
      <c r="AS83" s="85"/>
      <c r="AT83" s="85"/>
      <c r="AU83" s="85"/>
      <c r="AV83" s="85"/>
      <c r="AW83" s="85"/>
      <c r="AX83" s="85"/>
      <c r="AY83" s="85"/>
      <c r="AZ83" s="85"/>
      <c r="BA83" s="85"/>
      <c r="BB83" s="85"/>
      <c r="BC83" s="85"/>
      <c r="BD83" s="85"/>
      <c r="BE83" s="85"/>
      <c r="BF83" s="85"/>
      <c r="BG83" s="85"/>
      <c r="BH83" s="85"/>
      <c r="BI83" s="85"/>
      <c r="BJ83" s="85"/>
      <c r="BK83" s="85"/>
      <c r="BL83" s="85"/>
      <c r="BM83" s="85"/>
      <c r="BN83" s="85"/>
      <c r="BO83" s="85"/>
      <c r="BP83" s="85"/>
      <c r="BQ83" s="85"/>
      <c r="BR83" s="85"/>
      <c r="BS83" s="85"/>
      <c r="BT83" s="85"/>
      <c r="BU83" s="85"/>
      <c r="BV83" s="85"/>
      <c r="BW83" s="85"/>
      <c r="BX83" s="85"/>
      <c r="BY83" s="85"/>
      <c r="BZ83" s="85"/>
      <c r="CA83" s="85"/>
      <c r="CB83" s="85"/>
      <c r="CC83" s="85"/>
      <c r="CD83" s="85"/>
      <c r="CE83" s="85"/>
      <c r="CF83" s="85"/>
      <c r="CG83" s="85"/>
      <c r="CH83" s="85"/>
      <c r="CI83" s="85"/>
      <c r="CJ83" s="85"/>
      <c r="CK83" s="85"/>
      <c r="CL83" s="85"/>
      <c r="CM83" s="85"/>
      <c r="CN83" s="79"/>
      <c r="CO83" s="79"/>
    </row>
    <row r="84" spans="2:93" s="69" customFormat="1" ht="15" customHeight="1">
      <c r="C84" s="137" t="s">
        <v>12</v>
      </c>
      <c r="D84" s="467">
        <v>0</v>
      </c>
      <c r="E84" s="139">
        <v>0</v>
      </c>
      <c r="F84" s="139" t="s">
        <v>42</v>
      </c>
      <c r="G84" s="2570" t="s">
        <v>395</v>
      </c>
      <c r="H84" s="186">
        <f t="shared" si="28"/>
        <v>0</v>
      </c>
      <c r="I84" s="120">
        <f t="shared" si="29"/>
        <v>0</v>
      </c>
      <c r="J84" s="141">
        <v>0</v>
      </c>
      <c r="K84" s="120">
        <f t="shared" ca="1" si="30"/>
        <v>0</v>
      </c>
      <c r="L84" s="120">
        <f t="shared" ca="1" si="31"/>
        <v>0</v>
      </c>
      <c r="M84" s="2314"/>
      <c r="N84" s="2315"/>
      <c r="O84" s="2315"/>
      <c r="P84" s="2315"/>
      <c r="R84" s="1181"/>
      <c r="S84" s="1304"/>
      <c r="T84" s="1295">
        <f t="shared" si="33"/>
        <v>75</v>
      </c>
      <c r="U84" s="1295">
        <f t="shared" si="33"/>
        <v>2108</v>
      </c>
      <c r="V84" s="1308">
        <f t="shared" si="32"/>
        <v>949929.69081830233</v>
      </c>
      <c r="W84" s="1308">
        <f t="shared" si="32"/>
        <v>225462.93144803258</v>
      </c>
      <c r="X84" s="1310"/>
      <c r="Y84" s="197"/>
      <c r="Z84" s="197"/>
      <c r="AA84" s="1311">
        <f t="shared" ref="AA84:AA95" si="34">IF(G84="Optional",L84,0)</f>
        <v>0</v>
      </c>
      <c r="AB84" s="1311">
        <f t="shared" ref="AB84:AB95" ca="1" si="35">IF(G84="Required",L84,0)</f>
        <v>0</v>
      </c>
      <c r="AC84" s="197"/>
      <c r="AD84" s="197"/>
      <c r="AE84" s="197"/>
      <c r="AF84" s="1313"/>
      <c r="AG84" s="1256"/>
      <c r="AH84" s="1256"/>
      <c r="AI84" s="1256"/>
      <c r="AJ84" s="85"/>
      <c r="AK84" s="85"/>
      <c r="AL84" s="85"/>
      <c r="AM84" s="85"/>
      <c r="AN84" s="85"/>
      <c r="AO84" s="85"/>
      <c r="AP84" s="85"/>
      <c r="AQ84" s="85"/>
      <c r="AR84" s="85"/>
      <c r="AS84" s="85"/>
      <c r="AT84" s="85"/>
      <c r="AU84" s="85"/>
      <c r="AV84" s="85"/>
      <c r="AW84" s="85"/>
      <c r="AX84" s="85"/>
      <c r="AY84" s="85"/>
      <c r="AZ84" s="85"/>
      <c r="BA84" s="85"/>
      <c r="BB84" s="85"/>
      <c r="BC84" s="85"/>
      <c r="BD84" s="85"/>
      <c r="BE84" s="85"/>
      <c r="BF84" s="85"/>
      <c r="BG84" s="85"/>
      <c r="BH84" s="85"/>
      <c r="BI84" s="85"/>
      <c r="BJ84" s="85"/>
      <c r="BK84" s="85"/>
      <c r="BL84" s="85"/>
      <c r="BM84" s="85"/>
      <c r="BN84" s="85"/>
      <c r="BO84" s="85"/>
      <c r="BP84" s="85"/>
      <c r="BQ84" s="85"/>
      <c r="BR84" s="85"/>
      <c r="BS84" s="85"/>
      <c r="BT84" s="85"/>
      <c r="BU84" s="85"/>
      <c r="BV84" s="85"/>
      <c r="BW84" s="85"/>
      <c r="BX84" s="85"/>
      <c r="BY84" s="85"/>
      <c r="BZ84" s="85"/>
      <c r="CA84" s="85"/>
      <c r="CB84" s="85"/>
      <c r="CC84" s="85"/>
      <c r="CD84" s="85"/>
      <c r="CE84" s="85"/>
      <c r="CF84" s="85"/>
      <c r="CG84" s="85"/>
      <c r="CH84" s="85"/>
      <c r="CI84" s="85"/>
      <c r="CJ84" s="85"/>
      <c r="CK84" s="85"/>
      <c r="CL84" s="85"/>
      <c r="CM84" s="85"/>
      <c r="CN84" s="79"/>
      <c r="CO84" s="79"/>
    </row>
    <row r="85" spans="2:93" s="69" customFormat="1" ht="25" customHeight="1">
      <c r="C85" s="135"/>
      <c r="D85" s="121"/>
      <c r="E85" s="150"/>
      <c r="F85" s="150"/>
      <c r="G85" s="157"/>
      <c r="H85" s="123">
        <f>SUM(H74:H84)</f>
        <v>733.75</v>
      </c>
      <c r="I85" s="123">
        <f>SUM(I74:I84)</f>
        <v>8805</v>
      </c>
      <c r="J85" s="157"/>
      <c r="K85" s="123">
        <f ca="1">SUM(K74:K84)</f>
        <v>1046.1520507233836</v>
      </c>
      <c r="L85" s="123">
        <f ca="1">SUM(L74:L84)</f>
        <v>12553.824608680603</v>
      </c>
      <c r="M85" s="479"/>
      <c r="N85" s="479"/>
      <c r="O85" s="479"/>
      <c r="P85" s="479"/>
      <c r="R85" s="1181"/>
      <c r="S85" s="1304"/>
      <c r="T85" s="1295">
        <f t="shared" si="33"/>
        <v>76</v>
      </c>
      <c r="U85" s="1295">
        <f t="shared" si="33"/>
        <v>2109</v>
      </c>
      <c r="V85" s="1308">
        <f t="shared" si="32"/>
        <v>978427.5815428514</v>
      </c>
      <c r="W85" s="1308">
        <f t="shared" si="32"/>
        <v>232226.81939147357</v>
      </c>
      <c r="X85" s="1310"/>
      <c r="Y85" s="197"/>
      <c r="Z85" s="197"/>
      <c r="AA85" s="1311">
        <f t="shared" si="34"/>
        <v>0</v>
      </c>
      <c r="AB85" s="1311">
        <f t="shared" si="35"/>
        <v>0</v>
      </c>
      <c r="AC85" s="197"/>
      <c r="AD85" s="197"/>
      <c r="AE85" s="197"/>
      <c r="AF85" s="1313"/>
      <c r="AG85" s="1256"/>
      <c r="AH85" s="1256"/>
      <c r="AI85" s="1256"/>
      <c r="AJ85" s="85"/>
      <c r="AK85" s="85"/>
      <c r="AL85" s="85"/>
      <c r="AM85" s="85"/>
      <c r="AN85" s="85"/>
      <c r="AO85" s="85"/>
      <c r="AP85" s="85"/>
      <c r="AQ85" s="85"/>
      <c r="AR85" s="85"/>
      <c r="AS85" s="85"/>
      <c r="AT85" s="85"/>
      <c r="AU85" s="85"/>
      <c r="AV85" s="85"/>
      <c r="AW85" s="85"/>
      <c r="AX85" s="85"/>
      <c r="AY85" s="85"/>
      <c r="AZ85" s="85"/>
      <c r="BA85" s="85"/>
      <c r="BB85" s="85"/>
      <c r="BC85" s="85"/>
      <c r="BD85" s="85"/>
      <c r="BE85" s="85"/>
      <c r="BF85" s="85"/>
      <c r="BG85" s="85"/>
      <c r="BH85" s="85"/>
      <c r="BI85" s="85"/>
      <c r="BJ85" s="85"/>
      <c r="BK85" s="85"/>
      <c r="BL85" s="85"/>
      <c r="BM85" s="85"/>
      <c r="BN85" s="85"/>
      <c r="BO85" s="85"/>
      <c r="BP85" s="85"/>
      <c r="BQ85" s="85"/>
      <c r="BR85" s="85"/>
      <c r="BS85" s="85"/>
      <c r="BT85" s="85"/>
      <c r="BU85" s="85"/>
      <c r="BV85" s="85"/>
      <c r="BW85" s="85"/>
      <c r="BX85" s="85"/>
      <c r="BY85" s="85"/>
      <c r="BZ85" s="85"/>
      <c r="CA85" s="85"/>
      <c r="CB85" s="85"/>
      <c r="CC85" s="85"/>
      <c r="CD85" s="85"/>
      <c r="CE85" s="85"/>
      <c r="CF85" s="85"/>
      <c r="CG85" s="85"/>
      <c r="CH85" s="85"/>
      <c r="CI85" s="85"/>
      <c r="CJ85" s="85"/>
      <c r="CK85" s="85"/>
      <c r="CL85" s="85"/>
      <c r="CM85" s="85"/>
      <c r="CN85" s="79"/>
      <c r="CO85" s="79"/>
    </row>
    <row r="86" spans="2:93" s="69" customFormat="1" ht="18" customHeight="1">
      <c r="B86" s="2556" t="s">
        <v>2637</v>
      </c>
      <c r="C86" s="2324"/>
      <c r="D86" s="115"/>
      <c r="E86" s="114"/>
      <c r="F86" s="114"/>
      <c r="G86" s="115"/>
      <c r="H86" s="192"/>
      <c r="I86" s="192"/>
      <c r="J86" s="115"/>
      <c r="K86" s="192"/>
      <c r="L86" s="192"/>
      <c r="M86" s="478"/>
      <c r="N86" s="478"/>
      <c r="O86" s="478"/>
      <c r="P86" s="478"/>
      <c r="R86" s="1181"/>
      <c r="S86" s="1304"/>
      <c r="T86" s="1295">
        <f t="shared" si="33"/>
        <v>77</v>
      </c>
      <c r="U86" s="1295">
        <f t="shared" si="33"/>
        <v>2110</v>
      </c>
      <c r="V86" s="1308">
        <f t="shared" si="32"/>
        <v>1007780.4089891369</v>
      </c>
      <c r="W86" s="1308">
        <f t="shared" si="32"/>
        <v>239193.62397321779</v>
      </c>
      <c r="X86" s="1310"/>
      <c r="Y86" s="197"/>
      <c r="Z86" s="197"/>
      <c r="AA86" s="1311">
        <f t="shared" si="34"/>
        <v>0</v>
      </c>
      <c r="AB86" s="1311">
        <f t="shared" si="35"/>
        <v>0</v>
      </c>
      <c r="AC86" s="197"/>
      <c r="AD86" s="197"/>
      <c r="AE86" s="197"/>
      <c r="AF86" s="1313"/>
      <c r="AG86" s="1256"/>
      <c r="AH86" s="1256"/>
      <c r="AI86" s="1256"/>
      <c r="AJ86" s="85"/>
      <c r="AK86" s="85"/>
      <c r="AL86" s="85"/>
      <c r="AM86" s="85"/>
      <c r="AN86" s="85"/>
      <c r="AO86" s="85"/>
      <c r="AP86" s="85"/>
      <c r="AQ86" s="85"/>
      <c r="AR86" s="85"/>
      <c r="AS86" s="85"/>
      <c r="AT86" s="85"/>
      <c r="AU86" s="85"/>
      <c r="AV86" s="85"/>
      <c r="AW86" s="85"/>
      <c r="AX86" s="85"/>
      <c r="AY86" s="85"/>
      <c r="AZ86" s="85"/>
      <c r="BA86" s="85"/>
      <c r="BB86" s="85"/>
      <c r="BC86" s="85"/>
      <c r="BD86" s="85"/>
      <c r="BE86" s="85"/>
      <c r="BF86" s="85"/>
      <c r="BG86" s="85"/>
      <c r="BH86" s="85"/>
      <c r="BI86" s="85"/>
      <c r="BJ86" s="85"/>
      <c r="BK86" s="85"/>
      <c r="BL86" s="85"/>
      <c r="BM86" s="85"/>
      <c r="BN86" s="85"/>
      <c r="BO86" s="85"/>
      <c r="BP86" s="85"/>
      <c r="BQ86" s="85"/>
      <c r="BR86" s="85"/>
      <c r="BS86" s="85"/>
      <c r="BT86" s="85"/>
      <c r="BU86" s="85"/>
      <c r="BV86" s="85"/>
      <c r="BW86" s="85"/>
      <c r="BX86" s="85"/>
      <c r="BY86" s="85"/>
      <c r="BZ86" s="85"/>
      <c r="CA86" s="85"/>
      <c r="CB86" s="85"/>
      <c r="CC86" s="85"/>
      <c r="CD86" s="85"/>
      <c r="CE86" s="85"/>
      <c r="CF86" s="85"/>
      <c r="CG86" s="85"/>
      <c r="CH86" s="85"/>
      <c r="CI86" s="85"/>
      <c r="CJ86" s="85"/>
      <c r="CK86" s="85"/>
      <c r="CL86" s="85"/>
      <c r="CM86" s="85"/>
      <c r="CN86" s="79"/>
      <c r="CO86" s="79"/>
    </row>
    <row r="87" spans="2:93" s="69" customFormat="1" ht="15" customHeight="1">
      <c r="C87" s="468" t="s">
        <v>18</v>
      </c>
      <c r="D87" s="463">
        <v>450</v>
      </c>
      <c r="E87" s="138">
        <v>26</v>
      </c>
      <c r="F87" s="138" t="s">
        <v>42</v>
      </c>
      <c r="G87" s="136" t="s">
        <v>395</v>
      </c>
      <c r="H87" s="118">
        <f t="shared" ref="H87:H97" si="36">IF(ISNUMBER(I87),I87/12,0)</f>
        <v>975</v>
      </c>
      <c r="I87" s="118">
        <f t="shared" ref="I87:I97" si="37">IF(ISNUMBER(E87),IF(E87&gt;0,D87*E87,0),"")</f>
        <v>11700</v>
      </c>
      <c r="J87" s="140">
        <v>0</v>
      </c>
      <c r="K87" s="184">
        <f t="shared" ref="K87:K97" ca="1" si="38">IF(ISNUMBER(L87),L87/12,"")</f>
        <v>1390.1168646750241</v>
      </c>
      <c r="L87" s="118">
        <f t="shared" ref="L87:L97" ca="1" si="39">IF(ISNUMBER(I87),IF(F87="Y",FV($N$5,$O$5,0,I87*-1)+(J87*12),I87+(J87*12)),"")</f>
        <v>16681.40237610029</v>
      </c>
      <c r="M87" s="2310"/>
      <c r="N87" s="2311"/>
      <c r="O87" s="2311"/>
      <c r="P87" s="2311"/>
      <c r="R87" s="1181"/>
      <c r="S87" s="1304"/>
      <c r="T87" s="1295">
        <f t="shared" si="33"/>
        <v>78</v>
      </c>
      <c r="U87" s="1295">
        <f t="shared" si="33"/>
        <v>2111</v>
      </c>
      <c r="V87" s="1308">
        <f t="shared" si="32"/>
        <v>1038013.821258811</v>
      </c>
      <c r="W87" s="1308">
        <f t="shared" si="32"/>
        <v>246369.43269241432</v>
      </c>
      <c r="X87" s="1310"/>
      <c r="Y87" s="197"/>
      <c r="Z87" s="197"/>
      <c r="AA87" s="1311">
        <f t="shared" si="34"/>
        <v>0</v>
      </c>
      <c r="AB87" s="1311">
        <f t="shared" ca="1" si="35"/>
        <v>16681.40237610029</v>
      </c>
      <c r="AC87" s="197"/>
      <c r="AD87" s="197"/>
      <c r="AE87" s="197"/>
      <c r="AF87" s="1313"/>
      <c r="AG87" s="1256"/>
      <c r="AH87" s="1256"/>
      <c r="AI87" s="1256"/>
      <c r="AJ87" s="85"/>
      <c r="AK87" s="85"/>
      <c r="AL87" s="85"/>
      <c r="AM87" s="85"/>
      <c r="AN87" s="85"/>
      <c r="AO87" s="85"/>
      <c r="AP87" s="85"/>
      <c r="AQ87" s="85"/>
      <c r="AR87" s="85"/>
      <c r="AS87" s="85"/>
      <c r="AT87" s="85"/>
      <c r="AU87" s="85"/>
      <c r="AV87" s="85"/>
      <c r="AW87" s="85"/>
      <c r="AX87" s="85"/>
      <c r="AY87" s="85"/>
      <c r="AZ87" s="85"/>
      <c r="BA87" s="85"/>
      <c r="BB87" s="85"/>
      <c r="BC87" s="85"/>
      <c r="BD87" s="85"/>
      <c r="BE87" s="85"/>
      <c r="BF87" s="85"/>
      <c r="BG87" s="85"/>
      <c r="BH87" s="85"/>
      <c r="BI87" s="85"/>
      <c r="BJ87" s="85"/>
      <c r="BK87" s="85"/>
      <c r="BL87" s="85"/>
      <c r="BM87" s="85"/>
      <c r="BN87" s="85"/>
      <c r="BO87" s="85"/>
      <c r="BP87" s="85"/>
      <c r="BQ87" s="85"/>
      <c r="BR87" s="85"/>
      <c r="BS87" s="85"/>
      <c r="BT87" s="85"/>
      <c r="BU87" s="85"/>
      <c r="BV87" s="85"/>
      <c r="BW87" s="85"/>
      <c r="BX87" s="85"/>
      <c r="BY87" s="85"/>
      <c r="BZ87" s="85"/>
      <c r="CA87" s="85"/>
      <c r="CB87" s="85"/>
      <c r="CC87" s="85"/>
      <c r="CD87" s="85"/>
      <c r="CE87" s="85"/>
      <c r="CF87" s="85"/>
      <c r="CG87" s="85"/>
      <c r="CH87" s="85"/>
      <c r="CI87" s="85"/>
      <c r="CJ87" s="85"/>
      <c r="CK87" s="85"/>
      <c r="CL87" s="85"/>
      <c r="CM87" s="85"/>
      <c r="CN87" s="79"/>
      <c r="CO87" s="79"/>
    </row>
    <row r="88" spans="2:93" s="69" customFormat="1" ht="15" customHeight="1">
      <c r="C88" s="1581" t="s">
        <v>19</v>
      </c>
      <c r="D88" s="464">
        <v>700</v>
      </c>
      <c r="E88" s="144">
        <v>12</v>
      </c>
      <c r="F88" s="144" t="s">
        <v>42</v>
      </c>
      <c r="G88" s="152" t="s">
        <v>402</v>
      </c>
      <c r="H88" s="119">
        <f t="shared" si="36"/>
        <v>700</v>
      </c>
      <c r="I88" s="119">
        <f t="shared" si="37"/>
        <v>8400</v>
      </c>
      <c r="J88" s="145">
        <v>0</v>
      </c>
      <c r="K88" s="185">
        <f t="shared" ca="1" si="38"/>
        <v>998.03262079232502</v>
      </c>
      <c r="L88" s="119">
        <f t="shared" ca="1" si="39"/>
        <v>11976.391449507901</v>
      </c>
      <c r="M88" s="2312"/>
      <c r="N88" s="2313"/>
      <c r="O88" s="2313"/>
      <c r="P88" s="2313"/>
      <c r="R88" s="1181"/>
      <c r="S88" s="1304"/>
      <c r="T88" s="1295">
        <f t="shared" si="33"/>
        <v>79</v>
      </c>
      <c r="U88" s="1295">
        <f t="shared" si="33"/>
        <v>2112</v>
      </c>
      <c r="V88" s="1308">
        <f t="shared" si="32"/>
        <v>1069154.2358965753</v>
      </c>
      <c r="W88" s="1308">
        <f t="shared" si="32"/>
        <v>253760.51567318675</v>
      </c>
      <c r="X88" s="1310"/>
      <c r="Y88" s="197"/>
      <c r="Z88" s="197"/>
      <c r="AA88" s="1311">
        <f t="shared" ca="1" si="34"/>
        <v>11976.391449507901</v>
      </c>
      <c r="AB88" s="1311">
        <f t="shared" si="35"/>
        <v>0</v>
      </c>
      <c r="AC88" s="197"/>
      <c r="AD88" s="197"/>
      <c r="AE88" s="197"/>
      <c r="AF88" s="1313"/>
      <c r="AG88" s="1256"/>
      <c r="AH88" s="1256"/>
      <c r="AI88" s="1256"/>
      <c r="AJ88" s="85"/>
      <c r="AK88" s="85"/>
      <c r="AL88" s="85"/>
      <c r="AM88" s="85"/>
      <c r="AN88" s="85"/>
      <c r="AO88" s="85"/>
      <c r="AP88" s="85"/>
      <c r="AQ88" s="85"/>
      <c r="AR88" s="85"/>
      <c r="AS88" s="85"/>
      <c r="AT88" s="85"/>
      <c r="AU88" s="85"/>
      <c r="AV88" s="85"/>
      <c r="AW88" s="85"/>
      <c r="AX88" s="85"/>
      <c r="AY88" s="85"/>
      <c r="AZ88" s="85"/>
      <c r="BA88" s="85"/>
      <c r="BB88" s="85"/>
      <c r="BC88" s="85"/>
      <c r="BD88" s="85"/>
      <c r="BE88" s="85"/>
      <c r="BF88" s="85"/>
      <c r="BG88" s="85"/>
      <c r="BH88" s="85"/>
      <c r="BI88" s="85"/>
      <c r="BJ88" s="85"/>
      <c r="BK88" s="85"/>
      <c r="BL88" s="85"/>
      <c r="BM88" s="85"/>
      <c r="BN88" s="85"/>
      <c r="BO88" s="85"/>
      <c r="BP88" s="85"/>
      <c r="BQ88" s="85"/>
      <c r="BR88" s="85"/>
      <c r="BS88" s="85"/>
      <c r="BT88" s="85"/>
      <c r="BU88" s="85"/>
      <c r="BV88" s="85"/>
      <c r="BW88" s="85"/>
      <c r="BX88" s="85"/>
      <c r="BY88" s="85"/>
      <c r="BZ88" s="85"/>
      <c r="CA88" s="85"/>
      <c r="CB88" s="85"/>
      <c r="CC88" s="85"/>
      <c r="CD88" s="85"/>
      <c r="CE88" s="85"/>
      <c r="CF88" s="85"/>
      <c r="CG88" s="85"/>
      <c r="CH88" s="85"/>
      <c r="CI88" s="85"/>
      <c r="CJ88" s="85"/>
      <c r="CK88" s="85"/>
      <c r="CL88" s="85"/>
      <c r="CM88" s="85"/>
      <c r="CN88" s="79"/>
      <c r="CO88" s="79"/>
    </row>
    <row r="89" spans="2:93" s="69" customFormat="1" ht="15" customHeight="1">
      <c r="C89" s="1580" t="s">
        <v>20</v>
      </c>
      <c r="D89" s="463">
        <v>190</v>
      </c>
      <c r="E89" s="138">
        <v>24</v>
      </c>
      <c r="F89" s="138" t="s">
        <v>42</v>
      </c>
      <c r="G89" s="136" t="s">
        <v>402</v>
      </c>
      <c r="H89" s="118">
        <f t="shared" si="36"/>
        <v>380</v>
      </c>
      <c r="I89" s="118">
        <f t="shared" si="37"/>
        <v>4560</v>
      </c>
      <c r="J89" s="140">
        <v>0</v>
      </c>
      <c r="K89" s="184">
        <f t="shared" ca="1" si="38"/>
        <v>541.78913700154783</v>
      </c>
      <c r="L89" s="118">
        <f t="shared" ca="1" si="39"/>
        <v>6501.4696440185744</v>
      </c>
      <c r="M89" s="2310"/>
      <c r="N89" s="2311"/>
      <c r="O89" s="2311"/>
      <c r="P89" s="2311"/>
      <c r="R89" s="1181"/>
      <c r="S89" s="1304"/>
      <c r="T89" s="1295">
        <f t="shared" si="33"/>
        <v>80</v>
      </c>
      <c r="U89" s="1295">
        <f t="shared" si="33"/>
        <v>2113</v>
      </c>
      <c r="V89" s="1308">
        <f t="shared" si="32"/>
        <v>1101228.8629734726</v>
      </c>
      <c r="W89" s="1308">
        <f t="shared" si="32"/>
        <v>261373.33114338235</v>
      </c>
      <c r="X89" s="1310"/>
      <c r="Y89" s="197"/>
      <c r="Z89" s="197"/>
      <c r="AA89" s="1311"/>
      <c r="AB89" s="1311"/>
      <c r="AC89" s="197"/>
      <c r="AD89" s="197"/>
      <c r="AE89" s="197"/>
      <c r="AF89" s="1313"/>
      <c r="AG89" s="1256"/>
      <c r="AH89" s="1256"/>
      <c r="AI89" s="1256"/>
      <c r="AJ89" s="85"/>
      <c r="AK89" s="85"/>
      <c r="AL89" s="85"/>
      <c r="AM89" s="85"/>
      <c r="AN89" s="85"/>
      <c r="AO89" s="85"/>
      <c r="AP89" s="85"/>
      <c r="AQ89" s="85"/>
      <c r="AR89" s="85"/>
      <c r="AS89" s="85"/>
      <c r="AT89" s="85"/>
      <c r="AU89" s="85"/>
      <c r="AV89" s="85"/>
      <c r="AW89" s="85"/>
      <c r="AX89" s="85"/>
      <c r="AY89" s="85"/>
      <c r="AZ89" s="85"/>
      <c r="BA89" s="85"/>
      <c r="BB89" s="85"/>
      <c r="BC89" s="85"/>
      <c r="BD89" s="85"/>
      <c r="BE89" s="85"/>
      <c r="BF89" s="85"/>
      <c r="BG89" s="85"/>
      <c r="BH89" s="85"/>
      <c r="BI89" s="85"/>
      <c r="BJ89" s="85"/>
      <c r="BK89" s="85"/>
      <c r="BL89" s="85"/>
      <c r="BM89" s="85"/>
      <c r="BN89" s="85"/>
      <c r="BO89" s="85"/>
      <c r="BP89" s="85"/>
      <c r="BQ89" s="85"/>
      <c r="BR89" s="85"/>
      <c r="BS89" s="85"/>
      <c r="BT89" s="85"/>
      <c r="BU89" s="85"/>
      <c r="BV89" s="85"/>
      <c r="BW89" s="85"/>
      <c r="BX89" s="85"/>
      <c r="BY89" s="85"/>
      <c r="BZ89" s="85"/>
      <c r="CA89" s="85"/>
      <c r="CB89" s="85"/>
      <c r="CC89" s="85"/>
      <c r="CD89" s="85"/>
      <c r="CE89" s="85"/>
      <c r="CF89" s="85"/>
      <c r="CG89" s="85"/>
      <c r="CH89" s="85"/>
      <c r="CI89" s="85"/>
      <c r="CJ89" s="85"/>
      <c r="CK89" s="85"/>
      <c r="CL89" s="85"/>
      <c r="CM89" s="85"/>
      <c r="CN89" s="79"/>
      <c r="CO89" s="79"/>
    </row>
    <row r="90" spans="2:93" s="69" customFormat="1" ht="15" customHeight="1">
      <c r="C90" s="1572" t="s">
        <v>12</v>
      </c>
      <c r="D90" s="464">
        <v>0</v>
      </c>
      <c r="E90" s="144">
        <v>0</v>
      </c>
      <c r="F90" s="2046" t="s">
        <v>42</v>
      </c>
      <c r="G90" s="152" t="s">
        <v>402</v>
      </c>
      <c r="H90" s="119">
        <f t="shared" si="36"/>
        <v>0</v>
      </c>
      <c r="I90" s="119">
        <f t="shared" si="37"/>
        <v>0</v>
      </c>
      <c r="J90" s="145">
        <v>0</v>
      </c>
      <c r="K90" s="185">
        <f t="shared" ca="1" si="38"/>
        <v>0</v>
      </c>
      <c r="L90" s="119">
        <f t="shared" ca="1" si="39"/>
        <v>0</v>
      </c>
      <c r="M90" s="2312"/>
      <c r="N90" s="2313"/>
      <c r="O90" s="2313"/>
      <c r="P90" s="2313"/>
      <c r="R90" s="1181"/>
      <c r="S90" s="1304"/>
      <c r="T90" s="1295">
        <f t="shared" si="33"/>
        <v>81</v>
      </c>
      <c r="U90" s="1295">
        <f t="shared" si="33"/>
        <v>2114</v>
      </c>
      <c r="V90" s="1308">
        <f t="shared" si="32"/>
        <v>1134265.7288626768</v>
      </c>
      <c r="W90" s="1308">
        <f t="shared" si="32"/>
        <v>269214.53107768385</v>
      </c>
      <c r="X90" s="1310"/>
      <c r="Y90" s="197"/>
      <c r="Z90" s="197"/>
      <c r="AA90" s="1311"/>
      <c r="AB90" s="1311"/>
      <c r="AC90" s="197"/>
      <c r="AD90" s="197"/>
      <c r="AE90" s="197"/>
      <c r="AF90" s="1313"/>
      <c r="AG90" s="1256"/>
      <c r="AH90" s="1256"/>
      <c r="AI90" s="1256"/>
      <c r="AJ90" s="85"/>
      <c r="AK90" s="85"/>
      <c r="AL90" s="85"/>
      <c r="AM90" s="85"/>
      <c r="AN90" s="85"/>
      <c r="AO90" s="85"/>
      <c r="AP90" s="85"/>
      <c r="AQ90" s="85"/>
      <c r="AR90" s="85"/>
      <c r="AS90" s="85"/>
      <c r="AT90" s="85"/>
      <c r="AU90" s="85"/>
      <c r="AV90" s="85"/>
      <c r="AW90" s="85"/>
      <c r="AX90" s="85"/>
      <c r="AY90" s="85"/>
      <c r="AZ90" s="85"/>
      <c r="BA90" s="85"/>
      <c r="BB90" s="85"/>
      <c r="BC90" s="85"/>
      <c r="BD90" s="85"/>
      <c r="BE90" s="85"/>
      <c r="BF90" s="85"/>
      <c r="BG90" s="85"/>
      <c r="BH90" s="85"/>
      <c r="BI90" s="85"/>
      <c r="BJ90" s="85"/>
      <c r="BK90" s="85"/>
      <c r="BL90" s="85"/>
      <c r="BM90" s="85"/>
      <c r="BN90" s="85"/>
      <c r="BO90" s="85"/>
      <c r="BP90" s="85"/>
      <c r="BQ90" s="85"/>
      <c r="BR90" s="85"/>
      <c r="BS90" s="85"/>
      <c r="BT90" s="85"/>
      <c r="BU90" s="85"/>
      <c r="BV90" s="85"/>
      <c r="BW90" s="85"/>
      <c r="BX90" s="85"/>
      <c r="BY90" s="85"/>
      <c r="BZ90" s="85"/>
      <c r="CA90" s="85"/>
      <c r="CB90" s="85"/>
      <c r="CC90" s="85"/>
      <c r="CD90" s="85"/>
      <c r="CE90" s="85"/>
      <c r="CF90" s="85"/>
      <c r="CG90" s="85"/>
      <c r="CH90" s="85"/>
      <c r="CI90" s="85"/>
      <c r="CJ90" s="85"/>
      <c r="CK90" s="85"/>
      <c r="CL90" s="85"/>
      <c r="CM90" s="85"/>
      <c r="CN90" s="79"/>
      <c r="CO90" s="79"/>
    </row>
    <row r="91" spans="2:93" s="69" customFormat="1" ht="15" customHeight="1">
      <c r="C91" s="468" t="s">
        <v>12</v>
      </c>
      <c r="D91" s="463">
        <v>0</v>
      </c>
      <c r="E91" s="138">
        <v>0</v>
      </c>
      <c r="F91" s="138" t="s">
        <v>42</v>
      </c>
      <c r="G91" s="142" t="s">
        <v>402</v>
      </c>
      <c r="H91" s="118">
        <f t="shared" si="36"/>
        <v>0</v>
      </c>
      <c r="I91" s="118">
        <f t="shared" si="37"/>
        <v>0</v>
      </c>
      <c r="J91" s="140">
        <v>0</v>
      </c>
      <c r="K91" s="184">
        <f t="shared" ca="1" si="38"/>
        <v>0</v>
      </c>
      <c r="L91" s="118">
        <f t="shared" ca="1" si="39"/>
        <v>0</v>
      </c>
      <c r="M91" s="2310"/>
      <c r="N91" s="2311"/>
      <c r="O91" s="2311"/>
      <c r="P91" s="2311"/>
      <c r="R91" s="1181"/>
      <c r="S91" s="1304"/>
      <c r="T91" s="1295">
        <f t="shared" si="33"/>
        <v>82</v>
      </c>
      <c r="U91" s="1295">
        <f t="shared" si="33"/>
        <v>2115</v>
      </c>
      <c r="V91" s="1308">
        <f t="shared" si="32"/>
        <v>1168293.7007285571</v>
      </c>
      <c r="W91" s="1308">
        <f t="shared" si="32"/>
        <v>277290.96701001434</v>
      </c>
      <c r="X91" s="1310"/>
      <c r="Y91" s="197"/>
      <c r="Z91" s="197"/>
      <c r="AA91" s="1311"/>
      <c r="AB91" s="1311"/>
      <c r="AC91" s="197"/>
      <c r="AD91" s="197"/>
      <c r="AE91" s="197"/>
      <c r="AF91" s="1313"/>
      <c r="AG91" s="1256"/>
      <c r="AH91" s="1256"/>
      <c r="AI91" s="1256"/>
      <c r="AJ91" s="85"/>
      <c r="AK91" s="85"/>
      <c r="AL91" s="85"/>
      <c r="AM91" s="85"/>
      <c r="AN91" s="85"/>
      <c r="AO91" s="85"/>
      <c r="AP91" s="85"/>
      <c r="AQ91" s="85"/>
      <c r="AR91" s="85"/>
      <c r="AS91" s="85"/>
      <c r="AT91" s="85"/>
      <c r="AU91" s="85"/>
      <c r="AV91" s="85"/>
      <c r="AW91" s="85"/>
      <c r="AX91" s="85"/>
      <c r="AY91" s="85"/>
      <c r="AZ91" s="85"/>
      <c r="BA91" s="85"/>
      <c r="BB91" s="85"/>
      <c r="BC91" s="85"/>
      <c r="BD91" s="85"/>
      <c r="BE91" s="85"/>
      <c r="BF91" s="85"/>
      <c r="BG91" s="85"/>
      <c r="BH91" s="85"/>
      <c r="BI91" s="85"/>
      <c r="BJ91" s="85"/>
      <c r="BK91" s="85"/>
      <c r="BL91" s="85"/>
      <c r="BM91" s="85"/>
      <c r="BN91" s="85"/>
      <c r="BO91" s="85"/>
      <c r="BP91" s="85"/>
      <c r="BQ91" s="85"/>
      <c r="BR91" s="85"/>
      <c r="BS91" s="85"/>
      <c r="BT91" s="85"/>
      <c r="BU91" s="85"/>
      <c r="BV91" s="85"/>
      <c r="BW91" s="85"/>
      <c r="BX91" s="85"/>
      <c r="BY91" s="85"/>
      <c r="BZ91" s="85"/>
      <c r="CA91" s="85"/>
      <c r="CB91" s="85"/>
      <c r="CC91" s="85"/>
      <c r="CD91" s="85"/>
      <c r="CE91" s="85"/>
      <c r="CF91" s="85"/>
      <c r="CG91" s="85"/>
      <c r="CH91" s="85"/>
      <c r="CI91" s="85"/>
      <c r="CJ91" s="85"/>
      <c r="CK91" s="85"/>
      <c r="CL91" s="85"/>
      <c r="CM91" s="85"/>
      <c r="CN91" s="79"/>
      <c r="CO91" s="79"/>
    </row>
    <row r="92" spans="2:93" s="69" customFormat="1" ht="15" customHeight="1">
      <c r="C92" s="24" t="s">
        <v>12</v>
      </c>
      <c r="D92" s="464">
        <v>0</v>
      </c>
      <c r="E92" s="144">
        <v>0</v>
      </c>
      <c r="F92" s="144" t="s">
        <v>42</v>
      </c>
      <c r="G92" s="146" t="s">
        <v>402</v>
      </c>
      <c r="H92" s="119">
        <f t="shared" si="36"/>
        <v>0</v>
      </c>
      <c r="I92" s="119">
        <f t="shared" si="37"/>
        <v>0</v>
      </c>
      <c r="J92" s="145">
        <v>0</v>
      </c>
      <c r="K92" s="185">
        <f t="shared" ca="1" si="38"/>
        <v>0</v>
      </c>
      <c r="L92" s="119">
        <f t="shared" ca="1" si="39"/>
        <v>0</v>
      </c>
      <c r="M92" s="2312"/>
      <c r="N92" s="2313"/>
      <c r="O92" s="2313"/>
      <c r="P92" s="2313"/>
      <c r="R92" s="1181"/>
      <c r="S92" s="1304"/>
      <c r="T92" s="1295">
        <f t="shared" ref="T92:U107" si="40">T91+1</f>
        <v>83</v>
      </c>
      <c r="U92" s="1295">
        <f t="shared" si="40"/>
        <v>2116</v>
      </c>
      <c r="V92" s="1308">
        <f t="shared" si="32"/>
        <v>1203342.5117504138</v>
      </c>
      <c r="W92" s="1308">
        <f t="shared" si="32"/>
        <v>285609.69602031476</v>
      </c>
      <c r="X92" s="1310"/>
      <c r="Y92" s="197"/>
      <c r="Z92" s="197"/>
      <c r="AA92" s="1311"/>
      <c r="AB92" s="1311"/>
      <c r="AC92" s="197"/>
      <c r="AD92" s="197"/>
      <c r="AE92" s="197"/>
      <c r="AF92" s="1313"/>
      <c r="AG92" s="1256"/>
      <c r="AH92" s="1256"/>
      <c r="AI92" s="1256"/>
      <c r="AJ92" s="85"/>
      <c r="AK92" s="85"/>
      <c r="AL92" s="85"/>
      <c r="AM92" s="85"/>
      <c r="AN92" s="85"/>
      <c r="AO92" s="85"/>
      <c r="AP92" s="85"/>
      <c r="AQ92" s="85"/>
      <c r="AR92" s="85"/>
      <c r="AS92" s="85"/>
      <c r="AT92" s="85"/>
      <c r="AU92" s="85"/>
      <c r="AV92" s="85"/>
      <c r="AW92" s="85"/>
      <c r="AX92" s="85"/>
      <c r="AY92" s="85"/>
      <c r="AZ92" s="85"/>
      <c r="BA92" s="85"/>
      <c r="BB92" s="85"/>
      <c r="BC92" s="85"/>
      <c r="BD92" s="85"/>
      <c r="BE92" s="85"/>
      <c r="BF92" s="85"/>
      <c r="BG92" s="85"/>
      <c r="BH92" s="85"/>
      <c r="BI92" s="85"/>
      <c r="BJ92" s="85"/>
      <c r="BK92" s="85"/>
      <c r="BL92" s="85"/>
      <c r="BM92" s="85"/>
      <c r="BN92" s="85"/>
      <c r="BO92" s="85"/>
      <c r="BP92" s="85"/>
      <c r="BQ92" s="85"/>
      <c r="BR92" s="85"/>
      <c r="BS92" s="85"/>
      <c r="BT92" s="85"/>
      <c r="BU92" s="85"/>
      <c r="BV92" s="85"/>
      <c r="BW92" s="85"/>
      <c r="BX92" s="85"/>
      <c r="BY92" s="85"/>
      <c r="BZ92" s="85"/>
      <c r="CA92" s="85"/>
      <c r="CB92" s="85"/>
      <c r="CC92" s="85"/>
      <c r="CD92" s="85"/>
      <c r="CE92" s="85"/>
      <c r="CF92" s="85"/>
      <c r="CG92" s="85"/>
      <c r="CH92" s="85"/>
      <c r="CI92" s="85"/>
      <c r="CJ92" s="85"/>
      <c r="CK92" s="85"/>
      <c r="CL92" s="85"/>
      <c r="CM92" s="85"/>
      <c r="CN92" s="79"/>
      <c r="CO92" s="79"/>
    </row>
    <row r="93" spans="2:93" s="69" customFormat="1" ht="15" customHeight="1">
      <c r="C93" s="468" t="s">
        <v>12</v>
      </c>
      <c r="D93" s="463">
        <v>0</v>
      </c>
      <c r="E93" s="138">
        <v>0</v>
      </c>
      <c r="F93" s="138" t="s">
        <v>42</v>
      </c>
      <c r="G93" s="142" t="s">
        <v>402</v>
      </c>
      <c r="H93" s="118">
        <f t="shared" si="36"/>
        <v>0</v>
      </c>
      <c r="I93" s="118">
        <f t="shared" si="37"/>
        <v>0</v>
      </c>
      <c r="J93" s="140">
        <v>0</v>
      </c>
      <c r="K93" s="184">
        <f t="shared" ca="1" si="38"/>
        <v>0</v>
      </c>
      <c r="L93" s="118">
        <f t="shared" ca="1" si="39"/>
        <v>0</v>
      </c>
      <c r="M93" s="2310"/>
      <c r="N93" s="2311"/>
      <c r="O93" s="2311"/>
      <c r="P93" s="2311"/>
      <c r="R93" s="1181"/>
      <c r="S93" s="1304"/>
      <c r="T93" s="1295">
        <f t="shared" si="40"/>
        <v>84</v>
      </c>
      <c r="U93" s="1295">
        <f t="shared" si="40"/>
        <v>2117</v>
      </c>
      <c r="V93" s="1308">
        <f t="shared" si="32"/>
        <v>1239442.7871029263</v>
      </c>
      <c r="W93" s="1308">
        <f t="shared" si="32"/>
        <v>294177.98690092418</v>
      </c>
      <c r="X93" s="1310"/>
      <c r="Y93" s="197"/>
      <c r="Z93" s="197"/>
      <c r="AA93" s="1311"/>
      <c r="AB93" s="1311"/>
      <c r="AC93" s="197"/>
      <c r="AD93" s="197"/>
      <c r="AE93" s="197"/>
      <c r="AF93" s="1313"/>
      <c r="AG93" s="1256"/>
      <c r="AH93" s="1256"/>
      <c r="AI93" s="1256"/>
      <c r="AJ93" s="85"/>
      <c r="AK93" s="85"/>
      <c r="AL93" s="85"/>
      <c r="AM93" s="85"/>
      <c r="AN93" s="85"/>
      <c r="AO93" s="85"/>
      <c r="AP93" s="85"/>
      <c r="AQ93" s="85"/>
      <c r="AR93" s="85"/>
      <c r="AS93" s="85"/>
      <c r="AT93" s="85"/>
      <c r="AU93" s="85"/>
      <c r="AV93" s="85"/>
      <c r="AW93" s="85"/>
      <c r="AX93" s="85"/>
      <c r="AY93" s="85"/>
      <c r="AZ93" s="85"/>
      <c r="BA93" s="85"/>
      <c r="BB93" s="85"/>
      <c r="BC93" s="85"/>
      <c r="BD93" s="85"/>
      <c r="BE93" s="85"/>
      <c r="BF93" s="85"/>
      <c r="BG93" s="85"/>
      <c r="BH93" s="85"/>
      <c r="BI93" s="85"/>
      <c r="BJ93" s="85"/>
      <c r="BK93" s="85"/>
      <c r="BL93" s="85"/>
      <c r="BM93" s="85"/>
      <c r="BN93" s="85"/>
      <c r="BO93" s="85"/>
      <c r="BP93" s="85"/>
      <c r="BQ93" s="85"/>
      <c r="BR93" s="85"/>
      <c r="BS93" s="85"/>
      <c r="BT93" s="85"/>
      <c r="BU93" s="85"/>
      <c r="BV93" s="85"/>
      <c r="BW93" s="85"/>
      <c r="BX93" s="85"/>
      <c r="BY93" s="85"/>
      <c r="BZ93" s="85"/>
      <c r="CA93" s="85"/>
      <c r="CB93" s="85"/>
      <c r="CC93" s="85"/>
      <c r="CD93" s="85"/>
      <c r="CE93" s="85"/>
      <c r="CF93" s="85"/>
      <c r="CG93" s="85"/>
      <c r="CH93" s="85"/>
      <c r="CI93" s="85"/>
      <c r="CJ93" s="85"/>
      <c r="CK93" s="85"/>
      <c r="CL93" s="85"/>
      <c r="CM93" s="85"/>
      <c r="CN93" s="79"/>
      <c r="CO93" s="79"/>
    </row>
    <row r="94" spans="2:93" s="69" customFormat="1" ht="15" customHeight="1">
      <c r="C94" s="24" t="s">
        <v>12</v>
      </c>
      <c r="D94" s="464">
        <v>0</v>
      </c>
      <c r="E94" s="144">
        <v>0</v>
      </c>
      <c r="F94" s="144" t="s">
        <v>42</v>
      </c>
      <c r="G94" s="146" t="s">
        <v>402</v>
      </c>
      <c r="H94" s="119">
        <f t="shared" si="36"/>
        <v>0</v>
      </c>
      <c r="I94" s="119">
        <f t="shared" si="37"/>
        <v>0</v>
      </c>
      <c r="J94" s="145">
        <v>0</v>
      </c>
      <c r="K94" s="185">
        <f t="shared" ca="1" si="38"/>
        <v>0</v>
      </c>
      <c r="L94" s="119">
        <f t="shared" ca="1" si="39"/>
        <v>0</v>
      </c>
      <c r="M94" s="2312"/>
      <c r="N94" s="2313"/>
      <c r="O94" s="2313"/>
      <c r="P94" s="2313"/>
      <c r="R94" s="1181"/>
      <c r="S94" s="1304"/>
      <c r="T94" s="1295">
        <f t="shared" si="40"/>
        <v>85</v>
      </c>
      <c r="U94" s="1295">
        <f t="shared" si="40"/>
        <v>2118</v>
      </c>
      <c r="V94" s="1308">
        <f t="shared" si="32"/>
        <v>1276626.0707160141</v>
      </c>
      <c r="W94" s="1308">
        <f t="shared" si="32"/>
        <v>303003.32650795189</v>
      </c>
      <c r="X94" s="1310"/>
      <c r="Y94" s="197"/>
      <c r="Z94" s="197"/>
      <c r="AA94" s="1311"/>
      <c r="AB94" s="1311"/>
      <c r="AC94" s="197"/>
      <c r="AD94" s="197"/>
      <c r="AE94" s="197"/>
      <c r="AF94" s="1313"/>
      <c r="AG94" s="1256"/>
      <c r="AH94" s="1256"/>
      <c r="AI94" s="1256"/>
      <c r="AJ94" s="85"/>
      <c r="AK94" s="85"/>
      <c r="AL94" s="85"/>
      <c r="AM94" s="85"/>
      <c r="AN94" s="85"/>
      <c r="AO94" s="85"/>
      <c r="AP94" s="85"/>
      <c r="AQ94" s="85"/>
      <c r="AR94" s="85"/>
      <c r="AS94" s="85"/>
      <c r="AT94" s="85"/>
      <c r="AU94" s="85"/>
      <c r="AV94" s="85"/>
      <c r="AW94" s="85"/>
      <c r="AX94" s="85"/>
      <c r="AY94" s="85"/>
      <c r="AZ94" s="85"/>
      <c r="BA94" s="85"/>
      <c r="BB94" s="85"/>
      <c r="BC94" s="85"/>
      <c r="BD94" s="85"/>
      <c r="BE94" s="85"/>
      <c r="BF94" s="85"/>
      <c r="BG94" s="85"/>
      <c r="BH94" s="85"/>
      <c r="BI94" s="85"/>
      <c r="BJ94" s="85"/>
      <c r="BK94" s="85"/>
      <c r="BL94" s="85"/>
      <c r="BM94" s="85"/>
      <c r="BN94" s="85"/>
      <c r="BO94" s="85"/>
      <c r="BP94" s="85"/>
      <c r="BQ94" s="85"/>
      <c r="BR94" s="85"/>
      <c r="BS94" s="85"/>
      <c r="BT94" s="85"/>
      <c r="BU94" s="85"/>
      <c r="BV94" s="85"/>
      <c r="BW94" s="85"/>
      <c r="BX94" s="85"/>
      <c r="BY94" s="85"/>
      <c r="BZ94" s="85"/>
      <c r="CA94" s="85"/>
      <c r="CB94" s="85"/>
      <c r="CC94" s="85"/>
      <c r="CD94" s="85"/>
      <c r="CE94" s="85"/>
      <c r="CF94" s="85"/>
      <c r="CG94" s="85"/>
      <c r="CH94" s="85"/>
      <c r="CI94" s="85"/>
      <c r="CJ94" s="85"/>
      <c r="CK94" s="85"/>
      <c r="CL94" s="85"/>
      <c r="CM94" s="85"/>
      <c r="CN94" s="79"/>
      <c r="CO94" s="79"/>
    </row>
    <row r="95" spans="2:93" s="69" customFormat="1" ht="15" customHeight="1">
      <c r="C95" s="468" t="s">
        <v>12</v>
      </c>
      <c r="D95" s="463">
        <v>0</v>
      </c>
      <c r="E95" s="138">
        <v>0</v>
      </c>
      <c r="F95" s="138" t="s">
        <v>42</v>
      </c>
      <c r="G95" s="142" t="s">
        <v>402</v>
      </c>
      <c r="H95" s="118">
        <f t="shared" si="36"/>
        <v>0</v>
      </c>
      <c r="I95" s="118">
        <f t="shared" si="37"/>
        <v>0</v>
      </c>
      <c r="J95" s="140">
        <v>0</v>
      </c>
      <c r="K95" s="184">
        <f t="shared" ca="1" si="38"/>
        <v>0</v>
      </c>
      <c r="L95" s="118">
        <f t="shared" ca="1" si="39"/>
        <v>0</v>
      </c>
      <c r="M95" s="2310"/>
      <c r="N95" s="2311"/>
      <c r="O95" s="2311"/>
      <c r="P95" s="2311"/>
      <c r="R95" s="1181"/>
      <c r="S95" s="1304"/>
      <c r="T95" s="1295">
        <f t="shared" si="40"/>
        <v>86</v>
      </c>
      <c r="U95" s="1295">
        <f t="shared" si="40"/>
        <v>2119</v>
      </c>
      <c r="V95" s="1308">
        <f t="shared" si="32"/>
        <v>1314924.8528374946</v>
      </c>
      <c r="W95" s="1308">
        <f t="shared" si="32"/>
        <v>312093.42630319047</v>
      </c>
      <c r="X95" s="1310"/>
      <c r="Y95" s="197"/>
      <c r="Z95" s="197"/>
      <c r="AA95" s="1311">
        <f t="shared" ca="1" si="34"/>
        <v>0</v>
      </c>
      <c r="AB95" s="1311">
        <f t="shared" si="35"/>
        <v>0</v>
      </c>
      <c r="AC95" s="197"/>
      <c r="AD95" s="197"/>
      <c r="AE95" s="197"/>
      <c r="AF95" s="1313"/>
      <c r="AG95" s="1256"/>
      <c r="AH95" s="1256"/>
      <c r="AI95" s="1256"/>
      <c r="AJ95" s="85"/>
      <c r="AK95" s="85"/>
      <c r="AL95" s="85"/>
      <c r="AM95" s="85"/>
      <c r="AN95" s="85"/>
      <c r="AO95" s="85"/>
      <c r="AP95" s="85"/>
      <c r="AQ95" s="85"/>
      <c r="AR95" s="85"/>
      <c r="AS95" s="85"/>
      <c r="AT95" s="85"/>
      <c r="AU95" s="85"/>
      <c r="AV95" s="85"/>
      <c r="AW95" s="85"/>
      <c r="AX95" s="85"/>
      <c r="AY95" s="85"/>
      <c r="AZ95" s="85"/>
      <c r="BA95" s="85"/>
      <c r="BB95" s="85"/>
      <c r="BC95" s="85"/>
      <c r="BD95" s="85"/>
      <c r="BE95" s="85"/>
      <c r="BF95" s="85"/>
      <c r="BG95" s="85"/>
      <c r="BH95" s="85"/>
      <c r="BI95" s="85"/>
      <c r="BJ95" s="85"/>
      <c r="BK95" s="85"/>
      <c r="BL95" s="85"/>
      <c r="BM95" s="85"/>
      <c r="BN95" s="85"/>
      <c r="BO95" s="85"/>
      <c r="BP95" s="85"/>
      <c r="BQ95" s="85"/>
      <c r="BR95" s="85"/>
      <c r="BS95" s="85"/>
      <c r="BT95" s="85"/>
      <c r="BU95" s="85"/>
      <c r="BV95" s="85"/>
      <c r="BW95" s="85"/>
      <c r="BX95" s="85"/>
      <c r="BY95" s="85"/>
      <c r="BZ95" s="85"/>
      <c r="CA95" s="85"/>
      <c r="CB95" s="85"/>
      <c r="CC95" s="85"/>
      <c r="CD95" s="85"/>
      <c r="CE95" s="85"/>
      <c r="CF95" s="85"/>
      <c r="CG95" s="85"/>
      <c r="CH95" s="85"/>
      <c r="CI95" s="85"/>
      <c r="CJ95" s="85"/>
      <c r="CK95" s="85"/>
      <c r="CL95" s="85"/>
      <c r="CM95" s="85"/>
      <c r="CN95" s="79"/>
      <c r="CO95" s="79"/>
    </row>
    <row r="96" spans="2:93" s="69" customFormat="1" ht="15" customHeight="1">
      <c r="C96" s="24" t="s">
        <v>12</v>
      </c>
      <c r="D96" s="464">
        <v>0</v>
      </c>
      <c r="E96" s="144">
        <v>0</v>
      </c>
      <c r="F96" s="144" t="s">
        <v>42</v>
      </c>
      <c r="G96" s="146" t="s">
        <v>402</v>
      </c>
      <c r="H96" s="119">
        <f t="shared" si="36"/>
        <v>0</v>
      </c>
      <c r="I96" s="119">
        <f t="shared" si="37"/>
        <v>0</v>
      </c>
      <c r="J96" s="145">
        <v>0</v>
      </c>
      <c r="K96" s="185">
        <f t="shared" ca="1" si="38"/>
        <v>0</v>
      </c>
      <c r="L96" s="119">
        <f t="shared" ca="1" si="39"/>
        <v>0</v>
      </c>
      <c r="M96" s="2312"/>
      <c r="N96" s="2313"/>
      <c r="O96" s="2313"/>
      <c r="P96" s="2313"/>
      <c r="R96" s="1181"/>
      <c r="S96" s="1304"/>
      <c r="T96" s="1295">
        <f t="shared" si="40"/>
        <v>87</v>
      </c>
      <c r="U96" s="1295">
        <f t="shared" si="40"/>
        <v>2120</v>
      </c>
      <c r="V96" s="1308">
        <f t="shared" si="32"/>
        <v>1354372.5984226195</v>
      </c>
      <c r="W96" s="1308">
        <f t="shared" si="32"/>
        <v>321456.2290922862</v>
      </c>
      <c r="X96" s="1310"/>
      <c r="Y96" s="197"/>
      <c r="Z96" s="197"/>
      <c r="AA96" s="1311"/>
      <c r="AB96" s="1311"/>
      <c r="AC96" s="197"/>
      <c r="AD96" s="197"/>
      <c r="AE96" s="197"/>
      <c r="AF96" s="1313"/>
      <c r="AG96" s="1256"/>
      <c r="AH96" s="1256"/>
      <c r="AI96" s="1256"/>
      <c r="AJ96" s="85"/>
      <c r="AK96" s="85"/>
      <c r="AL96" s="85"/>
      <c r="AM96" s="85"/>
      <c r="AN96" s="85"/>
      <c r="AO96" s="85"/>
      <c r="AP96" s="85"/>
      <c r="AQ96" s="85"/>
      <c r="AR96" s="85"/>
      <c r="AS96" s="85"/>
      <c r="AT96" s="85"/>
      <c r="AU96" s="85"/>
      <c r="AV96" s="85"/>
      <c r="AW96" s="85"/>
      <c r="AX96" s="85"/>
      <c r="AY96" s="85"/>
      <c r="AZ96" s="85"/>
      <c r="BA96" s="85"/>
      <c r="BB96" s="85"/>
      <c r="BC96" s="85"/>
      <c r="BD96" s="85"/>
      <c r="BE96" s="85"/>
      <c r="BF96" s="85"/>
      <c r="BG96" s="85"/>
      <c r="BH96" s="85"/>
      <c r="BI96" s="85"/>
      <c r="BJ96" s="85"/>
      <c r="BK96" s="85"/>
      <c r="BL96" s="85"/>
      <c r="BM96" s="85"/>
      <c r="BN96" s="85"/>
      <c r="BO96" s="85"/>
      <c r="BP96" s="85"/>
      <c r="BQ96" s="85"/>
      <c r="BR96" s="85"/>
      <c r="BS96" s="85"/>
      <c r="BT96" s="85"/>
      <c r="BU96" s="85"/>
      <c r="BV96" s="85"/>
      <c r="BW96" s="85"/>
      <c r="BX96" s="85"/>
      <c r="BY96" s="85"/>
      <c r="BZ96" s="85"/>
      <c r="CA96" s="85"/>
      <c r="CB96" s="85"/>
      <c r="CC96" s="85"/>
      <c r="CD96" s="85"/>
      <c r="CE96" s="85"/>
      <c r="CF96" s="85"/>
      <c r="CG96" s="85"/>
      <c r="CH96" s="85"/>
      <c r="CI96" s="85"/>
      <c r="CJ96" s="85"/>
      <c r="CK96" s="85"/>
      <c r="CL96" s="85"/>
      <c r="CM96" s="85"/>
      <c r="CN96" s="79"/>
      <c r="CO96" s="79"/>
    </row>
    <row r="97" spans="2:93" s="69" customFormat="1" ht="15" customHeight="1">
      <c r="C97" s="137" t="s">
        <v>12</v>
      </c>
      <c r="D97" s="467">
        <v>0</v>
      </c>
      <c r="E97" s="139">
        <v>0</v>
      </c>
      <c r="F97" s="139" t="s">
        <v>42</v>
      </c>
      <c r="G97" s="143" t="s">
        <v>402</v>
      </c>
      <c r="H97" s="186">
        <f t="shared" si="36"/>
        <v>0</v>
      </c>
      <c r="I97" s="120">
        <f t="shared" si="37"/>
        <v>0</v>
      </c>
      <c r="J97" s="141">
        <v>0</v>
      </c>
      <c r="K97" s="186">
        <f t="shared" ca="1" si="38"/>
        <v>0</v>
      </c>
      <c r="L97" s="120">
        <f t="shared" ca="1" si="39"/>
        <v>0</v>
      </c>
      <c r="M97" s="2314"/>
      <c r="N97" s="2315"/>
      <c r="O97" s="2315"/>
      <c r="P97" s="2315"/>
      <c r="R97" s="1181"/>
      <c r="S97" s="1304"/>
      <c r="T97" s="1295">
        <f t="shared" si="40"/>
        <v>88</v>
      </c>
      <c r="U97" s="1295">
        <f t="shared" si="40"/>
        <v>2121</v>
      </c>
      <c r="V97" s="1308">
        <f t="shared" si="32"/>
        <v>1395003.7763752982</v>
      </c>
      <c r="W97" s="1308">
        <f t="shared" si="32"/>
        <v>331099.91596505477</v>
      </c>
      <c r="X97" s="1310"/>
      <c r="Y97" s="197"/>
      <c r="Z97" s="197"/>
      <c r="AA97" s="1311">
        <f t="shared" ref="AA97:AA108" ca="1" si="41">IF(G97="Optional",L97,0)</f>
        <v>0</v>
      </c>
      <c r="AB97" s="1311">
        <f t="shared" ref="AB97:AB108" si="42">IF(G97="Required",L97,0)</f>
        <v>0</v>
      </c>
      <c r="AC97" s="197"/>
      <c r="AD97" s="197"/>
      <c r="AE97" s="197"/>
      <c r="AF97" s="1313"/>
      <c r="AG97" s="1256"/>
      <c r="AH97" s="1256"/>
      <c r="AI97" s="1256"/>
      <c r="AJ97" s="85"/>
      <c r="AK97" s="85"/>
      <c r="AL97" s="85"/>
      <c r="AM97" s="85"/>
      <c r="AN97" s="85"/>
      <c r="AO97" s="85"/>
      <c r="AP97" s="85"/>
      <c r="AQ97" s="85"/>
      <c r="AR97" s="85"/>
      <c r="AS97" s="85"/>
      <c r="AT97" s="85"/>
      <c r="AU97" s="85"/>
      <c r="AV97" s="85"/>
      <c r="AW97" s="85"/>
      <c r="AX97" s="85"/>
      <c r="AY97" s="85"/>
      <c r="AZ97" s="85"/>
      <c r="BA97" s="85"/>
      <c r="BB97" s="85"/>
      <c r="BC97" s="85"/>
      <c r="BD97" s="85"/>
      <c r="BE97" s="85"/>
      <c r="BF97" s="85"/>
      <c r="BG97" s="85"/>
      <c r="BH97" s="85"/>
      <c r="BI97" s="85"/>
      <c r="BJ97" s="85"/>
      <c r="BK97" s="85"/>
      <c r="BL97" s="85"/>
      <c r="BM97" s="85"/>
      <c r="BN97" s="85"/>
      <c r="BO97" s="85"/>
      <c r="BP97" s="85"/>
      <c r="BQ97" s="85"/>
      <c r="BR97" s="85"/>
      <c r="BS97" s="85"/>
      <c r="BT97" s="85"/>
      <c r="BU97" s="85"/>
      <c r="BV97" s="85"/>
      <c r="BW97" s="85"/>
      <c r="BX97" s="85"/>
      <c r="BY97" s="85"/>
      <c r="BZ97" s="85"/>
      <c r="CA97" s="85"/>
      <c r="CB97" s="85"/>
      <c r="CC97" s="85"/>
      <c r="CD97" s="85"/>
      <c r="CE97" s="85"/>
      <c r="CF97" s="85"/>
      <c r="CG97" s="85"/>
      <c r="CH97" s="85"/>
      <c r="CI97" s="85"/>
      <c r="CJ97" s="85"/>
      <c r="CK97" s="85"/>
      <c r="CL97" s="85"/>
      <c r="CM97" s="85"/>
      <c r="CN97" s="79"/>
      <c r="CO97" s="79"/>
    </row>
    <row r="98" spans="2:93" s="69" customFormat="1" ht="25" customHeight="1">
      <c r="C98" s="135"/>
      <c r="D98" s="70"/>
      <c r="E98" s="150"/>
      <c r="F98" s="150"/>
      <c r="G98" s="157"/>
      <c r="H98" s="123">
        <f>SUM(H87:H97)</f>
        <v>2055</v>
      </c>
      <c r="I98" s="123">
        <f>SUM(I87:I97)</f>
        <v>24660</v>
      </c>
      <c r="J98" s="157"/>
      <c r="K98" s="123">
        <f ca="1">SUM(K87:K97)</f>
        <v>2929.9386224688969</v>
      </c>
      <c r="L98" s="123">
        <f ca="1">SUM(L87:L97)</f>
        <v>35159.263469626763</v>
      </c>
      <c r="M98" s="479"/>
      <c r="N98" s="479"/>
      <c r="O98" s="479"/>
      <c r="P98" s="479"/>
      <c r="R98" s="1181"/>
      <c r="S98" s="1304"/>
      <c r="T98" s="1295">
        <f t="shared" si="40"/>
        <v>89</v>
      </c>
      <c r="U98" s="1295">
        <f t="shared" si="40"/>
        <v>2122</v>
      </c>
      <c r="V98" s="1308">
        <f t="shared" si="32"/>
        <v>1436853.8896665571</v>
      </c>
      <c r="W98" s="1308">
        <f t="shared" si="32"/>
        <v>341032.91344400641</v>
      </c>
      <c r="X98" s="1310"/>
      <c r="Y98" s="197"/>
      <c r="Z98" s="197"/>
      <c r="AA98" s="1311">
        <f t="shared" si="41"/>
        <v>0</v>
      </c>
      <c r="AB98" s="1311">
        <f t="shared" si="42"/>
        <v>0</v>
      </c>
      <c r="AC98" s="197"/>
      <c r="AD98" s="197"/>
      <c r="AE98" s="197"/>
      <c r="AF98" s="1313"/>
      <c r="AG98" s="1256"/>
      <c r="AH98" s="1256"/>
      <c r="AI98" s="1256"/>
      <c r="AJ98" s="85"/>
      <c r="AK98" s="85"/>
      <c r="AL98" s="85"/>
      <c r="AM98" s="85"/>
      <c r="AN98" s="85"/>
      <c r="AO98" s="85"/>
      <c r="AP98" s="85"/>
      <c r="AQ98" s="85"/>
      <c r="AR98" s="85"/>
      <c r="AS98" s="85"/>
      <c r="AT98" s="85"/>
      <c r="AU98" s="85"/>
      <c r="AV98" s="85"/>
      <c r="AW98" s="85"/>
      <c r="AX98" s="85"/>
      <c r="AY98" s="85"/>
      <c r="AZ98" s="85"/>
      <c r="BA98" s="85"/>
      <c r="BB98" s="85"/>
      <c r="BC98" s="85"/>
      <c r="BD98" s="85"/>
      <c r="BE98" s="85"/>
      <c r="BF98" s="85"/>
      <c r="BG98" s="85"/>
      <c r="BH98" s="85"/>
      <c r="BI98" s="85"/>
      <c r="BJ98" s="85"/>
      <c r="BK98" s="85"/>
      <c r="BL98" s="85"/>
      <c r="BM98" s="85"/>
      <c r="BN98" s="85"/>
      <c r="BO98" s="85"/>
      <c r="BP98" s="85"/>
      <c r="BQ98" s="85"/>
      <c r="BR98" s="85"/>
      <c r="BS98" s="85"/>
      <c r="BT98" s="85"/>
      <c r="BU98" s="85"/>
      <c r="BV98" s="85"/>
      <c r="BW98" s="85"/>
      <c r="BX98" s="85"/>
      <c r="BY98" s="85"/>
      <c r="BZ98" s="85"/>
      <c r="CA98" s="85"/>
      <c r="CB98" s="85"/>
      <c r="CC98" s="85"/>
      <c r="CD98" s="85"/>
      <c r="CE98" s="85"/>
      <c r="CF98" s="85"/>
      <c r="CG98" s="85"/>
      <c r="CH98" s="85"/>
      <c r="CI98" s="85"/>
      <c r="CJ98" s="85"/>
      <c r="CK98" s="85"/>
      <c r="CL98" s="85"/>
      <c r="CM98" s="85"/>
      <c r="CN98" s="79"/>
      <c r="CO98" s="79"/>
    </row>
    <row r="99" spans="2:93" s="69" customFormat="1" ht="18" customHeight="1">
      <c r="B99" s="2556" t="s">
        <v>2634</v>
      </c>
      <c r="C99" s="2324"/>
      <c r="D99" s="115"/>
      <c r="E99" s="114"/>
      <c r="F99" s="114"/>
      <c r="G99" s="115"/>
      <c r="H99" s="192"/>
      <c r="I99" s="192"/>
      <c r="J99" s="115"/>
      <c r="K99" s="192"/>
      <c r="L99" s="192"/>
      <c r="M99" s="478"/>
      <c r="N99" s="478"/>
      <c r="O99" s="478"/>
      <c r="P99" s="478"/>
      <c r="R99" s="1181"/>
      <c r="S99" s="197"/>
      <c r="T99" s="1295">
        <f t="shared" si="40"/>
        <v>90</v>
      </c>
      <c r="U99" s="1295">
        <f t="shared" si="40"/>
        <v>2123</v>
      </c>
      <c r="V99" s="1308">
        <f t="shared" si="32"/>
        <v>1479959.5063565539</v>
      </c>
      <c r="W99" s="1308">
        <f t="shared" si="32"/>
        <v>351263.90084732661</v>
      </c>
      <c r="X99" s="1310"/>
      <c r="Y99" s="197"/>
      <c r="Z99" s="197"/>
      <c r="AA99" s="1311">
        <f t="shared" si="41"/>
        <v>0</v>
      </c>
      <c r="AB99" s="1311">
        <f t="shared" si="42"/>
        <v>0</v>
      </c>
      <c r="AC99" s="197"/>
      <c r="AD99" s="197"/>
      <c r="AE99" s="197"/>
      <c r="AF99" s="1313"/>
      <c r="AG99" s="1256"/>
      <c r="AH99" s="1256"/>
      <c r="AI99" s="1256"/>
      <c r="AJ99" s="85"/>
      <c r="AK99" s="85"/>
      <c r="AL99" s="85"/>
      <c r="AM99" s="85"/>
      <c r="AN99" s="85"/>
      <c r="AO99" s="85"/>
      <c r="AP99" s="85"/>
      <c r="AQ99" s="85"/>
      <c r="AR99" s="85"/>
      <c r="AS99" s="85"/>
      <c r="AT99" s="85"/>
      <c r="AU99" s="85"/>
      <c r="AV99" s="85"/>
      <c r="AW99" s="85"/>
      <c r="AX99" s="85"/>
      <c r="AY99" s="85"/>
      <c r="AZ99" s="85"/>
      <c r="BA99" s="85"/>
      <c r="BB99" s="85"/>
      <c r="BC99" s="85"/>
      <c r="BD99" s="85"/>
      <c r="BE99" s="85"/>
      <c r="BF99" s="85"/>
      <c r="BG99" s="85"/>
      <c r="BH99" s="85"/>
      <c r="BI99" s="85"/>
      <c r="BJ99" s="85"/>
      <c r="BK99" s="85"/>
      <c r="BL99" s="85"/>
      <c r="BM99" s="85"/>
      <c r="BN99" s="85"/>
      <c r="BO99" s="85"/>
      <c r="BP99" s="85"/>
      <c r="BQ99" s="85"/>
      <c r="BR99" s="85"/>
      <c r="BS99" s="85"/>
      <c r="BT99" s="85"/>
      <c r="BU99" s="85"/>
      <c r="BV99" s="85"/>
      <c r="BW99" s="85"/>
      <c r="BX99" s="85"/>
      <c r="BY99" s="85"/>
      <c r="BZ99" s="85"/>
      <c r="CA99" s="85"/>
      <c r="CB99" s="85"/>
      <c r="CC99" s="85"/>
      <c r="CD99" s="85"/>
      <c r="CE99" s="85"/>
      <c r="CF99" s="85"/>
      <c r="CG99" s="85"/>
      <c r="CH99" s="85"/>
      <c r="CI99" s="85"/>
      <c r="CJ99" s="85"/>
      <c r="CK99" s="85"/>
      <c r="CL99" s="85"/>
      <c r="CM99" s="85"/>
      <c r="CN99" s="79"/>
      <c r="CO99" s="79"/>
    </row>
    <row r="100" spans="2:93" s="69" customFormat="1" ht="15" customHeight="1">
      <c r="C100" s="468" t="s">
        <v>2294</v>
      </c>
      <c r="D100" s="463">
        <v>12</v>
      </c>
      <c r="E100" s="138">
        <v>12</v>
      </c>
      <c r="F100" s="138" t="s">
        <v>42</v>
      </c>
      <c r="G100" s="136" t="s">
        <v>402</v>
      </c>
      <c r="H100" s="184">
        <f t="shared" ref="H100:H111" si="43">IF(ISNUMBER(I100),I100/12,0)</f>
        <v>12</v>
      </c>
      <c r="I100" s="118">
        <f t="shared" ref="I100:I111" si="44">IF(ISNUMBER(E100),IF(E100&gt;0,D100*E100,0),"")</f>
        <v>144</v>
      </c>
      <c r="J100" s="140">
        <v>0</v>
      </c>
      <c r="K100" s="118">
        <f t="shared" ref="K100:K111" ca="1" si="45">IF(ISNUMBER(L100),L100/12,"")</f>
        <v>17.109130642154145</v>
      </c>
      <c r="L100" s="118">
        <f t="shared" ref="L100:L111" ca="1" si="46">IF(ISNUMBER(I100),IF(F100="Y",FV($N$5,$O$5,0,I100*-1)+(J100*12),I100+(J100*12)),"")</f>
        <v>205.30956770584973</v>
      </c>
      <c r="M100" s="2310"/>
      <c r="N100" s="2311"/>
      <c r="O100" s="2311"/>
      <c r="P100" s="2311"/>
      <c r="R100" s="1181"/>
      <c r="S100" s="197"/>
      <c r="T100" s="1295">
        <f t="shared" si="40"/>
        <v>91</v>
      </c>
      <c r="U100" s="1295">
        <f t="shared" si="40"/>
        <v>2124</v>
      </c>
      <c r="V100" s="1308">
        <f t="shared" si="32"/>
        <v>1524358.2915472505</v>
      </c>
      <c r="W100" s="1308">
        <f t="shared" si="32"/>
        <v>361801.81787274644</v>
      </c>
      <c r="X100" s="1310"/>
      <c r="Y100" s="197"/>
      <c r="Z100" s="197"/>
      <c r="AA100" s="1311">
        <f t="shared" ca="1" si="41"/>
        <v>205.30956770584973</v>
      </c>
      <c r="AB100" s="1311">
        <f t="shared" si="42"/>
        <v>0</v>
      </c>
      <c r="AC100" s="197"/>
      <c r="AD100" s="197"/>
      <c r="AE100" s="197"/>
      <c r="AF100" s="1313"/>
      <c r="AG100" s="1256"/>
      <c r="AH100" s="1256"/>
      <c r="AI100" s="1256"/>
      <c r="AJ100" s="85"/>
      <c r="AK100" s="85"/>
      <c r="AL100" s="85"/>
      <c r="AM100" s="85"/>
      <c r="AN100" s="85"/>
      <c r="AO100" s="85"/>
      <c r="AP100" s="85"/>
      <c r="AQ100" s="85"/>
      <c r="AR100" s="85"/>
      <c r="AS100" s="85"/>
      <c r="AT100" s="85"/>
      <c r="AU100" s="85"/>
      <c r="AV100" s="85"/>
      <c r="AW100" s="85"/>
      <c r="AX100" s="85"/>
      <c r="AY100" s="85"/>
      <c r="AZ100" s="85"/>
      <c r="BA100" s="85"/>
      <c r="BB100" s="85"/>
      <c r="BC100" s="85"/>
      <c r="BD100" s="85"/>
      <c r="BE100" s="85"/>
      <c r="BF100" s="85"/>
      <c r="BG100" s="85"/>
      <c r="BH100" s="85"/>
      <c r="BI100" s="85"/>
      <c r="BJ100" s="85"/>
      <c r="BK100" s="85"/>
      <c r="BL100" s="85"/>
      <c r="BM100" s="85"/>
      <c r="BN100" s="85"/>
      <c r="BO100" s="85"/>
      <c r="BP100" s="85"/>
      <c r="BQ100" s="85"/>
      <c r="BR100" s="85"/>
      <c r="BS100" s="85"/>
      <c r="BT100" s="85"/>
      <c r="BU100" s="85"/>
      <c r="BV100" s="85"/>
      <c r="BW100" s="85"/>
      <c r="BX100" s="85"/>
      <c r="BY100" s="85"/>
      <c r="BZ100" s="85"/>
      <c r="CA100" s="85"/>
      <c r="CB100" s="85"/>
      <c r="CC100" s="85"/>
      <c r="CD100" s="85"/>
      <c r="CE100" s="85"/>
      <c r="CF100" s="85"/>
      <c r="CG100" s="85"/>
      <c r="CH100" s="85"/>
      <c r="CI100" s="85"/>
      <c r="CJ100" s="85"/>
      <c r="CK100" s="85"/>
      <c r="CL100" s="85"/>
      <c r="CM100" s="85"/>
      <c r="CN100" s="79"/>
      <c r="CO100" s="79"/>
    </row>
    <row r="101" spans="2:93" s="69" customFormat="1" ht="15" customHeight="1">
      <c r="C101" s="1581" t="s">
        <v>31</v>
      </c>
      <c r="D101" s="464">
        <v>70</v>
      </c>
      <c r="E101" s="144">
        <v>12</v>
      </c>
      <c r="F101" s="144" t="s">
        <v>42</v>
      </c>
      <c r="G101" s="152" t="s">
        <v>402</v>
      </c>
      <c r="H101" s="185">
        <f t="shared" si="43"/>
        <v>70</v>
      </c>
      <c r="I101" s="119">
        <f t="shared" si="44"/>
        <v>840</v>
      </c>
      <c r="J101" s="145">
        <v>0</v>
      </c>
      <c r="K101" s="119">
        <f t="shared" ca="1" si="45"/>
        <v>99.80326207923251</v>
      </c>
      <c r="L101" s="119">
        <f t="shared" ca="1" si="46"/>
        <v>1197.6391449507901</v>
      </c>
      <c r="M101" s="2312"/>
      <c r="N101" s="2313"/>
      <c r="O101" s="2313"/>
      <c r="P101" s="2313"/>
      <c r="R101" s="1181"/>
      <c r="S101" s="197"/>
      <c r="T101" s="1295">
        <f t="shared" si="40"/>
        <v>92</v>
      </c>
      <c r="U101" s="1295">
        <f t="shared" si="40"/>
        <v>2125</v>
      </c>
      <c r="V101" s="1308">
        <f t="shared" si="32"/>
        <v>1570089.0402936679</v>
      </c>
      <c r="W101" s="1308">
        <f t="shared" si="32"/>
        <v>372655.87240892882</v>
      </c>
      <c r="X101" s="1310"/>
      <c r="Y101" s="197"/>
      <c r="Z101" s="197"/>
      <c r="AA101" s="1311">
        <f t="shared" ca="1" si="41"/>
        <v>1197.6391449507901</v>
      </c>
      <c r="AB101" s="1311">
        <f t="shared" si="42"/>
        <v>0</v>
      </c>
      <c r="AC101" s="197"/>
      <c r="AD101" s="197"/>
      <c r="AE101" s="197"/>
      <c r="AF101" s="1313"/>
      <c r="AG101" s="1256"/>
      <c r="AH101" s="1256"/>
      <c r="AI101" s="1256"/>
      <c r="AJ101" s="85"/>
      <c r="AK101" s="85"/>
      <c r="AL101" s="85"/>
      <c r="AM101" s="85"/>
      <c r="AN101" s="85"/>
      <c r="AO101" s="85"/>
      <c r="AP101" s="85"/>
      <c r="AQ101" s="85"/>
      <c r="AR101" s="85"/>
      <c r="AS101" s="85"/>
      <c r="AT101" s="85"/>
      <c r="AU101" s="85"/>
      <c r="AV101" s="85"/>
      <c r="AW101" s="85"/>
      <c r="AX101" s="85"/>
      <c r="AY101" s="85"/>
      <c r="AZ101" s="85"/>
      <c r="BA101" s="85"/>
      <c r="BB101" s="85"/>
      <c r="BC101" s="85"/>
      <c r="BD101" s="85"/>
      <c r="BE101" s="85"/>
      <c r="BF101" s="85"/>
      <c r="BG101" s="85"/>
      <c r="BH101" s="85"/>
      <c r="BI101" s="85"/>
      <c r="BJ101" s="85"/>
      <c r="BK101" s="85"/>
      <c r="BL101" s="85"/>
      <c r="BM101" s="85"/>
      <c r="BN101" s="85"/>
      <c r="BO101" s="85"/>
      <c r="BP101" s="85"/>
      <c r="BQ101" s="85"/>
      <c r="BR101" s="85"/>
      <c r="BS101" s="85"/>
      <c r="BT101" s="85"/>
      <c r="BU101" s="85"/>
      <c r="BV101" s="85"/>
      <c r="BW101" s="85"/>
      <c r="BX101" s="85"/>
      <c r="BY101" s="85"/>
      <c r="BZ101" s="85"/>
      <c r="CA101" s="85"/>
      <c r="CB101" s="85"/>
      <c r="CC101" s="85"/>
      <c r="CD101" s="85"/>
      <c r="CE101" s="85"/>
      <c r="CF101" s="85"/>
      <c r="CG101" s="85"/>
      <c r="CH101" s="85"/>
      <c r="CI101" s="85"/>
      <c r="CJ101" s="85"/>
      <c r="CK101" s="85"/>
      <c r="CL101" s="85"/>
      <c r="CM101" s="85"/>
      <c r="CN101" s="79"/>
      <c r="CO101" s="79"/>
    </row>
    <row r="102" spans="2:93" s="69" customFormat="1" ht="15" customHeight="1">
      <c r="C102" s="1580" t="s">
        <v>2293</v>
      </c>
      <c r="D102" s="463">
        <v>15</v>
      </c>
      <c r="E102" s="138">
        <v>12</v>
      </c>
      <c r="F102" s="138" t="s">
        <v>42</v>
      </c>
      <c r="G102" s="136" t="s">
        <v>402</v>
      </c>
      <c r="H102" s="184">
        <f t="shared" si="43"/>
        <v>15</v>
      </c>
      <c r="I102" s="118">
        <f t="shared" si="44"/>
        <v>180</v>
      </c>
      <c r="J102" s="140">
        <v>0</v>
      </c>
      <c r="K102" s="118">
        <f t="shared" ca="1" si="45"/>
        <v>21.386413302692677</v>
      </c>
      <c r="L102" s="118">
        <f t="shared" ca="1" si="46"/>
        <v>256.63695963231214</v>
      </c>
      <c r="M102" s="2310"/>
      <c r="N102" s="2311"/>
      <c r="O102" s="2311"/>
      <c r="P102" s="2311"/>
      <c r="R102" s="1181"/>
      <c r="S102" s="197"/>
      <c r="T102" s="1295">
        <f t="shared" si="40"/>
        <v>93</v>
      </c>
      <c r="U102" s="1295">
        <f t="shared" si="40"/>
        <v>2126</v>
      </c>
      <c r="V102" s="1308">
        <f t="shared" si="32"/>
        <v>1617191.711502478</v>
      </c>
      <c r="W102" s="1308">
        <f t="shared" si="32"/>
        <v>383835.54858119669</v>
      </c>
      <c r="X102" s="1310"/>
      <c r="Y102" s="197"/>
      <c r="Z102" s="197"/>
      <c r="AA102" s="1311"/>
      <c r="AB102" s="1311"/>
      <c r="AC102" s="197"/>
      <c r="AD102" s="197"/>
      <c r="AE102" s="197"/>
      <c r="AF102" s="1313"/>
      <c r="AG102" s="1256"/>
      <c r="AH102" s="1256"/>
      <c r="AI102" s="1256"/>
      <c r="AJ102" s="85"/>
      <c r="AK102" s="85"/>
      <c r="AL102" s="85"/>
      <c r="AM102" s="85"/>
      <c r="AN102" s="85"/>
      <c r="AO102" s="85"/>
      <c r="AP102" s="85"/>
      <c r="AQ102" s="85"/>
      <c r="AR102" s="85"/>
      <c r="AS102" s="85"/>
      <c r="AT102" s="85"/>
      <c r="AU102" s="85"/>
      <c r="AV102" s="85"/>
      <c r="AW102" s="85"/>
      <c r="AX102" s="85"/>
      <c r="AY102" s="85"/>
      <c r="AZ102" s="85"/>
      <c r="BA102" s="85"/>
      <c r="BB102" s="85"/>
      <c r="BC102" s="85"/>
      <c r="BD102" s="85"/>
      <c r="BE102" s="85"/>
      <c r="BF102" s="85"/>
      <c r="BG102" s="85"/>
      <c r="BH102" s="85"/>
      <c r="BI102" s="85"/>
      <c r="BJ102" s="85"/>
      <c r="BK102" s="85"/>
      <c r="BL102" s="85"/>
      <c r="BM102" s="85"/>
      <c r="BN102" s="85"/>
      <c r="BO102" s="85"/>
      <c r="BP102" s="85"/>
      <c r="BQ102" s="85"/>
      <c r="BR102" s="85"/>
      <c r="BS102" s="85"/>
      <c r="BT102" s="85"/>
      <c r="BU102" s="85"/>
      <c r="BV102" s="85"/>
      <c r="BW102" s="85"/>
      <c r="BX102" s="85"/>
      <c r="BY102" s="85"/>
      <c r="BZ102" s="85"/>
      <c r="CA102" s="85"/>
      <c r="CB102" s="85"/>
      <c r="CC102" s="85"/>
      <c r="CD102" s="85"/>
      <c r="CE102" s="85"/>
      <c r="CF102" s="85"/>
      <c r="CG102" s="85"/>
      <c r="CH102" s="85"/>
      <c r="CI102" s="85"/>
      <c r="CJ102" s="85"/>
      <c r="CK102" s="85"/>
      <c r="CL102" s="85"/>
      <c r="CM102" s="85"/>
      <c r="CN102" s="79"/>
      <c r="CO102" s="79"/>
    </row>
    <row r="103" spans="2:93" s="69" customFormat="1" ht="15" customHeight="1">
      <c r="C103" s="1572" t="s">
        <v>35</v>
      </c>
      <c r="D103" s="464">
        <v>120</v>
      </c>
      <c r="E103" s="144">
        <v>1</v>
      </c>
      <c r="F103" s="2046" t="s">
        <v>43</v>
      </c>
      <c r="G103" s="152" t="s">
        <v>402</v>
      </c>
      <c r="H103" s="185">
        <f t="shared" si="43"/>
        <v>10</v>
      </c>
      <c r="I103" s="119">
        <f t="shared" si="44"/>
        <v>120</v>
      </c>
      <c r="J103" s="145">
        <v>0</v>
      </c>
      <c r="K103" s="119">
        <f t="shared" si="45"/>
        <v>10</v>
      </c>
      <c r="L103" s="119">
        <f t="shared" si="46"/>
        <v>120</v>
      </c>
      <c r="M103" s="2312"/>
      <c r="N103" s="2313"/>
      <c r="O103" s="2313"/>
      <c r="P103" s="2313"/>
      <c r="R103" s="1181"/>
      <c r="S103" s="197"/>
      <c r="T103" s="1295">
        <f t="shared" si="40"/>
        <v>94</v>
      </c>
      <c r="U103" s="1295">
        <f t="shared" si="40"/>
        <v>2127</v>
      </c>
      <c r="V103" s="1308">
        <f t="shared" si="32"/>
        <v>1665707.4628475523</v>
      </c>
      <c r="W103" s="1308">
        <f t="shared" si="32"/>
        <v>395350.61503863259</v>
      </c>
      <c r="X103" s="1310"/>
      <c r="Y103" s="197"/>
      <c r="Z103" s="197"/>
      <c r="AA103" s="1311"/>
      <c r="AB103" s="1311"/>
      <c r="AC103" s="197"/>
      <c r="AD103" s="197"/>
      <c r="AE103" s="197"/>
      <c r="AF103" s="1313"/>
      <c r="AG103" s="1256"/>
      <c r="AH103" s="1256"/>
      <c r="AI103" s="1256"/>
      <c r="AJ103" s="85"/>
      <c r="AK103" s="85"/>
      <c r="AL103" s="85"/>
      <c r="AM103" s="85"/>
      <c r="AN103" s="85"/>
      <c r="AO103" s="85"/>
      <c r="AP103" s="85"/>
      <c r="AQ103" s="85"/>
      <c r="AR103" s="85"/>
      <c r="AS103" s="85"/>
      <c r="AT103" s="85"/>
      <c r="AU103" s="85"/>
      <c r="AV103" s="85"/>
      <c r="AW103" s="85"/>
      <c r="AX103" s="85"/>
      <c r="AY103" s="85"/>
      <c r="AZ103" s="85"/>
      <c r="BA103" s="85"/>
      <c r="BB103" s="85"/>
      <c r="BC103" s="85"/>
      <c r="BD103" s="85"/>
      <c r="BE103" s="85"/>
      <c r="BF103" s="85"/>
      <c r="BG103" s="85"/>
      <c r="BH103" s="85"/>
      <c r="BI103" s="85"/>
      <c r="BJ103" s="85"/>
      <c r="BK103" s="85"/>
      <c r="BL103" s="85"/>
      <c r="BM103" s="85"/>
      <c r="BN103" s="85"/>
      <c r="BO103" s="85"/>
      <c r="BP103" s="85"/>
      <c r="BQ103" s="85"/>
      <c r="BR103" s="85"/>
      <c r="BS103" s="85"/>
      <c r="BT103" s="85"/>
      <c r="BU103" s="85"/>
      <c r="BV103" s="85"/>
      <c r="BW103" s="85"/>
      <c r="BX103" s="85"/>
      <c r="BY103" s="85"/>
      <c r="BZ103" s="85"/>
      <c r="CA103" s="85"/>
      <c r="CB103" s="85"/>
      <c r="CC103" s="85"/>
      <c r="CD103" s="85"/>
      <c r="CE103" s="85"/>
      <c r="CF103" s="85"/>
      <c r="CG103" s="85"/>
      <c r="CH103" s="85"/>
      <c r="CI103" s="85"/>
      <c r="CJ103" s="85"/>
      <c r="CK103" s="85"/>
      <c r="CL103" s="85"/>
      <c r="CM103" s="85"/>
      <c r="CN103" s="79"/>
      <c r="CO103" s="79"/>
    </row>
    <row r="104" spans="2:93" s="69" customFormat="1" ht="15" customHeight="1">
      <c r="C104" s="1477" t="s">
        <v>205</v>
      </c>
      <c r="D104" s="463">
        <v>15</v>
      </c>
      <c r="E104" s="138">
        <v>12</v>
      </c>
      <c r="F104" s="138" t="s">
        <v>42</v>
      </c>
      <c r="G104" s="136" t="s">
        <v>402</v>
      </c>
      <c r="H104" s="184">
        <f t="shared" si="43"/>
        <v>15</v>
      </c>
      <c r="I104" s="118">
        <f t="shared" si="44"/>
        <v>180</v>
      </c>
      <c r="J104" s="140">
        <v>0</v>
      </c>
      <c r="K104" s="118">
        <f t="shared" ca="1" si="45"/>
        <v>21.386413302692677</v>
      </c>
      <c r="L104" s="118">
        <f t="shared" ca="1" si="46"/>
        <v>256.63695963231214</v>
      </c>
      <c r="M104" s="2310"/>
      <c r="N104" s="2311"/>
      <c r="O104" s="2311"/>
      <c r="P104" s="2311"/>
      <c r="R104" s="1181"/>
      <c r="S104" s="197"/>
      <c r="T104" s="1295">
        <f t="shared" si="40"/>
        <v>95</v>
      </c>
      <c r="U104" s="1295">
        <f t="shared" si="40"/>
        <v>2128</v>
      </c>
      <c r="V104" s="1308">
        <f t="shared" si="32"/>
        <v>1715678.6867329788</v>
      </c>
      <c r="W104" s="1308">
        <f t="shared" si="32"/>
        <v>407211.13348979159</v>
      </c>
      <c r="X104" s="1310"/>
      <c r="Y104" s="197"/>
      <c r="Z104" s="197"/>
      <c r="AA104" s="1311"/>
      <c r="AB104" s="1311"/>
      <c r="AC104" s="197"/>
      <c r="AD104" s="197"/>
      <c r="AE104" s="197"/>
      <c r="AF104" s="1313"/>
      <c r="AG104" s="1256"/>
      <c r="AH104" s="1256"/>
      <c r="AI104" s="1256"/>
      <c r="AJ104" s="85"/>
      <c r="AK104" s="85"/>
      <c r="AL104" s="85"/>
      <c r="AM104" s="85"/>
      <c r="AN104" s="85"/>
      <c r="AO104" s="85"/>
      <c r="AP104" s="85"/>
      <c r="AQ104" s="85"/>
      <c r="AR104" s="85"/>
      <c r="AS104" s="85"/>
      <c r="AT104" s="85"/>
      <c r="AU104" s="85"/>
      <c r="AV104" s="85"/>
      <c r="AW104" s="85"/>
      <c r="AX104" s="85"/>
      <c r="AY104" s="85"/>
      <c r="AZ104" s="85"/>
      <c r="BA104" s="85"/>
      <c r="BB104" s="85"/>
      <c r="BC104" s="85"/>
      <c r="BD104" s="85"/>
      <c r="BE104" s="85"/>
      <c r="BF104" s="85"/>
      <c r="BG104" s="85"/>
      <c r="BH104" s="85"/>
      <c r="BI104" s="85"/>
      <c r="BJ104" s="85"/>
      <c r="BK104" s="85"/>
      <c r="BL104" s="85"/>
      <c r="BM104" s="85"/>
      <c r="BN104" s="85"/>
      <c r="BO104" s="85"/>
      <c r="BP104" s="85"/>
      <c r="BQ104" s="85"/>
      <c r="BR104" s="85"/>
      <c r="BS104" s="85"/>
      <c r="BT104" s="85"/>
      <c r="BU104" s="85"/>
      <c r="BV104" s="85"/>
      <c r="BW104" s="85"/>
      <c r="BX104" s="85"/>
      <c r="BY104" s="85"/>
      <c r="BZ104" s="85"/>
      <c r="CA104" s="85"/>
      <c r="CB104" s="85"/>
      <c r="CC104" s="85"/>
      <c r="CD104" s="85"/>
      <c r="CE104" s="85"/>
      <c r="CF104" s="85"/>
      <c r="CG104" s="85"/>
      <c r="CH104" s="85"/>
      <c r="CI104" s="85"/>
      <c r="CJ104" s="85"/>
      <c r="CK104" s="85"/>
      <c r="CL104" s="85"/>
      <c r="CM104" s="85"/>
      <c r="CN104" s="79"/>
      <c r="CO104" s="79"/>
    </row>
    <row r="105" spans="2:93" s="69" customFormat="1" ht="15" customHeight="1">
      <c r="C105" s="1476" t="s">
        <v>2420</v>
      </c>
      <c r="D105" s="464">
        <v>0</v>
      </c>
      <c r="E105" s="144">
        <v>0</v>
      </c>
      <c r="F105" s="2046" t="s">
        <v>42</v>
      </c>
      <c r="G105" s="152" t="s">
        <v>402</v>
      </c>
      <c r="H105" s="185">
        <f t="shared" si="43"/>
        <v>0</v>
      </c>
      <c r="I105" s="119">
        <f t="shared" si="44"/>
        <v>0</v>
      </c>
      <c r="J105" s="145">
        <v>0</v>
      </c>
      <c r="K105" s="119">
        <f t="shared" ca="1" si="45"/>
        <v>0</v>
      </c>
      <c r="L105" s="119">
        <f t="shared" ca="1" si="46"/>
        <v>0</v>
      </c>
      <c r="M105" s="2312"/>
      <c r="N105" s="2313"/>
      <c r="O105" s="2313"/>
      <c r="P105" s="2313"/>
      <c r="R105" s="1181"/>
      <c r="S105" s="197"/>
      <c r="T105" s="1295">
        <f t="shared" si="40"/>
        <v>96</v>
      </c>
      <c r="U105" s="1295">
        <f t="shared" si="40"/>
        <v>2129</v>
      </c>
      <c r="V105" s="1308">
        <f t="shared" si="32"/>
        <v>1767149.0473349681</v>
      </c>
      <c r="W105" s="1308">
        <f t="shared" si="32"/>
        <v>419427.46749448532</v>
      </c>
      <c r="X105" s="1310"/>
      <c r="Y105" s="197"/>
      <c r="Z105" s="197"/>
      <c r="AA105" s="1311"/>
      <c r="AB105" s="1311"/>
      <c r="AC105" s="197"/>
      <c r="AD105" s="197"/>
      <c r="AE105" s="197"/>
      <c r="AF105" s="1313"/>
      <c r="AG105" s="1256"/>
      <c r="AH105" s="1256"/>
      <c r="AI105" s="1256"/>
      <c r="AJ105" s="85"/>
      <c r="AK105" s="85"/>
      <c r="AL105" s="85"/>
      <c r="AM105" s="85"/>
      <c r="AN105" s="85"/>
      <c r="AO105" s="85"/>
      <c r="AP105" s="85"/>
      <c r="AQ105" s="85"/>
      <c r="AR105" s="85"/>
      <c r="AS105" s="85"/>
      <c r="AT105" s="85"/>
      <c r="AU105" s="85"/>
      <c r="AV105" s="85"/>
      <c r="AW105" s="85"/>
      <c r="AX105" s="85"/>
      <c r="AY105" s="85"/>
      <c r="AZ105" s="85"/>
      <c r="BA105" s="85"/>
      <c r="BB105" s="85"/>
      <c r="BC105" s="85"/>
      <c r="BD105" s="85"/>
      <c r="BE105" s="85"/>
      <c r="BF105" s="85"/>
      <c r="BG105" s="85"/>
      <c r="BH105" s="85"/>
      <c r="BI105" s="85"/>
      <c r="BJ105" s="85"/>
      <c r="BK105" s="85"/>
      <c r="BL105" s="85"/>
      <c r="BM105" s="85"/>
      <c r="BN105" s="85"/>
      <c r="BO105" s="85"/>
      <c r="BP105" s="85"/>
      <c r="BQ105" s="85"/>
      <c r="BR105" s="85"/>
      <c r="BS105" s="85"/>
      <c r="BT105" s="85"/>
      <c r="BU105" s="85"/>
      <c r="BV105" s="85"/>
      <c r="BW105" s="85"/>
      <c r="BX105" s="85"/>
      <c r="BY105" s="85"/>
      <c r="BZ105" s="85"/>
      <c r="CA105" s="85"/>
      <c r="CB105" s="85"/>
      <c r="CC105" s="85"/>
      <c r="CD105" s="85"/>
      <c r="CE105" s="85"/>
      <c r="CF105" s="85"/>
      <c r="CG105" s="85"/>
      <c r="CH105" s="85"/>
      <c r="CI105" s="85"/>
      <c r="CJ105" s="85"/>
      <c r="CK105" s="85"/>
      <c r="CL105" s="85"/>
      <c r="CM105" s="85"/>
      <c r="CN105" s="79"/>
      <c r="CO105" s="79"/>
    </row>
    <row r="106" spans="2:93" s="69" customFormat="1" ht="15" customHeight="1">
      <c r="C106" s="13" t="s">
        <v>2636</v>
      </c>
      <c r="D106" s="463">
        <v>20</v>
      </c>
      <c r="E106" s="138">
        <v>12</v>
      </c>
      <c r="F106" s="138" t="s">
        <v>42</v>
      </c>
      <c r="G106" s="1588" t="s">
        <v>395</v>
      </c>
      <c r="H106" s="184">
        <f t="shared" si="43"/>
        <v>20</v>
      </c>
      <c r="I106" s="118">
        <f t="shared" si="44"/>
        <v>240</v>
      </c>
      <c r="J106" s="140">
        <v>0</v>
      </c>
      <c r="K106" s="118">
        <f t="shared" ca="1" si="45"/>
        <v>28.515217736923574</v>
      </c>
      <c r="L106" s="118">
        <f t="shared" ca="1" si="46"/>
        <v>342.18261284308289</v>
      </c>
      <c r="M106" s="2310"/>
      <c r="N106" s="2311"/>
      <c r="O106" s="2311"/>
      <c r="P106" s="2311"/>
      <c r="R106" s="1181"/>
      <c r="S106" s="197"/>
      <c r="T106" s="1295">
        <f t="shared" si="40"/>
        <v>97</v>
      </c>
      <c r="U106" s="1295">
        <f t="shared" si="40"/>
        <v>2130</v>
      </c>
      <c r="V106" s="1308">
        <f t="shared" si="32"/>
        <v>1820163.5187550171</v>
      </c>
      <c r="W106" s="1308">
        <f t="shared" si="32"/>
        <v>432010.29151931987</v>
      </c>
      <c r="X106" s="1310"/>
      <c r="Y106" s="197"/>
      <c r="Z106" s="197"/>
      <c r="AA106" s="1311"/>
      <c r="AB106" s="1311"/>
      <c r="AC106" s="197"/>
      <c r="AD106" s="197"/>
      <c r="AE106" s="197"/>
      <c r="AF106" s="1313"/>
      <c r="AG106" s="1256"/>
      <c r="AH106" s="1256"/>
      <c r="AI106" s="1256"/>
      <c r="AJ106" s="85"/>
      <c r="AK106" s="85"/>
      <c r="AL106" s="85"/>
      <c r="AM106" s="85"/>
      <c r="AN106" s="85"/>
      <c r="AO106" s="85"/>
      <c r="AP106" s="85"/>
      <c r="AQ106" s="85"/>
      <c r="AR106" s="85"/>
      <c r="AS106" s="85"/>
      <c r="AT106" s="85"/>
      <c r="AU106" s="85"/>
      <c r="AV106" s="85"/>
      <c r="AW106" s="85"/>
      <c r="AX106" s="85"/>
      <c r="AY106" s="85"/>
      <c r="AZ106" s="85"/>
      <c r="BA106" s="85"/>
      <c r="BB106" s="85"/>
      <c r="BC106" s="85"/>
      <c r="BD106" s="85"/>
      <c r="BE106" s="85"/>
      <c r="BF106" s="85"/>
      <c r="BG106" s="85"/>
      <c r="BH106" s="85"/>
      <c r="BI106" s="85"/>
      <c r="BJ106" s="85"/>
      <c r="BK106" s="85"/>
      <c r="BL106" s="85"/>
      <c r="BM106" s="85"/>
      <c r="BN106" s="85"/>
      <c r="BO106" s="85"/>
      <c r="BP106" s="85"/>
      <c r="BQ106" s="85"/>
      <c r="BR106" s="85"/>
      <c r="BS106" s="85"/>
      <c r="BT106" s="85"/>
      <c r="BU106" s="85"/>
      <c r="BV106" s="85"/>
      <c r="BW106" s="85"/>
      <c r="BX106" s="85"/>
      <c r="BY106" s="85"/>
      <c r="BZ106" s="85"/>
      <c r="CA106" s="85"/>
      <c r="CB106" s="85"/>
      <c r="CC106" s="85"/>
      <c r="CD106" s="85"/>
      <c r="CE106" s="85"/>
      <c r="CF106" s="85"/>
      <c r="CG106" s="85"/>
      <c r="CH106" s="85"/>
      <c r="CI106" s="85"/>
      <c r="CJ106" s="85"/>
      <c r="CK106" s="85"/>
      <c r="CL106" s="85"/>
      <c r="CM106" s="85"/>
      <c r="CN106" s="79"/>
      <c r="CO106" s="79"/>
    </row>
    <row r="107" spans="2:93" s="69" customFormat="1" ht="15" customHeight="1">
      <c r="C107" s="466" t="s">
        <v>2635</v>
      </c>
      <c r="D107" s="464">
        <v>16</v>
      </c>
      <c r="E107" s="144">
        <v>12</v>
      </c>
      <c r="F107" s="2046" t="s">
        <v>42</v>
      </c>
      <c r="G107" s="1589" t="s">
        <v>395</v>
      </c>
      <c r="H107" s="185">
        <f t="shared" si="43"/>
        <v>16</v>
      </c>
      <c r="I107" s="119">
        <f t="shared" si="44"/>
        <v>192</v>
      </c>
      <c r="J107" s="145">
        <v>0</v>
      </c>
      <c r="K107" s="119">
        <f t="shared" ca="1" si="45"/>
        <v>22.812174189538855</v>
      </c>
      <c r="L107" s="119">
        <f t="shared" ca="1" si="46"/>
        <v>273.74609027446627</v>
      </c>
      <c r="M107" s="2312"/>
      <c r="N107" s="2313"/>
      <c r="O107" s="2313"/>
      <c r="P107" s="2313"/>
      <c r="R107" s="1181"/>
      <c r="S107" s="197"/>
      <c r="T107" s="1295">
        <f t="shared" si="40"/>
        <v>98</v>
      </c>
      <c r="U107" s="1295">
        <f t="shared" si="40"/>
        <v>2131</v>
      </c>
      <c r="V107" s="1308">
        <f t="shared" si="32"/>
        <v>1874768.4243176675</v>
      </c>
      <c r="W107" s="1308">
        <f t="shared" si="32"/>
        <v>444970.60026489949</v>
      </c>
      <c r="X107" s="1310"/>
      <c r="Y107" s="197"/>
      <c r="Z107" s="197"/>
      <c r="AA107" s="1311"/>
      <c r="AB107" s="1311"/>
      <c r="AC107" s="197"/>
      <c r="AD107" s="197"/>
      <c r="AE107" s="197"/>
      <c r="AF107" s="1313"/>
      <c r="AG107" s="1256"/>
      <c r="AH107" s="1256"/>
      <c r="AI107" s="1256"/>
      <c r="AJ107" s="85"/>
      <c r="AK107" s="85"/>
      <c r="AL107" s="85"/>
      <c r="AM107" s="85"/>
      <c r="AN107" s="85"/>
      <c r="AO107" s="85"/>
      <c r="AP107" s="85"/>
      <c r="AQ107" s="85"/>
      <c r="AR107" s="85"/>
      <c r="AS107" s="85"/>
      <c r="AT107" s="85"/>
      <c r="AU107" s="85"/>
      <c r="AV107" s="85"/>
      <c r="AW107" s="85"/>
      <c r="AX107" s="85"/>
      <c r="AY107" s="85"/>
      <c r="AZ107" s="85"/>
      <c r="BA107" s="85"/>
      <c r="BB107" s="85"/>
      <c r="BC107" s="85"/>
      <c r="BD107" s="85"/>
      <c r="BE107" s="85"/>
      <c r="BF107" s="85"/>
      <c r="BG107" s="85"/>
      <c r="BH107" s="85"/>
      <c r="BI107" s="85"/>
      <c r="BJ107" s="85"/>
      <c r="BK107" s="85"/>
      <c r="BL107" s="85"/>
      <c r="BM107" s="85"/>
      <c r="BN107" s="85"/>
      <c r="BO107" s="85"/>
      <c r="BP107" s="85"/>
      <c r="BQ107" s="85"/>
      <c r="BR107" s="85"/>
      <c r="BS107" s="85"/>
      <c r="BT107" s="85"/>
      <c r="BU107" s="85"/>
      <c r="BV107" s="85"/>
      <c r="BW107" s="85"/>
      <c r="BX107" s="85"/>
      <c r="BY107" s="85"/>
      <c r="BZ107" s="85"/>
      <c r="CA107" s="85"/>
      <c r="CB107" s="85"/>
      <c r="CC107" s="85"/>
      <c r="CD107" s="85"/>
      <c r="CE107" s="85"/>
      <c r="CF107" s="85"/>
      <c r="CG107" s="85"/>
      <c r="CH107" s="85"/>
      <c r="CI107" s="85"/>
      <c r="CJ107" s="85"/>
      <c r="CK107" s="85"/>
      <c r="CL107" s="85"/>
      <c r="CM107" s="85"/>
      <c r="CN107" s="79"/>
      <c r="CO107" s="79"/>
    </row>
    <row r="108" spans="2:93" s="69" customFormat="1" ht="15" customHeight="1">
      <c r="C108" s="2040" t="s">
        <v>2643</v>
      </c>
      <c r="D108" s="464">
        <v>120</v>
      </c>
      <c r="E108" s="144">
        <v>12</v>
      </c>
      <c r="F108" s="138" t="s">
        <v>42</v>
      </c>
      <c r="G108" s="469" t="s">
        <v>402</v>
      </c>
      <c r="H108" s="184">
        <f t="shared" si="43"/>
        <v>120</v>
      </c>
      <c r="I108" s="118">
        <f t="shared" si="44"/>
        <v>1440</v>
      </c>
      <c r="J108" s="140">
        <v>0</v>
      </c>
      <c r="K108" s="118">
        <f t="shared" ca="1" si="45"/>
        <v>171.09130642154142</v>
      </c>
      <c r="L108" s="118">
        <f t="shared" ca="1" si="46"/>
        <v>2053.0956770584971</v>
      </c>
      <c r="M108" s="2310"/>
      <c r="N108" s="2311"/>
      <c r="O108" s="2311"/>
      <c r="P108" s="2311"/>
      <c r="R108" s="1181"/>
      <c r="S108" s="197"/>
      <c r="T108" s="1295">
        <f t="shared" ref="T108:U113" si="47">T107+1</f>
        <v>99</v>
      </c>
      <c r="U108" s="1295">
        <f t="shared" si="47"/>
        <v>2132</v>
      </c>
      <c r="V108" s="1308">
        <f t="shared" si="32"/>
        <v>1931011.4770471975</v>
      </c>
      <c r="W108" s="1308">
        <f t="shared" si="32"/>
        <v>458319.71827284648</v>
      </c>
      <c r="X108" s="1310"/>
      <c r="Y108" s="197"/>
      <c r="Z108" s="197"/>
      <c r="AA108" s="1311">
        <f t="shared" ca="1" si="41"/>
        <v>2053.0956770584971</v>
      </c>
      <c r="AB108" s="1311">
        <f t="shared" si="42"/>
        <v>0</v>
      </c>
      <c r="AC108" s="197"/>
      <c r="AD108" s="197"/>
      <c r="AE108" s="197"/>
      <c r="AF108" s="1313"/>
      <c r="AG108" s="1256"/>
      <c r="AH108" s="1256"/>
      <c r="AI108" s="1256"/>
      <c r="AJ108" s="85"/>
      <c r="AK108" s="85"/>
      <c r="AL108" s="85"/>
      <c r="AM108" s="85"/>
      <c r="AN108" s="85"/>
      <c r="AO108" s="85"/>
      <c r="AP108" s="85"/>
      <c r="AQ108" s="85"/>
      <c r="AR108" s="85"/>
      <c r="AS108" s="85"/>
      <c r="AT108" s="85"/>
      <c r="AU108" s="85"/>
      <c r="AV108" s="85"/>
      <c r="AW108" s="85"/>
      <c r="AX108" s="85"/>
      <c r="AY108" s="85"/>
      <c r="AZ108" s="85"/>
      <c r="BA108" s="85"/>
      <c r="BB108" s="85"/>
      <c r="BC108" s="85"/>
      <c r="BD108" s="85"/>
      <c r="BE108" s="85"/>
      <c r="BF108" s="85"/>
      <c r="BG108" s="85"/>
      <c r="BH108" s="85"/>
      <c r="BI108" s="85"/>
      <c r="BJ108" s="85"/>
      <c r="BK108" s="85"/>
      <c r="BL108" s="85"/>
      <c r="BM108" s="85"/>
      <c r="BN108" s="85"/>
      <c r="BO108" s="85"/>
      <c r="BP108" s="85"/>
      <c r="BQ108" s="85"/>
      <c r="BR108" s="85"/>
      <c r="BS108" s="85"/>
      <c r="BT108" s="85"/>
      <c r="BU108" s="85"/>
      <c r="BV108" s="85"/>
      <c r="BW108" s="85"/>
      <c r="BX108" s="85"/>
      <c r="BY108" s="85"/>
      <c r="BZ108" s="85"/>
      <c r="CA108" s="85"/>
      <c r="CB108" s="85"/>
      <c r="CC108" s="85"/>
      <c r="CD108" s="85"/>
      <c r="CE108" s="85"/>
      <c r="CF108" s="85"/>
      <c r="CG108" s="85"/>
      <c r="CH108" s="85"/>
      <c r="CI108" s="85"/>
      <c r="CJ108" s="85"/>
      <c r="CK108" s="85"/>
      <c r="CL108" s="85"/>
      <c r="CM108" s="85"/>
      <c r="CN108" s="79"/>
      <c r="CO108" s="79"/>
    </row>
    <row r="109" spans="2:93" s="69" customFormat="1" ht="15" customHeight="1">
      <c r="C109" s="24" t="s">
        <v>12</v>
      </c>
      <c r="D109" s="464">
        <v>0</v>
      </c>
      <c r="E109" s="144">
        <v>0</v>
      </c>
      <c r="F109" s="2046" t="s">
        <v>42</v>
      </c>
      <c r="G109" s="2048" t="s">
        <v>395</v>
      </c>
      <c r="H109" s="185">
        <f t="shared" si="43"/>
        <v>0</v>
      </c>
      <c r="I109" s="119">
        <f t="shared" si="44"/>
        <v>0</v>
      </c>
      <c r="J109" s="145">
        <v>0</v>
      </c>
      <c r="K109" s="119">
        <f t="shared" ca="1" si="45"/>
        <v>0</v>
      </c>
      <c r="L109" s="119">
        <f t="shared" ca="1" si="46"/>
        <v>0</v>
      </c>
      <c r="M109" s="2312"/>
      <c r="N109" s="2313"/>
      <c r="O109" s="2313"/>
      <c r="P109" s="2313"/>
      <c r="R109" s="1181"/>
      <c r="S109" s="197"/>
      <c r="T109" s="1295">
        <f t="shared" si="47"/>
        <v>100</v>
      </c>
      <c r="U109" s="1295">
        <f t="shared" si="47"/>
        <v>2133</v>
      </c>
      <c r="V109" s="1308">
        <f t="shared" si="32"/>
        <v>1988941.8213586134</v>
      </c>
      <c r="W109" s="1308">
        <f t="shared" si="32"/>
        <v>472069.30982103187</v>
      </c>
      <c r="X109" s="1310"/>
      <c r="Y109" s="197"/>
      <c r="Z109" s="197"/>
      <c r="AA109" s="1311"/>
      <c r="AB109" s="1311"/>
      <c r="AC109" s="197"/>
      <c r="AD109" s="197"/>
      <c r="AE109" s="197"/>
      <c r="AF109" s="1313"/>
      <c r="AG109" s="1256"/>
      <c r="AH109" s="1256"/>
      <c r="AI109" s="1256"/>
      <c r="AJ109" s="85"/>
      <c r="AK109" s="85"/>
      <c r="AL109" s="85"/>
      <c r="AM109" s="85"/>
      <c r="AN109" s="85"/>
      <c r="AO109" s="85"/>
      <c r="AP109" s="85"/>
      <c r="AQ109" s="85"/>
      <c r="AR109" s="85"/>
      <c r="AS109" s="85"/>
      <c r="AT109" s="85"/>
      <c r="AU109" s="85"/>
      <c r="AV109" s="85"/>
      <c r="AW109" s="85"/>
      <c r="AX109" s="85"/>
      <c r="AY109" s="85"/>
      <c r="AZ109" s="85"/>
      <c r="BA109" s="85"/>
      <c r="BB109" s="85"/>
      <c r="BC109" s="85"/>
      <c r="BD109" s="85"/>
      <c r="BE109" s="85"/>
      <c r="BF109" s="85"/>
      <c r="BG109" s="85"/>
      <c r="BH109" s="85"/>
      <c r="BI109" s="85"/>
      <c r="BJ109" s="85"/>
      <c r="BK109" s="85"/>
      <c r="BL109" s="85"/>
      <c r="BM109" s="85"/>
      <c r="BN109" s="85"/>
      <c r="BO109" s="85"/>
      <c r="BP109" s="85"/>
      <c r="BQ109" s="85"/>
      <c r="BR109" s="85"/>
      <c r="BS109" s="85"/>
      <c r="BT109" s="85"/>
      <c r="BU109" s="85"/>
      <c r="BV109" s="85"/>
      <c r="BW109" s="85"/>
      <c r="BX109" s="85"/>
      <c r="BY109" s="85"/>
      <c r="BZ109" s="85"/>
      <c r="CA109" s="85"/>
      <c r="CB109" s="85"/>
      <c r="CC109" s="85"/>
      <c r="CD109" s="85"/>
      <c r="CE109" s="85"/>
      <c r="CF109" s="85"/>
      <c r="CG109" s="85"/>
      <c r="CH109" s="85"/>
      <c r="CI109" s="85"/>
      <c r="CJ109" s="85"/>
      <c r="CK109" s="85"/>
      <c r="CL109" s="85"/>
      <c r="CM109" s="85"/>
      <c r="CN109" s="79"/>
      <c r="CO109" s="79"/>
    </row>
    <row r="110" spans="2:93" s="69" customFormat="1" ht="15" customHeight="1">
      <c r="C110" s="468" t="s">
        <v>12</v>
      </c>
      <c r="D110" s="463">
        <v>0</v>
      </c>
      <c r="E110" s="138">
        <v>0</v>
      </c>
      <c r="F110" s="2045" t="s">
        <v>42</v>
      </c>
      <c r="G110" s="2049" t="s">
        <v>395</v>
      </c>
      <c r="H110" s="184">
        <f t="shared" si="43"/>
        <v>0</v>
      </c>
      <c r="I110" s="118">
        <f t="shared" si="44"/>
        <v>0</v>
      </c>
      <c r="J110" s="140">
        <v>0</v>
      </c>
      <c r="K110" s="118">
        <f t="shared" ca="1" si="45"/>
        <v>0</v>
      </c>
      <c r="L110" s="118">
        <f t="shared" ca="1" si="46"/>
        <v>0</v>
      </c>
      <c r="M110" s="2310"/>
      <c r="N110" s="2311"/>
      <c r="O110" s="2311"/>
      <c r="P110" s="2311"/>
      <c r="R110" s="1181"/>
      <c r="S110" s="197"/>
      <c r="T110" s="1295">
        <f t="shared" si="47"/>
        <v>101</v>
      </c>
      <c r="U110" s="1295">
        <f t="shared" si="47"/>
        <v>2134</v>
      </c>
      <c r="V110" s="1308">
        <f t="shared" si="32"/>
        <v>2048610.0759993719</v>
      </c>
      <c r="W110" s="1308">
        <f t="shared" si="32"/>
        <v>486231.38911566284</v>
      </c>
      <c r="X110" s="1310"/>
      <c r="Y110" s="197"/>
      <c r="Z110" s="197"/>
      <c r="AA110" s="1311"/>
      <c r="AB110" s="1311"/>
      <c r="AC110" s="197"/>
      <c r="AD110" s="197"/>
      <c r="AE110" s="197"/>
      <c r="AF110" s="1313"/>
      <c r="AG110" s="1256"/>
      <c r="AH110" s="1256"/>
      <c r="AI110" s="1256"/>
      <c r="AJ110" s="85"/>
      <c r="AK110" s="85"/>
      <c r="AL110" s="85"/>
      <c r="AM110" s="85"/>
      <c r="AN110" s="85"/>
      <c r="AO110" s="85"/>
      <c r="AP110" s="85"/>
      <c r="AQ110" s="85"/>
      <c r="AR110" s="85"/>
      <c r="AS110" s="85"/>
      <c r="AT110" s="85"/>
      <c r="AU110" s="85"/>
      <c r="AV110" s="85"/>
      <c r="AW110" s="85"/>
      <c r="AX110" s="85"/>
      <c r="AY110" s="85"/>
      <c r="AZ110" s="85"/>
      <c r="BA110" s="85"/>
      <c r="BB110" s="85"/>
      <c r="BC110" s="85"/>
      <c r="BD110" s="85"/>
      <c r="BE110" s="85"/>
      <c r="BF110" s="85"/>
      <c r="BG110" s="85"/>
      <c r="BH110" s="85"/>
      <c r="BI110" s="85"/>
      <c r="BJ110" s="85"/>
      <c r="BK110" s="85"/>
      <c r="BL110" s="85"/>
      <c r="BM110" s="85"/>
      <c r="BN110" s="85"/>
      <c r="BO110" s="85"/>
      <c r="BP110" s="85"/>
      <c r="BQ110" s="85"/>
      <c r="BR110" s="85"/>
      <c r="BS110" s="85"/>
      <c r="BT110" s="85"/>
      <c r="BU110" s="85"/>
      <c r="BV110" s="85"/>
      <c r="BW110" s="85"/>
      <c r="BX110" s="85"/>
      <c r="BY110" s="85"/>
      <c r="BZ110" s="85"/>
      <c r="CA110" s="85"/>
      <c r="CB110" s="85"/>
      <c r="CC110" s="85"/>
      <c r="CD110" s="85"/>
      <c r="CE110" s="85"/>
      <c r="CF110" s="85"/>
      <c r="CG110" s="85"/>
      <c r="CH110" s="85"/>
      <c r="CI110" s="85"/>
      <c r="CJ110" s="85"/>
      <c r="CK110" s="85"/>
      <c r="CL110" s="85"/>
      <c r="CM110" s="85"/>
      <c r="CN110" s="79"/>
      <c r="CO110" s="79"/>
    </row>
    <row r="111" spans="2:93" s="69" customFormat="1" ht="15" customHeight="1">
      <c r="C111" s="153" t="s">
        <v>12</v>
      </c>
      <c r="D111" s="465">
        <v>0</v>
      </c>
      <c r="E111" s="154">
        <v>0</v>
      </c>
      <c r="F111" s="154" t="s">
        <v>42</v>
      </c>
      <c r="G111" s="2047" t="s">
        <v>395</v>
      </c>
      <c r="H111" s="254">
        <f t="shared" si="43"/>
        <v>0</v>
      </c>
      <c r="I111" s="156">
        <f t="shared" si="44"/>
        <v>0</v>
      </c>
      <c r="J111" s="155">
        <v>0</v>
      </c>
      <c r="K111" s="156">
        <f t="shared" ca="1" si="45"/>
        <v>0</v>
      </c>
      <c r="L111" s="156">
        <f t="shared" ca="1" si="46"/>
        <v>0</v>
      </c>
      <c r="M111" s="2308"/>
      <c r="N111" s="2309"/>
      <c r="O111" s="2309"/>
      <c r="P111" s="2309"/>
      <c r="R111" s="1181"/>
      <c r="S111" s="197"/>
      <c r="T111" s="1295">
        <f t="shared" si="47"/>
        <v>102</v>
      </c>
      <c r="U111" s="1295">
        <f t="shared" si="47"/>
        <v>2135</v>
      </c>
      <c r="V111" s="1308">
        <f t="shared" si="32"/>
        <v>2110068.378279353</v>
      </c>
      <c r="W111" s="1308">
        <f t="shared" si="32"/>
        <v>500818.33078913274</v>
      </c>
      <c r="X111" s="1310"/>
      <c r="Y111" s="197"/>
      <c r="Z111" s="197"/>
      <c r="AA111" s="1311">
        <f t="shared" ref="AA111:AA136" si="48">IF(G111="Optional",L111,0)</f>
        <v>0</v>
      </c>
      <c r="AB111" s="1311">
        <f t="shared" ref="AB111:AB136" ca="1" si="49">IF(G111="Required",L111,0)</f>
        <v>0</v>
      </c>
      <c r="AC111" s="197"/>
      <c r="AD111" s="197"/>
      <c r="AE111" s="197"/>
      <c r="AF111" s="1313"/>
      <c r="AG111" s="1256"/>
      <c r="AH111" s="1256"/>
      <c r="AI111" s="1256"/>
      <c r="AJ111" s="85"/>
      <c r="AK111" s="85"/>
      <c r="AL111" s="85"/>
      <c r="AM111" s="85"/>
      <c r="AN111" s="85"/>
      <c r="AO111" s="85"/>
      <c r="AP111" s="85"/>
      <c r="AQ111" s="85"/>
      <c r="AR111" s="85"/>
      <c r="AS111" s="85"/>
      <c r="AT111" s="85"/>
      <c r="AU111" s="85"/>
      <c r="AV111" s="85"/>
      <c r="AW111" s="85"/>
      <c r="AX111" s="85"/>
      <c r="AY111" s="85"/>
      <c r="AZ111" s="85"/>
      <c r="BA111" s="85"/>
      <c r="BB111" s="85"/>
      <c r="BC111" s="85"/>
      <c r="BD111" s="85"/>
      <c r="BE111" s="85"/>
      <c r="BF111" s="85"/>
      <c r="BG111" s="85"/>
      <c r="BH111" s="85"/>
      <c r="BI111" s="85"/>
      <c r="BJ111" s="85"/>
      <c r="BK111" s="85"/>
      <c r="BL111" s="85"/>
      <c r="BM111" s="85"/>
      <c r="BN111" s="85"/>
      <c r="BO111" s="85"/>
      <c r="BP111" s="85"/>
      <c r="BQ111" s="85"/>
      <c r="BR111" s="85"/>
      <c r="BS111" s="85"/>
      <c r="BT111" s="85"/>
      <c r="BU111" s="85"/>
      <c r="BV111" s="85"/>
      <c r="BW111" s="85"/>
      <c r="BX111" s="85"/>
      <c r="BY111" s="85"/>
      <c r="BZ111" s="85"/>
      <c r="CA111" s="85"/>
      <c r="CB111" s="85"/>
      <c r="CC111" s="85"/>
      <c r="CD111" s="85"/>
      <c r="CE111" s="85"/>
      <c r="CF111" s="85"/>
      <c r="CG111" s="85"/>
      <c r="CH111" s="85"/>
      <c r="CI111" s="85"/>
      <c r="CJ111" s="85"/>
      <c r="CK111" s="85"/>
      <c r="CL111" s="85"/>
      <c r="CM111" s="85"/>
      <c r="CN111" s="79"/>
      <c r="CO111" s="79"/>
    </row>
    <row r="112" spans="2:93" s="69" customFormat="1" ht="25" customHeight="1">
      <c r="C112" s="135"/>
      <c r="D112" s="70"/>
      <c r="E112" s="150"/>
      <c r="F112" s="150"/>
      <c r="G112" s="157"/>
      <c r="H112" s="123">
        <f>SUM(H100:H111)</f>
        <v>278</v>
      </c>
      <c r="I112" s="123">
        <f>SUM(I100:I111)</f>
        <v>3336</v>
      </c>
      <c r="J112" s="157"/>
      <c r="K112" s="123">
        <f ca="1">SUM(K100:K111)</f>
        <v>392.10391767477586</v>
      </c>
      <c r="L112" s="123">
        <f ca="1">SUM(L100:L111)</f>
        <v>4705.2470120973103</v>
      </c>
      <c r="M112" s="479"/>
      <c r="N112" s="479"/>
      <c r="O112" s="479"/>
      <c r="P112" s="479"/>
      <c r="R112" s="1181"/>
      <c r="S112" s="197"/>
      <c r="T112" s="1295">
        <f t="shared" si="47"/>
        <v>103</v>
      </c>
      <c r="U112" s="1295">
        <f t="shared" si="47"/>
        <v>2136</v>
      </c>
      <c r="V112" s="1308">
        <f t="shared" si="32"/>
        <v>2173370.4296277338</v>
      </c>
      <c r="W112" s="1308">
        <f t="shared" si="32"/>
        <v>515842.88071280671</v>
      </c>
      <c r="X112" s="1310"/>
      <c r="Y112" s="197"/>
      <c r="Z112" s="197"/>
      <c r="AA112" s="1311">
        <f t="shared" si="48"/>
        <v>0</v>
      </c>
      <c r="AB112" s="1311">
        <f t="shared" si="49"/>
        <v>0</v>
      </c>
      <c r="AC112" s="197"/>
      <c r="AD112" s="197"/>
      <c r="AE112" s="197"/>
      <c r="AF112" s="1313"/>
      <c r="AG112" s="1256"/>
      <c r="AH112" s="1256"/>
      <c r="AI112" s="1256"/>
      <c r="AJ112" s="85"/>
      <c r="AK112" s="85"/>
      <c r="AL112" s="85"/>
      <c r="AM112" s="85"/>
      <c r="AN112" s="85"/>
      <c r="AO112" s="85"/>
      <c r="AP112" s="85"/>
      <c r="AQ112" s="85"/>
      <c r="AR112" s="85"/>
      <c r="AS112" s="85"/>
      <c r="AT112" s="85"/>
      <c r="AU112" s="85"/>
      <c r="AV112" s="85"/>
      <c r="AW112" s="85"/>
      <c r="AX112" s="85"/>
      <c r="AY112" s="85"/>
      <c r="AZ112" s="85"/>
      <c r="BA112" s="85"/>
      <c r="BB112" s="85"/>
      <c r="BC112" s="85"/>
      <c r="BD112" s="85"/>
      <c r="BE112" s="85"/>
      <c r="BF112" s="85"/>
      <c r="BG112" s="85"/>
      <c r="BH112" s="85"/>
      <c r="BI112" s="85"/>
      <c r="BJ112" s="85"/>
      <c r="BK112" s="85"/>
      <c r="BL112" s="85"/>
      <c r="BM112" s="85"/>
      <c r="BN112" s="85"/>
      <c r="BO112" s="85"/>
      <c r="BP112" s="85"/>
      <c r="BQ112" s="85"/>
      <c r="BR112" s="85"/>
      <c r="BS112" s="85"/>
      <c r="BT112" s="85"/>
      <c r="BU112" s="85"/>
      <c r="BV112" s="85"/>
      <c r="BW112" s="85"/>
      <c r="BX112" s="85"/>
      <c r="BY112" s="85"/>
      <c r="BZ112" s="85"/>
      <c r="CA112" s="85"/>
      <c r="CB112" s="85"/>
      <c r="CC112" s="85"/>
      <c r="CD112" s="85"/>
      <c r="CE112" s="85"/>
      <c r="CF112" s="85"/>
      <c r="CG112" s="85"/>
      <c r="CH112" s="85"/>
      <c r="CI112" s="85"/>
      <c r="CJ112" s="85"/>
      <c r="CK112" s="85"/>
      <c r="CL112" s="85"/>
      <c r="CM112" s="85"/>
      <c r="CN112" s="79"/>
      <c r="CO112" s="79"/>
    </row>
    <row r="113" spans="2:93" s="69" customFormat="1" ht="18" customHeight="1">
      <c r="B113" s="2556" t="s">
        <v>419</v>
      </c>
      <c r="C113" s="2324"/>
      <c r="D113" s="115"/>
      <c r="E113" s="114"/>
      <c r="F113" s="114"/>
      <c r="G113" s="115"/>
      <c r="H113" s="192"/>
      <c r="I113" s="192"/>
      <c r="J113" s="115"/>
      <c r="K113" s="192"/>
      <c r="L113" s="192"/>
      <c r="M113" s="478"/>
      <c r="N113" s="478"/>
      <c r="O113" s="478"/>
      <c r="P113" s="478"/>
      <c r="R113" s="1181"/>
      <c r="S113" s="197"/>
      <c r="T113" s="1295">
        <f t="shared" si="47"/>
        <v>104</v>
      </c>
      <c r="U113" s="1295">
        <f t="shared" si="47"/>
        <v>2137</v>
      </c>
      <c r="V113" s="1308">
        <f t="shared" si="32"/>
        <v>2238571.5425165659</v>
      </c>
      <c r="W113" s="1308">
        <f t="shared" si="32"/>
        <v>531318.16713419091</v>
      </c>
      <c r="X113" s="1310"/>
      <c r="Y113" s="197"/>
      <c r="Z113" s="197"/>
      <c r="AA113" s="1311">
        <f t="shared" si="48"/>
        <v>0</v>
      </c>
      <c r="AB113" s="1311">
        <f t="shared" si="49"/>
        <v>0</v>
      </c>
      <c r="AC113" s="197"/>
      <c r="AD113" s="197"/>
      <c r="AE113" s="197"/>
      <c r="AF113" s="1313"/>
      <c r="AG113" s="1256"/>
      <c r="AH113" s="1256"/>
      <c r="AI113" s="1256"/>
      <c r="AJ113" s="85"/>
      <c r="AK113" s="85"/>
      <c r="AL113" s="85"/>
      <c r="AM113" s="85"/>
      <c r="AN113" s="85"/>
      <c r="AO113" s="85"/>
      <c r="AP113" s="85"/>
      <c r="AQ113" s="85"/>
      <c r="AR113" s="85"/>
      <c r="AS113" s="85"/>
      <c r="AT113" s="85"/>
      <c r="AU113" s="85"/>
      <c r="AV113" s="85"/>
      <c r="AW113" s="85"/>
      <c r="AX113" s="85"/>
      <c r="AY113" s="85"/>
      <c r="AZ113" s="85"/>
      <c r="BA113" s="85"/>
      <c r="BB113" s="85"/>
      <c r="BC113" s="85"/>
      <c r="BD113" s="85"/>
      <c r="BE113" s="85"/>
      <c r="BF113" s="85"/>
      <c r="BG113" s="85"/>
      <c r="BH113" s="85"/>
      <c r="BI113" s="85"/>
      <c r="BJ113" s="85"/>
      <c r="BK113" s="85"/>
      <c r="BL113" s="85"/>
      <c r="BM113" s="85"/>
      <c r="BN113" s="85"/>
      <c r="BO113" s="85"/>
      <c r="BP113" s="85"/>
      <c r="BQ113" s="85"/>
      <c r="BR113" s="85"/>
      <c r="BS113" s="85"/>
      <c r="BT113" s="85"/>
      <c r="BU113" s="85"/>
      <c r="BV113" s="85"/>
      <c r="BW113" s="85"/>
      <c r="BX113" s="85"/>
      <c r="BY113" s="85"/>
      <c r="BZ113" s="85"/>
      <c r="CA113" s="85"/>
      <c r="CB113" s="85"/>
      <c r="CC113" s="85"/>
      <c r="CD113" s="85"/>
      <c r="CE113" s="85"/>
      <c r="CF113" s="85"/>
      <c r="CG113" s="85"/>
      <c r="CH113" s="85"/>
      <c r="CI113" s="85"/>
      <c r="CJ113" s="85"/>
      <c r="CK113" s="85"/>
      <c r="CL113" s="85"/>
      <c r="CM113" s="85"/>
      <c r="CN113" s="79"/>
      <c r="CO113" s="79"/>
    </row>
    <row r="114" spans="2:93" s="69" customFormat="1" ht="15" customHeight="1">
      <c r="C114" s="1477" t="s">
        <v>25</v>
      </c>
      <c r="D114" s="463">
        <v>500</v>
      </c>
      <c r="E114" s="138">
        <v>12</v>
      </c>
      <c r="F114" s="138" t="s">
        <v>42</v>
      </c>
      <c r="G114" s="142" t="s">
        <v>402</v>
      </c>
      <c r="H114" s="118">
        <f t="shared" ref="H114:H125" si="50">IF(ISNUMBER(I114),I114/12,0)</f>
        <v>500</v>
      </c>
      <c r="I114" s="118">
        <f t="shared" ref="I114:I125" si="51">IF(ISNUMBER(E114),IF(E114&gt;0,D114*E114,0),"")</f>
        <v>6000</v>
      </c>
      <c r="J114" s="140">
        <v>0</v>
      </c>
      <c r="K114" s="118">
        <f t="shared" ref="K114:K125" ca="1" si="52">IF(ISNUMBER(L114),L114/12,"")</f>
        <v>712.88044342308933</v>
      </c>
      <c r="L114" s="118">
        <f t="shared" ref="L114:L125" ca="1" si="53">IF(ISNUMBER(I114),IF(F114="Y",FV($N$5,$O$5,0,I114*-1)+(J114*12),I114+(J114*12)),"")</f>
        <v>8554.5653210770724</v>
      </c>
      <c r="M114" s="2310"/>
      <c r="N114" s="2311"/>
      <c r="O114" s="2311"/>
      <c r="P114" s="2311"/>
      <c r="R114" s="1181"/>
      <c r="S114" s="197"/>
      <c r="T114" s="1295">
        <f t="shared" ref="T114:T134" si="54">T113+1</f>
        <v>105</v>
      </c>
      <c r="U114" s="1295">
        <f t="shared" ref="U114:U134" si="55">U113+1</f>
        <v>2138</v>
      </c>
      <c r="V114" s="1308">
        <f t="shared" ref="V114:V134" si="56">V113+(V113*$N$5)</f>
        <v>2305728.6887920629</v>
      </c>
      <c r="W114" s="1308">
        <f t="shared" ref="W114:W134" si="57">W113+(W113*$N$5)</f>
        <v>547257.71214821667</v>
      </c>
      <c r="X114" s="1310"/>
      <c r="Y114" s="197"/>
      <c r="Z114" s="197"/>
      <c r="AA114" s="1311">
        <f t="shared" ca="1" si="48"/>
        <v>8554.5653210770724</v>
      </c>
      <c r="AB114" s="1311">
        <f t="shared" si="49"/>
        <v>0</v>
      </c>
      <c r="AC114" s="197"/>
      <c r="AD114" s="197"/>
      <c r="AE114" s="197"/>
      <c r="AF114" s="1313"/>
      <c r="AG114" s="1256"/>
      <c r="AH114" s="1256"/>
      <c r="AI114" s="1256"/>
      <c r="AJ114" s="85"/>
      <c r="AK114" s="85"/>
      <c r="AL114" s="85"/>
      <c r="AM114" s="85"/>
      <c r="AN114" s="85"/>
      <c r="AO114" s="85"/>
      <c r="AP114" s="85"/>
      <c r="AQ114" s="85"/>
      <c r="AR114" s="85"/>
      <c r="AS114" s="85"/>
      <c r="AT114" s="85"/>
      <c r="AU114" s="85"/>
      <c r="AV114" s="85"/>
      <c r="AW114" s="85"/>
      <c r="AX114" s="85"/>
      <c r="AY114" s="85"/>
      <c r="AZ114" s="85"/>
      <c r="BA114" s="85"/>
      <c r="BB114" s="85"/>
      <c r="BC114" s="85"/>
      <c r="BD114" s="85"/>
      <c r="BE114" s="85"/>
      <c r="BF114" s="85"/>
      <c r="BG114" s="85"/>
      <c r="BH114" s="85"/>
      <c r="BI114" s="85"/>
      <c r="BJ114" s="85"/>
      <c r="BK114" s="85"/>
      <c r="BL114" s="85"/>
      <c r="BM114" s="85"/>
      <c r="BN114" s="85"/>
      <c r="BO114" s="85"/>
      <c r="BP114" s="85"/>
      <c r="BQ114" s="85"/>
      <c r="BR114" s="85"/>
      <c r="BS114" s="85"/>
      <c r="BT114" s="85"/>
      <c r="BU114" s="85"/>
      <c r="BV114" s="85"/>
      <c r="BW114" s="85"/>
      <c r="BX114" s="85"/>
      <c r="BY114" s="85"/>
      <c r="BZ114" s="85"/>
      <c r="CA114" s="85"/>
      <c r="CB114" s="85"/>
      <c r="CC114" s="85"/>
      <c r="CD114" s="85"/>
      <c r="CE114" s="85"/>
      <c r="CF114" s="85"/>
      <c r="CG114" s="85"/>
      <c r="CH114" s="85"/>
      <c r="CI114" s="85"/>
      <c r="CJ114" s="85"/>
      <c r="CK114" s="85"/>
      <c r="CL114" s="85"/>
      <c r="CM114" s="85"/>
      <c r="CN114" s="79"/>
      <c r="CO114" s="79"/>
    </row>
    <row r="115" spans="2:93" s="69" customFormat="1" ht="15" customHeight="1">
      <c r="C115" s="1476" t="s">
        <v>2633</v>
      </c>
      <c r="D115" s="464">
        <v>250</v>
      </c>
      <c r="E115" s="144">
        <v>12</v>
      </c>
      <c r="F115" s="144" t="s">
        <v>42</v>
      </c>
      <c r="G115" s="146" t="s">
        <v>402</v>
      </c>
      <c r="H115" s="119">
        <f t="shared" si="50"/>
        <v>250</v>
      </c>
      <c r="I115" s="119">
        <f t="shared" si="51"/>
        <v>3000</v>
      </c>
      <c r="J115" s="145">
        <v>0</v>
      </c>
      <c r="K115" s="119">
        <f t="shared" ca="1" si="52"/>
        <v>356.44022171154467</v>
      </c>
      <c r="L115" s="119">
        <f t="shared" ca="1" si="53"/>
        <v>4277.2826605385362</v>
      </c>
      <c r="M115" s="2312"/>
      <c r="N115" s="2313"/>
      <c r="O115" s="2313"/>
      <c r="P115" s="2313"/>
      <c r="R115" s="1181"/>
      <c r="S115" s="197"/>
      <c r="T115" s="1295">
        <f t="shared" si="54"/>
        <v>106</v>
      </c>
      <c r="U115" s="1295">
        <f t="shared" si="55"/>
        <v>2139</v>
      </c>
      <c r="V115" s="1308">
        <f t="shared" si="56"/>
        <v>2374900.5494558248</v>
      </c>
      <c r="W115" s="1308">
        <f t="shared" si="57"/>
        <v>563675.44351266313</v>
      </c>
      <c r="X115" s="1310"/>
      <c r="Y115" s="197"/>
      <c r="Z115" s="197"/>
      <c r="AA115" s="1311">
        <f t="shared" ca="1" si="48"/>
        <v>4277.2826605385362</v>
      </c>
      <c r="AB115" s="1311">
        <f t="shared" si="49"/>
        <v>0</v>
      </c>
      <c r="AC115" s="197"/>
      <c r="AD115" s="197"/>
      <c r="AE115" s="197"/>
      <c r="AF115" s="1313"/>
      <c r="AG115" s="1256"/>
      <c r="AH115" s="1256"/>
      <c r="AI115" s="1256"/>
      <c r="AJ115" s="85"/>
      <c r="AK115" s="85"/>
      <c r="AL115" s="85"/>
      <c r="AM115" s="85"/>
      <c r="AN115" s="85"/>
      <c r="AO115" s="85"/>
      <c r="AP115" s="85"/>
      <c r="AQ115" s="85"/>
      <c r="AR115" s="85"/>
      <c r="AS115" s="85"/>
      <c r="AT115" s="85"/>
      <c r="AU115" s="85"/>
      <c r="AV115" s="85"/>
      <c r="AW115" s="85"/>
      <c r="AX115" s="85"/>
      <c r="AY115" s="85"/>
      <c r="AZ115" s="85"/>
      <c r="BA115" s="85"/>
      <c r="BB115" s="85"/>
      <c r="BC115" s="85"/>
      <c r="BD115" s="85"/>
      <c r="BE115" s="85"/>
      <c r="BF115" s="85"/>
      <c r="BG115" s="85"/>
      <c r="BH115" s="85"/>
      <c r="BI115" s="85"/>
      <c r="BJ115" s="85"/>
      <c r="BK115" s="85"/>
      <c r="BL115" s="85"/>
      <c r="BM115" s="85"/>
      <c r="BN115" s="85"/>
      <c r="BO115" s="85"/>
      <c r="BP115" s="85"/>
      <c r="BQ115" s="85"/>
      <c r="BR115" s="85"/>
      <c r="BS115" s="85"/>
      <c r="BT115" s="85"/>
      <c r="BU115" s="85"/>
      <c r="BV115" s="85"/>
      <c r="BW115" s="85"/>
      <c r="BX115" s="85"/>
      <c r="BY115" s="85"/>
      <c r="BZ115" s="85"/>
      <c r="CA115" s="85"/>
      <c r="CB115" s="85"/>
      <c r="CC115" s="85"/>
      <c r="CD115" s="85"/>
      <c r="CE115" s="85"/>
      <c r="CF115" s="85"/>
      <c r="CG115" s="85"/>
      <c r="CH115" s="85"/>
      <c r="CI115" s="85"/>
      <c r="CJ115" s="85"/>
      <c r="CK115" s="85"/>
      <c r="CL115" s="85"/>
      <c r="CM115" s="85"/>
      <c r="CN115" s="79"/>
      <c r="CO115" s="79"/>
    </row>
    <row r="116" spans="2:93" s="69" customFormat="1" ht="15" customHeight="1">
      <c r="C116" s="13" t="s">
        <v>29</v>
      </c>
      <c r="D116" s="463">
        <v>1000</v>
      </c>
      <c r="E116" s="138">
        <v>1</v>
      </c>
      <c r="F116" s="138" t="s">
        <v>42</v>
      </c>
      <c r="G116" s="142" t="s">
        <v>402</v>
      </c>
      <c r="H116" s="118">
        <f t="shared" si="50"/>
        <v>83.333333333333329</v>
      </c>
      <c r="I116" s="118">
        <f t="shared" si="51"/>
        <v>1000</v>
      </c>
      <c r="J116" s="140">
        <v>0</v>
      </c>
      <c r="K116" s="118">
        <f t="shared" ca="1" si="52"/>
        <v>118.81340723718155</v>
      </c>
      <c r="L116" s="118">
        <f t="shared" ca="1" si="53"/>
        <v>1425.7608868461787</v>
      </c>
      <c r="M116" s="2310"/>
      <c r="N116" s="2311"/>
      <c r="O116" s="2311"/>
      <c r="P116" s="2311"/>
      <c r="R116" s="1181"/>
      <c r="S116" s="197"/>
      <c r="T116" s="1295">
        <f t="shared" si="54"/>
        <v>107</v>
      </c>
      <c r="U116" s="1295">
        <f t="shared" si="55"/>
        <v>2140</v>
      </c>
      <c r="V116" s="1308">
        <f t="shared" si="56"/>
        <v>2446147.5659394995</v>
      </c>
      <c r="W116" s="1308">
        <f t="shared" si="57"/>
        <v>580585.70681804302</v>
      </c>
      <c r="X116" s="1310"/>
      <c r="Y116" s="197"/>
      <c r="Z116" s="197"/>
      <c r="AA116" s="1311">
        <f t="shared" ca="1" si="48"/>
        <v>1425.7608868461787</v>
      </c>
      <c r="AB116" s="1311">
        <f t="shared" si="49"/>
        <v>0</v>
      </c>
      <c r="AC116" s="197"/>
      <c r="AD116" s="197"/>
      <c r="AE116" s="197"/>
      <c r="AF116" s="1313"/>
      <c r="AG116" s="1256"/>
      <c r="AH116" s="1256"/>
      <c r="AI116" s="1256"/>
      <c r="AJ116" s="85"/>
      <c r="AK116" s="85"/>
      <c r="AL116" s="85"/>
      <c r="AM116" s="85"/>
      <c r="AN116" s="85"/>
      <c r="AO116" s="85"/>
      <c r="AP116" s="85"/>
      <c r="AQ116" s="85"/>
      <c r="AR116" s="85"/>
      <c r="AS116" s="85"/>
      <c r="AT116" s="85"/>
      <c r="AU116" s="85"/>
      <c r="AV116" s="85"/>
      <c r="AW116" s="85"/>
      <c r="AX116" s="85"/>
      <c r="AY116" s="85"/>
      <c r="AZ116" s="85"/>
      <c r="BA116" s="85"/>
      <c r="BB116" s="85"/>
      <c r="BC116" s="85"/>
      <c r="BD116" s="85"/>
      <c r="BE116" s="85"/>
      <c r="BF116" s="85"/>
      <c r="BG116" s="85"/>
      <c r="BH116" s="85"/>
      <c r="BI116" s="85"/>
      <c r="BJ116" s="85"/>
      <c r="BK116" s="85"/>
      <c r="BL116" s="85"/>
      <c r="BM116" s="85"/>
      <c r="BN116" s="85"/>
      <c r="BO116" s="85"/>
      <c r="BP116" s="85"/>
      <c r="BQ116" s="85"/>
      <c r="BR116" s="85"/>
      <c r="BS116" s="85"/>
      <c r="BT116" s="85"/>
      <c r="BU116" s="85"/>
      <c r="BV116" s="85"/>
      <c r="BW116" s="85"/>
      <c r="BX116" s="85"/>
      <c r="BY116" s="85"/>
      <c r="BZ116" s="85"/>
      <c r="CA116" s="85"/>
      <c r="CB116" s="85"/>
      <c r="CC116" s="85"/>
      <c r="CD116" s="85"/>
      <c r="CE116" s="85"/>
      <c r="CF116" s="85"/>
      <c r="CG116" s="85"/>
      <c r="CH116" s="85"/>
      <c r="CI116" s="85"/>
      <c r="CJ116" s="85"/>
      <c r="CK116" s="85"/>
      <c r="CL116" s="85"/>
      <c r="CM116" s="85"/>
      <c r="CN116" s="79"/>
      <c r="CO116" s="79"/>
    </row>
    <row r="117" spans="2:93" s="69" customFormat="1" ht="15" customHeight="1">
      <c r="C117" s="466" t="s">
        <v>30</v>
      </c>
      <c r="D117" s="464">
        <v>2500</v>
      </c>
      <c r="E117" s="144">
        <v>1</v>
      </c>
      <c r="F117" s="2565" t="s">
        <v>42</v>
      </c>
      <c r="G117" s="146" t="s">
        <v>402</v>
      </c>
      <c r="H117" s="119">
        <f t="shared" si="50"/>
        <v>208.33333333333334</v>
      </c>
      <c r="I117" s="119">
        <f t="shared" si="51"/>
        <v>2500</v>
      </c>
      <c r="J117" s="145">
        <v>0</v>
      </c>
      <c r="K117" s="119">
        <f t="shared" ca="1" si="52"/>
        <v>297.0335180929539</v>
      </c>
      <c r="L117" s="119">
        <f t="shared" ca="1" si="53"/>
        <v>3564.4022171154465</v>
      </c>
      <c r="M117" s="2312"/>
      <c r="N117" s="2313"/>
      <c r="O117" s="2313"/>
      <c r="P117" s="2313"/>
      <c r="R117" s="1181"/>
      <c r="S117" s="197"/>
      <c r="T117" s="1295">
        <f t="shared" si="54"/>
        <v>108</v>
      </c>
      <c r="U117" s="1295">
        <f t="shared" si="55"/>
        <v>2141</v>
      </c>
      <c r="V117" s="1308">
        <f t="shared" si="56"/>
        <v>2519531.9929176844</v>
      </c>
      <c r="W117" s="1308">
        <f t="shared" si="57"/>
        <v>598003.27802258427</v>
      </c>
      <c r="X117" s="1310"/>
      <c r="Y117" s="197"/>
      <c r="Z117" s="197"/>
      <c r="AA117" s="1311">
        <f t="shared" ca="1" si="48"/>
        <v>3564.4022171154465</v>
      </c>
      <c r="AB117" s="1311">
        <f t="shared" si="49"/>
        <v>0</v>
      </c>
      <c r="AC117" s="197"/>
      <c r="AD117" s="197"/>
      <c r="AE117" s="197"/>
      <c r="AF117" s="1313"/>
      <c r="AG117" s="1256"/>
      <c r="AH117" s="1256"/>
      <c r="AI117" s="1256"/>
      <c r="AJ117" s="85"/>
      <c r="AK117" s="85"/>
      <c r="AL117" s="85"/>
      <c r="AM117" s="85"/>
      <c r="AN117" s="85"/>
      <c r="AO117" s="85"/>
      <c r="AP117" s="85"/>
      <c r="AQ117" s="85"/>
      <c r="AR117" s="85"/>
      <c r="AS117" s="85"/>
      <c r="AT117" s="85"/>
      <c r="AU117" s="85"/>
      <c r="AV117" s="85"/>
      <c r="AW117" s="85"/>
      <c r="AX117" s="85"/>
      <c r="AY117" s="85"/>
      <c r="AZ117" s="85"/>
      <c r="BA117" s="85"/>
      <c r="BB117" s="85"/>
      <c r="BC117" s="85"/>
      <c r="BD117" s="85"/>
      <c r="BE117" s="85"/>
      <c r="BF117" s="85"/>
      <c r="BG117" s="85"/>
      <c r="BH117" s="85"/>
      <c r="BI117" s="85"/>
      <c r="BJ117" s="85"/>
      <c r="BK117" s="85"/>
      <c r="BL117" s="85"/>
      <c r="BM117" s="85"/>
      <c r="BN117" s="85"/>
      <c r="BO117" s="85"/>
      <c r="BP117" s="85"/>
      <c r="BQ117" s="85"/>
      <c r="BR117" s="85"/>
      <c r="BS117" s="85"/>
      <c r="BT117" s="85"/>
      <c r="BU117" s="85"/>
      <c r="BV117" s="85"/>
      <c r="BW117" s="85"/>
      <c r="BX117" s="85"/>
      <c r="BY117" s="85"/>
      <c r="BZ117" s="85"/>
      <c r="CA117" s="85"/>
      <c r="CB117" s="85"/>
      <c r="CC117" s="85"/>
      <c r="CD117" s="85"/>
      <c r="CE117" s="85"/>
      <c r="CF117" s="85"/>
      <c r="CG117" s="85"/>
      <c r="CH117" s="85"/>
      <c r="CI117" s="85"/>
      <c r="CJ117" s="85"/>
      <c r="CK117" s="85"/>
      <c r="CL117" s="85"/>
      <c r="CM117" s="85"/>
      <c r="CN117" s="79"/>
      <c r="CO117" s="79"/>
    </row>
    <row r="118" spans="2:93" s="69" customFormat="1" ht="15" customHeight="1">
      <c r="C118" s="1477" t="s">
        <v>12</v>
      </c>
      <c r="D118" s="463">
        <v>0</v>
      </c>
      <c r="E118" s="138">
        <v>0</v>
      </c>
      <c r="F118" s="138" t="s">
        <v>42</v>
      </c>
      <c r="G118" s="142" t="s">
        <v>402</v>
      </c>
      <c r="H118" s="118">
        <f t="shared" si="50"/>
        <v>0</v>
      </c>
      <c r="I118" s="118">
        <f t="shared" si="51"/>
        <v>0</v>
      </c>
      <c r="J118" s="140">
        <v>0</v>
      </c>
      <c r="K118" s="118">
        <f t="shared" ca="1" si="52"/>
        <v>0</v>
      </c>
      <c r="L118" s="118">
        <f t="shared" ca="1" si="53"/>
        <v>0</v>
      </c>
      <c r="M118" s="2310"/>
      <c r="N118" s="2311"/>
      <c r="O118" s="2311"/>
      <c r="P118" s="2311"/>
      <c r="R118" s="1181"/>
      <c r="S118" s="197"/>
      <c r="T118" s="1295">
        <f t="shared" si="54"/>
        <v>109</v>
      </c>
      <c r="U118" s="1295">
        <f t="shared" si="55"/>
        <v>2142</v>
      </c>
      <c r="V118" s="1308">
        <f t="shared" si="56"/>
        <v>2595117.9527052147</v>
      </c>
      <c r="W118" s="1308">
        <f t="shared" si="57"/>
        <v>615943.37636326184</v>
      </c>
      <c r="X118" s="1310"/>
      <c r="Y118" s="197"/>
      <c r="Z118" s="197"/>
      <c r="AA118" s="1311">
        <f t="shared" ca="1" si="48"/>
        <v>0</v>
      </c>
      <c r="AB118" s="1311">
        <f t="shared" si="49"/>
        <v>0</v>
      </c>
      <c r="AC118" s="197"/>
      <c r="AD118" s="197"/>
      <c r="AE118" s="197"/>
      <c r="AF118" s="1313"/>
      <c r="AG118" s="1256"/>
      <c r="AH118" s="1256"/>
      <c r="AI118" s="1256"/>
      <c r="AJ118" s="85"/>
      <c r="AK118" s="85"/>
      <c r="AL118" s="85"/>
      <c r="AM118" s="85"/>
      <c r="AN118" s="85"/>
      <c r="AO118" s="85"/>
      <c r="AP118" s="85"/>
      <c r="AQ118" s="85"/>
      <c r="AR118" s="85"/>
      <c r="AS118" s="85"/>
      <c r="AT118" s="85"/>
      <c r="AU118" s="85"/>
      <c r="AV118" s="85"/>
      <c r="AW118" s="85"/>
      <c r="AX118" s="85"/>
      <c r="AY118" s="85"/>
      <c r="AZ118" s="85"/>
      <c r="BA118" s="85"/>
      <c r="BB118" s="85"/>
      <c r="BC118" s="85"/>
      <c r="BD118" s="85"/>
      <c r="BE118" s="85"/>
      <c r="BF118" s="85"/>
      <c r="BG118" s="85"/>
      <c r="BH118" s="85"/>
      <c r="BI118" s="85"/>
      <c r="BJ118" s="85"/>
      <c r="BK118" s="85"/>
      <c r="BL118" s="85"/>
      <c r="BM118" s="85"/>
      <c r="BN118" s="85"/>
      <c r="BO118" s="85"/>
      <c r="BP118" s="85"/>
      <c r="BQ118" s="85"/>
      <c r="BR118" s="85"/>
      <c r="BS118" s="85"/>
      <c r="BT118" s="85"/>
      <c r="BU118" s="85"/>
      <c r="BV118" s="85"/>
      <c r="BW118" s="85"/>
      <c r="BX118" s="85"/>
      <c r="BY118" s="85"/>
      <c r="BZ118" s="85"/>
      <c r="CA118" s="85"/>
      <c r="CB118" s="85"/>
      <c r="CC118" s="85"/>
      <c r="CD118" s="85"/>
      <c r="CE118" s="85"/>
      <c r="CF118" s="85"/>
      <c r="CG118" s="85"/>
      <c r="CH118" s="85"/>
      <c r="CI118" s="85"/>
      <c r="CJ118" s="85"/>
      <c r="CK118" s="85"/>
      <c r="CL118" s="85"/>
      <c r="CM118" s="85"/>
      <c r="CN118" s="79"/>
      <c r="CO118" s="79"/>
    </row>
    <row r="119" spans="2:93" s="69" customFormat="1" ht="15" customHeight="1">
      <c r="C119" s="1476" t="s">
        <v>12</v>
      </c>
      <c r="D119" s="464">
        <v>0</v>
      </c>
      <c r="E119" s="144">
        <v>0</v>
      </c>
      <c r="F119" s="144" t="s">
        <v>42</v>
      </c>
      <c r="G119" s="146" t="s">
        <v>402</v>
      </c>
      <c r="H119" s="119">
        <f t="shared" si="50"/>
        <v>0</v>
      </c>
      <c r="I119" s="119">
        <f t="shared" si="51"/>
        <v>0</v>
      </c>
      <c r="J119" s="145">
        <v>0</v>
      </c>
      <c r="K119" s="119">
        <f t="shared" ca="1" si="52"/>
        <v>0</v>
      </c>
      <c r="L119" s="119">
        <f t="shared" ca="1" si="53"/>
        <v>0</v>
      </c>
      <c r="M119" s="2312"/>
      <c r="N119" s="2313"/>
      <c r="O119" s="2313"/>
      <c r="P119" s="2313"/>
      <c r="R119" s="1181"/>
      <c r="S119" s="197"/>
      <c r="T119" s="1295">
        <f t="shared" si="54"/>
        <v>110</v>
      </c>
      <c r="U119" s="1295">
        <f t="shared" si="55"/>
        <v>2143</v>
      </c>
      <c r="V119" s="1308">
        <f t="shared" si="56"/>
        <v>2672971.4912863714</v>
      </c>
      <c r="W119" s="1308">
        <f t="shared" si="57"/>
        <v>634421.67765415972</v>
      </c>
      <c r="X119" s="1310"/>
      <c r="Y119" s="197"/>
      <c r="Z119" s="197"/>
      <c r="AA119" s="1311">
        <f t="shared" ca="1" si="48"/>
        <v>0</v>
      </c>
      <c r="AB119" s="1311">
        <f t="shared" si="49"/>
        <v>0</v>
      </c>
      <c r="AC119" s="197"/>
      <c r="AD119" s="197"/>
      <c r="AE119" s="197"/>
      <c r="AF119" s="1313"/>
      <c r="AG119" s="1256"/>
      <c r="AH119" s="1256"/>
      <c r="AI119" s="1256"/>
      <c r="AJ119" s="85"/>
      <c r="AK119" s="85"/>
      <c r="AL119" s="85"/>
      <c r="AM119" s="85"/>
      <c r="AN119" s="85"/>
      <c r="AO119" s="85"/>
      <c r="AP119" s="85"/>
      <c r="AQ119" s="85"/>
      <c r="AR119" s="85"/>
      <c r="AS119" s="85"/>
      <c r="AT119" s="85"/>
      <c r="AU119" s="85"/>
      <c r="AV119" s="85"/>
      <c r="AW119" s="85"/>
      <c r="AX119" s="85"/>
      <c r="AY119" s="85"/>
      <c r="AZ119" s="85"/>
      <c r="BA119" s="85"/>
      <c r="BB119" s="85"/>
      <c r="BC119" s="85"/>
      <c r="BD119" s="85"/>
      <c r="BE119" s="85"/>
      <c r="BF119" s="85"/>
      <c r="BG119" s="85"/>
      <c r="BH119" s="85"/>
      <c r="BI119" s="85"/>
      <c r="BJ119" s="85"/>
      <c r="BK119" s="85"/>
      <c r="BL119" s="85"/>
      <c r="BM119" s="85"/>
      <c r="BN119" s="85"/>
      <c r="BO119" s="85"/>
      <c r="BP119" s="85"/>
      <c r="BQ119" s="85"/>
      <c r="BR119" s="85"/>
      <c r="BS119" s="85"/>
      <c r="BT119" s="85"/>
      <c r="BU119" s="85"/>
      <c r="BV119" s="85"/>
      <c r="BW119" s="85"/>
      <c r="BX119" s="85"/>
      <c r="BY119" s="85"/>
      <c r="BZ119" s="85"/>
      <c r="CA119" s="85"/>
      <c r="CB119" s="85"/>
      <c r="CC119" s="85"/>
      <c r="CD119" s="85"/>
      <c r="CE119" s="85"/>
      <c r="CF119" s="85"/>
      <c r="CG119" s="85"/>
      <c r="CH119" s="85"/>
      <c r="CI119" s="85"/>
      <c r="CJ119" s="85"/>
      <c r="CK119" s="85"/>
      <c r="CL119" s="85"/>
      <c r="CM119" s="85"/>
      <c r="CN119" s="79"/>
      <c r="CO119" s="79"/>
    </row>
    <row r="120" spans="2:93" s="69" customFormat="1" ht="15" customHeight="1">
      <c r="C120" s="13" t="s">
        <v>12</v>
      </c>
      <c r="D120" s="463">
        <v>0</v>
      </c>
      <c r="E120" s="138">
        <v>0</v>
      </c>
      <c r="F120" s="138" t="s">
        <v>42</v>
      </c>
      <c r="G120" s="2561" t="s">
        <v>402</v>
      </c>
      <c r="H120" s="118">
        <f t="shared" si="50"/>
        <v>0</v>
      </c>
      <c r="I120" s="118">
        <f t="shared" si="51"/>
        <v>0</v>
      </c>
      <c r="J120" s="140">
        <v>0</v>
      </c>
      <c r="K120" s="118">
        <f t="shared" ca="1" si="52"/>
        <v>0</v>
      </c>
      <c r="L120" s="118">
        <f t="shared" ca="1" si="53"/>
        <v>0</v>
      </c>
      <c r="M120" s="2310"/>
      <c r="N120" s="2311"/>
      <c r="O120" s="2311"/>
      <c r="P120" s="2311"/>
      <c r="R120" s="1181"/>
      <c r="S120" s="197"/>
      <c r="T120" s="1295">
        <f t="shared" si="54"/>
        <v>111</v>
      </c>
      <c r="U120" s="1295">
        <f t="shared" si="55"/>
        <v>2144</v>
      </c>
      <c r="V120" s="1308">
        <f t="shared" si="56"/>
        <v>2753160.6360249626</v>
      </c>
      <c r="W120" s="1308">
        <f t="shared" si="57"/>
        <v>653454.32798378449</v>
      </c>
      <c r="X120" s="1310"/>
      <c r="Y120" s="197"/>
      <c r="Z120" s="197"/>
      <c r="AA120" s="1311">
        <f t="shared" ca="1" si="48"/>
        <v>0</v>
      </c>
      <c r="AB120" s="1311">
        <f t="shared" si="49"/>
        <v>0</v>
      </c>
      <c r="AC120" s="197"/>
      <c r="AD120" s="197"/>
      <c r="AE120" s="197"/>
      <c r="AF120" s="1313"/>
      <c r="AG120" s="1256"/>
      <c r="AH120" s="1256"/>
      <c r="AI120" s="1256"/>
      <c r="AJ120" s="85"/>
      <c r="AK120" s="85"/>
      <c r="AL120" s="85"/>
      <c r="AM120" s="85"/>
      <c r="AN120" s="85"/>
      <c r="AO120" s="85"/>
      <c r="AP120" s="85"/>
      <c r="AQ120" s="85"/>
      <c r="AR120" s="85"/>
      <c r="AS120" s="85"/>
      <c r="AT120" s="85"/>
      <c r="AU120" s="85"/>
      <c r="AV120" s="85"/>
      <c r="AW120" s="85"/>
      <c r="AX120" s="85"/>
      <c r="AY120" s="85"/>
      <c r="AZ120" s="85"/>
      <c r="BA120" s="85"/>
      <c r="BB120" s="85"/>
      <c r="BC120" s="85"/>
      <c r="BD120" s="85"/>
      <c r="BE120" s="85"/>
      <c r="BF120" s="85"/>
      <c r="BG120" s="85"/>
      <c r="BH120" s="85"/>
      <c r="BI120" s="85"/>
      <c r="BJ120" s="85"/>
      <c r="BK120" s="85"/>
      <c r="BL120" s="85"/>
      <c r="BM120" s="85"/>
      <c r="BN120" s="85"/>
      <c r="BO120" s="85"/>
      <c r="BP120" s="85"/>
      <c r="BQ120" s="85"/>
      <c r="BR120" s="85"/>
      <c r="BS120" s="85"/>
      <c r="BT120" s="85"/>
      <c r="BU120" s="85"/>
      <c r="BV120" s="85"/>
      <c r="BW120" s="85"/>
      <c r="BX120" s="85"/>
      <c r="BY120" s="85"/>
      <c r="BZ120" s="85"/>
      <c r="CA120" s="85"/>
      <c r="CB120" s="85"/>
      <c r="CC120" s="85"/>
      <c r="CD120" s="85"/>
      <c r="CE120" s="85"/>
      <c r="CF120" s="85"/>
      <c r="CG120" s="85"/>
      <c r="CH120" s="85"/>
      <c r="CI120" s="85"/>
      <c r="CJ120" s="85"/>
      <c r="CK120" s="85"/>
      <c r="CL120" s="85"/>
      <c r="CM120" s="85"/>
      <c r="CN120" s="79"/>
      <c r="CO120" s="79"/>
    </row>
    <row r="121" spans="2:93" s="69" customFormat="1" ht="15" customHeight="1">
      <c r="C121" s="466" t="s">
        <v>12</v>
      </c>
      <c r="D121" s="464">
        <v>0</v>
      </c>
      <c r="E121" s="144">
        <v>0</v>
      </c>
      <c r="F121" s="2565" t="s">
        <v>42</v>
      </c>
      <c r="G121" s="2562" t="s">
        <v>402</v>
      </c>
      <c r="H121" s="119">
        <f t="shared" si="50"/>
        <v>0</v>
      </c>
      <c r="I121" s="119">
        <f t="shared" si="51"/>
        <v>0</v>
      </c>
      <c r="J121" s="145">
        <v>0</v>
      </c>
      <c r="K121" s="119">
        <f t="shared" ca="1" si="52"/>
        <v>0</v>
      </c>
      <c r="L121" s="119">
        <f t="shared" ca="1" si="53"/>
        <v>0</v>
      </c>
      <c r="M121" s="2312"/>
      <c r="N121" s="2313"/>
      <c r="O121" s="2313"/>
      <c r="P121" s="2313"/>
      <c r="R121" s="1181"/>
      <c r="S121" s="197"/>
      <c r="T121" s="1295">
        <f t="shared" si="54"/>
        <v>112</v>
      </c>
      <c r="U121" s="1295">
        <f t="shared" si="55"/>
        <v>2145</v>
      </c>
      <c r="V121" s="1308">
        <f t="shared" si="56"/>
        <v>2835755.4551057117</v>
      </c>
      <c r="W121" s="1308">
        <f t="shared" si="57"/>
        <v>673057.95782329806</v>
      </c>
      <c r="X121" s="1310"/>
      <c r="Y121" s="197"/>
      <c r="Z121" s="197"/>
      <c r="AA121" s="1311">
        <f t="shared" ca="1" si="48"/>
        <v>0</v>
      </c>
      <c r="AB121" s="1311">
        <f t="shared" si="49"/>
        <v>0</v>
      </c>
      <c r="AC121" s="197"/>
      <c r="AD121" s="197"/>
      <c r="AE121" s="197"/>
      <c r="AF121" s="1313"/>
      <c r="AG121" s="1256"/>
      <c r="AH121" s="1256"/>
      <c r="AI121" s="1256"/>
      <c r="AJ121" s="85"/>
      <c r="AK121" s="85"/>
      <c r="AL121" s="85"/>
      <c r="AM121" s="85"/>
      <c r="AN121" s="85"/>
      <c r="AO121" s="85"/>
      <c r="AP121" s="85"/>
      <c r="AQ121" s="85"/>
      <c r="AR121" s="85"/>
      <c r="AS121" s="85"/>
      <c r="AT121" s="85"/>
      <c r="AU121" s="85"/>
      <c r="AV121" s="85"/>
      <c r="AW121" s="85"/>
      <c r="AX121" s="85"/>
      <c r="AY121" s="85"/>
      <c r="AZ121" s="85"/>
      <c r="BA121" s="85"/>
      <c r="BB121" s="85"/>
      <c r="BC121" s="85"/>
      <c r="BD121" s="85"/>
      <c r="BE121" s="85"/>
      <c r="BF121" s="85"/>
      <c r="BG121" s="85"/>
      <c r="BH121" s="85"/>
      <c r="BI121" s="85"/>
      <c r="BJ121" s="85"/>
      <c r="BK121" s="85"/>
      <c r="BL121" s="85"/>
      <c r="BM121" s="85"/>
      <c r="BN121" s="85"/>
      <c r="BO121" s="85"/>
      <c r="BP121" s="85"/>
      <c r="BQ121" s="85"/>
      <c r="BR121" s="85"/>
      <c r="BS121" s="85"/>
      <c r="BT121" s="85"/>
      <c r="BU121" s="85"/>
      <c r="BV121" s="85"/>
      <c r="BW121" s="85"/>
      <c r="BX121" s="85"/>
      <c r="BY121" s="85"/>
      <c r="BZ121" s="85"/>
      <c r="CA121" s="85"/>
      <c r="CB121" s="85"/>
      <c r="CC121" s="85"/>
      <c r="CD121" s="85"/>
      <c r="CE121" s="85"/>
      <c r="CF121" s="85"/>
      <c r="CG121" s="85"/>
      <c r="CH121" s="85"/>
      <c r="CI121" s="85"/>
      <c r="CJ121" s="85"/>
      <c r="CK121" s="85"/>
      <c r="CL121" s="85"/>
      <c r="CM121" s="85"/>
      <c r="CN121" s="79"/>
      <c r="CO121" s="79"/>
    </row>
    <row r="122" spans="2:93" s="69" customFormat="1" ht="15" customHeight="1">
      <c r="C122" s="13" t="s">
        <v>12</v>
      </c>
      <c r="D122" s="463">
        <v>0</v>
      </c>
      <c r="E122" s="138">
        <v>0</v>
      </c>
      <c r="F122" s="2559" t="s">
        <v>42</v>
      </c>
      <c r="G122" s="142" t="s">
        <v>402</v>
      </c>
      <c r="H122" s="118">
        <f t="shared" si="50"/>
        <v>0</v>
      </c>
      <c r="I122" s="118">
        <f t="shared" si="51"/>
        <v>0</v>
      </c>
      <c r="J122" s="140">
        <v>0</v>
      </c>
      <c r="K122" s="118">
        <f t="shared" ca="1" si="52"/>
        <v>0</v>
      </c>
      <c r="L122" s="118">
        <f t="shared" ca="1" si="53"/>
        <v>0</v>
      </c>
      <c r="M122" s="2310"/>
      <c r="N122" s="2311"/>
      <c r="O122" s="2311"/>
      <c r="P122" s="2311"/>
      <c r="R122" s="1181"/>
      <c r="S122" s="197"/>
      <c r="T122" s="1295">
        <f t="shared" si="54"/>
        <v>113</v>
      </c>
      <c r="U122" s="1295">
        <f t="shared" si="55"/>
        <v>2146</v>
      </c>
      <c r="V122" s="1308">
        <f t="shared" si="56"/>
        <v>2920828.1187588829</v>
      </c>
      <c r="W122" s="1308">
        <f t="shared" si="57"/>
        <v>693249.69655799703</v>
      </c>
      <c r="X122" s="1310"/>
      <c r="Y122" s="197"/>
      <c r="Z122" s="197"/>
      <c r="AA122" s="1311">
        <f t="shared" ca="1" si="48"/>
        <v>0</v>
      </c>
      <c r="AB122" s="1311">
        <f t="shared" si="49"/>
        <v>0</v>
      </c>
      <c r="AC122" s="197"/>
      <c r="AD122" s="197"/>
      <c r="AE122" s="197"/>
      <c r="AF122" s="1313"/>
      <c r="AG122" s="1256"/>
      <c r="AH122" s="1256"/>
      <c r="AI122" s="1256"/>
      <c r="AJ122" s="85"/>
      <c r="AK122" s="85"/>
      <c r="AL122" s="85"/>
      <c r="AM122" s="85"/>
      <c r="AN122" s="85"/>
      <c r="AO122" s="85"/>
      <c r="AP122" s="85"/>
      <c r="AQ122" s="85"/>
      <c r="AR122" s="85"/>
      <c r="AS122" s="85"/>
      <c r="AT122" s="85"/>
      <c r="AU122" s="85"/>
      <c r="AV122" s="85"/>
      <c r="AW122" s="85"/>
      <c r="AX122" s="85"/>
      <c r="AY122" s="85"/>
      <c r="AZ122" s="85"/>
      <c r="BA122" s="85"/>
      <c r="BB122" s="85"/>
      <c r="BC122" s="85"/>
      <c r="BD122" s="85"/>
      <c r="BE122" s="85"/>
      <c r="BF122" s="85"/>
      <c r="BG122" s="85"/>
      <c r="BH122" s="85"/>
      <c r="BI122" s="85"/>
      <c r="BJ122" s="85"/>
      <c r="BK122" s="85"/>
      <c r="BL122" s="85"/>
      <c r="BM122" s="85"/>
      <c r="BN122" s="85"/>
      <c r="BO122" s="85"/>
      <c r="BP122" s="85"/>
      <c r="BQ122" s="85"/>
      <c r="BR122" s="85"/>
      <c r="BS122" s="85"/>
      <c r="BT122" s="85"/>
      <c r="BU122" s="85"/>
      <c r="BV122" s="85"/>
      <c r="BW122" s="85"/>
      <c r="BX122" s="85"/>
      <c r="BY122" s="85"/>
      <c r="BZ122" s="85"/>
      <c r="CA122" s="85"/>
      <c r="CB122" s="85"/>
      <c r="CC122" s="85"/>
      <c r="CD122" s="85"/>
      <c r="CE122" s="85"/>
      <c r="CF122" s="85"/>
      <c r="CG122" s="85"/>
      <c r="CH122" s="85"/>
      <c r="CI122" s="85"/>
      <c r="CJ122" s="85"/>
      <c r="CK122" s="85"/>
      <c r="CL122" s="85"/>
      <c r="CM122" s="85"/>
      <c r="CN122" s="79"/>
      <c r="CO122" s="79"/>
    </row>
    <row r="123" spans="2:93" s="69" customFormat="1" ht="15" customHeight="1">
      <c r="C123" s="1476" t="s">
        <v>12</v>
      </c>
      <c r="D123" s="464">
        <v>0</v>
      </c>
      <c r="E123" s="144">
        <v>0</v>
      </c>
      <c r="F123" s="2565" t="s">
        <v>42</v>
      </c>
      <c r="G123" s="146" t="s">
        <v>402</v>
      </c>
      <c r="H123" s="119">
        <f t="shared" si="50"/>
        <v>0</v>
      </c>
      <c r="I123" s="119">
        <f t="shared" si="51"/>
        <v>0</v>
      </c>
      <c r="J123" s="145">
        <v>0</v>
      </c>
      <c r="K123" s="119">
        <f t="shared" ca="1" si="52"/>
        <v>0</v>
      </c>
      <c r="L123" s="119">
        <f t="shared" ca="1" si="53"/>
        <v>0</v>
      </c>
      <c r="M123" s="2312"/>
      <c r="N123" s="2313"/>
      <c r="O123" s="2313"/>
      <c r="P123" s="2313"/>
      <c r="R123" s="1181"/>
      <c r="S123" s="197"/>
      <c r="T123" s="1295">
        <f t="shared" si="54"/>
        <v>114</v>
      </c>
      <c r="U123" s="1295">
        <f t="shared" si="55"/>
        <v>2147</v>
      </c>
      <c r="V123" s="1308">
        <f t="shared" si="56"/>
        <v>3008452.9623216493</v>
      </c>
      <c r="W123" s="1308">
        <f t="shared" si="57"/>
        <v>714047.18745473691</v>
      </c>
      <c r="X123" s="1310"/>
      <c r="Y123" s="197"/>
      <c r="Z123" s="197"/>
      <c r="AA123" s="1311">
        <f t="shared" ca="1" si="48"/>
        <v>0</v>
      </c>
      <c r="AB123" s="1311">
        <f t="shared" si="49"/>
        <v>0</v>
      </c>
      <c r="AC123" s="197"/>
      <c r="AD123" s="197"/>
      <c r="AE123" s="197"/>
      <c r="AF123" s="1313"/>
      <c r="AG123" s="1256"/>
      <c r="AH123" s="1256"/>
      <c r="AI123" s="1256"/>
      <c r="AJ123" s="85"/>
      <c r="AK123" s="85"/>
      <c r="AL123" s="85"/>
      <c r="AM123" s="85"/>
      <c r="AN123" s="85"/>
      <c r="AO123" s="85"/>
      <c r="AP123" s="85"/>
      <c r="AQ123" s="85"/>
      <c r="AR123" s="85"/>
      <c r="AS123" s="85"/>
      <c r="AT123" s="85"/>
      <c r="AU123" s="85"/>
      <c r="AV123" s="85"/>
      <c r="AW123" s="85"/>
      <c r="AX123" s="85"/>
      <c r="AY123" s="85"/>
      <c r="AZ123" s="85"/>
      <c r="BA123" s="85"/>
      <c r="BB123" s="85"/>
      <c r="BC123" s="85"/>
      <c r="BD123" s="85"/>
      <c r="BE123" s="85"/>
      <c r="BF123" s="85"/>
      <c r="BG123" s="85"/>
      <c r="BH123" s="85"/>
      <c r="BI123" s="85"/>
      <c r="BJ123" s="85"/>
      <c r="BK123" s="85"/>
      <c r="BL123" s="85"/>
      <c r="BM123" s="85"/>
      <c r="BN123" s="85"/>
      <c r="BO123" s="85"/>
      <c r="BP123" s="85"/>
      <c r="BQ123" s="85"/>
      <c r="BR123" s="85"/>
      <c r="BS123" s="85"/>
      <c r="BT123" s="85"/>
      <c r="BU123" s="85"/>
      <c r="BV123" s="85"/>
      <c r="BW123" s="85"/>
      <c r="BX123" s="85"/>
      <c r="BY123" s="85"/>
      <c r="BZ123" s="85"/>
      <c r="CA123" s="85"/>
      <c r="CB123" s="85"/>
      <c r="CC123" s="85"/>
      <c r="CD123" s="85"/>
      <c r="CE123" s="85"/>
      <c r="CF123" s="85"/>
      <c r="CG123" s="85"/>
      <c r="CH123" s="85"/>
      <c r="CI123" s="85"/>
      <c r="CJ123" s="85"/>
      <c r="CK123" s="85"/>
      <c r="CL123" s="85"/>
      <c r="CM123" s="85"/>
      <c r="CN123" s="79"/>
      <c r="CO123" s="79"/>
    </row>
    <row r="124" spans="2:93" s="69" customFormat="1" ht="15" customHeight="1">
      <c r="C124" s="468" t="s">
        <v>12</v>
      </c>
      <c r="D124" s="463">
        <v>0</v>
      </c>
      <c r="E124" s="138">
        <v>0</v>
      </c>
      <c r="F124" s="138" t="s">
        <v>42</v>
      </c>
      <c r="G124" s="2561" t="s">
        <v>402</v>
      </c>
      <c r="H124" s="118">
        <f t="shared" si="50"/>
        <v>0</v>
      </c>
      <c r="I124" s="118">
        <f t="shared" si="51"/>
        <v>0</v>
      </c>
      <c r="J124" s="140">
        <v>0</v>
      </c>
      <c r="K124" s="118">
        <f t="shared" ca="1" si="52"/>
        <v>0</v>
      </c>
      <c r="L124" s="118">
        <f t="shared" ca="1" si="53"/>
        <v>0</v>
      </c>
      <c r="M124" s="2310"/>
      <c r="N124" s="2311"/>
      <c r="O124" s="2311"/>
      <c r="P124" s="2311"/>
      <c r="R124" s="1181"/>
      <c r="S124" s="197"/>
      <c r="T124" s="1295">
        <f t="shared" si="54"/>
        <v>115</v>
      </c>
      <c r="U124" s="1295">
        <f t="shared" si="55"/>
        <v>2148</v>
      </c>
      <c r="V124" s="1308">
        <f t="shared" si="56"/>
        <v>3098706.5511912988</v>
      </c>
      <c r="W124" s="1308">
        <f t="shared" si="57"/>
        <v>735468.60307837906</v>
      </c>
      <c r="X124" s="1310"/>
      <c r="Y124" s="197"/>
      <c r="Z124" s="197"/>
      <c r="AA124" s="1311">
        <f t="shared" ca="1" si="48"/>
        <v>0</v>
      </c>
      <c r="AB124" s="1311">
        <f t="shared" si="49"/>
        <v>0</v>
      </c>
      <c r="AC124" s="197"/>
      <c r="AD124" s="197"/>
      <c r="AE124" s="197"/>
      <c r="AF124" s="1313"/>
      <c r="AG124" s="1256"/>
      <c r="AH124" s="1256"/>
      <c r="AI124" s="1256"/>
      <c r="AJ124" s="85"/>
      <c r="AK124" s="85"/>
      <c r="AL124" s="85"/>
      <c r="AM124" s="85"/>
      <c r="AN124" s="85"/>
      <c r="AO124" s="85"/>
      <c r="AP124" s="85"/>
      <c r="AQ124" s="85"/>
      <c r="AR124" s="85"/>
      <c r="AS124" s="85"/>
      <c r="AT124" s="85"/>
      <c r="AU124" s="85"/>
      <c r="AV124" s="85"/>
      <c r="AW124" s="85"/>
      <c r="AX124" s="85"/>
      <c r="AY124" s="85"/>
      <c r="AZ124" s="85"/>
      <c r="BA124" s="85"/>
      <c r="BB124" s="85"/>
      <c r="BC124" s="85"/>
      <c r="BD124" s="85"/>
      <c r="BE124" s="85"/>
      <c r="BF124" s="85"/>
      <c r="BG124" s="85"/>
      <c r="BH124" s="85"/>
      <c r="BI124" s="85"/>
      <c r="BJ124" s="85"/>
      <c r="BK124" s="85"/>
      <c r="BL124" s="85"/>
      <c r="BM124" s="85"/>
      <c r="BN124" s="85"/>
      <c r="BO124" s="85"/>
      <c r="BP124" s="85"/>
      <c r="BQ124" s="85"/>
      <c r="BR124" s="85"/>
      <c r="BS124" s="85"/>
      <c r="BT124" s="85"/>
      <c r="BU124" s="85"/>
      <c r="BV124" s="85"/>
      <c r="BW124" s="85"/>
      <c r="BX124" s="85"/>
      <c r="BY124" s="85"/>
      <c r="BZ124" s="85"/>
      <c r="CA124" s="85"/>
      <c r="CB124" s="85"/>
      <c r="CC124" s="85"/>
      <c r="CD124" s="85"/>
      <c r="CE124" s="85"/>
      <c r="CF124" s="85"/>
      <c r="CG124" s="85"/>
      <c r="CH124" s="85"/>
      <c r="CI124" s="85"/>
      <c r="CJ124" s="85"/>
      <c r="CK124" s="85"/>
      <c r="CL124" s="85"/>
      <c r="CM124" s="85"/>
      <c r="CN124" s="79"/>
      <c r="CO124" s="79"/>
    </row>
    <row r="125" spans="2:93" s="69" customFormat="1" ht="15" customHeight="1">
      <c r="C125" s="153" t="s">
        <v>12</v>
      </c>
      <c r="D125" s="465">
        <v>0</v>
      </c>
      <c r="E125" s="154">
        <v>0</v>
      </c>
      <c r="F125" s="154" t="s">
        <v>42</v>
      </c>
      <c r="G125" s="2566" t="s">
        <v>402</v>
      </c>
      <c r="H125" s="254">
        <f t="shared" si="50"/>
        <v>0</v>
      </c>
      <c r="I125" s="156">
        <f t="shared" si="51"/>
        <v>0</v>
      </c>
      <c r="J125" s="155">
        <v>0</v>
      </c>
      <c r="K125" s="156">
        <f t="shared" ca="1" si="52"/>
        <v>0</v>
      </c>
      <c r="L125" s="156">
        <f t="shared" ca="1" si="53"/>
        <v>0</v>
      </c>
      <c r="M125" s="2308"/>
      <c r="N125" s="2309"/>
      <c r="O125" s="2309"/>
      <c r="P125" s="2309"/>
      <c r="R125" s="1181"/>
      <c r="S125" s="197"/>
      <c r="T125" s="1295">
        <f t="shared" si="54"/>
        <v>116</v>
      </c>
      <c r="U125" s="1295">
        <f t="shared" si="55"/>
        <v>2149</v>
      </c>
      <c r="V125" s="1308">
        <f t="shared" si="56"/>
        <v>3191667.7477270379</v>
      </c>
      <c r="W125" s="1308">
        <f t="shared" si="57"/>
        <v>757532.66117073048</v>
      </c>
      <c r="X125" s="1310"/>
      <c r="Y125" s="197"/>
      <c r="Z125" s="197"/>
      <c r="AA125" s="1311">
        <f t="shared" ca="1" si="48"/>
        <v>0</v>
      </c>
      <c r="AB125" s="1311">
        <f t="shared" si="49"/>
        <v>0</v>
      </c>
      <c r="AC125" s="197"/>
      <c r="AD125" s="197"/>
      <c r="AE125" s="197"/>
      <c r="AF125" s="1313"/>
      <c r="AG125" s="1256"/>
      <c r="AH125" s="1256"/>
      <c r="AI125" s="1256"/>
      <c r="AJ125" s="85"/>
      <c r="AK125" s="85"/>
      <c r="AL125" s="85"/>
      <c r="AM125" s="85"/>
      <c r="AN125" s="85"/>
      <c r="AO125" s="85"/>
      <c r="AP125" s="85"/>
      <c r="AQ125" s="85"/>
      <c r="AR125" s="85"/>
      <c r="AS125" s="85"/>
      <c r="AT125" s="85"/>
      <c r="AU125" s="85"/>
      <c r="AV125" s="85"/>
      <c r="AW125" s="85"/>
      <c r="AX125" s="85"/>
      <c r="AY125" s="85"/>
      <c r="AZ125" s="85"/>
      <c r="BA125" s="85"/>
      <c r="BB125" s="85"/>
      <c r="BC125" s="85"/>
      <c r="BD125" s="85"/>
      <c r="BE125" s="85"/>
      <c r="BF125" s="85"/>
      <c r="BG125" s="85"/>
      <c r="BH125" s="85"/>
      <c r="BI125" s="85"/>
      <c r="BJ125" s="85"/>
      <c r="BK125" s="85"/>
      <c r="BL125" s="85"/>
      <c r="BM125" s="85"/>
      <c r="BN125" s="85"/>
      <c r="BO125" s="85"/>
      <c r="BP125" s="85"/>
      <c r="BQ125" s="85"/>
      <c r="BR125" s="85"/>
      <c r="BS125" s="85"/>
      <c r="BT125" s="85"/>
      <c r="BU125" s="85"/>
      <c r="BV125" s="85"/>
      <c r="BW125" s="85"/>
      <c r="BX125" s="85"/>
      <c r="BY125" s="85"/>
      <c r="BZ125" s="85"/>
      <c r="CA125" s="85"/>
      <c r="CB125" s="85"/>
      <c r="CC125" s="85"/>
      <c r="CD125" s="85"/>
      <c r="CE125" s="85"/>
      <c r="CF125" s="85"/>
      <c r="CG125" s="85"/>
      <c r="CH125" s="85"/>
      <c r="CI125" s="85"/>
      <c r="CJ125" s="85"/>
      <c r="CK125" s="85"/>
      <c r="CL125" s="85"/>
      <c r="CM125" s="85"/>
      <c r="CN125" s="79"/>
      <c r="CO125" s="79"/>
    </row>
    <row r="126" spans="2:93" s="69" customFormat="1" ht="25" customHeight="1">
      <c r="C126" s="135"/>
      <c r="D126" s="70"/>
      <c r="E126" s="150"/>
      <c r="F126" s="150"/>
      <c r="G126" s="157"/>
      <c r="H126" s="123">
        <f>SUM(H114:H125)</f>
        <v>1041.6666666666667</v>
      </c>
      <c r="I126" s="123">
        <f>SUM(I114:I125)</f>
        <v>12500</v>
      </c>
      <c r="J126" s="157"/>
      <c r="K126" s="123">
        <f ca="1">SUM(K114:K125)</f>
        <v>1485.1675904647695</v>
      </c>
      <c r="L126" s="123">
        <f ca="1">SUM(L114:L125)</f>
        <v>17822.011085577236</v>
      </c>
      <c r="M126" s="479"/>
      <c r="N126" s="479"/>
      <c r="O126" s="479"/>
      <c r="P126" s="479"/>
      <c r="R126" s="1181"/>
      <c r="S126" s="197"/>
      <c r="T126" s="1295">
        <f t="shared" si="54"/>
        <v>117</v>
      </c>
      <c r="U126" s="1295">
        <f t="shared" si="55"/>
        <v>2150</v>
      </c>
      <c r="V126" s="1308">
        <f t="shared" si="56"/>
        <v>3287417.780158849</v>
      </c>
      <c r="W126" s="1308">
        <f t="shared" si="57"/>
        <v>780258.64100585238</v>
      </c>
      <c r="X126" s="1310"/>
      <c r="Y126" s="197"/>
      <c r="Z126" s="197"/>
      <c r="AA126" s="1311">
        <f t="shared" si="48"/>
        <v>0</v>
      </c>
      <c r="AB126" s="1311">
        <f t="shared" si="49"/>
        <v>0</v>
      </c>
      <c r="AC126" s="197"/>
      <c r="AD126" s="197"/>
      <c r="AE126" s="197"/>
      <c r="AF126" s="1313"/>
      <c r="AG126" s="1256"/>
      <c r="AH126" s="1256"/>
      <c r="AI126" s="1256"/>
      <c r="AJ126" s="85"/>
      <c r="AK126" s="85"/>
      <c r="AL126" s="85"/>
      <c r="AM126" s="85"/>
      <c r="AN126" s="85"/>
      <c r="AO126" s="85"/>
      <c r="AP126" s="85"/>
      <c r="AQ126" s="85"/>
      <c r="AR126" s="85"/>
      <c r="AS126" s="85"/>
      <c r="AT126" s="85"/>
      <c r="AU126" s="85"/>
      <c r="AV126" s="85"/>
      <c r="AW126" s="85"/>
      <c r="AX126" s="85"/>
      <c r="AY126" s="85"/>
      <c r="AZ126" s="85"/>
      <c r="BA126" s="85"/>
      <c r="BB126" s="85"/>
      <c r="BC126" s="85"/>
      <c r="BD126" s="85"/>
      <c r="BE126" s="85"/>
      <c r="BF126" s="85"/>
      <c r="BG126" s="85"/>
      <c r="BH126" s="85"/>
      <c r="BI126" s="85"/>
      <c r="BJ126" s="85"/>
      <c r="BK126" s="85"/>
      <c r="BL126" s="85"/>
      <c r="BM126" s="85"/>
      <c r="BN126" s="85"/>
      <c r="BO126" s="85"/>
      <c r="BP126" s="85"/>
      <c r="BQ126" s="85"/>
      <c r="BR126" s="85"/>
      <c r="BS126" s="85"/>
      <c r="BT126" s="85"/>
      <c r="BU126" s="85"/>
      <c r="BV126" s="85"/>
      <c r="BW126" s="85"/>
      <c r="BX126" s="85"/>
      <c r="BY126" s="85"/>
      <c r="BZ126" s="85"/>
      <c r="CA126" s="85"/>
      <c r="CB126" s="85"/>
      <c r="CC126" s="85"/>
      <c r="CD126" s="85"/>
      <c r="CE126" s="85"/>
      <c r="CF126" s="85"/>
      <c r="CG126" s="85"/>
      <c r="CH126" s="85"/>
      <c r="CI126" s="85"/>
      <c r="CJ126" s="85"/>
      <c r="CK126" s="85"/>
      <c r="CL126" s="85"/>
      <c r="CM126" s="85"/>
      <c r="CN126" s="79"/>
      <c r="CO126" s="79"/>
    </row>
    <row r="127" spans="2:93" s="69" customFormat="1" ht="18" customHeight="1">
      <c r="B127" s="2556" t="s">
        <v>51</v>
      </c>
      <c r="C127" s="2324"/>
      <c r="D127" s="115"/>
      <c r="E127" s="114"/>
      <c r="F127" s="114"/>
      <c r="G127" s="115"/>
      <c r="H127" s="192"/>
      <c r="I127" s="192"/>
      <c r="J127" s="115"/>
      <c r="K127" s="192"/>
      <c r="L127" s="192"/>
      <c r="M127" s="478"/>
      <c r="N127" s="478"/>
      <c r="O127" s="478"/>
      <c r="P127" s="478"/>
      <c r="R127" s="1181"/>
      <c r="S127" s="197"/>
      <c r="T127" s="1295">
        <f t="shared" si="54"/>
        <v>118</v>
      </c>
      <c r="U127" s="1295">
        <f t="shared" si="55"/>
        <v>2151</v>
      </c>
      <c r="V127" s="1308">
        <f t="shared" si="56"/>
        <v>3386040.3135636146</v>
      </c>
      <c r="W127" s="1308">
        <f t="shared" si="57"/>
        <v>803666.4002360279</v>
      </c>
      <c r="X127" s="1310"/>
      <c r="Y127" s="197"/>
      <c r="Z127" s="197"/>
      <c r="AA127" s="1311">
        <f t="shared" si="48"/>
        <v>0</v>
      </c>
      <c r="AB127" s="1311">
        <f t="shared" si="49"/>
        <v>0</v>
      </c>
      <c r="AC127" s="197"/>
      <c r="AD127" s="197"/>
      <c r="AE127" s="197"/>
      <c r="AF127" s="1313"/>
      <c r="AG127" s="1256"/>
      <c r="AH127" s="1256"/>
      <c r="AI127" s="1256"/>
      <c r="AJ127" s="85"/>
      <c r="AK127" s="85"/>
      <c r="AL127" s="85"/>
      <c r="AM127" s="85"/>
      <c r="AN127" s="85"/>
      <c r="AO127" s="85"/>
      <c r="AP127" s="85"/>
      <c r="AQ127" s="85"/>
      <c r="AR127" s="85"/>
      <c r="AS127" s="85"/>
      <c r="AT127" s="85"/>
      <c r="AU127" s="85"/>
      <c r="AV127" s="85"/>
      <c r="AW127" s="85"/>
      <c r="AX127" s="85"/>
      <c r="AY127" s="85"/>
      <c r="AZ127" s="85"/>
      <c r="BA127" s="85"/>
      <c r="BB127" s="85"/>
      <c r="BC127" s="85"/>
      <c r="BD127" s="85"/>
      <c r="BE127" s="85"/>
      <c r="BF127" s="85"/>
      <c r="BG127" s="85"/>
      <c r="BH127" s="85"/>
      <c r="BI127" s="85"/>
      <c r="BJ127" s="85"/>
      <c r="BK127" s="85"/>
      <c r="BL127" s="85"/>
      <c r="BM127" s="85"/>
      <c r="BN127" s="85"/>
      <c r="BO127" s="85"/>
      <c r="BP127" s="85"/>
      <c r="BQ127" s="85"/>
      <c r="BR127" s="85"/>
      <c r="BS127" s="85"/>
      <c r="BT127" s="85"/>
      <c r="BU127" s="85"/>
      <c r="BV127" s="85"/>
      <c r="BW127" s="85"/>
      <c r="BX127" s="85"/>
      <c r="BY127" s="85"/>
      <c r="BZ127" s="85"/>
      <c r="CA127" s="85"/>
      <c r="CB127" s="85"/>
      <c r="CC127" s="85"/>
      <c r="CD127" s="85"/>
      <c r="CE127" s="85"/>
      <c r="CF127" s="85"/>
      <c r="CG127" s="85"/>
      <c r="CH127" s="85"/>
      <c r="CI127" s="85"/>
      <c r="CJ127" s="85"/>
      <c r="CK127" s="85"/>
      <c r="CL127" s="85"/>
      <c r="CM127" s="85"/>
      <c r="CN127" s="79"/>
      <c r="CO127" s="79"/>
    </row>
    <row r="128" spans="2:93" s="69" customFormat="1" ht="15" customHeight="1">
      <c r="C128" s="1477" t="s">
        <v>12</v>
      </c>
      <c r="D128" s="463">
        <v>0</v>
      </c>
      <c r="E128" s="138">
        <v>0</v>
      </c>
      <c r="F128" s="138" t="s">
        <v>42</v>
      </c>
      <c r="G128" s="142" t="s">
        <v>395</v>
      </c>
      <c r="H128" s="118">
        <f t="shared" ref="H128:H139" si="58">IF(ISNUMBER(I128),I128/12,0)</f>
        <v>0</v>
      </c>
      <c r="I128" s="118">
        <f t="shared" ref="I128:I139" si="59">IF(ISNUMBER(E128),IF(E128&gt;0,D128*E128,0),"")</f>
        <v>0</v>
      </c>
      <c r="J128" s="140">
        <v>0</v>
      </c>
      <c r="K128" s="118">
        <f t="shared" ref="K128:K139" ca="1" si="60">IF(ISNUMBER(L128),L128/12,"")</f>
        <v>0</v>
      </c>
      <c r="L128" s="118">
        <f t="shared" ref="L128:L139" ca="1" si="61">IF(ISNUMBER(I128),IF(F128="Y",FV($N$5,$O$5,0,I128*-1)+(J128*12),I128+(J128*12)),"")</f>
        <v>0</v>
      </c>
      <c r="M128" s="2310"/>
      <c r="N128" s="2311"/>
      <c r="O128" s="2311"/>
      <c r="P128" s="2311"/>
      <c r="R128" s="1181"/>
      <c r="S128" s="197"/>
      <c r="T128" s="1295">
        <f t="shared" si="54"/>
        <v>119</v>
      </c>
      <c r="U128" s="1295">
        <f t="shared" si="55"/>
        <v>2152</v>
      </c>
      <c r="V128" s="1308">
        <f t="shared" si="56"/>
        <v>3487621.5229705232</v>
      </c>
      <c r="W128" s="1308">
        <f t="shared" si="57"/>
        <v>827776.39224310871</v>
      </c>
      <c r="X128" s="1310"/>
      <c r="Y128" s="197"/>
      <c r="Z128" s="197"/>
      <c r="AA128" s="1311">
        <f t="shared" si="48"/>
        <v>0</v>
      </c>
      <c r="AB128" s="1311">
        <f t="shared" ca="1" si="49"/>
        <v>0</v>
      </c>
      <c r="AC128" s="197"/>
      <c r="AD128" s="197"/>
      <c r="AE128" s="197"/>
      <c r="AF128" s="1313"/>
      <c r="AG128" s="1256"/>
      <c r="AH128" s="1256"/>
      <c r="AI128" s="1256"/>
      <c r="AJ128" s="85"/>
      <c r="AK128" s="85"/>
      <c r="AL128" s="85"/>
      <c r="AM128" s="85"/>
      <c r="AN128" s="85"/>
      <c r="AO128" s="85"/>
      <c r="AP128" s="85"/>
      <c r="AQ128" s="85"/>
      <c r="AR128" s="85"/>
      <c r="AS128" s="85"/>
      <c r="AT128" s="85"/>
      <c r="AU128" s="85"/>
      <c r="AV128" s="85"/>
      <c r="AW128" s="85"/>
      <c r="AX128" s="85"/>
      <c r="AY128" s="85"/>
      <c r="AZ128" s="85"/>
      <c r="BA128" s="85"/>
      <c r="BB128" s="85"/>
      <c r="BC128" s="85"/>
      <c r="BD128" s="85"/>
      <c r="BE128" s="85"/>
      <c r="BF128" s="85"/>
      <c r="BG128" s="85"/>
      <c r="BH128" s="85"/>
      <c r="BI128" s="85"/>
      <c r="BJ128" s="85"/>
      <c r="BK128" s="85"/>
      <c r="BL128" s="85"/>
      <c r="BM128" s="85"/>
      <c r="BN128" s="85"/>
      <c r="BO128" s="85"/>
      <c r="BP128" s="85"/>
      <c r="BQ128" s="85"/>
      <c r="BR128" s="85"/>
      <c r="BS128" s="85"/>
      <c r="BT128" s="85"/>
      <c r="BU128" s="85"/>
      <c r="BV128" s="85"/>
      <c r="BW128" s="85"/>
      <c r="BX128" s="85"/>
      <c r="BY128" s="85"/>
      <c r="BZ128" s="85"/>
      <c r="CA128" s="85"/>
      <c r="CB128" s="85"/>
      <c r="CC128" s="85"/>
      <c r="CD128" s="85"/>
      <c r="CE128" s="85"/>
      <c r="CF128" s="85"/>
      <c r="CG128" s="85"/>
      <c r="CH128" s="85"/>
      <c r="CI128" s="85"/>
      <c r="CJ128" s="85"/>
      <c r="CK128" s="85"/>
      <c r="CL128" s="85"/>
      <c r="CM128" s="85"/>
      <c r="CN128" s="79"/>
      <c r="CO128" s="79"/>
    </row>
    <row r="129" spans="2:93" s="69" customFormat="1" ht="15" customHeight="1">
      <c r="C129" s="1476" t="s">
        <v>12</v>
      </c>
      <c r="D129" s="464">
        <v>0</v>
      </c>
      <c r="E129" s="144">
        <v>0</v>
      </c>
      <c r="F129" s="144" t="s">
        <v>42</v>
      </c>
      <c r="G129" s="146" t="s">
        <v>395</v>
      </c>
      <c r="H129" s="119">
        <f t="shared" si="58"/>
        <v>0</v>
      </c>
      <c r="I129" s="119">
        <f t="shared" si="59"/>
        <v>0</v>
      </c>
      <c r="J129" s="145">
        <v>0</v>
      </c>
      <c r="K129" s="119">
        <f t="shared" ca="1" si="60"/>
        <v>0</v>
      </c>
      <c r="L129" s="119">
        <f t="shared" ca="1" si="61"/>
        <v>0</v>
      </c>
      <c r="M129" s="2312"/>
      <c r="N129" s="2313"/>
      <c r="O129" s="2313"/>
      <c r="P129" s="2313"/>
      <c r="R129" s="1181"/>
      <c r="S129" s="197"/>
      <c r="T129" s="1295">
        <f t="shared" si="54"/>
        <v>120</v>
      </c>
      <c r="U129" s="1295">
        <f t="shared" si="55"/>
        <v>2153</v>
      </c>
      <c r="V129" s="1308">
        <f t="shared" si="56"/>
        <v>3592250.1686596391</v>
      </c>
      <c r="W129" s="1308">
        <f t="shared" si="57"/>
        <v>852609.68401040195</v>
      </c>
      <c r="X129" s="1310"/>
      <c r="Y129" s="197"/>
      <c r="Z129" s="197"/>
      <c r="AA129" s="1311">
        <f t="shared" si="48"/>
        <v>0</v>
      </c>
      <c r="AB129" s="1311">
        <f t="shared" ca="1" si="49"/>
        <v>0</v>
      </c>
      <c r="AC129" s="197"/>
      <c r="AD129" s="197"/>
      <c r="AE129" s="197"/>
      <c r="AF129" s="1313"/>
      <c r="AG129" s="1256"/>
      <c r="AH129" s="1256"/>
      <c r="AI129" s="1256"/>
      <c r="AJ129" s="85"/>
      <c r="AK129" s="85"/>
      <c r="AL129" s="85"/>
      <c r="AM129" s="85"/>
      <c r="AN129" s="85"/>
      <c r="AO129" s="85"/>
      <c r="AP129" s="85"/>
      <c r="AQ129" s="85"/>
      <c r="AR129" s="85"/>
      <c r="AS129" s="85"/>
      <c r="AT129" s="85"/>
      <c r="AU129" s="85"/>
      <c r="AV129" s="85"/>
      <c r="AW129" s="85"/>
      <c r="AX129" s="85"/>
      <c r="AY129" s="85"/>
      <c r="AZ129" s="85"/>
      <c r="BA129" s="85"/>
      <c r="BB129" s="85"/>
      <c r="BC129" s="85"/>
      <c r="BD129" s="85"/>
      <c r="BE129" s="85"/>
      <c r="BF129" s="85"/>
      <c r="BG129" s="85"/>
      <c r="BH129" s="85"/>
      <c r="BI129" s="85"/>
      <c r="BJ129" s="85"/>
      <c r="BK129" s="85"/>
      <c r="BL129" s="85"/>
      <c r="BM129" s="85"/>
      <c r="BN129" s="85"/>
      <c r="BO129" s="85"/>
      <c r="BP129" s="85"/>
      <c r="BQ129" s="85"/>
      <c r="BR129" s="85"/>
      <c r="BS129" s="85"/>
      <c r="BT129" s="85"/>
      <c r="BU129" s="85"/>
      <c r="BV129" s="85"/>
      <c r="BW129" s="85"/>
      <c r="BX129" s="85"/>
      <c r="BY129" s="85"/>
      <c r="BZ129" s="85"/>
      <c r="CA129" s="85"/>
      <c r="CB129" s="85"/>
      <c r="CC129" s="85"/>
      <c r="CD129" s="85"/>
      <c r="CE129" s="85"/>
      <c r="CF129" s="85"/>
      <c r="CG129" s="85"/>
      <c r="CH129" s="85"/>
      <c r="CI129" s="85"/>
      <c r="CJ129" s="85"/>
      <c r="CK129" s="85"/>
      <c r="CL129" s="85"/>
      <c r="CM129" s="85"/>
      <c r="CN129" s="79"/>
      <c r="CO129" s="79"/>
    </row>
    <row r="130" spans="2:93" s="69" customFormat="1" ht="15" customHeight="1">
      <c r="C130" s="13" t="s">
        <v>12</v>
      </c>
      <c r="D130" s="463">
        <v>0</v>
      </c>
      <c r="E130" s="138">
        <v>0</v>
      </c>
      <c r="F130" s="138" t="s">
        <v>42</v>
      </c>
      <c r="G130" s="142" t="s">
        <v>395</v>
      </c>
      <c r="H130" s="118">
        <f t="shared" si="58"/>
        <v>0</v>
      </c>
      <c r="I130" s="118">
        <f t="shared" si="59"/>
        <v>0</v>
      </c>
      <c r="J130" s="140">
        <v>0</v>
      </c>
      <c r="K130" s="118">
        <f t="shared" ca="1" si="60"/>
        <v>0</v>
      </c>
      <c r="L130" s="118">
        <f t="shared" ca="1" si="61"/>
        <v>0</v>
      </c>
      <c r="M130" s="2310"/>
      <c r="N130" s="2311"/>
      <c r="O130" s="2311"/>
      <c r="P130" s="2311"/>
      <c r="R130" s="1181"/>
      <c r="S130" s="197"/>
      <c r="T130" s="1295">
        <f t="shared" si="54"/>
        <v>121</v>
      </c>
      <c r="U130" s="1295">
        <f t="shared" si="55"/>
        <v>2154</v>
      </c>
      <c r="V130" s="1308">
        <f t="shared" si="56"/>
        <v>3700017.6737194285</v>
      </c>
      <c r="W130" s="1308">
        <f t="shared" si="57"/>
        <v>878187.97453071398</v>
      </c>
      <c r="X130" s="1310"/>
      <c r="Y130" s="197"/>
      <c r="Z130" s="197"/>
      <c r="AA130" s="1311"/>
      <c r="AB130" s="1311"/>
      <c r="AC130" s="197"/>
      <c r="AD130" s="197"/>
      <c r="AE130" s="197"/>
      <c r="AF130" s="1313"/>
      <c r="AG130" s="1256"/>
      <c r="AH130" s="1256"/>
      <c r="AI130" s="1256"/>
      <c r="AJ130" s="85"/>
      <c r="AK130" s="85"/>
      <c r="AL130" s="85"/>
      <c r="AM130" s="85"/>
      <c r="AN130" s="85"/>
      <c r="AO130" s="85"/>
      <c r="AP130" s="85"/>
      <c r="AQ130" s="85"/>
      <c r="AR130" s="85"/>
      <c r="AS130" s="85"/>
      <c r="AT130" s="85"/>
      <c r="AU130" s="85"/>
      <c r="AV130" s="85"/>
      <c r="AW130" s="85"/>
      <c r="AX130" s="85"/>
      <c r="AY130" s="85"/>
      <c r="AZ130" s="85"/>
      <c r="BA130" s="85"/>
      <c r="BB130" s="85"/>
      <c r="BC130" s="85"/>
      <c r="BD130" s="85"/>
      <c r="BE130" s="85"/>
      <c r="BF130" s="85"/>
      <c r="BG130" s="85"/>
      <c r="BH130" s="85"/>
      <c r="BI130" s="85"/>
      <c r="BJ130" s="85"/>
      <c r="BK130" s="85"/>
      <c r="BL130" s="85"/>
      <c r="BM130" s="85"/>
      <c r="BN130" s="85"/>
      <c r="BO130" s="85"/>
      <c r="BP130" s="85"/>
      <c r="BQ130" s="85"/>
      <c r="BR130" s="85"/>
      <c r="BS130" s="85"/>
      <c r="BT130" s="85"/>
      <c r="BU130" s="85"/>
      <c r="BV130" s="85"/>
      <c r="BW130" s="85"/>
      <c r="BX130" s="85"/>
      <c r="BY130" s="85"/>
      <c r="BZ130" s="85"/>
      <c r="CA130" s="85"/>
      <c r="CB130" s="85"/>
      <c r="CC130" s="85"/>
      <c r="CD130" s="85"/>
      <c r="CE130" s="85"/>
      <c r="CF130" s="85"/>
      <c r="CG130" s="85"/>
      <c r="CH130" s="85"/>
      <c r="CI130" s="85"/>
      <c r="CJ130" s="85"/>
      <c r="CK130" s="85"/>
      <c r="CL130" s="85"/>
      <c r="CM130" s="85"/>
      <c r="CN130" s="79"/>
      <c r="CO130" s="79"/>
    </row>
    <row r="131" spans="2:93" s="69" customFormat="1" ht="15" customHeight="1">
      <c r="C131" s="466" t="s">
        <v>12</v>
      </c>
      <c r="D131" s="464">
        <v>0</v>
      </c>
      <c r="E131" s="144">
        <v>0</v>
      </c>
      <c r="F131" s="2565" t="s">
        <v>42</v>
      </c>
      <c r="G131" s="146" t="s">
        <v>395</v>
      </c>
      <c r="H131" s="119">
        <f t="shared" si="58"/>
        <v>0</v>
      </c>
      <c r="I131" s="119">
        <f t="shared" si="59"/>
        <v>0</v>
      </c>
      <c r="J131" s="145">
        <v>0</v>
      </c>
      <c r="K131" s="119">
        <f t="shared" ca="1" si="60"/>
        <v>0</v>
      </c>
      <c r="L131" s="119">
        <f t="shared" ca="1" si="61"/>
        <v>0</v>
      </c>
      <c r="M131" s="2312"/>
      <c r="N131" s="2313"/>
      <c r="O131" s="2313"/>
      <c r="P131" s="2313"/>
      <c r="R131" s="1181"/>
      <c r="S131" s="197"/>
      <c r="T131" s="1295">
        <f t="shared" si="54"/>
        <v>122</v>
      </c>
      <c r="U131" s="1295">
        <f t="shared" si="55"/>
        <v>2155</v>
      </c>
      <c r="V131" s="1308">
        <f t="shared" si="56"/>
        <v>3811018.2039310113</v>
      </c>
      <c r="W131" s="1308">
        <f t="shared" si="57"/>
        <v>904533.61376663542</v>
      </c>
      <c r="X131" s="1310"/>
      <c r="Y131" s="197"/>
      <c r="Z131" s="197"/>
      <c r="AA131" s="1311"/>
      <c r="AB131" s="1311"/>
      <c r="AC131" s="197"/>
      <c r="AD131" s="197"/>
      <c r="AE131" s="197"/>
      <c r="AF131" s="1313"/>
      <c r="AG131" s="1256"/>
      <c r="AH131" s="1256"/>
      <c r="AI131" s="1256"/>
      <c r="AJ131" s="85"/>
      <c r="AK131" s="85"/>
      <c r="AL131" s="85"/>
      <c r="AM131" s="85"/>
      <c r="AN131" s="85"/>
      <c r="AO131" s="85"/>
      <c r="AP131" s="85"/>
      <c r="AQ131" s="85"/>
      <c r="AR131" s="85"/>
      <c r="AS131" s="85"/>
      <c r="AT131" s="85"/>
      <c r="AU131" s="85"/>
      <c r="AV131" s="85"/>
      <c r="AW131" s="85"/>
      <c r="AX131" s="85"/>
      <c r="AY131" s="85"/>
      <c r="AZ131" s="85"/>
      <c r="BA131" s="85"/>
      <c r="BB131" s="85"/>
      <c r="BC131" s="85"/>
      <c r="BD131" s="85"/>
      <c r="BE131" s="85"/>
      <c r="BF131" s="85"/>
      <c r="BG131" s="85"/>
      <c r="BH131" s="85"/>
      <c r="BI131" s="85"/>
      <c r="BJ131" s="85"/>
      <c r="BK131" s="85"/>
      <c r="BL131" s="85"/>
      <c r="BM131" s="85"/>
      <c r="BN131" s="85"/>
      <c r="BO131" s="85"/>
      <c r="BP131" s="85"/>
      <c r="BQ131" s="85"/>
      <c r="BR131" s="85"/>
      <c r="BS131" s="85"/>
      <c r="BT131" s="85"/>
      <c r="BU131" s="85"/>
      <c r="BV131" s="85"/>
      <c r="BW131" s="85"/>
      <c r="BX131" s="85"/>
      <c r="BY131" s="85"/>
      <c r="BZ131" s="85"/>
      <c r="CA131" s="85"/>
      <c r="CB131" s="85"/>
      <c r="CC131" s="85"/>
      <c r="CD131" s="85"/>
      <c r="CE131" s="85"/>
      <c r="CF131" s="85"/>
      <c r="CG131" s="85"/>
      <c r="CH131" s="85"/>
      <c r="CI131" s="85"/>
      <c r="CJ131" s="85"/>
      <c r="CK131" s="85"/>
      <c r="CL131" s="85"/>
      <c r="CM131" s="85"/>
      <c r="CN131" s="79"/>
      <c r="CO131" s="79"/>
    </row>
    <row r="132" spans="2:93" s="69" customFormat="1" ht="15" customHeight="1">
      <c r="C132" s="1477" t="s">
        <v>12</v>
      </c>
      <c r="D132" s="463">
        <v>0</v>
      </c>
      <c r="E132" s="138">
        <v>0</v>
      </c>
      <c r="F132" s="138" t="s">
        <v>42</v>
      </c>
      <c r="G132" s="142" t="s">
        <v>395</v>
      </c>
      <c r="H132" s="118">
        <f t="shared" si="58"/>
        <v>0</v>
      </c>
      <c r="I132" s="118">
        <f t="shared" si="59"/>
        <v>0</v>
      </c>
      <c r="J132" s="140">
        <v>0</v>
      </c>
      <c r="K132" s="118">
        <f t="shared" ca="1" si="60"/>
        <v>0</v>
      </c>
      <c r="L132" s="118">
        <f t="shared" ca="1" si="61"/>
        <v>0</v>
      </c>
      <c r="M132" s="2310"/>
      <c r="N132" s="2311"/>
      <c r="O132" s="2311"/>
      <c r="P132" s="2311"/>
      <c r="R132" s="1181"/>
      <c r="S132" s="197"/>
      <c r="T132" s="1295">
        <f t="shared" si="54"/>
        <v>123</v>
      </c>
      <c r="U132" s="1295">
        <f t="shared" si="55"/>
        <v>2156</v>
      </c>
      <c r="V132" s="1308">
        <f t="shared" si="56"/>
        <v>3925348.7500489415</v>
      </c>
      <c r="W132" s="1308">
        <f t="shared" si="57"/>
        <v>931669.62217963452</v>
      </c>
      <c r="X132" s="1310"/>
      <c r="Y132" s="197"/>
      <c r="Z132" s="197"/>
      <c r="AA132" s="1311"/>
      <c r="AB132" s="1311"/>
      <c r="AC132" s="197"/>
      <c r="AD132" s="197"/>
      <c r="AE132" s="197"/>
      <c r="AF132" s="1313"/>
      <c r="AG132" s="1256"/>
      <c r="AH132" s="1256"/>
      <c r="AI132" s="1256"/>
      <c r="AJ132" s="85"/>
      <c r="AK132" s="85"/>
      <c r="AL132" s="85"/>
      <c r="AM132" s="85"/>
      <c r="AN132" s="85"/>
      <c r="AO132" s="85"/>
      <c r="AP132" s="85"/>
      <c r="AQ132" s="85"/>
      <c r="AR132" s="85"/>
      <c r="AS132" s="85"/>
      <c r="AT132" s="85"/>
      <c r="AU132" s="85"/>
      <c r="AV132" s="85"/>
      <c r="AW132" s="85"/>
      <c r="AX132" s="85"/>
      <c r="AY132" s="85"/>
      <c r="AZ132" s="85"/>
      <c r="BA132" s="85"/>
      <c r="BB132" s="85"/>
      <c r="BC132" s="85"/>
      <c r="BD132" s="85"/>
      <c r="BE132" s="85"/>
      <c r="BF132" s="85"/>
      <c r="BG132" s="85"/>
      <c r="BH132" s="85"/>
      <c r="BI132" s="85"/>
      <c r="BJ132" s="85"/>
      <c r="BK132" s="85"/>
      <c r="BL132" s="85"/>
      <c r="BM132" s="85"/>
      <c r="BN132" s="85"/>
      <c r="BO132" s="85"/>
      <c r="BP132" s="85"/>
      <c r="BQ132" s="85"/>
      <c r="BR132" s="85"/>
      <c r="BS132" s="85"/>
      <c r="BT132" s="85"/>
      <c r="BU132" s="85"/>
      <c r="BV132" s="85"/>
      <c r="BW132" s="85"/>
      <c r="BX132" s="85"/>
      <c r="BY132" s="85"/>
      <c r="BZ132" s="85"/>
      <c r="CA132" s="85"/>
      <c r="CB132" s="85"/>
      <c r="CC132" s="85"/>
      <c r="CD132" s="85"/>
      <c r="CE132" s="85"/>
      <c r="CF132" s="85"/>
      <c r="CG132" s="85"/>
      <c r="CH132" s="85"/>
      <c r="CI132" s="85"/>
      <c r="CJ132" s="85"/>
      <c r="CK132" s="85"/>
      <c r="CL132" s="85"/>
      <c r="CM132" s="85"/>
      <c r="CN132" s="79"/>
      <c r="CO132" s="79"/>
    </row>
    <row r="133" spans="2:93" s="69" customFormat="1" ht="15" customHeight="1">
      <c r="C133" s="1476" t="s">
        <v>12</v>
      </c>
      <c r="D133" s="464">
        <v>0</v>
      </c>
      <c r="E133" s="144">
        <v>0</v>
      </c>
      <c r="F133" s="144" t="s">
        <v>42</v>
      </c>
      <c r="G133" s="146" t="s">
        <v>395</v>
      </c>
      <c r="H133" s="119">
        <f t="shared" si="58"/>
        <v>0</v>
      </c>
      <c r="I133" s="119">
        <f t="shared" si="59"/>
        <v>0</v>
      </c>
      <c r="J133" s="145">
        <v>0</v>
      </c>
      <c r="K133" s="119">
        <f t="shared" ca="1" si="60"/>
        <v>0</v>
      </c>
      <c r="L133" s="119">
        <f t="shared" ca="1" si="61"/>
        <v>0</v>
      </c>
      <c r="M133" s="2312"/>
      <c r="N133" s="2313"/>
      <c r="O133" s="2313"/>
      <c r="P133" s="2313"/>
      <c r="R133" s="1181"/>
      <c r="S133" s="197"/>
      <c r="T133" s="1295">
        <f t="shared" si="54"/>
        <v>124</v>
      </c>
      <c r="U133" s="1295">
        <f t="shared" si="55"/>
        <v>2157</v>
      </c>
      <c r="V133" s="1308">
        <f t="shared" si="56"/>
        <v>4043109.2125504096</v>
      </c>
      <c r="W133" s="1308">
        <f t="shared" si="57"/>
        <v>959619.71084502351</v>
      </c>
      <c r="X133" s="1310"/>
      <c r="Y133" s="197"/>
      <c r="Z133" s="197"/>
      <c r="AA133" s="1311"/>
      <c r="AB133" s="1311"/>
      <c r="AC133" s="197"/>
      <c r="AD133" s="197"/>
      <c r="AE133" s="197"/>
      <c r="AF133" s="1313"/>
      <c r="AG133" s="1256"/>
      <c r="AH133" s="1256"/>
      <c r="AI133" s="1256"/>
      <c r="AJ133" s="85"/>
      <c r="AK133" s="85"/>
      <c r="AL133" s="85"/>
      <c r="AM133" s="85"/>
      <c r="AN133" s="85"/>
      <c r="AO133" s="85"/>
      <c r="AP133" s="85"/>
      <c r="AQ133" s="85"/>
      <c r="AR133" s="85"/>
      <c r="AS133" s="85"/>
      <c r="AT133" s="85"/>
      <c r="AU133" s="85"/>
      <c r="AV133" s="85"/>
      <c r="AW133" s="85"/>
      <c r="AX133" s="85"/>
      <c r="AY133" s="85"/>
      <c r="AZ133" s="85"/>
      <c r="BA133" s="85"/>
      <c r="BB133" s="85"/>
      <c r="BC133" s="85"/>
      <c r="BD133" s="85"/>
      <c r="BE133" s="85"/>
      <c r="BF133" s="85"/>
      <c r="BG133" s="85"/>
      <c r="BH133" s="85"/>
      <c r="BI133" s="85"/>
      <c r="BJ133" s="85"/>
      <c r="BK133" s="85"/>
      <c r="BL133" s="85"/>
      <c r="BM133" s="85"/>
      <c r="BN133" s="85"/>
      <c r="BO133" s="85"/>
      <c r="BP133" s="85"/>
      <c r="BQ133" s="85"/>
      <c r="BR133" s="85"/>
      <c r="BS133" s="85"/>
      <c r="BT133" s="85"/>
      <c r="BU133" s="85"/>
      <c r="BV133" s="85"/>
      <c r="BW133" s="85"/>
      <c r="BX133" s="85"/>
      <c r="BY133" s="85"/>
      <c r="BZ133" s="85"/>
      <c r="CA133" s="85"/>
      <c r="CB133" s="85"/>
      <c r="CC133" s="85"/>
      <c r="CD133" s="85"/>
      <c r="CE133" s="85"/>
      <c r="CF133" s="85"/>
      <c r="CG133" s="85"/>
      <c r="CH133" s="85"/>
      <c r="CI133" s="85"/>
      <c r="CJ133" s="85"/>
      <c r="CK133" s="85"/>
      <c r="CL133" s="85"/>
      <c r="CM133" s="85"/>
      <c r="CN133" s="79"/>
      <c r="CO133" s="79"/>
    </row>
    <row r="134" spans="2:93" s="69" customFormat="1" ht="15" customHeight="1">
      <c r="C134" s="13" t="s">
        <v>275</v>
      </c>
      <c r="D134" s="463">
        <v>0</v>
      </c>
      <c r="E134" s="138">
        <v>0</v>
      </c>
      <c r="F134" s="138" t="s">
        <v>42</v>
      </c>
      <c r="G134" s="2561" t="s">
        <v>395</v>
      </c>
      <c r="H134" s="118">
        <f t="shared" si="58"/>
        <v>0</v>
      </c>
      <c r="I134" s="118">
        <f t="shared" si="59"/>
        <v>0</v>
      </c>
      <c r="J134" s="140">
        <v>0</v>
      </c>
      <c r="K134" s="118">
        <f t="shared" ca="1" si="60"/>
        <v>0</v>
      </c>
      <c r="L134" s="118">
        <f t="shared" ca="1" si="61"/>
        <v>0</v>
      </c>
      <c r="M134" s="2310"/>
      <c r="N134" s="2311"/>
      <c r="O134" s="2311"/>
      <c r="P134" s="2311"/>
      <c r="R134" s="1181"/>
      <c r="S134" s="197"/>
      <c r="T134" s="1295">
        <f t="shared" si="54"/>
        <v>125</v>
      </c>
      <c r="U134" s="1295">
        <f t="shared" si="55"/>
        <v>2158</v>
      </c>
      <c r="V134" s="1308">
        <f t="shared" si="56"/>
        <v>4164402.488926922</v>
      </c>
      <c r="W134" s="1308">
        <f t="shared" si="57"/>
        <v>988408.3021703742</v>
      </c>
      <c r="X134" s="1310"/>
      <c r="Y134" s="197"/>
      <c r="Z134" s="197"/>
      <c r="AA134" s="1311"/>
      <c r="AB134" s="1311"/>
      <c r="AC134" s="197"/>
      <c r="AD134" s="197"/>
      <c r="AE134" s="197"/>
      <c r="AF134" s="1313"/>
      <c r="AG134" s="1256"/>
      <c r="AH134" s="1256"/>
      <c r="AI134" s="1256"/>
      <c r="AJ134" s="85"/>
      <c r="AK134" s="85"/>
      <c r="AL134" s="85"/>
      <c r="AM134" s="85"/>
      <c r="AN134" s="85"/>
      <c r="AO134" s="85"/>
      <c r="AP134" s="85"/>
      <c r="AQ134" s="85"/>
      <c r="AR134" s="85"/>
      <c r="AS134" s="85"/>
      <c r="AT134" s="85"/>
      <c r="AU134" s="85"/>
      <c r="AV134" s="85"/>
      <c r="AW134" s="85"/>
      <c r="AX134" s="85"/>
      <c r="AY134" s="85"/>
      <c r="AZ134" s="85"/>
      <c r="BA134" s="85"/>
      <c r="BB134" s="85"/>
      <c r="BC134" s="85"/>
      <c r="BD134" s="85"/>
      <c r="BE134" s="85"/>
      <c r="BF134" s="85"/>
      <c r="BG134" s="85"/>
      <c r="BH134" s="85"/>
      <c r="BI134" s="85"/>
      <c r="BJ134" s="85"/>
      <c r="BK134" s="85"/>
      <c r="BL134" s="85"/>
      <c r="BM134" s="85"/>
      <c r="BN134" s="85"/>
      <c r="BO134" s="85"/>
      <c r="BP134" s="85"/>
      <c r="BQ134" s="85"/>
      <c r="BR134" s="85"/>
      <c r="BS134" s="85"/>
      <c r="BT134" s="85"/>
      <c r="BU134" s="85"/>
      <c r="BV134" s="85"/>
      <c r="BW134" s="85"/>
      <c r="BX134" s="85"/>
      <c r="BY134" s="85"/>
      <c r="BZ134" s="85"/>
      <c r="CA134" s="85"/>
      <c r="CB134" s="85"/>
      <c r="CC134" s="85"/>
      <c r="CD134" s="85"/>
      <c r="CE134" s="85"/>
      <c r="CF134" s="85"/>
      <c r="CG134" s="85"/>
      <c r="CH134" s="85"/>
      <c r="CI134" s="85"/>
      <c r="CJ134" s="85"/>
      <c r="CK134" s="85"/>
      <c r="CL134" s="85"/>
      <c r="CM134" s="85"/>
      <c r="CN134" s="79"/>
      <c r="CO134" s="79"/>
    </row>
    <row r="135" spans="2:93" s="69" customFormat="1" ht="15" customHeight="1">
      <c r="C135" s="466" t="s">
        <v>12</v>
      </c>
      <c r="D135" s="464">
        <v>0</v>
      </c>
      <c r="E135" s="144">
        <v>0</v>
      </c>
      <c r="F135" s="2565" t="s">
        <v>42</v>
      </c>
      <c r="G135" s="2562" t="s">
        <v>395</v>
      </c>
      <c r="H135" s="119">
        <f t="shared" si="58"/>
        <v>0</v>
      </c>
      <c r="I135" s="119">
        <f t="shared" si="59"/>
        <v>0</v>
      </c>
      <c r="J135" s="145">
        <v>0</v>
      </c>
      <c r="K135" s="119">
        <f t="shared" ca="1" si="60"/>
        <v>0</v>
      </c>
      <c r="L135" s="119">
        <f t="shared" ca="1" si="61"/>
        <v>0</v>
      </c>
      <c r="M135" s="2312"/>
      <c r="N135" s="2313"/>
      <c r="O135" s="2313"/>
      <c r="P135" s="2313"/>
      <c r="R135" s="1181"/>
      <c r="S135" s="197"/>
      <c r="T135" s="1295"/>
      <c r="U135" s="1295"/>
      <c r="V135" s="1308"/>
      <c r="W135" s="1308"/>
      <c r="X135" s="1310"/>
      <c r="Y135" s="197"/>
      <c r="Z135" s="197"/>
      <c r="AA135" s="1311"/>
      <c r="AB135" s="1311"/>
      <c r="AC135" s="197"/>
      <c r="AD135" s="197"/>
      <c r="AE135" s="197"/>
      <c r="AF135" s="1313"/>
      <c r="AG135" s="1256"/>
      <c r="AH135" s="1256"/>
      <c r="AI135" s="1256"/>
      <c r="AJ135" s="85"/>
      <c r="AK135" s="85"/>
      <c r="AL135" s="85"/>
      <c r="AM135" s="85"/>
      <c r="AN135" s="85"/>
      <c r="AO135" s="85"/>
      <c r="AP135" s="85"/>
      <c r="AQ135" s="85"/>
      <c r="AR135" s="85"/>
      <c r="AS135" s="85"/>
      <c r="AT135" s="85"/>
      <c r="AU135" s="85"/>
      <c r="AV135" s="85"/>
      <c r="AW135" s="85"/>
      <c r="AX135" s="85"/>
      <c r="AY135" s="85"/>
      <c r="AZ135" s="85"/>
      <c r="BA135" s="85"/>
      <c r="BB135" s="85"/>
      <c r="BC135" s="85"/>
      <c r="BD135" s="85"/>
      <c r="BE135" s="85"/>
      <c r="BF135" s="85"/>
      <c r="BG135" s="85"/>
      <c r="BH135" s="85"/>
      <c r="BI135" s="85"/>
      <c r="BJ135" s="85"/>
      <c r="BK135" s="85"/>
      <c r="BL135" s="85"/>
      <c r="BM135" s="85"/>
      <c r="BN135" s="85"/>
      <c r="BO135" s="85"/>
      <c r="BP135" s="85"/>
      <c r="BQ135" s="85"/>
      <c r="BR135" s="85"/>
      <c r="BS135" s="85"/>
      <c r="BT135" s="85"/>
      <c r="BU135" s="85"/>
      <c r="BV135" s="85"/>
      <c r="BW135" s="85"/>
      <c r="BX135" s="85"/>
      <c r="BY135" s="85"/>
      <c r="BZ135" s="85"/>
      <c r="CA135" s="85"/>
      <c r="CB135" s="85"/>
      <c r="CC135" s="85"/>
      <c r="CD135" s="85"/>
      <c r="CE135" s="85"/>
      <c r="CF135" s="85"/>
      <c r="CG135" s="85"/>
      <c r="CH135" s="85"/>
      <c r="CI135" s="85"/>
      <c r="CJ135" s="85"/>
      <c r="CK135" s="85"/>
      <c r="CL135" s="85"/>
      <c r="CM135" s="85"/>
      <c r="CN135" s="79"/>
      <c r="CO135" s="79"/>
    </row>
    <row r="136" spans="2:93" s="69" customFormat="1" ht="15" customHeight="1">
      <c r="C136" s="13" t="s">
        <v>12</v>
      </c>
      <c r="D136" s="463">
        <v>0</v>
      </c>
      <c r="E136" s="138">
        <v>0</v>
      </c>
      <c r="F136" s="2559" t="s">
        <v>42</v>
      </c>
      <c r="G136" s="142" t="s">
        <v>395</v>
      </c>
      <c r="H136" s="118">
        <f t="shared" si="58"/>
        <v>0</v>
      </c>
      <c r="I136" s="118">
        <f t="shared" si="59"/>
        <v>0</v>
      </c>
      <c r="J136" s="140">
        <v>0</v>
      </c>
      <c r="K136" s="118">
        <f t="shared" ca="1" si="60"/>
        <v>0</v>
      </c>
      <c r="L136" s="118">
        <f t="shared" ca="1" si="61"/>
        <v>0</v>
      </c>
      <c r="M136" s="2310"/>
      <c r="N136" s="2311"/>
      <c r="O136" s="2311"/>
      <c r="P136" s="2311"/>
      <c r="R136" s="1181"/>
      <c r="S136" s="197"/>
      <c r="T136" s="1295"/>
      <c r="U136" s="1295"/>
      <c r="V136" s="1308"/>
      <c r="W136" s="1308"/>
      <c r="X136" s="1310"/>
      <c r="Y136" s="197"/>
      <c r="Z136" s="197"/>
      <c r="AA136" s="1311">
        <f t="shared" si="48"/>
        <v>0</v>
      </c>
      <c r="AB136" s="1311">
        <f t="shared" ca="1" si="49"/>
        <v>0</v>
      </c>
      <c r="AC136" s="197"/>
      <c r="AD136" s="197"/>
      <c r="AE136" s="197"/>
      <c r="AF136" s="1313"/>
      <c r="AG136" s="1256"/>
      <c r="AH136" s="1256"/>
      <c r="AI136" s="1256"/>
      <c r="AJ136" s="85"/>
      <c r="AK136" s="85"/>
      <c r="AL136" s="85"/>
      <c r="AM136" s="85"/>
      <c r="AN136" s="85"/>
      <c r="AO136" s="85"/>
      <c r="AP136" s="85"/>
      <c r="AQ136" s="85"/>
      <c r="AR136" s="85"/>
      <c r="AS136" s="85"/>
      <c r="AT136" s="85"/>
      <c r="AU136" s="85"/>
      <c r="AV136" s="85"/>
      <c r="AW136" s="85"/>
      <c r="AX136" s="85"/>
      <c r="AY136" s="85"/>
      <c r="AZ136" s="85"/>
      <c r="BA136" s="85"/>
      <c r="BB136" s="85"/>
      <c r="BC136" s="85"/>
      <c r="BD136" s="85"/>
      <c r="BE136" s="85"/>
      <c r="BF136" s="85"/>
      <c r="BG136" s="85"/>
      <c r="BH136" s="85"/>
      <c r="BI136" s="85"/>
      <c r="BJ136" s="85"/>
      <c r="BK136" s="85"/>
      <c r="BL136" s="85"/>
      <c r="BM136" s="85"/>
      <c r="BN136" s="85"/>
      <c r="BO136" s="85"/>
      <c r="BP136" s="85"/>
      <c r="BQ136" s="85"/>
      <c r="BR136" s="85"/>
      <c r="BS136" s="85"/>
      <c r="BT136" s="85"/>
      <c r="BU136" s="85"/>
      <c r="BV136" s="85"/>
      <c r="BW136" s="85"/>
      <c r="BX136" s="85"/>
      <c r="BY136" s="85"/>
      <c r="BZ136" s="85"/>
      <c r="CA136" s="85"/>
      <c r="CB136" s="85"/>
      <c r="CC136" s="85"/>
      <c r="CD136" s="85"/>
      <c r="CE136" s="85"/>
      <c r="CF136" s="85"/>
      <c r="CG136" s="85"/>
      <c r="CH136" s="85"/>
      <c r="CI136" s="85"/>
      <c r="CJ136" s="85"/>
      <c r="CK136" s="85"/>
      <c r="CL136" s="85"/>
      <c r="CM136" s="85"/>
      <c r="CN136" s="79"/>
      <c r="CO136" s="79"/>
    </row>
    <row r="137" spans="2:93" s="69" customFormat="1" ht="15" customHeight="1">
      <c r="C137" s="1476" t="s">
        <v>12</v>
      </c>
      <c r="D137" s="464">
        <v>0</v>
      </c>
      <c r="E137" s="144">
        <v>0</v>
      </c>
      <c r="F137" s="2565" t="s">
        <v>42</v>
      </c>
      <c r="G137" s="146" t="s">
        <v>395</v>
      </c>
      <c r="H137" s="119">
        <f t="shared" si="58"/>
        <v>0</v>
      </c>
      <c r="I137" s="119">
        <f t="shared" si="59"/>
        <v>0</v>
      </c>
      <c r="J137" s="145">
        <v>0</v>
      </c>
      <c r="K137" s="119">
        <f t="shared" ca="1" si="60"/>
        <v>0</v>
      </c>
      <c r="L137" s="119">
        <f t="shared" ca="1" si="61"/>
        <v>0</v>
      </c>
      <c r="M137" s="2312"/>
      <c r="N137" s="2313"/>
      <c r="O137" s="2313"/>
      <c r="P137" s="2313"/>
      <c r="R137" s="1181"/>
      <c r="S137" s="197"/>
      <c r="T137" s="1295"/>
      <c r="U137" s="1295"/>
      <c r="V137" s="1308"/>
      <c r="W137" s="1308"/>
      <c r="X137" s="1310"/>
      <c r="Y137" s="197"/>
      <c r="Z137" s="197"/>
      <c r="AA137" s="1311"/>
      <c r="AB137" s="1311"/>
      <c r="AC137" s="197"/>
      <c r="AD137" s="197"/>
      <c r="AE137" s="197"/>
      <c r="AF137" s="1313"/>
      <c r="AG137" s="1256"/>
      <c r="AH137" s="1256"/>
      <c r="AI137" s="1256"/>
      <c r="AJ137" s="85"/>
      <c r="AK137" s="85"/>
      <c r="AL137" s="85"/>
      <c r="AM137" s="85"/>
      <c r="AN137" s="85"/>
      <c r="AO137" s="85"/>
      <c r="AP137" s="85"/>
      <c r="AQ137" s="85"/>
      <c r="AR137" s="85"/>
      <c r="AS137" s="85"/>
      <c r="AT137" s="85"/>
      <c r="AU137" s="85"/>
      <c r="AV137" s="85"/>
      <c r="AW137" s="85"/>
      <c r="AX137" s="85"/>
      <c r="AY137" s="85"/>
      <c r="AZ137" s="85"/>
      <c r="BA137" s="85"/>
      <c r="BB137" s="85"/>
      <c r="BC137" s="85"/>
      <c r="BD137" s="85"/>
      <c r="BE137" s="85"/>
      <c r="BF137" s="85"/>
      <c r="BG137" s="85"/>
      <c r="BH137" s="85"/>
      <c r="BI137" s="85"/>
      <c r="BJ137" s="85"/>
      <c r="BK137" s="85"/>
      <c r="BL137" s="85"/>
      <c r="BM137" s="85"/>
      <c r="BN137" s="85"/>
      <c r="BO137" s="85"/>
      <c r="BP137" s="85"/>
      <c r="BQ137" s="85"/>
      <c r="BR137" s="85"/>
      <c r="BS137" s="85"/>
      <c r="BT137" s="85"/>
      <c r="BU137" s="85"/>
      <c r="BV137" s="85"/>
      <c r="BW137" s="85"/>
      <c r="BX137" s="85"/>
      <c r="BY137" s="85"/>
      <c r="BZ137" s="85"/>
      <c r="CA137" s="85"/>
      <c r="CB137" s="85"/>
      <c r="CC137" s="85"/>
      <c r="CD137" s="85"/>
      <c r="CE137" s="85"/>
      <c r="CF137" s="85"/>
      <c r="CG137" s="85"/>
      <c r="CH137" s="85"/>
      <c r="CI137" s="85"/>
      <c r="CJ137" s="85"/>
      <c r="CK137" s="85"/>
      <c r="CL137" s="85"/>
      <c r="CM137" s="85"/>
      <c r="CN137" s="79"/>
      <c r="CO137" s="79"/>
    </row>
    <row r="138" spans="2:93" s="69" customFormat="1" ht="15" customHeight="1">
      <c r="C138" s="468" t="s">
        <v>12</v>
      </c>
      <c r="D138" s="463">
        <v>0</v>
      </c>
      <c r="E138" s="138">
        <v>0</v>
      </c>
      <c r="F138" s="138" t="s">
        <v>42</v>
      </c>
      <c r="G138" s="2561" t="s">
        <v>395</v>
      </c>
      <c r="H138" s="118">
        <f t="shared" si="58"/>
        <v>0</v>
      </c>
      <c r="I138" s="118">
        <f t="shared" si="59"/>
        <v>0</v>
      </c>
      <c r="J138" s="140">
        <v>0</v>
      </c>
      <c r="K138" s="118">
        <f t="shared" ca="1" si="60"/>
        <v>0</v>
      </c>
      <c r="L138" s="118">
        <f t="shared" ca="1" si="61"/>
        <v>0</v>
      </c>
      <c r="M138" s="2310"/>
      <c r="N138" s="2311"/>
      <c r="O138" s="2311"/>
      <c r="P138" s="2311"/>
      <c r="R138" s="1181"/>
      <c r="S138" s="197"/>
      <c r="T138" s="1295"/>
      <c r="U138" s="1295"/>
      <c r="V138" s="1308"/>
      <c r="W138" s="1308"/>
      <c r="X138" s="1310"/>
      <c r="Y138" s="197"/>
      <c r="Z138" s="197"/>
      <c r="AA138" s="1311"/>
      <c r="AB138" s="1311"/>
      <c r="AC138" s="197"/>
      <c r="AD138" s="197"/>
      <c r="AE138" s="197"/>
      <c r="AF138" s="1313"/>
      <c r="AG138" s="1256"/>
      <c r="AH138" s="1256"/>
      <c r="AI138" s="1256"/>
      <c r="AJ138" s="85"/>
      <c r="AK138" s="85"/>
      <c r="AL138" s="85"/>
      <c r="AM138" s="85"/>
      <c r="AN138" s="85"/>
      <c r="AO138" s="85"/>
      <c r="AP138" s="85"/>
      <c r="AQ138" s="85"/>
      <c r="AR138" s="85"/>
      <c r="AS138" s="85"/>
      <c r="AT138" s="85"/>
      <c r="AU138" s="85"/>
      <c r="AV138" s="85"/>
      <c r="AW138" s="85"/>
      <c r="AX138" s="85"/>
      <c r="AY138" s="85"/>
      <c r="AZ138" s="85"/>
      <c r="BA138" s="85"/>
      <c r="BB138" s="85"/>
      <c r="BC138" s="85"/>
      <c r="BD138" s="85"/>
      <c r="BE138" s="85"/>
      <c r="BF138" s="85"/>
      <c r="BG138" s="85"/>
      <c r="BH138" s="85"/>
      <c r="BI138" s="85"/>
      <c r="BJ138" s="85"/>
      <c r="BK138" s="85"/>
      <c r="BL138" s="85"/>
      <c r="BM138" s="85"/>
      <c r="BN138" s="85"/>
      <c r="BO138" s="85"/>
      <c r="BP138" s="85"/>
      <c r="BQ138" s="85"/>
      <c r="BR138" s="85"/>
      <c r="BS138" s="85"/>
      <c r="BT138" s="85"/>
      <c r="BU138" s="85"/>
      <c r="BV138" s="85"/>
      <c r="BW138" s="85"/>
      <c r="BX138" s="85"/>
      <c r="BY138" s="85"/>
      <c r="BZ138" s="85"/>
      <c r="CA138" s="85"/>
      <c r="CB138" s="85"/>
      <c r="CC138" s="85"/>
      <c r="CD138" s="85"/>
      <c r="CE138" s="85"/>
      <c r="CF138" s="85"/>
      <c r="CG138" s="85"/>
      <c r="CH138" s="85"/>
      <c r="CI138" s="85"/>
      <c r="CJ138" s="85"/>
      <c r="CK138" s="85"/>
      <c r="CL138" s="85"/>
      <c r="CM138" s="85"/>
      <c r="CN138" s="79"/>
      <c r="CO138" s="79"/>
    </row>
    <row r="139" spans="2:93" s="69" customFormat="1" ht="15" customHeight="1">
      <c r="C139" s="153" t="s">
        <v>12</v>
      </c>
      <c r="D139" s="465">
        <v>0</v>
      </c>
      <c r="E139" s="154">
        <v>0</v>
      </c>
      <c r="F139" s="154" t="s">
        <v>42</v>
      </c>
      <c r="G139" s="2566" t="s">
        <v>395</v>
      </c>
      <c r="H139" s="254">
        <f t="shared" si="58"/>
        <v>0</v>
      </c>
      <c r="I139" s="156">
        <f t="shared" si="59"/>
        <v>0</v>
      </c>
      <c r="J139" s="155">
        <v>0</v>
      </c>
      <c r="K139" s="156">
        <f t="shared" ca="1" si="60"/>
        <v>0</v>
      </c>
      <c r="L139" s="156">
        <f t="shared" ca="1" si="61"/>
        <v>0</v>
      </c>
      <c r="M139" s="2308"/>
      <c r="N139" s="2309"/>
      <c r="O139" s="2309"/>
      <c r="P139" s="2309"/>
      <c r="R139" s="1181"/>
      <c r="S139" s="197"/>
      <c r="T139" s="1295"/>
      <c r="U139" s="1295"/>
      <c r="V139" s="1308"/>
      <c r="W139" s="1308"/>
      <c r="X139" s="1310"/>
      <c r="Y139" s="197"/>
      <c r="Z139" s="197"/>
      <c r="AA139" s="1311">
        <f t="shared" ref="AA139:AA164" si="62">IF(G139="Optional",L139,0)</f>
        <v>0</v>
      </c>
      <c r="AB139" s="1311">
        <f t="shared" ref="AB139:AB164" ca="1" si="63">IF(G139="Required",L139,0)</f>
        <v>0</v>
      </c>
      <c r="AC139" s="197"/>
      <c r="AD139" s="197"/>
      <c r="AE139" s="197"/>
      <c r="AF139" s="1313"/>
      <c r="AG139" s="1256"/>
      <c r="AH139" s="1256"/>
      <c r="AI139" s="1256"/>
      <c r="AJ139" s="85"/>
      <c r="AK139" s="85"/>
      <c r="AL139" s="85"/>
      <c r="AM139" s="85"/>
      <c r="AN139" s="85"/>
      <c r="AO139" s="85"/>
      <c r="AP139" s="85"/>
      <c r="AQ139" s="85"/>
      <c r="AR139" s="85"/>
      <c r="AS139" s="85"/>
      <c r="AT139" s="85"/>
      <c r="AU139" s="85"/>
      <c r="AV139" s="85"/>
      <c r="AW139" s="85"/>
      <c r="AX139" s="85"/>
      <c r="AY139" s="85"/>
      <c r="AZ139" s="85"/>
      <c r="BA139" s="85"/>
      <c r="BB139" s="85"/>
      <c r="BC139" s="85"/>
      <c r="BD139" s="85"/>
      <c r="BE139" s="85"/>
      <c r="BF139" s="85"/>
      <c r="BG139" s="85"/>
      <c r="BH139" s="85"/>
      <c r="BI139" s="85"/>
      <c r="BJ139" s="85"/>
      <c r="BK139" s="85"/>
      <c r="BL139" s="85"/>
      <c r="BM139" s="85"/>
      <c r="BN139" s="85"/>
      <c r="BO139" s="85"/>
      <c r="BP139" s="85"/>
      <c r="BQ139" s="85"/>
      <c r="BR139" s="85"/>
      <c r="BS139" s="85"/>
      <c r="BT139" s="85"/>
      <c r="BU139" s="85"/>
      <c r="BV139" s="85"/>
      <c r="BW139" s="85"/>
      <c r="BX139" s="85"/>
      <c r="BY139" s="85"/>
      <c r="BZ139" s="85"/>
      <c r="CA139" s="85"/>
      <c r="CB139" s="85"/>
      <c r="CC139" s="85"/>
      <c r="CD139" s="85"/>
      <c r="CE139" s="85"/>
      <c r="CF139" s="85"/>
      <c r="CG139" s="85"/>
      <c r="CH139" s="85"/>
      <c r="CI139" s="85"/>
      <c r="CJ139" s="85"/>
      <c r="CK139" s="85"/>
      <c r="CL139" s="85"/>
      <c r="CM139" s="85"/>
      <c r="CN139" s="79"/>
      <c r="CO139" s="79"/>
    </row>
    <row r="140" spans="2:93" s="69" customFormat="1" ht="25" customHeight="1">
      <c r="C140" s="135"/>
      <c r="D140" s="70"/>
      <c r="E140" s="150"/>
      <c r="F140" s="150"/>
      <c r="G140" s="157"/>
      <c r="H140" s="123">
        <f>SUM(H128:H139)</f>
        <v>0</v>
      </c>
      <c r="I140" s="123">
        <f>SUM(I128:I139)</f>
        <v>0</v>
      </c>
      <c r="J140" s="157"/>
      <c r="K140" s="123">
        <f ca="1">SUM(K128:K139)</f>
        <v>0</v>
      </c>
      <c r="L140" s="123">
        <f ca="1">SUM(L128:L139)</f>
        <v>0</v>
      </c>
      <c r="M140" s="2050"/>
      <c r="N140" s="2050"/>
      <c r="O140" s="2050"/>
      <c r="P140" s="2050"/>
      <c r="R140" s="1181"/>
      <c r="S140" s="197"/>
      <c r="T140" s="1295"/>
      <c r="U140" s="1295"/>
      <c r="V140" s="1308"/>
      <c r="W140" s="1308"/>
      <c r="X140" s="1310"/>
      <c r="Y140" s="197"/>
      <c r="Z140" s="197"/>
      <c r="AA140" s="1311">
        <f t="shared" si="62"/>
        <v>0</v>
      </c>
      <c r="AB140" s="1311">
        <f t="shared" si="63"/>
        <v>0</v>
      </c>
      <c r="AC140" s="197"/>
      <c r="AD140" s="197"/>
      <c r="AE140" s="197"/>
      <c r="AF140" s="1313"/>
      <c r="AG140" s="1256"/>
      <c r="AH140" s="1256"/>
      <c r="AI140" s="1256"/>
      <c r="AJ140" s="85"/>
      <c r="AK140" s="85"/>
      <c r="AL140" s="85"/>
      <c r="AM140" s="85"/>
      <c r="AN140" s="85"/>
      <c r="AO140" s="85"/>
      <c r="AP140" s="85"/>
      <c r="AQ140" s="85"/>
      <c r="AR140" s="85"/>
      <c r="AS140" s="85"/>
      <c r="AT140" s="85"/>
      <c r="AU140" s="85"/>
      <c r="AV140" s="85"/>
      <c r="AW140" s="85"/>
      <c r="AX140" s="85"/>
      <c r="AY140" s="85"/>
      <c r="AZ140" s="85"/>
      <c r="BA140" s="85"/>
      <c r="BB140" s="85"/>
      <c r="BC140" s="85"/>
      <c r="BD140" s="85"/>
      <c r="BE140" s="85"/>
      <c r="BF140" s="85"/>
      <c r="BG140" s="85"/>
      <c r="BH140" s="85"/>
      <c r="BI140" s="85"/>
      <c r="BJ140" s="85"/>
      <c r="BK140" s="85"/>
      <c r="BL140" s="85"/>
      <c r="BM140" s="85"/>
      <c r="BN140" s="85"/>
      <c r="BO140" s="85"/>
      <c r="BP140" s="85"/>
      <c r="BQ140" s="85"/>
      <c r="BR140" s="85"/>
      <c r="BS140" s="85"/>
      <c r="BT140" s="85"/>
      <c r="BU140" s="85"/>
      <c r="BV140" s="85"/>
      <c r="BW140" s="85"/>
      <c r="BX140" s="85"/>
      <c r="BY140" s="85"/>
      <c r="BZ140" s="85"/>
      <c r="CA140" s="85"/>
      <c r="CB140" s="85"/>
      <c r="CC140" s="85"/>
      <c r="CD140" s="85"/>
      <c r="CE140" s="85"/>
      <c r="CF140" s="85"/>
      <c r="CG140" s="85"/>
      <c r="CH140" s="85"/>
      <c r="CI140" s="85"/>
      <c r="CJ140" s="85"/>
      <c r="CK140" s="85"/>
      <c r="CL140" s="85"/>
      <c r="CM140" s="85"/>
      <c r="CN140" s="79"/>
      <c r="CO140" s="79"/>
    </row>
    <row r="141" spans="2:93" s="69" customFormat="1" ht="18" customHeight="1">
      <c r="B141" s="2556" t="s">
        <v>51</v>
      </c>
      <c r="C141" s="2324"/>
      <c r="D141" s="115"/>
      <c r="E141" s="114"/>
      <c r="F141" s="114"/>
      <c r="G141" s="115"/>
      <c r="H141" s="192"/>
      <c r="I141" s="192"/>
      <c r="J141" s="115"/>
      <c r="K141" s="192"/>
      <c r="L141" s="192"/>
      <c r="M141" s="2051"/>
      <c r="N141" s="2051"/>
      <c r="O141" s="2051"/>
      <c r="P141" s="2051"/>
      <c r="R141" s="1181"/>
      <c r="S141" s="197"/>
      <c r="T141" s="1295"/>
      <c r="U141" s="1295"/>
      <c r="V141" s="1308"/>
      <c r="W141" s="1308"/>
      <c r="X141" s="1310"/>
      <c r="Y141" s="197"/>
      <c r="Z141" s="197"/>
      <c r="AA141" s="1311">
        <f t="shared" si="62"/>
        <v>0</v>
      </c>
      <c r="AB141" s="1311">
        <f t="shared" si="63"/>
        <v>0</v>
      </c>
      <c r="AC141" s="197"/>
      <c r="AD141" s="197"/>
      <c r="AE141" s="197"/>
      <c r="AF141" s="1313"/>
      <c r="AG141" s="1256"/>
      <c r="AH141" s="1256"/>
      <c r="AI141" s="1256"/>
      <c r="AJ141" s="85"/>
      <c r="AK141" s="85"/>
      <c r="AL141" s="85"/>
      <c r="AM141" s="85"/>
      <c r="AN141" s="85"/>
      <c r="AO141" s="85"/>
      <c r="AP141" s="85"/>
      <c r="AQ141" s="85"/>
      <c r="AR141" s="85"/>
      <c r="AS141" s="85"/>
      <c r="AT141" s="85"/>
      <c r="AU141" s="85"/>
      <c r="AV141" s="85"/>
      <c r="AW141" s="85"/>
      <c r="AX141" s="85"/>
      <c r="AY141" s="85"/>
      <c r="AZ141" s="85"/>
      <c r="BA141" s="85"/>
      <c r="BB141" s="85"/>
      <c r="BC141" s="85"/>
      <c r="BD141" s="85"/>
      <c r="BE141" s="85"/>
      <c r="BF141" s="85"/>
      <c r="BG141" s="85"/>
      <c r="BH141" s="85"/>
      <c r="BI141" s="85"/>
      <c r="BJ141" s="85"/>
      <c r="BK141" s="85"/>
      <c r="BL141" s="85"/>
      <c r="BM141" s="85"/>
      <c r="BN141" s="85"/>
      <c r="BO141" s="85"/>
      <c r="BP141" s="85"/>
      <c r="BQ141" s="85"/>
      <c r="BR141" s="85"/>
      <c r="BS141" s="85"/>
      <c r="BT141" s="85"/>
      <c r="BU141" s="85"/>
      <c r="BV141" s="85"/>
      <c r="BW141" s="85"/>
      <c r="BX141" s="85"/>
      <c r="BY141" s="85"/>
      <c r="BZ141" s="85"/>
      <c r="CA141" s="85"/>
      <c r="CB141" s="85"/>
      <c r="CC141" s="85"/>
      <c r="CD141" s="85"/>
      <c r="CE141" s="85"/>
      <c r="CF141" s="85"/>
      <c r="CG141" s="85"/>
      <c r="CH141" s="85"/>
      <c r="CI141" s="85"/>
      <c r="CJ141" s="85"/>
      <c r="CK141" s="85"/>
      <c r="CL141" s="85"/>
      <c r="CM141" s="85"/>
      <c r="CN141" s="79"/>
      <c r="CO141" s="79"/>
    </row>
    <row r="142" spans="2:93" s="69" customFormat="1" ht="18" customHeight="1">
      <c r="C142" s="1477" t="s">
        <v>12</v>
      </c>
      <c r="D142" s="463">
        <v>0</v>
      </c>
      <c r="E142" s="138">
        <v>0</v>
      </c>
      <c r="F142" s="138" t="s">
        <v>42</v>
      </c>
      <c r="G142" s="142" t="s">
        <v>395</v>
      </c>
      <c r="H142" s="184">
        <f t="shared" ref="H142:H153" si="64">IF(ISNUMBER(I142),I142/12,0)</f>
        <v>0</v>
      </c>
      <c r="I142" s="118">
        <f t="shared" ref="I142:I153" si="65">IF(ISNUMBER(E142),IF(E142&gt;0,D142*E142,0),"")</f>
        <v>0</v>
      </c>
      <c r="J142" s="140">
        <v>0</v>
      </c>
      <c r="K142" s="118">
        <f t="shared" ref="K142:K153" ca="1" si="66">IF(ISNUMBER(L142),L142/12,"")</f>
        <v>0</v>
      </c>
      <c r="L142" s="118">
        <f t="shared" ref="L142:L153" ca="1" si="67">IF(ISNUMBER(I142),IF(F142="Y",FV($N$5,$O$5,0,I142*-1)+(J142*12),I142+(J142*12)),"")</f>
        <v>0</v>
      </c>
      <c r="M142" s="2310"/>
      <c r="N142" s="2311"/>
      <c r="O142" s="2311"/>
      <c r="P142" s="2311"/>
      <c r="R142" s="1181"/>
      <c r="S142" s="197"/>
      <c r="T142" s="1295"/>
      <c r="U142" s="1295"/>
      <c r="V142" s="1308"/>
      <c r="W142" s="1308"/>
      <c r="X142" s="1310"/>
      <c r="Y142" s="197"/>
      <c r="Z142" s="197"/>
      <c r="AA142" s="1311">
        <f t="shared" si="62"/>
        <v>0</v>
      </c>
      <c r="AB142" s="1311">
        <f t="shared" ca="1" si="63"/>
        <v>0</v>
      </c>
      <c r="AC142" s="197"/>
      <c r="AD142" s="197"/>
      <c r="AE142" s="197"/>
      <c r="AF142" s="1313"/>
      <c r="AG142" s="1256"/>
      <c r="AH142" s="1256"/>
      <c r="AI142" s="1256"/>
      <c r="AJ142" s="85"/>
      <c r="AK142" s="85"/>
      <c r="AL142" s="85"/>
      <c r="AM142" s="85"/>
      <c r="AN142" s="85"/>
      <c r="AO142" s="85"/>
      <c r="AP142" s="85"/>
      <c r="AQ142" s="85"/>
      <c r="AR142" s="85"/>
      <c r="AS142" s="85"/>
      <c r="AT142" s="85"/>
      <c r="AU142" s="85"/>
      <c r="AV142" s="85"/>
      <c r="AW142" s="85"/>
      <c r="AX142" s="85"/>
      <c r="AY142" s="85"/>
      <c r="AZ142" s="85"/>
      <c r="BA142" s="85"/>
      <c r="BB142" s="85"/>
      <c r="BC142" s="85"/>
      <c r="BD142" s="85"/>
      <c r="BE142" s="85"/>
      <c r="BF142" s="85"/>
      <c r="BG142" s="85"/>
      <c r="BH142" s="85"/>
      <c r="BI142" s="85"/>
      <c r="BJ142" s="85"/>
      <c r="BK142" s="85"/>
      <c r="BL142" s="85"/>
      <c r="BM142" s="85"/>
      <c r="BN142" s="85"/>
      <c r="BO142" s="85"/>
      <c r="BP142" s="85"/>
      <c r="BQ142" s="85"/>
      <c r="BR142" s="85"/>
      <c r="BS142" s="85"/>
      <c r="BT142" s="85"/>
      <c r="BU142" s="85"/>
      <c r="BV142" s="85"/>
      <c r="BW142" s="85"/>
      <c r="BX142" s="85"/>
      <c r="BY142" s="85"/>
      <c r="BZ142" s="85"/>
      <c r="CA142" s="85"/>
      <c r="CB142" s="85"/>
      <c r="CC142" s="85"/>
      <c r="CD142" s="85"/>
      <c r="CE142" s="85"/>
      <c r="CF142" s="85"/>
      <c r="CG142" s="85"/>
      <c r="CH142" s="85"/>
      <c r="CI142" s="85"/>
      <c r="CJ142" s="85"/>
      <c r="CK142" s="85"/>
      <c r="CL142" s="85"/>
      <c r="CM142" s="85"/>
      <c r="CN142" s="79"/>
      <c r="CO142" s="79"/>
    </row>
    <row r="143" spans="2:93" s="69" customFormat="1" ht="15" customHeight="1">
      <c r="C143" s="1476" t="s">
        <v>12</v>
      </c>
      <c r="D143" s="464">
        <v>0</v>
      </c>
      <c r="E143" s="144">
        <v>0</v>
      </c>
      <c r="F143" s="144" t="s">
        <v>42</v>
      </c>
      <c r="G143" s="146" t="s">
        <v>395</v>
      </c>
      <c r="H143" s="185">
        <f t="shared" si="64"/>
        <v>0</v>
      </c>
      <c r="I143" s="119">
        <f t="shared" si="65"/>
        <v>0</v>
      </c>
      <c r="J143" s="145">
        <v>0</v>
      </c>
      <c r="K143" s="119">
        <f t="shared" ca="1" si="66"/>
        <v>0</v>
      </c>
      <c r="L143" s="119">
        <f t="shared" ca="1" si="67"/>
        <v>0</v>
      </c>
      <c r="M143" s="2312"/>
      <c r="N143" s="2313"/>
      <c r="O143" s="2313"/>
      <c r="P143" s="2313"/>
      <c r="R143" s="1181"/>
      <c r="S143" s="197"/>
      <c r="T143" s="1295"/>
      <c r="U143" s="1295"/>
      <c r="V143" s="1308"/>
      <c r="W143" s="1308"/>
      <c r="X143" s="1310"/>
      <c r="Y143" s="197"/>
      <c r="Z143" s="197"/>
      <c r="AA143" s="1311">
        <f t="shared" si="62"/>
        <v>0</v>
      </c>
      <c r="AB143" s="1311">
        <f t="shared" ca="1" si="63"/>
        <v>0</v>
      </c>
      <c r="AC143" s="197"/>
      <c r="AD143" s="197"/>
      <c r="AE143" s="197"/>
      <c r="AF143" s="1313"/>
      <c r="AG143" s="1256"/>
      <c r="AH143" s="1256"/>
      <c r="AI143" s="1256"/>
      <c r="AJ143" s="85"/>
      <c r="AK143" s="85"/>
      <c r="AL143" s="85"/>
      <c r="AM143" s="85"/>
      <c r="AN143" s="85"/>
      <c r="AO143" s="85"/>
      <c r="AP143" s="85"/>
      <c r="AQ143" s="85"/>
      <c r="AR143" s="85"/>
      <c r="AS143" s="85"/>
      <c r="AT143" s="85"/>
      <c r="AU143" s="85"/>
      <c r="AV143" s="85"/>
      <c r="AW143" s="85"/>
      <c r="AX143" s="85"/>
      <c r="AY143" s="85"/>
      <c r="AZ143" s="85"/>
      <c r="BA143" s="85"/>
      <c r="BB143" s="85"/>
      <c r="BC143" s="85"/>
      <c r="BD143" s="85"/>
      <c r="BE143" s="85"/>
      <c r="BF143" s="85"/>
      <c r="BG143" s="85"/>
      <c r="BH143" s="85"/>
      <c r="BI143" s="85"/>
      <c r="BJ143" s="85"/>
      <c r="BK143" s="85"/>
      <c r="BL143" s="85"/>
      <c r="BM143" s="85"/>
      <c r="BN143" s="85"/>
      <c r="BO143" s="85"/>
      <c r="BP143" s="85"/>
      <c r="BQ143" s="85"/>
      <c r="BR143" s="85"/>
      <c r="BS143" s="85"/>
      <c r="BT143" s="85"/>
      <c r="BU143" s="85"/>
      <c r="BV143" s="85"/>
      <c r="BW143" s="85"/>
      <c r="BX143" s="85"/>
      <c r="BY143" s="85"/>
      <c r="BZ143" s="85"/>
      <c r="CA143" s="85"/>
      <c r="CB143" s="85"/>
      <c r="CC143" s="85"/>
      <c r="CD143" s="85"/>
      <c r="CE143" s="85"/>
      <c r="CF143" s="85"/>
      <c r="CG143" s="85"/>
      <c r="CH143" s="85"/>
      <c r="CI143" s="85"/>
      <c r="CJ143" s="85"/>
      <c r="CK143" s="85"/>
      <c r="CL143" s="85"/>
      <c r="CM143" s="85"/>
      <c r="CN143" s="79"/>
      <c r="CO143" s="79"/>
    </row>
    <row r="144" spans="2:93" s="69" customFormat="1" ht="15" customHeight="1">
      <c r="C144" s="13" t="s">
        <v>12</v>
      </c>
      <c r="D144" s="463">
        <v>0</v>
      </c>
      <c r="E144" s="138">
        <v>0</v>
      </c>
      <c r="F144" s="138" t="s">
        <v>42</v>
      </c>
      <c r="G144" s="142" t="s">
        <v>395</v>
      </c>
      <c r="H144" s="184">
        <f t="shared" si="64"/>
        <v>0</v>
      </c>
      <c r="I144" s="118">
        <f t="shared" si="65"/>
        <v>0</v>
      </c>
      <c r="J144" s="140">
        <v>0</v>
      </c>
      <c r="K144" s="118">
        <f t="shared" ca="1" si="66"/>
        <v>0</v>
      </c>
      <c r="L144" s="118">
        <f t="shared" ca="1" si="67"/>
        <v>0</v>
      </c>
      <c r="M144" s="2310"/>
      <c r="N144" s="2311"/>
      <c r="O144" s="2311"/>
      <c r="P144" s="2311"/>
      <c r="R144" s="1181"/>
      <c r="S144" s="197"/>
      <c r="T144" s="1295"/>
      <c r="U144" s="1295"/>
      <c r="V144" s="1308"/>
      <c r="W144" s="1308"/>
      <c r="X144" s="1310"/>
      <c r="Y144" s="197"/>
      <c r="Z144" s="197"/>
      <c r="AA144" s="1311">
        <f t="shared" si="62"/>
        <v>0</v>
      </c>
      <c r="AB144" s="1311">
        <f t="shared" ca="1" si="63"/>
        <v>0</v>
      </c>
      <c r="AC144" s="197"/>
      <c r="AD144" s="197"/>
      <c r="AE144" s="197"/>
      <c r="AF144" s="1313"/>
      <c r="AG144" s="1256"/>
      <c r="AH144" s="1256"/>
      <c r="AI144" s="1256"/>
      <c r="AJ144" s="85"/>
      <c r="AK144" s="85"/>
      <c r="AL144" s="85"/>
      <c r="AM144" s="85"/>
      <c r="AN144" s="85"/>
      <c r="AO144" s="85"/>
      <c r="AP144" s="85"/>
      <c r="AQ144" s="85"/>
      <c r="AR144" s="85"/>
      <c r="AS144" s="85"/>
      <c r="AT144" s="85"/>
      <c r="AU144" s="85"/>
      <c r="AV144" s="85"/>
      <c r="AW144" s="85"/>
      <c r="AX144" s="85"/>
      <c r="AY144" s="85"/>
      <c r="AZ144" s="85"/>
      <c r="BA144" s="85"/>
      <c r="BB144" s="85"/>
      <c r="BC144" s="85"/>
      <c r="BD144" s="85"/>
      <c r="BE144" s="85"/>
      <c r="BF144" s="85"/>
      <c r="BG144" s="85"/>
      <c r="BH144" s="85"/>
      <c r="BI144" s="85"/>
      <c r="BJ144" s="85"/>
      <c r="BK144" s="85"/>
      <c r="BL144" s="85"/>
      <c r="BM144" s="85"/>
      <c r="BN144" s="85"/>
      <c r="BO144" s="85"/>
      <c r="BP144" s="85"/>
      <c r="BQ144" s="85"/>
      <c r="BR144" s="85"/>
      <c r="BS144" s="85"/>
      <c r="BT144" s="85"/>
      <c r="BU144" s="85"/>
      <c r="BV144" s="85"/>
      <c r="BW144" s="85"/>
      <c r="BX144" s="85"/>
      <c r="BY144" s="85"/>
      <c r="BZ144" s="85"/>
      <c r="CA144" s="85"/>
      <c r="CB144" s="85"/>
      <c r="CC144" s="85"/>
      <c r="CD144" s="85"/>
      <c r="CE144" s="85"/>
      <c r="CF144" s="85"/>
      <c r="CG144" s="85"/>
      <c r="CH144" s="85"/>
      <c r="CI144" s="85"/>
      <c r="CJ144" s="85"/>
      <c r="CK144" s="85"/>
      <c r="CL144" s="85"/>
      <c r="CM144" s="85"/>
      <c r="CN144" s="79"/>
      <c r="CO144" s="79"/>
    </row>
    <row r="145" spans="2:93" s="69" customFormat="1" ht="15" customHeight="1">
      <c r="C145" s="466" t="s">
        <v>12</v>
      </c>
      <c r="D145" s="464">
        <v>0</v>
      </c>
      <c r="E145" s="144">
        <v>0</v>
      </c>
      <c r="F145" s="2565" t="s">
        <v>42</v>
      </c>
      <c r="G145" s="146" t="s">
        <v>395</v>
      </c>
      <c r="H145" s="185">
        <f t="shared" si="64"/>
        <v>0</v>
      </c>
      <c r="I145" s="119">
        <f t="shared" si="65"/>
        <v>0</v>
      </c>
      <c r="J145" s="145">
        <v>0</v>
      </c>
      <c r="K145" s="119">
        <f t="shared" ca="1" si="66"/>
        <v>0</v>
      </c>
      <c r="L145" s="119">
        <f t="shared" ca="1" si="67"/>
        <v>0</v>
      </c>
      <c r="M145" s="2312"/>
      <c r="N145" s="2313"/>
      <c r="O145" s="2313"/>
      <c r="P145" s="2313"/>
      <c r="R145" s="1181"/>
      <c r="S145" s="197"/>
      <c r="T145" s="1295"/>
      <c r="U145" s="1295"/>
      <c r="V145" s="1308"/>
      <c r="W145" s="1308"/>
      <c r="X145" s="1310"/>
      <c r="Y145" s="197"/>
      <c r="Z145" s="197"/>
      <c r="AA145" s="1311">
        <f t="shared" si="62"/>
        <v>0</v>
      </c>
      <c r="AB145" s="1311">
        <f t="shared" ca="1" si="63"/>
        <v>0</v>
      </c>
      <c r="AC145" s="197"/>
      <c r="AD145" s="197"/>
      <c r="AE145" s="197"/>
      <c r="AF145" s="1313"/>
      <c r="AG145" s="1256"/>
      <c r="AH145" s="1256"/>
      <c r="AI145" s="1256"/>
      <c r="AJ145" s="85"/>
      <c r="AK145" s="85"/>
      <c r="AL145" s="85"/>
      <c r="AM145" s="85"/>
      <c r="AN145" s="85"/>
      <c r="AO145" s="85"/>
      <c r="AP145" s="85"/>
      <c r="AQ145" s="85"/>
      <c r="AR145" s="85"/>
      <c r="AS145" s="85"/>
      <c r="AT145" s="85"/>
      <c r="AU145" s="85"/>
      <c r="AV145" s="85"/>
      <c r="AW145" s="85"/>
      <c r="AX145" s="85"/>
      <c r="AY145" s="85"/>
      <c r="AZ145" s="85"/>
      <c r="BA145" s="85"/>
      <c r="BB145" s="85"/>
      <c r="BC145" s="85"/>
      <c r="BD145" s="85"/>
      <c r="BE145" s="85"/>
      <c r="BF145" s="85"/>
      <c r="BG145" s="85"/>
      <c r="BH145" s="85"/>
      <c r="BI145" s="85"/>
      <c r="BJ145" s="85"/>
      <c r="BK145" s="85"/>
      <c r="BL145" s="85"/>
      <c r="BM145" s="85"/>
      <c r="BN145" s="85"/>
      <c r="BO145" s="85"/>
      <c r="BP145" s="85"/>
      <c r="BQ145" s="85"/>
      <c r="BR145" s="85"/>
      <c r="BS145" s="85"/>
      <c r="BT145" s="85"/>
      <c r="BU145" s="85"/>
      <c r="BV145" s="85"/>
      <c r="BW145" s="85"/>
      <c r="BX145" s="85"/>
      <c r="BY145" s="85"/>
      <c r="BZ145" s="85"/>
      <c r="CA145" s="85"/>
      <c r="CB145" s="85"/>
      <c r="CC145" s="85"/>
      <c r="CD145" s="85"/>
      <c r="CE145" s="85"/>
      <c r="CF145" s="85"/>
      <c r="CG145" s="85"/>
      <c r="CH145" s="85"/>
      <c r="CI145" s="85"/>
      <c r="CJ145" s="85"/>
      <c r="CK145" s="85"/>
      <c r="CL145" s="85"/>
      <c r="CM145" s="85"/>
      <c r="CN145" s="79"/>
      <c r="CO145" s="79"/>
    </row>
    <row r="146" spans="2:93" s="69" customFormat="1" ht="15" customHeight="1">
      <c r="C146" s="1477" t="s">
        <v>12</v>
      </c>
      <c r="D146" s="463">
        <v>0</v>
      </c>
      <c r="E146" s="138">
        <v>0</v>
      </c>
      <c r="F146" s="138" t="s">
        <v>42</v>
      </c>
      <c r="G146" s="142" t="s">
        <v>395</v>
      </c>
      <c r="H146" s="184">
        <f t="shared" si="64"/>
        <v>0</v>
      </c>
      <c r="I146" s="118">
        <f t="shared" si="65"/>
        <v>0</v>
      </c>
      <c r="J146" s="140">
        <v>0</v>
      </c>
      <c r="K146" s="118">
        <f t="shared" ca="1" si="66"/>
        <v>0</v>
      </c>
      <c r="L146" s="118">
        <f t="shared" ca="1" si="67"/>
        <v>0</v>
      </c>
      <c r="M146" s="2310"/>
      <c r="N146" s="2311"/>
      <c r="O146" s="2311"/>
      <c r="P146" s="2311"/>
      <c r="R146" s="1181"/>
      <c r="S146" s="197"/>
      <c r="T146" s="1295"/>
      <c r="U146" s="1295"/>
      <c r="V146" s="1308"/>
      <c r="W146" s="1308"/>
      <c r="X146" s="1310"/>
      <c r="Y146" s="197"/>
      <c r="Z146" s="197"/>
      <c r="AA146" s="1311">
        <f t="shared" si="62"/>
        <v>0</v>
      </c>
      <c r="AB146" s="1311">
        <f t="shared" ca="1" si="63"/>
        <v>0</v>
      </c>
      <c r="AC146" s="197"/>
      <c r="AD146" s="197"/>
      <c r="AE146" s="197"/>
      <c r="AF146" s="1313"/>
      <c r="AG146" s="1256"/>
      <c r="AH146" s="1256"/>
      <c r="AI146" s="1256"/>
      <c r="AJ146" s="85"/>
      <c r="AK146" s="85"/>
      <c r="AL146" s="85"/>
      <c r="AM146" s="85"/>
      <c r="AN146" s="85"/>
      <c r="AO146" s="85"/>
      <c r="AP146" s="85"/>
      <c r="AQ146" s="85"/>
      <c r="AR146" s="85"/>
      <c r="AS146" s="85"/>
      <c r="AT146" s="85"/>
      <c r="AU146" s="85"/>
      <c r="AV146" s="85"/>
      <c r="AW146" s="85"/>
      <c r="AX146" s="85"/>
      <c r="AY146" s="85"/>
      <c r="AZ146" s="85"/>
      <c r="BA146" s="85"/>
      <c r="BB146" s="85"/>
      <c r="BC146" s="85"/>
      <c r="BD146" s="85"/>
      <c r="BE146" s="85"/>
      <c r="BF146" s="85"/>
      <c r="BG146" s="85"/>
      <c r="BH146" s="85"/>
      <c r="BI146" s="85"/>
      <c r="BJ146" s="85"/>
      <c r="BK146" s="85"/>
      <c r="BL146" s="85"/>
      <c r="BM146" s="85"/>
      <c r="BN146" s="85"/>
      <c r="BO146" s="85"/>
      <c r="BP146" s="85"/>
      <c r="BQ146" s="85"/>
      <c r="BR146" s="85"/>
      <c r="BS146" s="85"/>
      <c r="BT146" s="85"/>
      <c r="BU146" s="85"/>
      <c r="BV146" s="85"/>
      <c r="BW146" s="85"/>
      <c r="BX146" s="85"/>
      <c r="BY146" s="85"/>
      <c r="BZ146" s="85"/>
      <c r="CA146" s="85"/>
      <c r="CB146" s="85"/>
      <c r="CC146" s="85"/>
      <c r="CD146" s="85"/>
      <c r="CE146" s="85"/>
      <c r="CF146" s="85"/>
      <c r="CG146" s="85"/>
      <c r="CH146" s="85"/>
      <c r="CI146" s="85"/>
      <c r="CJ146" s="85"/>
      <c r="CK146" s="85"/>
      <c r="CL146" s="85"/>
      <c r="CM146" s="85"/>
      <c r="CN146" s="79"/>
      <c r="CO146" s="79"/>
    </row>
    <row r="147" spans="2:93" s="69" customFormat="1" ht="15" customHeight="1">
      <c r="C147" s="1476" t="s">
        <v>12</v>
      </c>
      <c r="D147" s="464">
        <v>0</v>
      </c>
      <c r="E147" s="144">
        <v>0</v>
      </c>
      <c r="F147" s="144" t="s">
        <v>42</v>
      </c>
      <c r="G147" s="146" t="s">
        <v>395</v>
      </c>
      <c r="H147" s="185">
        <f t="shared" si="64"/>
        <v>0</v>
      </c>
      <c r="I147" s="119">
        <f t="shared" si="65"/>
        <v>0</v>
      </c>
      <c r="J147" s="145">
        <v>0</v>
      </c>
      <c r="K147" s="119">
        <f t="shared" ca="1" si="66"/>
        <v>0</v>
      </c>
      <c r="L147" s="119">
        <f t="shared" ca="1" si="67"/>
        <v>0</v>
      </c>
      <c r="M147" s="2312"/>
      <c r="N147" s="2313"/>
      <c r="O147" s="2313"/>
      <c r="P147" s="2313"/>
      <c r="R147" s="1181"/>
      <c r="S147" s="197"/>
      <c r="T147" s="1295"/>
      <c r="U147" s="1295"/>
      <c r="V147" s="1308"/>
      <c r="W147" s="1308"/>
      <c r="X147" s="1310"/>
      <c r="Y147" s="197"/>
      <c r="Z147" s="197"/>
      <c r="AA147" s="1311">
        <f t="shared" si="62"/>
        <v>0</v>
      </c>
      <c r="AB147" s="1311">
        <f t="shared" ca="1" si="63"/>
        <v>0</v>
      </c>
      <c r="AC147" s="197"/>
      <c r="AD147" s="197"/>
      <c r="AE147" s="197"/>
      <c r="AF147" s="1313"/>
      <c r="AG147" s="1256"/>
      <c r="AH147" s="1256"/>
      <c r="AI147" s="1256"/>
      <c r="AJ147" s="85"/>
      <c r="AK147" s="85"/>
      <c r="AL147" s="85"/>
      <c r="AM147" s="85"/>
      <c r="AN147" s="85"/>
      <c r="AO147" s="85"/>
      <c r="AP147" s="85"/>
      <c r="AQ147" s="85"/>
      <c r="AR147" s="85"/>
      <c r="AS147" s="85"/>
      <c r="AT147" s="85"/>
      <c r="AU147" s="85"/>
      <c r="AV147" s="85"/>
      <c r="AW147" s="85"/>
      <c r="AX147" s="85"/>
      <c r="AY147" s="85"/>
      <c r="AZ147" s="85"/>
      <c r="BA147" s="85"/>
      <c r="BB147" s="85"/>
      <c r="BC147" s="85"/>
      <c r="BD147" s="85"/>
      <c r="BE147" s="85"/>
      <c r="BF147" s="85"/>
      <c r="BG147" s="85"/>
      <c r="BH147" s="85"/>
      <c r="BI147" s="85"/>
      <c r="BJ147" s="85"/>
      <c r="BK147" s="85"/>
      <c r="BL147" s="85"/>
      <c r="BM147" s="85"/>
      <c r="BN147" s="85"/>
      <c r="BO147" s="85"/>
      <c r="BP147" s="85"/>
      <c r="BQ147" s="85"/>
      <c r="BR147" s="85"/>
      <c r="BS147" s="85"/>
      <c r="BT147" s="85"/>
      <c r="BU147" s="85"/>
      <c r="BV147" s="85"/>
      <c r="BW147" s="85"/>
      <c r="BX147" s="85"/>
      <c r="BY147" s="85"/>
      <c r="BZ147" s="85"/>
      <c r="CA147" s="85"/>
      <c r="CB147" s="85"/>
      <c r="CC147" s="85"/>
      <c r="CD147" s="85"/>
      <c r="CE147" s="85"/>
      <c r="CF147" s="85"/>
      <c r="CG147" s="85"/>
      <c r="CH147" s="85"/>
      <c r="CI147" s="85"/>
      <c r="CJ147" s="85"/>
      <c r="CK147" s="85"/>
      <c r="CL147" s="85"/>
      <c r="CM147" s="85"/>
      <c r="CN147" s="79"/>
      <c r="CO147" s="79"/>
    </row>
    <row r="148" spans="2:93" s="69" customFormat="1" ht="15" customHeight="1">
      <c r="C148" s="13" t="s">
        <v>275</v>
      </c>
      <c r="D148" s="463">
        <v>0</v>
      </c>
      <c r="E148" s="138">
        <v>0</v>
      </c>
      <c r="F148" s="138" t="s">
        <v>42</v>
      </c>
      <c r="G148" s="2561" t="s">
        <v>395</v>
      </c>
      <c r="H148" s="184">
        <f>IF(ISNUMBER(I148),I148/12,0)</f>
        <v>0</v>
      </c>
      <c r="I148" s="118">
        <f>IF(ISNUMBER(E148),IF(E148&gt;0,D148*E148,0),"")</f>
        <v>0</v>
      </c>
      <c r="J148" s="140">
        <v>0</v>
      </c>
      <c r="K148" s="118">
        <f ca="1">IF(ISNUMBER(L148),L148/12,"")</f>
        <v>0</v>
      </c>
      <c r="L148" s="118">
        <f ca="1">IF(ISNUMBER(I148),IF(F148="Y",FV($N$5,$O$5,0,I148*-1)+(J148*12),I148+(J148*12)),"")</f>
        <v>0</v>
      </c>
      <c r="M148" s="2310"/>
      <c r="N148" s="2311"/>
      <c r="O148" s="2311"/>
      <c r="P148" s="2311"/>
      <c r="R148" s="1181"/>
      <c r="S148" s="197"/>
      <c r="T148" s="1295"/>
      <c r="U148" s="1295"/>
      <c r="V148" s="1308"/>
      <c r="W148" s="1308"/>
      <c r="X148" s="1310"/>
      <c r="Y148" s="197"/>
      <c r="Z148" s="197"/>
      <c r="AA148" s="1311"/>
      <c r="AB148" s="1311"/>
      <c r="AC148" s="197"/>
      <c r="AD148" s="197"/>
      <c r="AE148" s="197"/>
      <c r="AF148" s="1313"/>
      <c r="AG148" s="1256"/>
      <c r="AH148" s="1256"/>
      <c r="AI148" s="1256"/>
      <c r="AJ148" s="85"/>
      <c r="AK148" s="85"/>
      <c r="AL148" s="85"/>
      <c r="AM148" s="85"/>
      <c r="AN148" s="85"/>
      <c r="AO148" s="85"/>
      <c r="AP148" s="85"/>
      <c r="AQ148" s="85"/>
      <c r="AR148" s="85"/>
      <c r="AS148" s="85"/>
      <c r="AT148" s="85"/>
      <c r="AU148" s="85"/>
      <c r="AV148" s="85"/>
      <c r="AW148" s="85"/>
      <c r="AX148" s="85"/>
      <c r="AY148" s="85"/>
      <c r="AZ148" s="85"/>
      <c r="BA148" s="85"/>
      <c r="BB148" s="85"/>
      <c r="BC148" s="85"/>
      <c r="BD148" s="85"/>
      <c r="BE148" s="85"/>
      <c r="BF148" s="85"/>
      <c r="BG148" s="85"/>
      <c r="BH148" s="85"/>
      <c r="BI148" s="85"/>
      <c r="BJ148" s="85"/>
      <c r="BK148" s="85"/>
      <c r="BL148" s="85"/>
      <c r="BM148" s="85"/>
      <c r="BN148" s="85"/>
      <c r="BO148" s="85"/>
      <c r="BP148" s="85"/>
      <c r="BQ148" s="85"/>
      <c r="BR148" s="85"/>
      <c r="BS148" s="85"/>
      <c r="BT148" s="85"/>
      <c r="BU148" s="85"/>
      <c r="BV148" s="85"/>
      <c r="BW148" s="85"/>
      <c r="BX148" s="85"/>
      <c r="BY148" s="85"/>
      <c r="BZ148" s="85"/>
      <c r="CA148" s="85"/>
      <c r="CB148" s="85"/>
      <c r="CC148" s="85"/>
      <c r="CD148" s="85"/>
      <c r="CE148" s="85"/>
      <c r="CF148" s="85"/>
      <c r="CG148" s="85"/>
      <c r="CH148" s="85"/>
      <c r="CI148" s="85"/>
      <c r="CJ148" s="85"/>
      <c r="CK148" s="85"/>
      <c r="CL148" s="85"/>
      <c r="CM148" s="85"/>
      <c r="CN148" s="79"/>
      <c r="CO148" s="79"/>
    </row>
    <row r="149" spans="2:93" s="69" customFormat="1" ht="15" customHeight="1">
      <c r="C149" s="466" t="s">
        <v>12</v>
      </c>
      <c r="D149" s="464">
        <v>0</v>
      </c>
      <c r="E149" s="144">
        <v>0</v>
      </c>
      <c r="F149" s="2565" t="s">
        <v>42</v>
      </c>
      <c r="G149" s="2562" t="s">
        <v>395</v>
      </c>
      <c r="H149" s="185">
        <f>IF(ISNUMBER(I149),I149/12,0)</f>
        <v>0</v>
      </c>
      <c r="I149" s="119">
        <f>IF(ISNUMBER(E149),IF(E149&gt;0,D149*E149,0),"")</f>
        <v>0</v>
      </c>
      <c r="J149" s="145">
        <v>0</v>
      </c>
      <c r="K149" s="119">
        <f ca="1">IF(ISNUMBER(L149),L149/12,"")</f>
        <v>0</v>
      </c>
      <c r="L149" s="119">
        <f ca="1">IF(ISNUMBER(I149),IF(F149="Y",FV($N$5,$O$5,0,I149*-1)+(J149*12),I149+(J149*12)),"")</f>
        <v>0</v>
      </c>
      <c r="M149" s="2312"/>
      <c r="N149" s="2313"/>
      <c r="O149" s="2313"/>
      <c r="P149" s="2313"/>
      <c r="R149" s="1181"/>
      <c r="S149" s="197"/>
      <c r="T149" s="1295"/>
      <c r="U149" s="1295"/>
      <c r="V149" s="1308"/>
      <c r="W149" s="1308"/>
      <c r="X149" s="1310"/>
      <c r="Y149" s="197"/>
      <c r="Z149" s="197"/>
      <c r="AA149" s="1311"/>
      <c r="AB149" s="1311"/>
      <c r="AC149" s="197"/>
      <c r="AD149" s="197"/>
      <c r="AE149" s="197"/>
      <c r="AF149" s="1313"/>
      <c r="AG149" s="1256"/>
      <c r="AH149" s="1256"/>
      <c r="AI149" s="1256"/>
      <c r="AJ149" s="85"/>
      <c r="AK149" s="85"/>
      <c r="AL149" s="85"/>
      <c r="AM149" s="85"/>
      <c r="AN149" s="85"/>
      <c r="AO149" s="85"/>
      <c r="AP149" s="85"/>
      <c r="AQ149" s="85"/>
      <c r="AR149" s="85"/>
      <c r="AS149" s="85"/>
      <c r="AT149" s="85"/>
      <c r="AU149" s="85"/>
      <c r="AV149" s="85"/>
      <c r="AW149" s="85"/>
      <c r="AX149" s="85"/>
      <c r="AY149" s="85"/>
      <c r="AZ149" s="85"/>
      <c r="BA149" s="85"/>
      <c r="BB149" s="85"/>
      <c r="BC149" s="85"/>
      <c r="BD149" s="85"/>
      <c r="BE149" s="85"/>
      <c r="BF149" s="85"/>
      <c r="BG149" s="85"/>
      <c r="BH149" s="85"/>
      <c r="BI149" s="85"/>
      <c r="BJ149" s="85"/>
      <c r="BK149" s="85"/>
      <c r="BL149" s="85"/>
      <c r="BM149" s="85"/>
      <c r="BN149" s="85"/>
      <c r="BO149" s="85"/>
      <c r="BP149" s="85"/>
      <c r="BQ149" s="85"/>
      <c r="BR149" s="85"/>
      <c r="BS149" s="85"/>
      <c r="BT149" s="85"/>
      <c r="BU149" s="85"/>
      <c r="BV149" s="85"/>
      <c r="BW149" s="85"/>
      <c r="BX149" s="85"/>
      <c r="BY149" s="85"/>
      <c r="BZ149" s="85"/>
      <c r="CA149" s="85"/>
      <c r="CB149" s="85"/>
      <c r="CC149" s="85"/>
      <c r="CD149" s="85"/>
      <c r="CE149" s="85"/>
      <c r="CF149" s="85"/>
      <c r="CG149" s="85"/>
      <c r="CH149" s="85"/>
      <c r="CI149" s="85"/>
      <c r="CJ149" s="85"/>
      <c r="CK149" s="85"/>
      <c r="CL149" s="85"/>
      <c r="CM149" s="85"/>
      <c r="CN149" s="79"/>
      <c r="CO149" s="79"/>
    </row>
    <row r="150" spans="2:93" s="69" customFormat="1" ht="15" customHeight="1">
      <c r="C150" s="13" t="s">
        <v>12</v>
      </c>
      <c r="D150" s="463">
        <v>0</v>
      </c>
      <c r="E150" s="138">
        <v>0</v>
      </c>
      <c r="F150" s="2559" t="s">
        <v>42</v>
      </c>
      <c r="G150" s="142" t="s">
        <v>395</v>
      </c>
      <c r="H150" s="184">
        <f t="shared" si="64"/>
        <v>0</v>
      </c>
      <c r="I150" s="118">
        <f t="shared" si="65"/>
        <v>0</v>
      </c>
      <c r="J150" s="140">
        <v>0</v>
      </c>
      <c r="K150" s="118">
        <f t="shared" ca="1" si="66"/>
        <v>0</v>
      </c>
      <c r="L150" s="118">
        <f t="shared" ca="1" si="67"/>
        <v>0</v>
      </c>
      <c r="M150" s="2310"/>
      <c r="N150" s="2311"/>
      <c r="O150" s="2311"/>
      <c r="P150" s="2311"/>
      <c r="R150" s="1181"/>
      <c r="S150" s="197"/>
      <c r="T150" s="1295"/>
      <c r="U150" s="1295"/>
      <c r="V150" s="1308"/>
      <c r="W150" s="1308"/>
      <c r="X150" s="1310"/>
      <c r="Y150" s="197"/>
      <c r="Z150" s="197"/>
      <c r="AA150" s="1311">
        <f t="shared" si="62"/>
        <v>0</v>
      </c>
      <c r="AB150" s="1311">
        <f t="shared" ca="1" si="63"/>
        <v>0</v>
      </c>
      <c r="AC150" s="197"/>
      <c r="AD150" s="197"/>
      <c r="AE150" s="197"/>
      <c r="AF150" s="1313"/>
      <c r="AG150" s="1256"/>
      <c r="AH150" s="1256"/>
      <c r="AI150" s="1256"/>
      <c r="AJ150" s="85"/>
      <c r="AK150" s="85"/>
      <c r="AL150" s="85"/>
      <c r="AM150" s="85"/>
      <c r="AN150" s="85"/>
      <c r="AO150" s="85"/>
      <c r="AP150" s="85"/>
      <c r="AQ150" s="85"/>
      <c r="AR150" s="85"/>
      <c r="AS150" s="85"/>
      <c r="AT150" s="85"/>
      <c r="AU150" s="85"/>
      <c r="AV150" s="85"/>
      <c r="AW150" s="85"/>
      <c r="AX150" s="85"/>
      <c r="AY150" s="85"/>
      <c r="AZ150" s="85"/>
      <c r="BA150" s="85"/>
      <c r="BB150" s="85"/>
      <c r="BC150" s="85"/>
      <c r="BD150" s="85"/>
      <c r="BE150" s="85"/>
      <c r="BF150" s="85"/>
      <c r="BG150" s="85"/>
      <c r="BH150" s="85"/>
      <c r="BI150" s="85"/>
      <c r="BJ150" s="85"/>
      <c r="BK150" s="85"/>
      <c r="BL150" s="85"/>
      <c r="BM150" s="85"/>
      <c r="BN150" s="85"/>
      <c r="BO150" s="85"/>
      <c r="BP150" s="85"/>
      <c r="BQ150" s="85"/>
      <c r="BR150" s="85"/>
      <c r="BS150" s="85"/>
      <c r="BT150" s="85"/>
      <c r="BU150" s="85"/>
      <c r="BV150" s="85"/>
      <c r="BW150" s="85"/>
      <c r="BX150" s="85"/>
      <c r="BY150" s="85"/>
      <c r="BZ150" s="85"/>
      <c r="CA150" s="85"/>
      <c r="CB150" s="85"/>
      <c r="CC150" s="85"/>
      <c r="CD150" s="85"/>
      <c r="CE150" s="85"/>
      <c r="CF150" s="85"/>
      <c r="CG150" s="85"/>
      <c r="CH150" s="85"/>
      <c r="CI150" s="85"/>
      <c r="CJ150" s="85"/>
      <c r="CK150" s="85"/>
      <c r="CL150" s="85"/>
      <c r="CM150" s="85"/>
      <c r="CN150" s="79"/>
      <c r="CO150" s="79"/>
    </row>
    <row r="151" spans="2:93" s="69" customFormat="1" ht="15" customHeight="1">
      <c r="C151" s="1476" t="s">
        <v>12</v>
      </c>
      <c r="D151" s="464">
        <v>0</v>
      </c>
      <c r="E151" s="144">
        <v>0</v>
      </c>
      <c r="F151" s="2565" t="s">
        <v>42</v>
      </c>
      <c r="G151" s="146" t="s">
        <v>395</v>
      </c>
      <c r="H151" s="185">
        <f>IF(ISNUMBER(I151),I151/12,0)</f>
        <v>0</v>
      </c>
      <c r="I151" s="119">
        <f>IF(ISNUMBER(E151),IF(E151&gt;0,D151*E151,0),"")</f>
        <v>0</v>
      </c>
      <c r="J151" s="145">
        <v>0</v>
      </c>
      <c r="K151" s="119">
        <f ca="1">IF(ISNUMBER(L151),L151/12,"")</f>
        <v>0</v>
      </c>
      <c r="L151" s="119">
        <f ca="1">IF(ISNUMBER(I151),IF(F151="Y",FV($N$5,$O$5,0,I151*-1)+(J151*12),I151+(J151*12)),"")</f>
        <v>0</v>
      </c>
      <c r="M151" s="2312"/>
      <c r="N151" s="2313"/>
      <c r="O151" s="2313"/>
      <c r="P151" s="2313"/>
      <c r="R151" s="1181"/>
      <c r="S151" s="197"/>
      <c r="T151" s="1295"/>
      <c r="U151" s="1295"/>
      <c r="V151" s="1308"/>
      <c r="W151" s="1308"/>
      <c r="X151" s="1310"/>
      <c r="Y151" s="197"/>
      <c r="Z151" s="197"/>
      <c r="AA151" s="1311"/>
      <c r="AB151" s="1311"/>
      <c r="AC151" s="197"/>
      <c r="AD151" s="197"/>
      <c r="AE151" s="197"/>
      <c r="AF151" s="1313"/>
      <c r="AG151" s="1256"/>
      <c r="AH151" s="1256"/>
      <c r="AI151" s="1256"/>
      <c r="AJ151" s="85"/>
      <c r="AK151" s="85"/>
      <c r="AL151" s="85"/>
      <c r="AM151" s="85"/>
      <c r="AN151" s="85"/>
      <c r="AO151" s="85"/>
      <c r="AP151" s="85"/>
      <c r="AQ151" s="85"/>
      <c r="AR151" s="85"/>
      <c r="AS151" s="85"/>
      <c r="AT151" s="85"/>
      <c r="AU151" s="85"/>
      <c r="AV151" s="85"/>
      <c r="AW151" s="85"/>
      <c r="AX151" s="85"/>
      <c r="AY151" s="85"/>
      <c r="AZ151" s="85"/>
      <c r="BA151" s="85"/>
      <c r="BB151" s="85"/>
      <c r="BC151" s="85"/>
      <c r="BD151" s="85"/>
      <c r="BE151" s="85"/>
      <c r="BF151" s="85"/>
      <c r="BG151" s="85"/>
      <c r="BH151" s="85"/>
      <c r="BI151" s="85"/>
      <c r="BJ151" s="85"/>
      <c r="BK151" s="85"/>
      <c r="BL151" s="85"/>
      <c r="BM151" s="85"/>
      <c r="BN151" s="85"/>
      <c r="BO151" s="85"/>
      <c r="BP151" s="85"/>
      <c r="BQ151" s="85"/>
      <c r="BR151" s="85"/>
      <c r="BS151" s="85"/>
      <c r="BT151" s="85"/>
      <c r="BU151" s="85"/>
      <c r="BV151" s="85"/>
      <c r="BW151" s="85"/>
      <c r="BX151" s="85"/>
      <c r="BY151" s="85"/>
      <c r="BZ151" s="85"/>
      <c r="CA151" s="85"/>
      <c r="CB151" s="85"/>
      <c r="CC151" s="85"/>
      <c r="CD151" s="85"/>
      <c r="CE151" s="85"/>
      <c r="CF151" s="85"/>
      <c r="CG151" s="85"/>
      <c r="CH151" s="85"/>
      <c r="CI151" s="85"/>
      <c r="CJ151" s="85"/>
      <c r="CK151" s="85"/>
      <c r="CL151" s="85"/>
      <c r="CM151" s="85"/>
      <c r="CN151" s="79"/>
      <c r="CO151" s="79"/>
    </row>
    <row r="152" spans="2:93" s="69" customFormat="1" ht="15" customHeight="1">
      <c r="C152" s="13" t="s">
        <v>12</v>
      </c>
      <c r="D152" s="463">
        <v>0</v>
      </c>
      <c r="E152" s="138">
        <v>0</v>
      </c>
      <c r="F152" s="2559" t="s">
        <v>42</v>
      </c>
      <c r="G152" s="142" t="s">
        <v>395</v>
      </c>
      <c r="H152" s="184">
        <f t="shared" si="64"/>
        <v>0</v>
      </c>
      <c r="I152" s="118">
        <f t="shared" si="65"/>
        <v>0</v>
      </c>
      <c r="J152" s="140">
        <v>0</v>
      </c>
      <c r="K152" s="118">
        <f t="shared" ca="1" si="66"/>
        <v>0</v>
      </c>
      <c r="L152" s="118">
        <f t="shared" ca="1" si="67"/>
        <v>0</v>
      </c>
      <c r="M152" s="2310"/>
      <c r="N152" s="2311"/>
      <c r="O152" s="2311"/>
      <c r="P152" s="2311"/>
      <c r="R152" s="1181"/>
      <c r="S152" s="197"/>
      <c r="T152" s="1295"/>
      <c r="U152" s="1295"/>
      <c r="V152" s="1308"/>
      <c r="W152" s="1308"/>
      <c r="X152" s="1310"/>
      <c r="Y152" s="197"/>
      <c r="Z152" s="197"/>
      <c r="AA152" s="1311">
        <f t="shared" si="62"/>
        <v>0</v>
      </c>
      <c r="AB152" s="1311">
        <f t="shared" ca="1" si="63"/>
        <v>0</v>
      </c>
      <c r="AC152" s="197"/>
      <c r="AD152" s="197"/>
      <c r="AE152" s="197"/>
      <c r="AF152" s="1313"/>
      <c r="AG152" s="1256"/>
      <c r="AH152" s="1256"/>
      <c r="AI152" s="1256"/>
      <c r="AJ152" s="85"/>
      <c r="AK152" s="85"/>
      <c r="AL152" s="85"/>
      <c r="AM152" s="85"/>
      <c r="AN152" s="85"/>
      <c r="AO152" s="85"/>
      <c r="AP152" s="85"/>
      <c r="AQ152" s="85"/>
      <c r="AR152" s="85"/>
      <c r="AS152" s="85"/>
      <c r="AT152" s="85"/>
      <c r="AU152" s="85"/>
      <c r="AV152" s="85"/>
      <c r="AW152" s="85"/>
      <c r="AX152" s="85"/>
      <c r="AY152" s="85"/>
      <c r="AZ152" s="85"/>
      <c r="BA152" s="85"/>
      <c r="BB152" s="85"/>
      <c r="BC152" s="85"/>
      <c r="BD152" s="85"/>
      <c r="BE152" s="85"/>
      <c r="BF152" s="85"/>
      <c r="BG152" s="85"/>
      <c r="BH152" s="85"/>
      <c r="BI152" s="85"/>
      <c r="BJ152" s="85"/>
      <c r="BK152" s="85"/>
      <c r="BL152" s="85"/>
      <c r="BM152" s="85"/>
      <c r="BN152" s="85"/>
      <c r="BO152" s="85"/>
      <c r="BP152" s="85"/>
      <c r="BQ152" s="85"/>
      <c r="BR152" s="85"/>
      <c r="BS152" s="85"/>
      <c r="BT152" s="85"/>
      <c r="BU152" s="85"/>
      <c r="BV152" s="85"/>
      <c r="BW152" s="85"/>
      <c r="BX152" s="85"/>
      <c r="BY152" s="85"/>
      <c r="BZ152" s="85"/>
      <c r="CA152" s="85"/>
      <c r="CB152" s="85"/>
      <c r="CC152" s="85"/>
      <c r="CD152" s="85"/>
      <c r="CE152" s="85"/>
      <c r="CF152" s="85"/>
      <c r="CG152" s="85"/>
      <c r="CH152" s="85"/>
      <c r="CI152" s="85"/>
      <c r="CJ152" s="85"/>
      <c r="CK152" s="85"/>
      <c r="CL152" s="85"/>
      <c r="CM152" s="85"/>
      <c r="CN152" s="79"/>
      <c r="CO152" s="79"/>
    </row>
    <row r="153" spans="2:93" s="69" customFormat="1" ht="15" customHeight="1">
      <c r="C153" s="153" t="s">
        <v>12</v>
      </c>
      <c r="D153" s="465">
        <v>0</v>
      </c>
      <c r="E153" s="154">
        <v>0</v>
      </c>
      <c r="F153" s="154" t="s">
        <v>42</v>
      </c>
      <c r="G153" s="2047" t="s">
        <v>395</v>
      </c>
      <c r="H153" s="254">
        <f t="shared" si="64"/>
        <v>0</v>
      </c>
      <c r="I153" s="156">
        <f t="shared" si="65"/>
        <v>0</v>
      </c>
      <c r="J153" s="155">
        <v>0</v>
      </c>
      <c r="K153" s="156">
        <f t="shared" ca="1" si="66"/>
        <v>0</v>
      </c>
      <c r="L153" s="156">
        <f t="shared" ca="1" si="67"/>
        <v>0</v>
      </c>
      <c r="M153" s="2308"/>
      <c r="N153" s="2309"/>
      <c r="O153" s="2309"/>
      <c r="P153" s="2309"/>
      <c r="R153" s="1181"/>
      <c r="S153" s="197"/>
      <c r="T153" s="1295"/>
      <c r="U153" s="1295"/>
      <c r="V153" s="1308"/>
      <c r="W153" s="1308"/>
      <c r="X153" s="1310"/>
      <c r="Y153" s="197"/>
      <c r="Z153" s="197"/>
      <c r="AA153" s="1311">
        <f t="shared" si="62"/>
        <v>0</v>
      </c>
      <c r="AB153" s="1311">
        <f t="shared" ca="1" si="63"/>
        <v>0</v>
      </c>
      <c r="AC153" s="197"/>
      <c r="AD153" s="197"/>
      <c r="AE153" s="197"/>
      <c r="AF153" s="1313"/>
      <c r="AG153" s="1256"/>
      <c r="AH153" s="1256"/>
      <c r="AI153" s="1256"/>
      <c r="AJ153" s="85"/>
      <c r="AK153" s="85"/>
      <c r="AL153" s="85"/>
      <c r="AM153" s="85"/>
      <c r="AN153" s="85"/>
      <c r="AO153" s="85"/>
      <c r="AP153" s="85"/>
      <c r="AQ153" s="85"/>
      <c r="AR153" s="85"/>
      <c r="AS153" s="85"/>
      <c r="AT153" s="85"/>
      <c r="AU153" s="85"/>
      <c r="AV153" s="85"/>
      <c r="AW153" s="85"/>
      <c r="AX153" s="85"/>
      <c r="AY153" s="85"/>
      <c r="AZ153" s="85"/>
      <c r="BA153" s="85"/>
      <c r="BB153" s="85"/>
      <c r="BC153" s="85"/>
      <c r="BD153" s="85"/>
      <c r="BE153" s="85"/>
      <c r="BF153" s="85"/>
      <c r="BG153" s="85"/>
      <c r="BH153" s="85"/>
      <c r="BI153" s="85"/>
      <c r="BJ153" s="85"/>
      <c r="BK153" s="85"/>
      <c r="BL153" s="85"/>
      <c r="BM153" s="85"/>
      <c r="BN153" s="85"/>
      <c r="BO153" s="85"/>
      <c r="BP153" s="85"/>
      <c r="BQ153" s="85"/>
      <c r="BR153" s="85"/>
      <c r="BS153" s="85"/>
      <c r="BT153" s="85"/>
      <c r="BU153" s="85"/>
      <c r="BV153" s="85"/>
      <c r="BW153" s="85"/>
      <c r="BX153" s="85"/>
      <c r="BY153" s="85"/>
      <c r="BZ153" s="85"/>
      <c r="CA153" s="85"/>
      <c r="CB153" s="85"/>
      <c r="CC153" s="85"/>
      <c r="CD153" s="85"/>
      <c r="CE153" s="85"/>
      <c r="CF153" s="85"/>
      <c r="CG153" s="85"/>
      <c r="CH153" s="85"/>
      <c r="CI153" s="85"/>
      <c r="CJ153" s="85"/>
      <c r="CK153" s="85"/>
      <c r="CL153" s="85"/>
      <c r="CM153" s="85"/>
      <c r="CN153" s="79"/>
      <c r="CO153" s="79"/>
    </row>
    <row r="154" spans="2:93" s="187" customFormat="1" ht="25" customHeight="1">
      <c r="C154" s="188"/>
      <c r="D154" s="157"/>
      <c r="E154" s="189"/>
      <c r="F154" s="189"/>
      <c r="G154" s="157"/>
      <c r="H154" s="123">
        <f>SUM(H142:H153)</f>
        <v>0</v>
      </c>
      <c r="I154" s="123">
        <f>SUM(I142:I153)</f>
        <v>0</v>
      </c>
      <c r="J154" s="157"/>
      <c r="K154" s="123">
        <f ca="1">SUM(K142:K153)</f>
        <v>0</v>
      </c>
      <c r="L154" s="123">
        <f ca="1">SUM(L142:L153)</f>
        <v>0</v>
      </c>
      <c r="M154" s="2050"/>
      <c r="N154" s="2050"/>
      <c r="O154" s="2050"/>
      <c r="P154" s="2050"/>
      <c r="R154" s="1257"/>
      <c r="S154" s="1315"/>
      <c r="T154" s="198"/>
      <c r="U154" s="198"/>
      <c r="V154" s="1316"/>
      <c r="W154" s="1316"/>
      <c r="X154" s="1317"/>
      <c r="Y154" s="1315"/>
      <c r="Z154" s="1315"/>
      <c r="AA154" s="1318">
        <f t="shared" si="62"/>
        <v>0</v>
      </c>
      <c r="AB154" s="1318">
        <f t="shared" si="63"/>
        <v>0</v>
      </c>
      <c r="AC154" s="1315"/>
      <c r="AD154" s="1315"/>
      <c r="AE154" s="1315"/>
      <c r="AF154" s="1319"/>
      <c r="AG154" s="1258"/>
      <c r="AH154" s="1258"/>
      <c r="AI154" s="1258"/>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M154" s="190"/>
      <c r="CN154" s="191"/>
      <c r="CO154" s="191"/>
    </row>
    <row r="155" spans="2:93" s="69" customFormat="1" ht="18" customHeight="1">
      <c r="B155" s="2556" t="s">
        <v>51</v>
      </c>
      <c r="C155" s="2324"/>
      <c r="D155" s="115"/>
      <c r="E155" s="114"/>
      <c r="F155" s="114"/>
      <c r="G155" s="115"/>
      <c r="H155" s="192"/>
      <c r="I155" s="192"/>
      <c r="J155" s="115"/>
      <c r="K155" s="192"/>
      <c r="L155" s="192"/>
      <c r="M155" s="2051"/>
      <c r="N155" s="2051"/>
      <c r="O155" s="2051"/>
      <c r="P155" s="2051"/>
      <c r="R155" s="1181"/>
      <c r="S155" s="197"/>
      <c r="T155" s="1295"/>
      <c r="U155" s="1295"/>
      <c r="V155" s="1308"/>
      <c r="W155" s="1308"/>
      <c r="X155" s="1310"/>
      <c r="Y155" s="197"/>
      <c r="Z155" s="197"/>
      <c r="AA155" s="1311">
        <f t="shared" si="62"/>
        <v>0</v>
      </c>
      <c r="AB155" s="1311">
        <f t="shared" si="63"/>
        <v>0</v>
      </c>
      <c r="AC155" s="197"/>
      <c r="AD155" s="197"/>
      <c r="AE155" s="197"/>
      <c r="AF155" s="1313"/>
      <c r="AG155" s="1256"/>
      <c r="AH155" s="1256"/>
      <c r="AI155" s="1256"/>
      <c r="AJ155" s="85"/>
      <c r="AK155" s="85"/>
      <c r="AL155" s="85"/>
      <c r="AM155" s="85"/>
      <c r="AN155" s="85"/>
      <c r="AO155" s="85"/>
      <c r="AP155" s="85"/>
      <c r="AQ155" s="85"/>
      <c r="AR155" s="85"/>
      <c r="AS155" s="85"/>
      <c r="AT155" s="85"/>
      <c r="AU155" s="85"/>
      <c r="AV155" s="85"/>
      <c r="AW155" s="85"/>
      <c r="AX155" s="85"/>
      <c r="AY155" s="85"/>
      <c r="AZ155" s="85"/>
      <c r="BA155" s="85"/>
      <c r="BB155" s="85"/>
      <c r="BC155" s="85"/>
      <c r="BD155" s="85"/>
      <c r="BE155" s="85"/>
      <c r="BF155" s="85"/>
      <c r="BG155" s="85"/>
      <c r="BH155" s="85"/>
      <c r="BI155" s="85"/>
      <c r="BJ155" s="85"/>
      <c r="BK155" s="85"/>
      <c r="BL155" s="85"/>
      <c r="BM155" s="85"/>
      <c r="BN155" s="85"/>
      <c r="BO155" s="85"/>
      <c r="BP155" s="85"/>
      <c r="BQ155" s="85"/>
      <c r="BR155" s="85"/>
      <c r="BS155" s="85"/>
      <c r="BT155" s="85"/>
      <c r="BU155" s="85"/>
      <c r="BV155" s="85"/>
      <c r="BW155" s="85"/>
      <c r="BX155" s="85"/>
      <c r="BY155" s="85"/>
      <c r="BZ155" s="85"/>
      <c r="CA155" s="85"/>
      <c r="CB155" s="85"/>
      <c r="CC155" s="85"/>
      <c r="CD155" s="85"/>
      <c r="CE155" s="85"/>
      <c r="CF155" s="85"/>
      <c r="CG155" s="85"/>
      <c r="CH155" s="85"/>
      <c r="CI155" s="85"/>
      <c r="CJ155" s="85"/>
      <c r="CK155" s="85"/>
      <c r="CL155" s="85"/>
      <c r="CM155" s="85"/>
      <c r="CN155" s="79"/>
      <c r="CO155" s="79"/>
    </row>
    <row r="156" spans="2:93" s="69" customFormat="1" ht="15" customHeight="1">
      <c r="C156" s="1477" t="s">
        <v>12</v>
      </c>
      <c r="D156" s="463">
        <v>0</v>
      </c>
      <c r="E156" s="138">
        <v>0</v>
      </c>
      <c r="F156" s="138" t="s">
        <v>42</v>
      </c>
      <c r="G156" s="142" t="s">
        <v>395</v>
      </c>
      <c r="H156" s="118">
        <f t="shared" ref="H156:H169" si="68">IF(ISNUMBER(I156),I156/12,0)</f>
        <v>0</v>
      </c>
      <c r="I156" s="118">
        <f t="shared" ref="I156:I169" si="69">IF(ISNUMBER(E156),IF(E156&gt;0,D156*E156,0),"")</f>
        <v>0</v>
      </c>
      <c r="J156" s="140">
        <v>0</v>
      </c>
      <c r="K156" s="118">
        <f t="shared" ref="K156:K169" ca="1" si="70">IF(ISNUMBER(L156),L156/12,"")</f>
        <v>0</v>
      </c>
      <c r="L156" s="118">
        <f t="shared" ref="L156:L169" ca="1" si="71">IF(ISNUMBER(I156),IF(F156="Y",FV($N$5,$O$5,0,I156*-1)+(J156*12),I156+(J156*12)),"")</f>
        <v>0</v>
      </c>
      <c r="M156" s="2310"/>
      <c r="N156" s="2311"/>
      <c r="O156" s="2311"/>
      <c r="P156" s="2311"/>
      <c r="R156" s="1181"/>
      <c r="S156" s="197"/>
      <c r="T156" s="1295"/>
      <c r="U156" s="1295"/>
      <c r="V156" s="1308"/>
      <c r="W156" s="1308"/>
      <c r="X156" s="1310"/>
      <c r="Y156" s="197"/>
      <c r="Z156" s="197"/>
      <c r="AA156" s="1311">
        <f t="shared" si="62"/>
        <v>0</v>
      </c>
      <c r="AB156" s="1311">
        <f t="shared" ca="1" si="63"/>
        <v>0</v>
      </c>
      <c r="AC156" s="197"/>
      <c r="AD156" s="197"/>
      <c r="AE156" s="197"/>
      <c r="AF156" s="1313"/>
      <c r="AG156" s="1256"/>
      <c r="AH156" s="1256"/>
      <c r="AI156" s="1256"/>
      <c r="AJ156" s="85"/>
      <c r="AK156" s="85"/>
      <c r="AL156" s="85"/>
      <c r="AM156" s="85"/>
      <c r="AN156" s="85"/>
      <c r="AO156" s="85"/>
      <c r="AP156" s="85"/>
      <c r="AQ156" s="85"/>
      <c r="AR156" s="85"/>
      <c r="AS156" s="85"/>
      <c r="AT156" s="85"/>
      <c r="AU156" s="85"/>
      <c r="AV156" s="85"/>
      <c r="AW156" s="85"/>
      <c r="AX156" s="85"/>
      <c r="AY156" s="85"/>
      <c r="AZ156" s="85"/>
      <c r="BA156" s="85"/>
      <c r="BB156" s="85"/>
      <c r="BC156" s="85"/>
      <c r="BD156" s="85"/>
      <c r="BE156" s="85"/>
      <c r="BF156" s="85"/>
      <c r="BG156" s="85"/>
      <c r="BH156" s="85"/>
      <c r="BI156" s="85"/>
      <c r="BJ156" s="85"/>
      <c r="BK156" s="85"/>
      <c r="BL156" s="85"/>
      <c r="BM156" s="85"/>
      <c r="BN156" s="85"/>
      <c r="BO156" s="85"/>
      <c r="BP156" s="85"/>
      <c r="BQ156" s="85"/>
      <c r="BR156" s="85"/>
      <c r="BS156" s="85"/>
      <c r="BT156" s="85"/>
      <c r="BU156" s="85"/>
      <c r="BV156" s="85"/>
      <c r="BW156" s="85"/>
      <c r="BX156" s="85"/>
      <c r="BY156" s="85"/>
      <c r="BZ156" s="85"/>
      <c r="CA156" s="85"/>
      <c r="CB156" s="85"/>
      <c r="CC156" s="85"/>
      <c r="CD156" s="85"/>
      <c r="CE156" s="85"/>
      <c r="CF156" s="85"/>
      <c r="CG156" s="85"/>
      <c r="CH156" s="85"/>
      <c r="CI156" s="85"/>
      <c r="CJ156" s="85"/>
      <c r="CK156" s="85"/>
      <c r="CL156" s="85"/>
      <c r="CM156" s="85"/>
      <c r="CN156" s="79"/>
      <c r="CO156" s="79"/>
    </row>
    <row r="157" spans="2:93" s="69" customFormat="1" ht="15" customHeight="1">
      <c r="C157" s="1476" t="s">
        <v>12</v>
      </c>
      <c r="D157" s="464">
        <v>0</v>
      </c>
      <c r="E157" s="144">
        <v>0</v>
      </c>
      <c r="F157" s="144" t="s">
        <v>42</v>
      </c>
      <c r="G157" s="146" t="s">
        <v>395</v>
      </c>
      <c r="H157" s="119">
        <f t="shared" si="68"/>
        <v>0</v>
      </c>
      <c r="I157" s="119">
        <f t="shared" si="69"/>
        <v>0</v>
      </c>
      <c r="J157" s="145">
        <v>0</v>
      </c>
      <c r="K157" s="119">
        <f t="shared" ca="1" si="70"/>
        <v>0</v>
      </c>
      <c r="L157" s="119">
        <f t="shared" ca="1" si="71"/>
        <v>0</v>
      </c>
      <c r="M157" s="2312"/>
      <c r="N157" s="2313"/>
      <c r="O157" s="2313"/>
      <c r="P157" s="2313"/>
      <c r="R157" s="1181"/>
      <c r="S157" s="197"/>
      <c r="T157" s="1295"/>
      <c r="U157" s="1295"/>
      <c r="V157" s="1308"/>
      <c r="W157" s="1308"/>
      <c r="X157" s="1310"/>
      <c r="Y157" s="197"/>
      <c r="Z157" s="197"/>
      <c r="AA157" s="1311">
        <f t="shared" si="62"/>
        <v>0</v>
      </c>
      <c r="AB157" s="1311">
        <f t="shared" ca="1" si="63"/>
        <v>0</v>
      </c>
      <c r="AC157" s="197"/>
      <c r="AD157" s="197"/>
      <c r="AE157" s="197"/>
      <c r="AF157" s="1313"/>
      <c r="AG157" s="1256"/>
      <c r="AH157" s="1256"/>
      <c r="AI157" s="1256"/>
      <c r="AJ157" s="85"/>
      <c r="AK157" s="85"/>
      <c r="AL157" s="85"/>
      <c r="AM157" s="85"/>
      <c r="AN157" s="85"/>
      <c r="AO157" s="85"/>
      <c r="AP157" s="85"/>
      <c r="AQ157" s="85"/>
      <c r="AR157" s="85"/>
      <c r="AS157" s="85"/>
      <c r="AT157" s="85"/>
      <c r="AU157" s="85"/>
      <c r="AV157" s="85"/>
      <c r="AW157" s="85"/>
      <c r="AX157" s="85"/>
      <c r="AY157" s="85"/>
      <c r="AZ157" s="85"/>
      <c r="BA157" s="85"/>
      <c r="BB157" s="85"/>
      <c r="BC157" s="85"/>
      <c r="BD157" s="85"/>
      <c r="BE157" s="85"/>
      <c r="BF157" s="85"/>
      <c r="BG157" s="85"/>
      <c r="BH157" s="85"/>
      <c r="BI157" s="85"/>
      <c r="BJ157" s="85"/>
      <c r="BK157" s="85"/>
      <c r="BL157" s="85"/>
      <c r="BM157" s="85"/>
      <c r="BN157" s="85"/>
      <c r="BO157" s="85"/>
      <c r="BP157" s="85"/>
      <c r="BQ157" s="85"/>
      <c r="BR157" s="85"/>
      <c r="BS157" s="85"/>
      <c r="BT157" s="85"/>
      <c r="BU157" s="85"/>
      <c r="BV157" s="85"/>
      <c r="BW157" s="85"/>
      <c r="BX157" s="85"/>
      <c r="BY157" s="85"/>
      <c r="BZ157" s="85"/>
      <c r="CA157" s="85"/>
      <c r="CB157" s="85"/>
      <c r="CC157" s="85"/>
      <c r="CD157" s="85"/>
      <c r="CE157" s="85"/>
      <c r="CF157" s="85"/>
      <c r="CG157" s="85"/>
      <c r="CH157" s="85"/>
      <c r="CI157" s="85"/>
      <c r="CJ157" s="85"/>
      <c r="CK157" s="85"/>
      <c r="CL157" s="85"/>
      <c r="CM157" s="85"/>
      <c r="CN157" s="79"/>
      <c r="CO157" s="79"/>
    </row>
    <row r="158" spans="2:93" s="69" customFormat="1" ht="15" customHeight="1">
      <c r="C158" s="13" t="s">
        <v>12</v>
      </c>
      <c r="D158" s="463">
        <v>0</v>
      </c>
      <c r="E158" s="138">
        <v>0</v>
      </c>
      <c r="F158" s="138" t="s">
        <v>42</v>
      </c>
      <c r="G158" s="142" t="s">
        <v>395</v>
      </c>
      <c r="H158" s="118">
        <f t="shared" si="68"/>
        <v>0</v>
      </c>
      <c r="I158" s="118">
        <f t="shared" si="69"/>
        <v>0</v>
      </c>
      <c r="J158" s="140">
        <v>0</v>
      </c>
      <c r="K158" s="118">
        <f t="shared" ca="1" si="70"/>
        <v>0</v>
      </c>
      <c r="L158" s="118">
        <f t="shared" ca="1" si="71"/>
        <v>0</v>
      </c>
      <c r="M158" s="2310"/>
      <c r="N158" s="2311"/>
      <c r="O158" s="2311"/>
      <c r="P158" s="2311"/>
      <c r="R158" s="1181"/>
      <c r="S158" s="197"/>
      <c r="T158" s="1295"/>
      <c r="U158" s="1295"/>
      <c r="V158" s="1308"/>
      <c r="W158" s="1308"/>
      <c r="X158" s="1310"/>
      <c r="Y158" s="197"/>
      <c r="Z158" s="197"/>
      <c r="AA158" s="1311">
        <f t="shared" si="62"/>
        <v>0</v>
      </c>
      <c r="AB158" s="1311">
        <f t="shared" ca="1" si="63"/>
        <v>0</v>
      </c>
      <c r="AC158" s="197"/>
      <c r="AD158" s="197"/>
      <c r="AE158" s="197"/>
      <c r="AF158" s="1313"/>
      <c r="AG158" s="1256"/>
      <c r="AH158" s="1256"/>
      <c r="AI158" s="1256"/>
      <c r="AJ158" s="85"/>
      <c r="AK158" s="85"/>
      <c r="AL158" s="85"/>
      <c r="AM158" s="85"/>
      <c r="AN158" s="85"/>
      <c r="AO158" s="85"/>
      <c r="AP158" s="85"/>
      <c r="AQ158" s="85"/>
      <c r="AR158" s="85"/>
      <c r="AS158" s="85"/>
      <c r="AT158" s="85"/>
      <c r="AU158" s="85"/>
      <c r="AV158" s="85"/>
      <c r="AW158" s="85"/>
      <c r="AX158" s="85"/>
      <c r="AY158" s="85"/>
      <c r="AZ158" s="85"/>
      <c r="BA158" s="85"/>
      <c r="BB158" s="85"/>
      <c r="BC158" s="85"/>
      <c r="BD158" s="85"/>
      <c r="BE158" s="85"/>
      <c r="BF158" s="85"/>
      <c r="BG158" s="85"/>
      <c r="BH158" s="85"/>
      <c r="BI158" s="85"/>
      <c r="BJ158" s="85"/>
      <c r="BK158" s="85"/>
      <c r="BL158" s="85"/>
      <c r="BM158" s="85"/>
      <c r="BN158" s="85"/>
      <c r="BO158" s="85"/>
      <c r="BP158" s="85"/>
      <c r="BQ158" s="85"/>
      <c r="BR158" s="85"/>
      <c r="BS158" s="85"/>
      <c r="BT158" s="85"/>
      <c r="BU158" s="85"/>
      <c r="BV158" s="85"/>
      <c r="BW158" s="85"/>
      <c r="BX158" s="85"/>
      <c r="BY158" s="85"/>
      <c r="BZ158" s="85"/>
      <c r="CA158" s="85"/>
      <c r="CB158" s="85"/>
      <c r="CC158" s="85"/>
      <c r="CD158" s="85"/>
      <c r="CE158" s="85"/>
      <c r="CF158" s="85"/>
      <c r="CG158" s="85"/>
      <c r="CH158" s="85"/>
      <c r="CI158" s="85"/>
      <c r="CJ158" s="85"/>
      <c r="CK158" s="85"/>
      <c r="CL158" s="85"/>
      <c r="CM158" s="85"/>
      <c r="CN158" s="79"/>
      <c r="CO158" s="79"/>
    </row>
    <row r="159" spans="2:93" s="69" customFormat="1" ht="15" customHeight="1">
      <c r="C159" s="466" t="s">
        <v>12</v>
      </c>
      <c r="D159" s="464">
        <v>0</v>
      </c>
      <c r="E159" s="144">
        <v>0</v>
      </c>
      <c r="F159" s="144" t="s">
        <v>42</v>
      </c>
      <c r="G159" s="146" t="s">
        <v>395</v>
      </c>
      <c r="H159" s="119">
        <f t="shared" si="68"/>
        <v>0</v>
      </c>
      <c r="I159" s="119">
        <f t="shared" si="69"/>
        <v>0</v>
      </c>
      <c r="J159" s="145">
        <v>0</v>
      </c>
      <c r="K159" s="119">
        <f t="shared" ca="1" si="70"/>
        <v>0</v>
      </c>
      <c r="L159" s="119">
        <f t="shared" ca="1" si="71"/>
        <v>0</v>
      </c>
      <c r="M159" s="2312"/>
      <c r="N159" s="2313"/>
      <c r="O159" s="2313"/>
      <c r="P159" s="2313"/>
      <c r="R159" s="1181"/>
      <c r="S159" s="197"/>
      <c r="T159" s="1295"/>
      <c r="U159" s="1295"/>
      <c r="V159" s="1308"/>
      <c r="W159" s="1308"/>
      <c r="X159" s="1310"/>
      <c r="Y159" s="197"/>
      <c r="Z159" s="197"/>
      <c r="AA159" s="1311">
        <f t="shared" si="62"/>
        <v>0</v>
      </c>
      <c r="AB159" s="1311">
        <f t="shared" ca="1" si="63"/>
        <v>0</v>
      </c>
      <c r="AC159" s="197"/>
      <c r="AD159" s="197"/>
      <c r="AE159" s="197"/>
      <c r="AF159" s="1313"/>
      <c r="AG159" s="1256"/>
      <c r="AH159" s="1256"/>
      <c r="AI159" s="1256"/>
      <c r="AJ159" s="85"/>
      <c r="AK159" s="85"/>
      <c r="AL159" s="85"/>
      <c r="AM159" s="85"/>
      <c r="AN159" s="85"/>
      <c r="AO159" s="85"/>
      <c r="AP159" s="85"/>
      <c r="AQ159" s="85"/>
      <c r="AR159" s="85"/>
      <c r="AS159" s="85"/>
      <c r="AT159" s="85"/>
      <c r="AU159" s="85"/>
      <c r="AV159" s="85"/>
      <c r="AW159" s="85"/>
      <c r="AX159" s="85"/>
      <c r="AY159" s="85"/>
      <c r="AZ159" s="85"/>
      <c r="BA159" s="85"/>
      <c r="BB159" s="85"/>
      <c r="BC159" s="85"/>
      <c r="BD159" s="85"/>
      <c r="BE159" s="85"/>
      <c r="BF159" s="85"/>
      <c r="BG159" s="85"/>
      <c r="BH159" s="85"/>
      <c r="BI159" s="85"/>
      <c r="BJ159" s="85"/>
      <c r="BK159" s="85"/>
      <c r="BL159" s="85"/>
      <c r="BM159" s="85"/>
      <c r="BN159" s="85"/>
      <c r="BO159" s="85"/>
      <c r="BP159" s="85"/>
      <c r="BQ159" s="85"/>
      <c r="BR159" s="85"/>
      <c r="BS159" s="85"/>
      <c r="BT159" s="85"/>
      <c r="BU159" s="85"/>
      <c r="BV159" s="85"/>
      <c r="BW159" s="85"/>
      <c r="BX159" s="85"/>
      <c r="BY159" s="85"/>
      <c r="BZ159" s="85"/>
      <c r="CA159" s="85"/>
      <c r="CB159" s="85"/>
      <c r="CC159" s="85"/>
      <c r="CD159" s="85"/>
      <c r="CE159" s="85"/>
      <c r="CF159" s="85"/>
      <c r="CG159" s="85"/>
      <c r="CH159" s="85"/>
      <c r="CI159" s="85"/>
      <c r="CJ159" s="85"/>
      <c r="CK159" s="85"/>
      <c r="CL159" s="85"/>
      <c r="CM159" s="85"/>
      <c r="CN159" s="79"/>
      <c r="CO159" s="79"/>
    </row>
    <row r="160" spans="2:93" s="69" customFormat="1" ht="15" customHeight="1">
      <c r="C160" s="1477" t="s">
        <v>12</v>
      </c>
      <c r="D160" s="463">
        <v>0</v>
      </c>
      <c r="E160" s="138">
        <v>0</v>
      </c>
      <c r="F160" s="138" t="s">
        <v>42</v>
      </c>
      <c r="G160" s="142" t="s">
        <v>395</v>
      </c>
      <c r="H160" s="118">
        <f t="shared" si="68"/>
        <v>0</v>
      </c>
      <c r="I160" s="118">
        <f t="shared" si="69"/>
        <v>0</v>
      </c>
      <c r="J160" s="140">
        <v>0</v>
      </c>
      <c r="K160" s="118">
        <f t="shared" ca="1" si="70"/>
        <v>0</v>
      </c>
      <c r="L160" s="118">
        <f t="shared" ca="1" si="71"/>
        <v>0</v>
      </c>
      <c r="M160" s="2310"/>
      <c r="N160" s="2311"/>
      <c r="O160" s="2311"/>
      <c r="P160" s="2311"/>
      <c r="R160" s="1181"/>
      <c r="S160" s="197"/>
      <c r="T160" s="1295"/>
      <c r="U160" s="1295"/>
      <c r="V160" s="1308"/>
      <c r="W160" s="1308"/>
      <c r="X160" s="1310"/>
      <c r="Y160" s="197"/>
      <c r="Z160" s="197"/>
      <c r="AA160" s="1311">
        <f t="shared" si="62"/>
        <v>0</v>
      </c>
      <c r="AB160" s="1311">
        <f t="shared" ca="1" si="63"/>
        <v>0</v>
      </c>
      <c r="AC160" s="197"/>
      <c r="AD160" s="197"/>
      <c r="AE160" s="197"/>
      <c r="AF160" s="1313"/>
      <c r="AG160" s="1256"/>
      <c r="AH160" s="1256"/>
      <c r="AI160" s="1256"/>
      <c r="AJ160" s="85"/>
      <c r="AK160" s="85"/>
      <c r="AL160" s="85"/>
      <c r="AM160" s="85"/>
      <c r="AN160" s="85"/>
      <c r="AO160" s="85"/>
      <c r="AP160" s="85"/>
      <c r="AQ160" s="85"/>
      <c r="AR160" s="85"/>
      <c r="AS160" s="85"/>
      <c r="AT160" s="85"/>
      <c r="AU160" s="85"/>
      <c r="AV160" s="85"/>
      <c r="AW160" s="85"/>
      <c r="AX160" s="85"/>
      <c r="AY160" s="85"/>
      <c r="AZ160" s="85"/>
      <c r="BA160" s="85"/>
      <c r="BB160" s="85"/>
      <c r="BC160" s="85"/>
      <c r="BD160" s="85"/>
      <c r="BE160" s="85"/>
      <c r="BF160" s="85"/>
      <c r="BG160" s="85"/>
      <c r="BH160" s="85"/>
      <c r="BI160" s="85"/>
      <c r="BJ160" s="85"/>
      <c r="BK160" s="85"/>
      <c r="BL160" s="85"/>
      <c r="BM160" s="85"/>
      <c r="BN160" s="85"/>
      <c r="BO160" s="85"/>
      <c r="BP160" s="85"/>
      <c r="BQ160" s="85"/>
      <c r="BR160" s="85"/>
      <c r="BS160" s="85"/>
      <c r="BT160" s="85"/>
      <c r="BU160" s="85"/>
      <c r="BV160" s="85"/>
      <c r="BW160" s="85"/>
      <c r="BX160" s="85"/>
      <c r="BY160" s="85"/>
      <c r="BZ160" s="85"/>
      <c r="CA160" s="85"/>
      <c r="CB160" s="85"/>
      <c r="CC160" s="85"/>
      <c r="CD160" s="85"/>
      <c r="CE160" s="85"/>
      <c r="CF160" s="85"/>
      <c r="CG160" s="85"/>
      <c r="CH160" s="85"/>
      <c r="CI160" s="85"/>
      <c r="CJ160" s="85"/>
      <c r="CK160" s="85"/>
      <c r="CL160" s="85"/>
      <c r="CM160" s="85"/>
      <c r="CN160" s="79"/>
      <c r="CO160" s="79"/>
    </row>
    <row r="161" spans="2:93" s="69" customFormat="1" ht="15" customHeight="1">
      <c r="C161" s="1476" t="s">
        <v>12</v>
      </c>
      <c r="D161" s="464">
        <v>0</v>
      </c>
      <c r="E161" s="144">
        <v>0</v>
      </c>
      <c r="F161" s="144" t="s">
        <v>42</v>
      </c>
      <c r="G161" s="2042" t="s">
        <v>395</v>
      </c>
      <c r="H161" s="119">
        <f t="shared" si="68"/>
        <v>0</v>
      </c>
      <c r="I161" s="119">
        <f t="shared" si="69"/>
        <v>0</v>
      </c>
      <c r="J161" s="145">
        <v>0</v>
      </c>
      <c r="K161" s="119">
        <f t="shared" ca="1" si="70"/>
        <v>0</v>
      </c>
      <c r="L161" s="119">
        <f t="shared" ca="1" si="71"/>
        <v>0</v>
      </c>
      <c r="M161" s="2312"/>
      <c r="N161" s="2313"/>
      <c r="O161" s="2313"/>
      <c r="P161" s="2313"/>
      <c r="R161" s="1181"/>
      <c r="S161" s="197"/>
      <c r="T161" s="1295"/>
      <c r="U161" s="1295"/>
      <c r="V161" s="1308"/>
      <c r="W161" s="1308"/>
      <c r="X161" s="1310"/>
      <c r="Y161" s="197"/>
      <c r="Z161" s="197"/>
      <c r="AA161" s="1311">
        <f t="shared" si="62"/>
        <v>0</v>
      </c>
      <c r="AB161" s="1311">
        <f t="shared" ca="1" si="63"/>
        <v>0</v>
      </c>
      <c r="AC161" s="197"/>
      <c r="AD161" s="197"/>
      <c r="AE161" s="197"/>
      <c r="AF161" s="1313"/>
      <c r="AG161" s="1256"/>
      <c r="AH161" s="1256"/>
      <c r="AI161" s="1256"/>
      <c r="AJ161" s="85"/>
      <c r="AK161" s="85"/>
      <c r="AL161" s="85"/>
      <c r="AM161" s="85"/>
      <c r="AN161" s="85"/>
      <c r="AO161" s="85"/>
      <c r="AP161" s="85"/>
      <c r="AQ161" s="85"/>
      <c r="AR161" s="85"/>
      <c r="AS161" s="85"/>
      <c r="AT161" s="85"/>
      <c r="AU161" s="85"/>
      <c r="AV161" s="85"/>
      <c r="AW161" s="85"/>
      <c r="AX161" s="85"/>
      <c r="AY161" s="85"/>
      <c r="AZ161" s="85"/>
      <c r="BA161" s="85"/>
      <c r="BB161" s="85"/>
      <c r="BC161" s="85"/>
      <c r="BD161" s="85"/>
      <c r="BE161" s="85"/>
      <c r="BF161" s="85"/>
      <c r="BG161" s="85"/>
      <c r="BH161" s="85"/>
      <c r="BI161" s="85"/>
      <c r="BJ161" s="85"/>
      <c r="BK161" s="85"/>
      <c r="BL161" s="85"/>
      <c r="BM161" s="85"/>
      <c r="BN161" s="85"/>
      <c r="BO161" s="85"/>
      <c r="BP161" s="85"/>
      <c r="BQ161" s="85"/>
      <c r="BR161" s="85"/>
      <c r="BS161" s="85"/>
      <c r="BT161" s="85"/>
      <c r="BU161" s="85"/>
      <c r="BV161" s="85"/>
      <c r="BW161" s="85"/>
      <c r="BX161" s="85"/>
      <c r="BY161" s="85"/>
      <c r="BZ161" s="85"/>
      <c r="CA161" s="85"/>
      <c r="CB161" s="85"/>
      <c r="CC161" s="85"/>
      <c r="CD161" s="85"/>
      <c r="CE161" s="85"/>
      <c r="CF161" s="85"/>
      <c r="CG161" s="85"/>
      <c r="CH161" s="85"/>
      <c r="CI161" s="85"/>
      <c r="CJ161" s="85"/>
      <c r="CK161" s="85"/>
      <c r="CL161" s="85"/>
      <c r="CM161" s="85"/>
      <c r="CN161" s="79"/>
      <c r="CO161" s="79"/>
    </row>
    <row r="162" spans="2:93" s="69" customFormat="1" ht="15" customHeight="1">
      <c r="C162" s="13" t="s">
        <v>12</v>
      </c>
      <c r="D162" s="463">
        <v>0</v>
      </c>
      <c r="E162" s="138">
        <v>0</v>
      </c>
      <c r="F162" s="138" t="s">
        <v>42</v>
      </c>
      <c r="G162" s="2043" t="s">
        <v>395</v>
      </c>
      <c r="H162" s="118">
        <f t="shared" si="68"/>
        <v>0</v>
      </c>
      <c r="I162" s="118">
        <f t="shared" si="69"/>
        <v>0</v>
      </c>
      <c r="J162" s="140">
        <v>0</v>
      </c>
      <c r="K162" s="118">
        <f t="shared" ca="1" si="70"/>
        <v>0</v>
      </c>
      <c r="L162" s="118">
        <f t="shared" ca="1" si="71"/>
        <v>0</v>
      </c>
      <c r="M162" s="2310"/>
      <c r="N162" s="2311"/>
      <c r="O162" s="2311"/>
      <c r="P162" s="2311"/>
      <c r="R162" s="1181"/>
      <c r="S162" s="197"/>
      <c r="T162" s="1295"/>
      <c r="U162" s="1295"/>
      <c r="V162" s="1308"/>
      <c r="W162" s="1308"/>
      <c r="X162" s="1310"/>
      <c r="Y162" s="197"/>
      <c r="Z162" s="197"/>
      <c r="AA162" s="1311">
        <f t="shared" si="62"/>
        <v>0</v>
      </c>
      <c r="AB162" s="1311">
        <f t="shared" ca="1" si="63"/>
        <v>0</v>
      </c>
      <c r="AC162" s="197"/>
      <c r="AD162" s="197"/>
      <c r="AE162" s="197"/>
      <c r="AF162" s="1313"/>
      <c r="AG162" s="1256"/>
      <c r="AH162" s="1256"/>
      <c r="AI162" s="1256"/>
      <c r="AJ162" s="85"/>
      <c r="AK162" s="85"/>
      <c r="AL162" s="85"/>
      <c r="AM162" s="85"/>
      <c r="AN162" s="85"/>
      <c r="AO162" s="85"/>
      <c r="AP162" s="85"/>
      <c r="AQ162" s="85"/>
      <c r="AR162" s="85"/>
      <c r="AS162" s="85"/>
      <c r="AT162" s="85"/>
      <c r="AU162" s="85"/>
      <c r="AV162" s="85"/>
      <c r="AW162" s="85"/>
      <c r="AX162" s="85"/>
      <c r="AY162" s="85"/>
      <c r="AZ162" s="85"/>
      <c r="BA162" s="85"/>
      <c r="BB162" s="85"/>
      <c r="BC162" s="85"/>
      <c r="BD162" s="85"/>
      <c r="BE162" s="85"/>
      <c r="BF162" s="85"/>
      <c r="BG162" s="85"/>
      <c r="BH162" s="85"/>
      <c r="BI162" s="85"/>
      <c r="BJ162" s="85"/>
      <c r="BK162" s="85"/>
      <c r="BL162" s="85"/>
      <c r="BM162" s="85"/>
      <c r="BN162" s="85"/>
      <c r="BO162" s="85"/>
      <c r="BP162" s="85"/>
      <c r="BQ162" s="85"/>
      <c r="BR162" s="85"/>
      <c r="BS162" s="85"/>
      <c r="BT162" s="85"/>
      <c r="BU162" s="85"/>
      <c r="BV162" s="85"/>
      <c r="BW162" s="85"/>
      <c r="BX162" s="85"/>
      <c r="BY162" s="85"/>
      <c r="BZ162" s="85"/>
      <c r="CA162" s="85"/>
      <c r="CB162" s="85"/>
      <c r="CC162" s="85"/>
      <c r="CD162" s="85"/>
      <c r="CE162" s="85"/>
      <c r="CF162" s="85"/>
      <c r="CG162" s="85"/>
      <c r="CH162" s="85"/>
      <c r="CI162" s="85"/>
      <c r="CJ162" s="85"/>
      <c r="CK162" s="85"/>
      <c r="CL162" s="85"/>
      <c r="CM162" s="85"/>
      <c r="CN162" s="79"/>
      <c r="CO162" s="79"/>
    </row>
    <row r="163" spans="2:93" s="69" customFormat="1" ht="15" customHeight="1">
      <c r="C163" s="466" t="s">
        <v>12</v>
      </c>
      <c r="D163" s="464">
        <v>0</v>
      </c>
      <c r="E163" s="144">
        <v>0</v>
      </c>
      <c r="F163" s="144" t="s">
        <v>42</v>
      </c>
      <c r="G163" s="2042" t="s">
        <v>395</v>
      </c>
      <c r="H163" s="119">
        <f t="shared" si="68"/>
        <v>0</v>
      </c>
      <c r="I163" s="119">
        <f t="shared" si="69"/>
        <v>0</v>
      </c>
      <c r="J163" s="145">
        <v>0</v>
      </c>
      <c r="K163" s="119">
        <f t="shared" ca="1" si="70"/>
        <v>0</v>
      </c>
      <c r="L163" s="119">
        <f t="shared" ca="1" si="71"/>
        <v>0</v>
      </c>
      <c r="M163" s="2312"/>
      <c r="N163" s="2313"/>
      <c r="O163" s="2313"/>
      <c r="P163" s="2313"/>
      <c r="R163" s="1181"/>
      <c r="S163" s="197"/>
      <c r="T163" s="1295"/>
      <c r="U163" s="1295"/>
      <c r="V163" s="1308"/>
      <c r="W163" s="1308"/>
      <c r="X163" s="1310"/>
      <c r="Y163" s="197"/>
      <c r="Z163" s="197"/>
      <c r="AA163" s="1311">
        <f t="shared" si="62"/>
        <v>0</v>
      </c>
      <c r="AB163" s="1311">
        <f t="shared" ca="1" si="63"/>
        <v>0</v>
      </c>
      <c r="AC163" s="197"/>
      <c r="AD163" s="197"/>
      <c r="AE163" s="197"/>
      <c r="AF163" s="1313"/>
      <c r="AG163" s="1256"/>
      <c r="AH163" s="1256"/>
      <c r="AI163" s="1256"/>
      <c r="AJ163" s="85"/>
      <c r="AK163" s="85"/>
      <c r="AL163" s="85"/>
      <c r="AM163" s="85"/>
      <c r="AN163" s="85"/>
      <c r="AO163" s="85"/>
      <c r="AP163" s="85"/>
      <c r="AQ163" s="85"/>
      <c r="AR163" s="85"/>
      <c r="AS163" s="85"/>
      <c r="AT163" s="85"/>
      <c r="AU163" s="85"/>
      <c r="AV163" s="85"/>
      <c r="AW163" s="85"/>
      <c r="AX163" s="85"/>
      <c r="AY163" s="85"/>
      <c r="AZ163" s="85"/>
      <c r="BA163" s="85"/>
      <c r="BB163" s="85"/>
      <c r="BC163" s="85"/>
      <c r="BD163" s="85"/>
      <c r="BE163" s="85"/>
      <c r="BF163" s="85"/>
      <c r="BG163" s="85"/>
      <c r="BH163" s="85"/>
      <c r="BI163" s="85"/>
      <c r="BJ163" s="85"/>
      <c r="BK163" s="85"/>
      <c r="BL163" s="85"/>
      <c r="BM163" s="85"/>
      <c r="BN163" s="85"/>
      <c r="BO163" s="85"/>
      <c r="BP163" s="85"/>
      <c r="BQ163" s="85"/>
      <c r="BR163" s="85"/>
      <c r="BS163" s="85"/>
      <c r="BT163" s="85"/>
      <c r="BU163" s="85"/>
      <c r="BV163" s="85"/>
      <c r="BW163" s="85"/>
      <c r="BX163" s="85"/>
      <c r="BY163" s="85"/>
      <c r="BZ163" s="85"/>
      <c r="CA163" s="85"/>
      <c r="CB163" s="85"/>
      <c r="CC163" s="85"/>
      <c r="CD163" s="85"/>
      <c r="CE163" s="85"/>
      <c r="CF163" s="85"/>
      <c r="CG163" s="85"/>
      <c r="CH163" s="85"/>
      <c r="CI163" s="85"/>
      <c r="CJ163" s="85"/>
      <c r="CK163" s="85"/>
      <c r="CL163" s="85"/>
      <c r="CM163" s="85"/>
      <c r="CN163" s="79"/>
      <c r="CO163" s="79"/>
    </row>
    <row r="164" spans="2:93" s="69" customFormat="1" ht="15" customHeight="1">
      <c r="C164" s="13" t="s">
        <v>12</v>
      </c>
      <c r="D164" s="463">
        <v>0</v>
      </c>
      <c r="E164" s="138">
        <v>0</v>
      </c>
      <c r="F164" s="2559" t="s">
        <v>2306</v>
      </c>
      <c r="G164" s="2043" t="s">
        <v>395</v>
      </c>
      <c r="H164" s="118">
        <f t="shared" si="68"/>
        <v>0</v>
      </c>
      <c r="I164" s="118">
        <f t="shared" si="69"/>
        <v>0</v>
      </c>
      <c r="J164" s="140">
        <v>0</v>
      </c>
      <c r="K164" s="118">
        <f t="shared" ca="1" si="70"/>
        <v>0</v>
      </c>
      <c r="L164" s="118">
        <f t="shared" ca="1" si="71"/>
        <v>0</v>
      </c>
      <c r="M164" s="2310"/>
      <c r="N164" s="2311"/>
      <c r="O164" s="2311"/>
      <c r="P164" s="2311"/>
      <c r="R164" s="1181"/>
      <c r="S164" s="197"/>
      <c r="T164" s="1295"/>
      <c r="U164" s="1295"/>
      <c r="V164" s="1308"/>
      <c r="W164" s="1308"/>
      <c r="X164" s="1310"/>
      <c r="Y164" s="197"/>
      <c r="Z164" s="197"/>
      <c r="AA164" s="1311">
        <f t="shared" si="62"/>
        <v>0</v>
      </c>
      <c r="AB164" s="1311">
        <f t="shared" ca="1" si="63"/>
        <v>0</v>
      </c>
      <c r="AC164" s="197"/>
      <c r="AD164" s="197"/>
      <c r="AE164" s="197"/>
      <c r="AF164" s="1313"/>
      <c r="AG164" s="1256"/>
      <c r="AH164" s="1256"/>
      <c r="AI164" s="1256"/>
      <c r="AJ164" s="85"/>
      <c r="AK164" s="85"/>
      <c r="AL164" s="85"/>
      <c r="AM164" s="85"/>
      <c r="AN164" s="85"/>
      <c r="AO164" s="85"/>
      <c r="AP164" s="85"/>
      <c r="AQ164" s="85"/>
      <c r="AR164" s="85"/>
      <c r="AS164" s="85"/>
      <c r="AT164" s="85"/>
      <c r="AU164" s="85"/>
      <c r="AV164" s="85"/>
      <c r="AW164" s="85"/>
      <c r="AX164" s="85"/>
      <c r="AY164" s="85"/>
      <c r="AZ164" s="85"/>
      <c r="BA164" s="85"/>
      <c r="BB164" s="85"/>
      <c r="BC164" s="85"/>
      <c r="BD164" s="85"/>
      <c r="BE164" s="85"/>
      <c r="BF164" s="85"/>
      <c r="BG164" s="85"/>
      <c r="BH164" s="85"/>
      <c r="BI164" s="85"/>
      <c r="BJ164" s="85"/>
      <c r="BK164" s="85"/>
      <c r="BL164" s="85"/>
      <c r="BM164" s="85"/>
      <c r="BN164" s="85"/>
      <c r="BO164" s="85"/>
      <c r="BP164" s="85"/>
      <c r="BQ164" s="85"/>
      <c r="BR164" s="85"/>
      <c r="BS164" s="85"/>
      <c r="BT164" s="85"/>
      <c r="BU164" s="85"/>
      <c r="BV164" s="85"/>
      <c r="BW164" s="85"/>
      <c r="BX164" s="85"/>
      <c r="BY164" s="85"/>
      <c r="BZ164" s="85"/>
      <c r="CA164" s="85"/>
      <c r="CB164" s="85"/>
      <c r="CC164" s="85"/>
      <c r="CD164" s="85"/>
      <c r="CE164" s="85"/>
      <c r="CF164" s="85"/>
      <c r="CG164" s="85"/>
      <c r="CH164" s="85"/>
      <c r="CI164" s="85"/>
      <c r="CJ164" s="85"/>
      <c r="CK164" s="85"/>
      <c r="CL164" s="85"/>
      <c r="CM164" s="85"/>
      <c r="CN164" s="79"/>
      <c r="CO164" s="79"/>
    </row>
    <row r="165" spans="2:93" s="69" customFormat="1" ht="15" customHeight="1">
      <c r="C165" s="1476" t="s">
        <v>12</v>
      </c>
      <c r="D165" s="464">
        <v>0</v>
      </c>
      <c r="E165" s="144">
        <v>0</v>
      </c>
      <c r="F165" s="1478" t="s">
        <v>2306</v>
      </c>
      <c r="G165" s="2042" t="s">
        <v>395</v>
      </c>
      <c r="H165" s="119">
        <f>IF(ISNUMBER(I165),I165/12,0)</f>
        <v>0</v>
      </c>
      <c r="I165" s="119">
        <f>IF(ISNUMBER(E165),IF(E165&gt;0,D165*E165,0),"")</f>
        <v>0</v>
      </c>
      <c r="J165" s="145">
        <v>0</v>
      </c>
      <c r="K165" s="119">
        <f ca="1">IF(ISNUMBER(L165),L165/12,"")</f>
        <v>0</v>
      </c>
      <c r="L165" s="119">
        <f ca="1">IF(ISNUMBER(I165),IF(F165="Y",FV($N$5,$O$5,0,I165*-1)+(J165*12),I165+(J165*12)),"")</f>
        <v>0</v>
      </c>
      <c r="M165" s="2312"/>
      <c r="N165" s="2313"/>
      <c r="O165" s="2313"/>
      <c r="P165" s="2313"/>
      <c r="R165" s="1181"/>
      <c r="S165" s="197"/>
      <c r="T165" s="1295"/>
      <c r="U165" s="1295"/>
      <c r="V165" s="1308"/>
      <c r="W165" s="1308"/>
      <c r="X165" s="1310"/>
      <c r="Y165" s="197"/>
      <c r="Z165" s="197"/>
      <c r="AA165" s="1311"/>
      <c r="AB165" s="1311"/>
      <c r="AC165" s="197"/>
      <c r="AD165" s="197"/>
      <c r="AE165" s="197"/>
      <c r="AF165" s="1313"/>
      <c r="AG165" s="1256"/>
      <c r="AH165" s="1256"/>
      <c r="AI165" s="1256"/>
      <c r="AJ165" s="85"/>
      <c r="AK165" s="85"/>
      <c r="AL165" s="85"/>
      <c r="AM165" s="85"/>
      <c r="AN165" s="85"/>
      <c r="AO165" s="85"/>
      <c r="AP165" s="85"/>
      <c r="AQ165" s="85"/>
      <c r="AR165" s="85"/>
      <c r="AS165" s="85"/>
      <c r="AT165" s="85"/>
      <c r="AU165" s="85"/>
      <c r="AV165" s="85"/>
      <c r="AW165" s="85"/>
      <c r="AX165" s="85"/>
      <c r="AY165" s="85"/>
      <c r="AZ165" s="85"/>
      <c r="BA165" s="85"/>
      <c r="BB165" s="85"/>
      <c r="BC165" s="85"/>
      <c r="BD165" s="85"/>
      <c r="BE165" s="85"/>
      <c r="BF165" s="85"/>
      <c r="BG165" s="85"/>
      <c r="BH165" s="85"/>
      <c r="BI165" s="85"/>
      <c r="BJ165" s="85"/>
      <c r="BK165" s="85"/>
      <c r="BL165" s="85"/>
      <c r="BM165" s="85"/>
      <c r="BN165" s="85"/>
      <c r="BO165" s="85"/>
      <c r="BP165" s="85"/>
      <c r="BQ165" s="85"/>
      <c r="BR165" s="85"/>
      <c r="BS165" s="85"/>
      <c r="BT165" s="85"/>
      <c r="BU165" s="85"/>
      <c r="BV165" s="85"/>
      <c r="BW165" s="85"/>
      <c r="BX165" s="85"/>
      <c r="BY165" s="85"/>
      <c r="BZ165" s="85"/>
      <c r="CA165" s="85"/>
      <c r="CB165" s="85"/>
      <c r="CC165" s="85"/>
      <c r="CD165" s="85"/>
      <c r="CE165" s="85"/>
      <c r="CF165" s="85"/>
      <c r="CG165" s="85"/>
      <c r="CH165" s="85"/>
      <c r="CI165" s="85"/>
      <c r="CJ165" s="85"/>
      <c r="CK165" s="85"/>
      <c r="CL165" s="85"/>
      <c r="CM165" s="85"/>
      <c r="CN165" s="79"/>
      <c r="CO165" s="79"/>
    </row>
    <row r="166" spans="2:93" s="69" customFormat="1" ht="15" customHeight="1">
      <c r="C166" s="13" t="s">
        <v>12</v>
      </c>
      <c r="D166" s="463">
        <v>0</v>
      </c>
      <c r="E166" s="138">
        <v>0</v>
      </c>
      <c r="F166" s="138" t="s">
        <v>42</v>
      </c>
      <c r="G166" s="2043" t="s">
        <v>395</v>
      </c>
      <c r="H166" s="118">
        <f>IF(ISNUMBER(I166),I166/12,0)</f>
        <v>0</v>
      </c>
      <c r="I166" s="118">
        <f>IF(ISNUMBER(E166),IF(E166&gt;0,D166*E166,0),"")</f>
        <v>0</v>
      </c>
      <c r="J166" s="140">
        <v>0</v>
      </c>
      <c r="K166" s="118">
        <f ca="1">IF(ISNUMBER(L166),L166/12,"")</f>
        <v>0</v>
      </c>
      <c r="L166" s="118">
        <f ca="1">IF(ISNUMBER(I166),IF(F166="Y",FV($N$5,$O$5,0,I166*-1)+(J166*12),I166+(J166*12)),"")</f>
        <v>0</v>
      </c>
      <c r="M166" s="2310"/>
      <c r="N166" s="2311"/>
      <c r="O166" s="2311"/>
      <c r="P166" s="2311"/>
      <c r="R166" s="1181"/>
      <c r="S166" s="197"/>
      <c r="T166" s="1295"/>
      <c r="U166" s="1295"/>
      <c r="V166" s="1308"/>
      <c r="W166" s="1308"/>
      <c r="X166" s="1310"/>
      <c r="Y166" s="197"/>
      <c r="Z166" s="197"/>
      <c r="AA166" s="1311"/>
      <c r="AB166" s="1311"/>
      <c r="AC166" s="197"/>
      <c r="AD166" s="197"/>
      <c r="AE166" s="197"/>
      <c r="AF166" s="1313"/>
      <c r="AG166" s="1256"/>
      <c r="AH166" s="1256"/>
      <c r="AI166" s="1256"/>
      <c r="AJ166" s="85"/>
      <c r="AK166" s="85"/>
      <c r="AL166" s="85"/>
      <c r="AM166" s="85"/>
      <c r="AN166" s="85"/>
      <c r="AO166" s="85"/>
      <c r="AP166" s="85"/>
      <c r="AQ166" s="85"/>
      <c r="AR166" s="85"/>
      <c r="AS166" s="85"/>
      <c r="AT166" s="85"/>
      <c r="AU166" s="85"/>
      <c r="AV166" s="85"/>
      <c r="AW166" s="85"/>
      <c r="AX166" s="85"/>
      <c r="AY166" s="85"/>
      <c r="AZ166" s="85"/>
      <c r="BA166" s="85"/>
      <c r="BB166" s="85"/>
      <c r="BC166" s="85"/>
      <c r="BD166" s="85"/>
      <c r="BE166" s="85"/>
      <c r="BF166" s="85"/>
      <c r="BG166" s="85"/>
      <c r="BH166" s="85"/>
      <c r="BI166" s="85"/>
      <c r="BJ166" s="85"/>
      <c r="BK166" s="85"/>
      <c r="BL166" s="85"/>
      <c r="BM166" s="85"/>
      <c r="BN166" s="85"/>
      <c r="BO166" s="85"/>
      <c r="BP166" s="85"/>
      <c r="BQ166" s="85"/>
      <c r="BR166" s="85"/>
      <c r="BS166" s="85"/>
      <c r="BT166" s="85"/>
      <c r="BU166" s="85"/>
      <c r="BV166" s="85"/>
      <c r="BW166" s="85"/>
      <c r="BX166" s="85"/>
      <c r="BY166" s="85"/>
      <c r="BZ166" s="85"/>
      <c r="CA166" s="85"/>
      <c r="CB166" s="85"/>
      <c r="CC166" s="85"/>
      <c r="CD166" s="85"/>
      <c r="CE166" s="85"/>
      <c r="CF166" s="85"/>
      <c r="CG166" s="85"/>
      <c r="CH166" s="85"/>
      <c r="CI166" s="85"/>
      <c r="CJ166" s="85"/>
      <c r="CK166" s="85"/>
      <c r="CL166" s="85"/>
      <c r="CM166" s="85"/>
      <c r="CN166" s="79"/>
      <c r="CO166" s="79"/>
    </row>
    <row r="167" spans="2:93" s="69" customFormat="1" ht="15" customHeight="1">
      <c r="C167" s="466" t="s">
        <v>12</v>
      </c>
      <c r="D167" s="464">
        <v>0</v>
      </c>
      <c r="E167" s="144">
        <v>0</v>
      </c>
      <c r="F167" s="144" t="s">
        <v>42</v>
      </c>
      <c r="G167" s="2042" t="s">
        <v>395</v>
      </c>
      <c r="H167" s="119">
        <f t="shared" si="68"/>
        <v>0</v>
      </c>
      <c r="I167" s="119">
        <f t="shared" si="69"/>
        <v>0</v>
      </c>
      <c r="J167" s="145">
        <v>0</v>
      </c>
      <c r="K167" s="119">
        <f ca="1">IF(ISNUMBER(L167),L167/12,"")</f>
        <v>0</v>
      </c>
      <c r="L167" s="119">
        <f t="shared" ca="1" si="71"/>
        <v>0</v>
      </c>
      <c r="M167" s="2312"/>
      <c r="N167" s="2313"/>
      <c r="O167" s="2313"/>
      <c r="P167" s="2313"/>
      <c r="R167" s="1181"/>
      <c r="S167" s="197"/>
      <c r="T167" s="1295"/>
      <c r="U167" s="1295"/>
      <c r="V167" s="1308"/>
      <c r="W167" s="1308"/>
      <c r="X167" s="1310"/>
      <c r="Y167" s="197"/>
      <c r="Z167" s="197"/>
      <c r="AA167" s="1311"/>
      <c r="AB167" s="1311"/>
      <c r="AC167" s="197"/>
      <c r="AD167" s="197"/>
      <c r="AE167" s="197"/>
      <c r="AF167" s="1313"/>
      <c r="AG167" s="1256"/>
      <c r="AH167" s="1256"/>
      <c r="AI167" s="1256"/>
      <c r="AJ167" s="85"/>
      <c r="AK167" s="85"/>
      <c r="AL167" s="85"/>
      <c r="AM167" s="85"/>
      <c r="AN167" s="85"/>
      <c r="AO167" s="85"/>
      <c r="AP167" s="85"/>
      <c r="AQ167" s="85"/>
      <c r="AR167" s="85"/>
      <c r="AS167" s="85"/>
      <c r="AT167" s="85"/>
      <c r="AU167" s="85"/>
      <c r="AV167" s="85"/>
      <c r="AW167" s="85"/>
      <c r="AX167" s="85"/>
      <c r="AY167" s="85"/>
      <c r="AZ167" s="85"/>
      <c r="BA167" s="85"/>
      <c r="BB167" s="85"/>
      <c r="BC167" s="85"/>
      <c r="BD167" s="85"/>
      <c r="BE167" s="85"/>
      <c r="BF167" s="85"/>
      <c r="BG167" s="85"/>
      <c r="BH167" s="85"/>
      <c r="BI167" s="85"/>
      <c r="BJ167" s="85"/>
      <c r="BK167" s="85"/>
      <c r="BL167" s="85"/>
      <c r="BM167" s="85"/>
      <c r="BN167" s="85"/>
      <c r="BO167" s="85"/>
      <c r="BP167" s="85"/>
      <c r="BQ167" s="85"/>
      <c r="BR167" s="85"/>
      <c r="BS167" s="85"/>
      <c r="BT167" s="85"/>
      <c r="BU167" s="85"/>
      <c r="BV167" s="85"/>
      <c r="BW167" s="85"/>
      <c r="BX167" s="85"/>
      <c r="BY167" s="85"/>
      <c r="BZ167" s="85"/>
      <c r="CA167" s="85"/>
      <c r="CB167" s="85"/>
      <c r="CC167" s="85"/>
      <c r="CD167" s="85"/>
      <c r="CE167" s="85"/>
      <c r="CF167" s="85"/>
      <c r="CG167" s="85"/>
      <c r="CH167" s="85"/>
      <c r="CI167" s="85"/>
      <c r="CJ167" s="85"/>
      <c r="CK167" s="85"/>
      <c r="CL167" s="85"/>
      <c r="CM167" s="85"/>
      <c r="CN167" s="79"/>
      <c r="CO167" s="79"/>
    </row>
    <row r="168" spans="2:93" s="69" customFormat="1" ht="15" customHeight="1">
      <c r="C168" s="13" t="s">
        <v>12</v>
      </c>
      <c r="D168" s="463">
        <v>0</v>
      </c>
      <c r="E168" s="138">
        <v>0</v>
      </c>
      <c r="F168" s="138" t="s">
        <v>42</v>
      </c>
      <c r="G168" s="2043" t="s">
        <v>395</v>
      </c>
      <c r="H168" s="118">
        <f t="shared" si="68"/>
        <v>0</v>
      </c>
      <c r="I168" s="118">
        <f t="shared" si="69"/>
        <v>0</v>
      </c>
      <c r="J168" s="140">
        <v>0</v>
      </c>
      <c r="K168" s="118">
        <f ca="1">IF(ISNUMBER(L168),L168/12,"")</f>
        <v>0</v>
      </c>
      <c r="L168" s="118">
        <f t="shared" ca="1" si="71"/>
        <v>0</v>
      </c>
      <c r="M168" s="2310"/>
      <c r="N168" s="2311"/>
      <c r="O168" s="2311"/>
      <c r="P168" s="2311"/>
      <c r="R168" s="1181"/>
      <c r="S168" s="197"/>
      <c r="T168" s="1295"/>
      <c r="U168" s="1295"/>
      <c r="V168" s="1308"/>
      <c r="W168" s="1308"/>
      <c r="X168" s="1310"/>
      <c r="Y168" s="197"/>
      <c r="Z168" s="197"/>
      <c r="AA168" s="1311"/>
      <c r="AB168" s="1311"/>
      <c r="AC168" s="197"/>
      <c r="AD168" s="197"/>
      <c r="AE168" s="197"/>
      <c r="AF168" s="1313"/>
      <c r="AG168" s="1256"/>
      <c r="AH168" s="1256"/>
      <c r="AI168" s="1256"/>
      <c r="AJ168" s="85"/>
      <c r="AK168" s="85"/>
      <c r="AL168" s="85"/>
      <c r="AM168" s="85"/>
      <c r="AN168" s="85"/>
      <c r="AO168" s="85"/>
      <c r="AP168" s="85"/>
      <c r="AQ168" s="85"/>
      <c r="AR168" s="85"/>
      <c r="AS168" s="85"/>
      <c r="AT168" s="85"/>
      <c r="AU168" s="85"/>
      <c r="AV168" s="85"/>
      <c r="AW168" s="85"/>
      <c r="AX168" s="85"/>
      <c r="AY168" s="85"/>
      <c r="AZ168" s="85"/>
      <c r="BA168" s="85"/>
      <c r="BB168" s="85"/>
      <c r="BC168" s="85"/>
      <c r="BD168" s="85"/>
      <c r="BE168" s="85"/>
      <c r="BF168" s="85"/>
      <c r="BG168" s="85"/>
      <c r="BH168" s="85"/>
      <c r="BI168" s="85"/>
      <c r="BJ168" s="85"/>
      <c r="BK168" s="85"/>
      <c r="BL168" s="85"/>
      <c r="BM168" s="85"/>
      <c r="BN168" s="85"/>
      <c r="BO168" s="85"/>
      <c r="BP168" s="85"/>
      <c r="BQ168" s="85"/>
      <c r="BR168" s="85"/>
      <c r="BS168" s="85"/>
      <c r="BT168" s="85"/>
      <c r="BU168" s="85"/>
      <c r="BV168" s="85"/>
      <c r="BW168" s="85"/>
      <c r="BX168" s="85"/>
      <c r="BY168" s="85"/>
      <c r="BZ168" s="85"/>
      <c r="CA168" s="85"/>
      <c r="CB168" s="85"/>
      <c r="CC168" s="85"/>
      <c r="CD168" s="85"/>
      <c r="CE168" s="85"/>
      <c r="CF168" s="85"/>
      <c r="CG168" s="85"/>
      <c r="CH168" s="85"/>
      <c r="CI168" s="85"/>
      <c r="CJ168" s="85"/>
      <c r="CK168" s="85"/>
      <c r="CL168" s="85"/>
      <c r="CM168" s="85"/>
      <c r="CN168" s="79"/>
      <c r="CO168" s="79"/>
    </row>
    <row r="169" spans="2:93" s="69" customFormat="1" ht="15" customHeight="1">
      <c r="C169" s="1693" t="s">
        <v>12</v>
      </c>
      <c r="D169" s="465">
        <v>0</v>
      </c>
      <c r="E169" s="154">
        <v>0</v>
      </c>
      <c r="F169" s="2560" t="s">
        <v>42</v>
      </c>
      <c r="G169" s="2044" t="s">
        <v>395</v>
      </c>
      <c r="H169" s="254">
        <f t="shared" si="68"/>
        <v>0</v>
      </c>
      <c r="I169" s="156">
        <f t="shared" si="69"/>
        <v>0</v>
      </c>
      <c r="J169" s="155">
        <v>0</v>
      </c>
      <c r="K169" s="156">
        <f t="shared" ca="1" si="70"/>
        <v>0</v>
      </c>
      <c r="L169" s="156">
        <f t="shared" ca="1" si="71"/>
        <v>0</v>
      </c>
      <c r="M169" s="2308"/>
      <c r="N169" s="2309"/>
      <c r="O169" s="2309"/>
      <c r="P169" s="2309"/>
      <c r="R169" s="1181"/>
      <c r="S169" s="197"/>
      <c r="T169" s="1295"/>
      <c r="U169" s="1295"/>
      <c r="V169" s="1308"/>
      <c r="W169" s="1308"/>
      <c r="X169" s="1310"/>
      <c r="Y169" s="197"/>
      <c r="Z169" s="197"/>
      <c r="AA169" s="1311">
        <f>IF(G169="Optional",L169,0)</f>
        <v>0</v>
      </c>
      <c r="AB169" s="1311">
        <f ca="1">IF(G169="Required",L169,0)</f>
        <v>0</v>
      </c>
      <c r="AC169" s="197"/>
      <c r="AD169" s="197"/>
      <c r="AE169" s="197"/>
      <c r="AF169" s="1313"/>
      <c r="AG169" s="1256"/>
      <c r="AH169" s="1256"/>
      <c r="AI169" s="1256"/>
      <c r="AJ169" s="85"/>
      <c r="AK169" s="85"/>
      <c r="AL169" s="85"/>
      <c r="AM169" s="85"/>
      <c r="AN169" s="85"/>
      <c r="AO169" s="85"/>
      <c r="AP169" s="85"/>
      <c r="AQ169" s="85"/>
      <c r="AR169" s="85"/>
      <c r="AS169" s="85"/>
      <c r="AT169" s="85"/>
      <c r="AU169" s="85"/>
      <c r="AV169" s="85"/>
      <c r="AW169" s="85"/>
      <c r="AX169" s="85"/>
      <c r="AY169" s="85"/>
      <c r="AZ169" s="85"/>
      <c r="BA169" s="85"/>
      <c r="BB169" s="85"/>
      <c r="BC169" s="85"/>
      <c r="BD169" s="85"/>
      <c r="BE169" s="85"/>
      <c r="BF169" s="85"/>
      <c r="BG169" s="85"/>
      <c r="BH169" s="85"/>
      <c r="BI169" s="85"/>
      <c r="BJ169" s="85"/>
      <c r="BK169" s="85"/>
      <c r="BL169" s="85"/>
      <c r="BM169" s="85"/>
      <c r="BN169" s="85"/>
      <c r="BO169" s="85"/>
      <c r="BP169" s="85"/>
      <c r="BQ169" s="85"/>
      <c r="BR169" s="85"/>
      <c r="BS169" s="85"/>
      <c r="BT169" s="85"/>
      <c r="BU169" s="85"/>
      <c r="BV169" s="85"/>
      <c r="BW169" s="85"/>
      <c r="BX169" s="85"/>
      <c r="BY169" s="85"/>
      <c r="BZ169" s="85"/>
      <c r="CA169" s="85"/>
      <c r="CB169" s="85"/>
      <c r="CC169" s="85"/>
      <c r="CD169" s="85"/>
      <c r="CE169" s="85"/>
      <c r="CF169" s="85"/>
      <c r="CG169" s="85"/>
      <c r="CH169" s="85"/>
      <c r="CI169" s="85"/>
      <c r="CJ169" s="85"/>
      <c r="CK169" s="85"/>
      <c r="CL169" s="85"/>
      <c r="CM169" s="85"/>
      <c r="CN169" s="79"/>
      <c r="CO169" s="79"/>
    </row>
    <row r="170" spans="2:93" s="69" customFormat="1" ht="18" customHeight="1">
      <c r="C170" s="135"/>
      <c r="D170" s="70"/>
      <c r="E170" s="70"/>
      <c r="F170" s="70"/>
      <c r="G170" s="70"/>
      <c r="H170" s="121">
        <f>SUM(H156:H169)</f>
        <v>0</v>
      </c>
      <c r="I170" s="121">
        <f>SUM(I156:I169)</f>
        <v>0</v>
      </c>
      <c r="J170" s="70"/>
      <c r="K170" s="121">
        <f ca="1">SUM(K156:K169)</f>
        <v>0</v>
      </c>
      <c r="L170" s="121">
        <f ca="1">SUM(L156:L169)</f>
        <v>0</v>
      </c>
      <c r="M170" s="479"/>
      <c r="N170" s="479"/>
      <c r="O170" s="479"/>
      <c r="P170" s="479"/>
      <c r="R170" s="1181"/>
      <c r="S170" s="197"/>
      <c r="T170" s="1295"/>
      <c r="U170" s="1295"/>
      <c r="V170" s="1308"/>
      <c r="W170" s="1308"/>
      <c r="X170" s="1310"/>
      <c r="Y170" s="197"/>
      <c r="Z170" s="197"/>
      <c r="AA170" s="1311"/>
      <c r="AB170" s="1311"/>
      <c r="AC170" s="197"/>
      <c r="AD170" s="197"/>
      <c r="AE170" s="197"/>
      <c r="AF170" s="777"/>
      <c r="AG170" s="1259"/>
      <c r="AH170" s="1259"/>
      <c r="AI170" s="1259"/>
      <c r="AJ170" s="90"/>
      <c r="AK170" s="90"/>
      <c r="AL170" s="90"/>
      <c r="AM170" s="90"/>
      <c r="AN170" s="90"/>
      <c r="AO170" s="90"/>
      <c r="AP170" s="90"/>
      <c r="AQ170" s="90"/>
      <c r="AR170" s="90"/>
      <c r="AS170" s="90"/>
      <c r="AT170" s="90"/>
      <c r="AU170" s="90"/>
      <c r="AV170" s="90"/>
      <c r="AW170" s="90"/>
      <c r="AX170" s="90"/>
      <c r="AY170" s="90"/>
      <c r="AZ170" s="90"/>
      <c r="BA170" s="90"/>
      <c r="BB170" s="90"/>
      <c r="BC170" s="90"/>
      <c r="BD170" s="90"/>
      <c r="BE170" s="90"/>
      <c r="BF170" s="90"/>
      <c r="BG170" s="90"/>
      <c r="BH170" s="90"/>
      <c r="BI170" s="90"/>
      <c r="BJ170" s="90"/>
      <c r="BK170" s="90"/>
      <c r="BL170" s="90"/>
      <c r="BM170" s="90"/>
      <c r="BN170" s="90"/>
      <c r="BO170" s="90"/>
      <c r="BP170" s="90"/>
      <c r="BQ170" s="90"/>
      <c r="BR170" s="90"/>
      <c r="BS170" s="90"/>
      <c r="BT170" s="90"/>
      <c r="BU170" s="90"/>
      <c r="BV170" s="90"/>
      <c r="BW170" s="90"/>
      <c r="BX170" s="90"/>
      <c r="BY170" s="90"/>
      <c r="BZ170" s="90"/>
      <c r="CA170" s="90"/>
      <c r="CB170" s="90"/>
      <c r="CC170" s="90"/>
      <c r="CD170" s="90"/>
      <c r="CE170" s="90"/>
      <c r="CF170" s="90"/>
      <c r="CG170" s="90"/>
      <c r="CH170" s="90"/>
      <c r="CI170" s="90"/>
      <c r="CJ170" s="90"/>
      <c r="CK170" s="90"/>
      <c r="CL170" s="90"/>
      <c r="CM170" s="90"/>
      <c r="CN170" s="79"/>
      <c r="CO170" s="79"/>
    </row>
    <row r="171" spans="2:93" ht="18" customHeight="1">
      <c r="C171" s="1"/>
      <c r="D171" s="66"/>
      <c r="E171" s="66"/>
      <c r="F171" s="66"/>
      <c r="G171" s="66"/>
      <c r="H171" s="66"/>
      <c r="I171" s="66"/>
      <c r="J171" s="66"/>
      <c r="K171" s="66"/>
      <c r="L171" s="66"/>
      <c r="X171" s="1295"/>
    </row>
    <row r="172" spans="2:93" ht="18" customHeight="1"/>
    <row r="173" spans="2:93" ht="18" customHeight="1"/>
    <row r="174" spans="2:93" ht="18" hidden="1" customHeight="1">
      <c r="B174" s="64" t="s">
        <v>42</v>
      </c>
    </row>
    <row r="175" spans="2:93" ht="18" hidden="1" customHeight="1">
      <c r="B175" s="64" t="s">
        <v>43</v>
      </c>
    </row>
    <row r="176" spans="2:93" ht="18" customHeight="1">
      <c r="AF176" s="1320"/>
    </row>
  </sheetData>
  <sheetProtection algorithmName="SHA-512" hashValue="EvaGhyQZiiZX690YJaHS/LF3wvdt0+xXnteLAQ0HLtqazNUjPBRgMrBy/DKTVjXbroXUGCb7K+Nfg1un8+AkRw==" saltValue="yNBpoI2dGXnzhHwLcU2Hog==" spinCount="100000" sheet="1" objects="1" scenarios="1" formatCells="0" formatColumns="0" formatRows="0" selectLockedCells="1"/>
  <mergeCells count="160">
    <mergeCell ref="B127:C127"/>
    <mergeCell ref="B141:C141"/>
    <mergeCell ref="B155:C155"/>
    <mergeCell ref="B9:C9"/>
    <mergeCell ref="B22:C22"/>
    <mergeCell ref="B35:C35"/>
    <mergeCell ref="B73:C73"/>
    <mergeCell ref="B86:C86"/>
    <mergeCell ref="B61:C61"/>
    <mergeCell ref="B48:C48"/>
    <mergeCell ref="B99:C99"/>
    <mergeCell ref="B113:C113"/>
    <mergeCell ref="B7:C7"/>
    <mergeCell ref="K2:L2"/>
    <mergeCell ref="H2:I2"/>
    <mergeCell ref="AD7:AE7"/>
    <mergeCell ref="T6:X6"/>
    <mergeCell ref="AD6:AE6"/>
    <mergeCell ref="AA6:AC6"/>
    <mergeCell ref="T2:AE3"/>
    <mergeCell ref="M7:P7"/>
    <mergeCell ref="C3:L3"/>
    <mergeCell ref="M15:P15"/>
    <mergeCell ref="M16:P16"/>
    <mergeCell ref="M17:P17"/>
    <mergeCell ref="M18:P18"/>
    <mergeCell ref="M19:P19"/>
    <mergeCell ref="M10:P10"/>
    <mergeCell ref="M11:P11"/>
    <mergeCell ref="M12:P12"/>
    <mergeCell ref="M13:P13"/>
    <mergeCell ref="M14:P14"/>
    <mergeCell ref="M27:P27"/>
    <mergeCell ref="M28:P28"/>
    <mergeCell ref="M29:P29"/>
    <mergeCell ref="M30:P30"/>
    <mergeCell ref="M31:P31"/>
    <mergeCell ref="M20:P20"/>
    <mergeCell ref="M23:P23"/>
    <mergeCell ref="M24:P24"/>
    <mergeCell ref="M25:P25"/>
    <mergeCell ref="M26:P26"/>
    <mergeCell ref="M39:P39"/>
    <mergeCell ref="M40:P40"/>
    <mergeCell ref="M41:P41"/>
    <mergeCell ref="M42:P42"/>
    <mergeCell ref="M43:P43"/>
    <mergeCell ref="M32:P32"/>
    <mergeCell ref="M33:P33"/>
    <mergeCell ref="M36:P36"/>
    <mergeCell ref="M37:P37"/>
    <mergeCell ref="M38:P38"/>
    <mergeCell ref="M51:P51"/>
    <mergeCell ref="M52:P52"/>
    <mergeCell ref="M53:P53"/>
    <mergeCell ref="M56:P56"/>
    <mergeCell ref="M57:P57"/>
    <mergeCell ref="M44:P44"/>
    <mergeCell ref="M45:P45"/>
    <mergeCell ref="M46:P46"/>
    <mergeCell ref="M49:P49"/>
    <mergeCell ref="M50:P50"/>
    <mergeCell ref="M65:P65"/>
    <mergeCell ref="M66:P66"/>
    <mergeCell ref="M67:P67"/>
    <mergeCell ref="M68:P68"/>
    <mergeCell ref="M69:P69"/>
    <mergeCell ref="M58:P58"/>
    <mergeCell ref="M59:P59"/>
    <mergeCell ref="M62:P62"/>
    <mergeCell ref="M63:P63"/>
    <mergeCell ref="M64:P64"/>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96:P96"/>
    <mergeCell ref="M97:P97"/>
    <mergeCell ref="M100:P100"/>
    <mergeCell ref="M101:P101"/>
    <mergeCell ref="M102:P102"/>
    <mergeCell ref="M89:P89"/>
    <mergeCell ref="M90:P90"/>
    <mergeCell ref="M93:P93"/>
    <mergeCell ref="M94:P94"/>
    <mergeCell ref="M95:P95"/>
    <mergeCell ref="M108:P108"/>
    <mergeCell ref="M110:P110"/>
    <mergeCell ref="M111:P111"/>
    <mergeCell ref="M114:P114"/>
    <mergeCell ref="M115:P115"/>
    <mergeCell ref="M109:P109"/>
    <mergeCell ref="M103:P103"/>
    <mergeCell ref="M104:P104"/>
    <mergeCell ref="M105:P105"/>
    <mergeCell ref="M106:P106"/>
    <mergeCell ref="M107:P107"/>
    <mergeCell ref="M121:P121"/>
    <mergeCell ref="M122:P122"/>
    <mergeCell ref="M123:P123"/>
    <mergeCell ref="M124:P124"/>
    <mergeCell ref="M125:P125"/>
    <mergeCell ref="M116:P116"/>
    <mergeCell ref="M117:P117"/>
    <mergeCell ref="M118:P118"/>
    <mergeCell ref="M119:P119"/>
    <mergeCell ref="M120:P12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s>
  <conditionalFormatting sqref="J10:J20 J49 J23:J33 J62:J71 J74 J87:J88 J114:J125 J128:J129 J142:J147 J156:J164 J84 J97 J100:J101 J139 J168:J169 J56:J59 J81:J82 J95 J108 J136 J150 J110:J111 J152:J153">
    <cfRule type="cellIs" dxfId="2570" priority="2631" operator="greaterThan">
      <formula>0</formula>
    </cfRule>
    <cfRule type="cellIs" dxfId="2569" priority="2632" operator="lessThan">
      <formula>0</formula>
    </cfRule>
  </conditionalFormatting>
  <conditionalFormatting sqref="C5 N5">
    <cfRule type="expression" dxfId="2568" priority="2623">
      <formula>$C$5="SINGLE ENTRY"</formula>
    </cfRule>
  </conditionalFormatting>
  <conditionalFormatting sqref="J36:J46">
    <cfRule type="cellIs" dxfId="2567" priority="2624" operator="greaterThan">
      <formula>0</formula>
    </cfRule>
    <cfRule type="cellIs" dxfId="2566" priority="2625" operator="lessThan">
      <formula>0</formula>
    </cfRule>
  </conditionalFormatting>
  <conditionalFormatting sqref="K5">
    <cfRule type="expression" dxfId="2565" priority="2628">
      <formula>$C$5="SINGLE ENTRY"</formula>
    </cfRule>
  </conditionalFormatting>
  <conditionalFormatting sqref="AH10:AH22 AH34:AH35 AH47:AH48 AH60:AH61 AH72:AH73 AH85:AH86 AH98:AH99 AH112:AH113 AH126:AH127 AH140:AH141 AH154:AH155">
    <cfRule type="cellIs" dxfId="2564" priority="2618" operator="lessThan">
      <formula>0</formula>
    </cfRule>
  </conditionalFormatting>
  <conditionalFormatting sqref="AL10:AL22 AL34:AL35 AL47:AL48 AL60:AL61 AL72:AL73 AL85:AL86 AL98:AL99 AL112:AL113 AL126:AL127 AL140:AL141 AL154:AL155">
    <cfRule type="cellIs" dxfId="2563" priority="2617" operator="lessThan">
      <formula>0</formula>
    </cfRule>
  </conditionalFormatting>
  <conditionalFormatting sqref="AN10:AN22 AN34:AN35 AN47:AN48 AN60:AN61 AN72:AN73 AN85:AN86 AN98:AN99 AN112:AN113 AN126:AN127 AN140:AN141 AN154:AN155">
    <cfRule type="cellIs" dxfId="2562" priority="2616" operator="lessThan">
      <formula>0</formula>
    </cfRule>
  </conditionalFormatting>
  <conditionalFormatting sqref="AP10:AP22 AP34:AP35 AP47:AP48 AP60:AP61 AP72:AP73 AP85:AP86 AP98:AP99 AP112:AP113 AP126:AP127 AP140:AP141 AP154:AP155">
    <cfRule type="cellIs" dxfId="2561" priority="2615" operator="lessThan">
      <formula>0</formula>
    </cfRule>
  </conditionalFormatting>
  <conditionalFormatting sqref="AR10:AR22 AR34:AR35 AR47:AR48 AR60:AR61 AR72:AR73 AR85:AR86 AR98:AR99 AR112:AR113 AR126:AR127 AR140:AR141 AR154:AR155">
    <cfRule type="cellIs" dxfId="2560" priority="2614" operator="lessThan">
      <formula>0</formula>
    </cfRule>
  </conditionalFormatting>
  <conditionalFormatting sqref="AT10:AT22 AT34:AT35 AT47:AT48 AT60:AT61 AT72:AT73 AT85:AT86 AT98:AT99 AT112:AT113 AT126:AT127 AT140:AT141 AT154:AT155">
    <cfRule type="cellIs" dxfId="2559" priority="2613" operator="lessThan">
      <formula>0</formula>
    </cfRule>
  </conditionalFormatting>
  <conditionalFormatting sqref="AV10:AV22 AV34:AV35 AV47:AV48 AV60:AV61 AV72:AV73 AV85:AV86 AV98:AV99 AV112:AV113 AV126:AV127 AV140:AV141 AV154:AV155">
    <cfRule type="cellIs" dxfId="2558" priority="2612" operator="lessThan">
      <formula>0</formula>
    </cfRule>
  </conditionalFormatting>
  <conditionalFormatting sqref="AX10:AX22 AX34:AX35 AX47:AX48 AX60:AX61 AX72:AX73 AX85:AX86 AX98:AX99 AX112:AX113 AX126:AX127 AX140:AX141 AX154:AX155">
    <cfRule type="cellIs" dxfId="2557" priority="2611" operator="lessThan">
      <formula>0</formula>
    </cfRule>
  </conditionalFormatting>
  <conditionalFormatting sqref="AZ10:AZ22 AZ34:AZ35 AZ47:AZ48 AZ60:AZ61 AZ72:AZ73 AZ85:AZ86 AZ98:AZ99 AZ112:AZ113 AZ126:AZ127 AZ140:AZ141 AZ154:AZ155">
    <cfRule type="cellIs" dxfId="2556" priority="2610" operator="lessThan">
      <formula>0</formula>
    </cfRule>
  </conditionalFormatting>
  <conditionalFormatting sqref="BB10:BB22 BB34:BB35 BB47:BB48 BB60:BB61 BB72:BB73 BB85:BB86 BB98:BB99 BB112:BB113 BB126:BB127 BB140:BB141 BB154:BB155">
    <cfRule type="cellIs" dxfId="2555" priority="2609" operator="lessThan">
      <formula>0</formula>
    </cfRule>
  </conditionalFormatting>
  <conditionalFormatting sqref="BD10:BD22 BD34:BD35 BD47:BD48 BD60:BD61 BD72:BD73 BD85:BD86 BD98:BD99 BD112:BD113 BD126:BD127 BD140:BD141 BD154:BD155">
    <cfRule type="cellIs" dxfId="2554" priority="2608" operator="lessThan">
      <formula>0</formula>
    </cfRule>
  </conditionalFormatting>
  <conditionalFormatting sqref="BF10:BF22 BF34:BF35 BF47:BF48 BF60:BF61 BF72:BF73 BF85:BF86 BF98:BF99 BF112:BF113 BF126:BF127 BF140:BF141 BF154:BF155">
    <cfRule type="cellIs" dxfId="2553" priority="2607" operator="lessThan">
      <formula>0</formula>
    </cfRule>
  </conditionalFormatting>
  <conditionalFormatting sqref="BH10:BH22 BH34:BH35 BH47:BH48 BH60:BH61 BH72:BH73 BH85:BH86 BH98:BH99 BH112:BH113 BH126:BH127 BH140:BH141 BH154:BH155">
    <cfRule type="cellIs" dxfId="2552" priority="2606" operator="lessThan">
      <formula>0</formula>
    </cfRule>
  </conditionalFormatting>
  <conditionalFormatting sqref="BJ10:BJ22 BJ34:BJ35 BJ47:BJ48 BJ60:BJ61 BJ72:BJ73 BJ85:BJ86 BJ98:BJ99 BJ112:BJ113 BJ126:BJ127 BJ140:BJ141 BJ154:BJ155">
    <cfRule type="cellIs" dxfId="2551" priority="2605" operator="lessThan">
      <formula>0</formula>
    </cfRule>
  </conditionalFormatting>
  <conditionalFormatting sqref="BL10:BL22 BL34:BL35 BL47:BL48 BL60:BL61 BL72:BL73 BL85:BL86 BL98:BL99 BL112:BL113 BL126:BL127 BL140:BL141 BL154:BL155">
    <cfRule type="cellIs" dxfId="2550" priority="2604" operator="lessThan">
      <formula>0</formula>
    </cfRule>
  </conditionalFormatting>
  <conditionalFormatting sqref="BN10:BN22 BN34:BN35 BN47:BN48 BN60:BN61 BN72:BN73 BN85:BN86 BN98:BN99 BN112:BN113 BN126:BN127 BN140:BN141 BN154:BN155">
    <cfRule type="cellIs" dxfId="2549" priority="2603" operator="lessThan">
      <formula>0</formula>
    </cfRule>
  </conditionalFormatting>
  <conditionalFormatting sqref="BP10:BP22 BP34:BP35 BP47:BP48 BP60:BP61 BP72:BP73 BP85:BP86 BP98:BP99 BP112:BP113 BP126:BP127 BP140:BP141 BP154:BP155">
    <cfRule type="cellIs" dxfId="2548" priority="2602" operator="lessThan">
      <formula>0</formula>
    </cfRule>
  </conditionalFormatting>
  <conditionalFormatting sqref="BR10:BR22 BR34:BR35 BR47:BR48 BR60:BR61 BR72:BR73 BR85:BR86 BR98:BR99 BR112:BR113 BR126:BR127 BR140:BR141 BR154:BR155">
    <cfRule type="cellIs" dxfId="2547" priority="2601" operator="lessThan">
      <formula>0</formula>
    </cfRule>
  </conditionalFormatting>
  <conditionalFormatting sqref="BT10:BT22 BT34:BT35 BT47:BT48 BT60:BT61 BT72:BT73 BT85:BT86 BT98:BT99 BT112:BT113 BT126:BT127 BT140:BT141 BT154:BT155">
    <cfRule type="cellIs" dxfId="2546" priority="2600" operator="lessThan">
      <formula>0</formula>
    </cfRule>
  </conditionalFormatting>
  <conditionalFormatting sqref="BV10:BV22 BV34:BV35 BV47:BV48 BV60:BV61 BV72:BV73 BV85:BV86 BV98:BV99 BV112:BV113 BV126:BV127 BV140:BV141 BV154:BV155">
    <cfRule type="cellIs" dxfId="2545" priority="2599" operator="lessThan">
      <formula>0</formula>
    </cfRule>
  </conditionalFormatting>
  <conditionalFormatting sqref="BX10:BX22 BX34:BX35 BX47:BX48 BX60:BX61 BX72:BX73 BX85:BX86 BX98:BX99 BX112:BX113 BX126:BX127 BX140:BX141 BX154:BX155">
    <cfRule type="cellIs" dxfId="2544" priority="2598" operator="lessThan">
      <formula>0</formula>
    </cfRule>
  </conditionalFormatting>
  <conditionalFormatting sqref="BZ10:BZ22 BZ34:BZ35 BZ47:BZ48 BZ60:BZ61 BZ72:BZ73 BZ85:BZ86 BZ98:BZ99 BZ112:BZ113 BZ126:BZ127 BZ140:BZ141 BZ154:BZ155">
    <cfRule type="cellIs" dxfId="2543" priority="2597" operator="lessThan">
      <formula>0</formula>
    </cfRule>
  </conditionalFormatting>
  <conditionalFormatting sqref="CB10:CB22 CB34:CB35 CB47:CB48 CB60:CB61 CB72:CB73 CB85:CB86 CB98:CB99 CB112:CB113 CB126:CB127 CB140:CB141 CB154:CB155">
    <cfRule type="cellIs" dxfId="2542" priority="2596" operator="lessThan">
      <formula>0</formula>
    </cfRule>
  </conditionalFormatting>
  <conditionalFormatting sqref="CD10:CD22 CD34:CD35 CD47:CD48 CD60:CD61 CD72:CD73 CD85:CD86 CD98:CD99 CD112:CD113 CD126:CD127 CD140:CD141 CD154:CD155">
    <cfRule type="cellIs" dxfId="2541" priority="2595" operator="lessThan">
      <formula>0</formula>
    </cfRule>
  </conditionalFormatting>
  <conditionalFormatting sqref="CF10:CF22 CF34:CF35 CF47:CF48 CF60:CF61 CF72:CF73 CF85:CF86 CF98:CF99 CF112:CF113 CF126:CF127 CF140:CF141 CF154:CF155">
    <cfRule type="cellIs" dxfId="2540" priority="2594" operator="lessThan">
      <formula>0</formula>
    </cfRule>
  </conditionalFormatting>
  <conditionalFormatting sqref="CH10:CH22 CH34:CH35 CH47:CH48 CH60:CH61 CH72:CH73 CH85:CH86 CH98:CH99 CH112:CH113 CH126:CH127 CH140:CH141 CH154:CH155">
    <cfRule type="cellIs" dxfId="2539" priority="2593" operator="lessThan">
      <formula>0</formula>
    </cfRule>
  </conditionalFormatting>
  <conditionalFormatting sqref="CJ10:CJ22 CJ34:CJ35 CJ47:CJ48 CJ60:CJ61 CJ72:CJ73 CJ85:CJ86 CJ98:CJ99 CJ112:CJ113 CJ126:CJ127 CJ140:CJ141 CJ154:CJ155">
    <cfRule type="cellIs" dxfId="2538" priority="2592" operator="lessThan">
      <formula>0</formula>
    </cfRule>
  </conditionalFormatting>
  <conditionalFormatting sqref="CL10:CL22 CL34:CL35 CL47:CL48 CL60:CL61 CL72:CL73 CL85:CL86 CL98:CL99 CL112:CL113 CL126:CL127 CL140:CL141 CL154:CL155">
    <cfRule type="cellIs" dxfId="2537" priority="2591" operator="lessThan">
      <formula>0</formula>
    </cfRule>
  </conditionalFormatting>
  <conditionalFormatting sqref="AJ10:AJ22 AJ34:AJ35 AJ47:AJ48 AJ60:AJ61 AJ72:AJ73 AJ85:AJ86 AJ98:AJ99 AJ112:AJ113 AJ126:AJ127 AJ140:AJ141 AJ154:AJ155">
    <cfRule type="cellIs" dxfId="2536" priority="2590" operator="lessThan">
      <formula>0</formula>
    </cfRule>
  </conditionalFormatting>
  <conditionalFormatting sqref="AF10:AF169">
    <cfRule type="cellIs" dxfId="2535" priority="2589" operator="lessThan">
      <formula>0</formula>
    </cfRule>
  </conditionalFormatting>
  <conditionalFormatting sqref="AH23">
    <cfRule type="cellIs" dxfId="2534" priority="2588" operator="lessThan">
      <formula>0</formula>
    </cfRule>
  </conditionalFormatting>
  <conditionalFormatting sqref="AL23">
    <cfRule type="cellIs" dxfId="2533" priority="2587" operator="lessThan">
      <formula>0</formula>
    </cfRule>
  </conditionalFormatting>
  <conditionalFormatting sqref="AN23">
    <cfRule type="cellIs" dxfId="2532" priority="2586" operator="lessThan">
      <formula>0</formula>
    </cfRule>
  </conditionalFormatting>
  <conditionalFormatting sqref="AP23">
    <cfRule type="cellIs" dxfId="2531" priority="2585" operator="lessThan">
      <formula>0</formula>
    </cfRule>
  </conditionalFormatting>
  <conditionalFormatting sqref="AR23">
    <cfRule type="cellIs" dxfId="2530" priority="2584" operator="lessThan">
      <formula>0</formula>
    </cfRule>
  </conditionalFormatting>
  <conditionalFormatting sqref="AT23">
    <cfRule type="cellIs" dxfId="2529" priority="2583" operator="lessThan">
      <formula>0</formula>
    </cfRule>
  </conditionalFormatting>
  <conditionalFormatting sqref="AV23">
    <cfRule type="cellIs" dxfId="2528" priority="2582" operator="lessThan">
      <formula>0</formula>
    </cfRule>
  </conditionalFormatting>
  <conditionalFormatting sqref="AX23">
    <cfRule type="cellIs" dxfId="2527" priority="2581" operator="lessThan">
      <formula>0</formula>
    </cfRule>
  </conditionalFormatting>
  <conditionalFormatting sqref="AZ23">
    <cfRule type="cellIs" dxfId="2526" priority="2580" operator="lessThan">
      <formula>0</formula>
    </cfRule>
  </conditionalFormatting>
  <conditionalFormatting sqref="BB23">
    <cfRule type="cellIs" dxfId="2525" priority="2579" operator="lessThan">
      <formula>0</formula>
    </cfRule>
  </conditionalFormatting>
  <conditionalFormatting sqref="BD23">
    <cfRule type="cellIs" dxfId="2524" priority="2578" operator="lessThan">
      <formula>0</formula>
    </cfRule>
  </conditionalFormatting>
  <conditionalFormatting sqref="BF23">
    <cfRule type="cellIs" dxfId="2523" priority="2577" operator="lessThan">
      <formula>0</formula>
    </cfRule>
  </conditionalFormatting>
  <conditionalFormatting sqref="BH23">
    <cfRule type="cellIs" dxfId="2522" priority="2576" operator="lessThan">
      <formula>0</formula>
    </cfRule>
  </conditionalFormatting>
  <conditionalFormatting sqref="BJ23">
    <cfRule type="cellIs" dxfId="2521" priority="2575" operator="lessThan">
      <formula>0</formula>
    </cfRule>
  </conditionalFormatting>
  <conditionalFormatting sqref="BL23">
    <cfRule type="cellIs" dxfId="2520" priority="2574" operator="lessThan">
      <formula>0</formula>
    </cfRule>
  </conditionalFormatting>
  <conditionalFormatting sqref="BN23">
    <cfRule type="cellIs" dxfId="2519" priority="2573" operator="lessThan">
      <formula>0</formula>
    </cfRule>
  </conditionalFormatting>
  <conditionalFormatting sqref="BP23">
    <cfRule type="cellIs" dxfId="2518" priority="2572" operator="lessThan">
      <formula>0</formula>
    </cfRule>
  </conditionalFormatting>
  <conditionalFormatting sqref="BR23">
    <cfRule type="cellIs" dxfId="2517" priority="2571" operator="lessThan">
      <formula>0</formula>
    </cfRule>
  </conditionalFormatting>
  <conditionalFormatting sqref="BT23">
    <cfRule type="cellIs" dxfId="2516" priority="2570" operator="lessThan">
      <formula>0</formula>
    </cfRule>
  </conditionalFormatting>
  <conditionalFormatting sqref="BV23">
    <cfRule type="cellIs" dxfId="2515" priority="2569" operator="lessThan">
      <formula>0</formula>
    </cfRule>
  </conditionalFormatting>
  <conditionalFormatting sqref="BX23">
    <cfRule type="cellIs" dxfId="2514" priority="2568" operator="lessThan">
      <formula>0</formula>
    </cfRule>
  </conditionalFormatting>
  <conditionalFormatting sqref="BZ23">
    <cfRule type="cellIs" dxfId="2513" priority="2567" operator="lessThan">
      <formula>0</formula>
    </cfRule>
  </conditionalFormatting>
  <conditionalFormatting sqref="CB23">
    <cfRule type="cellIs" dxfId="2512" priority="2566" operator="lessThan">
      <formula>0</formula>
    </cfRule>
  </conditionalFormatting>
  <conditionalFormatting sqref="CD23">
    <cfRule type="cellIs" dxfId="2511" priority="2565" operator="lessThan">
      <formula>0</formula>
    </cfRule>
  </conditionalFormatting>
  <conditionalFormatting sqref="CF23">
    <cfRule type="cellIs" dxfId="2510" priority="2564" operator="lessThan">
      <formula>0</formula>
    </cfRule>
  </conditionalFormatting>
  <conditionalFormatting sqref="CH23">
    <cfRule type="cellIs" dxfId="2509" priority="2563" operator="lessThan">
      <formula>0</formula>
    </cfRule>
  </conditionalFormatting>
  <conditionalFormatting sqref="CJ23">
    <cfRule type="cellIs" dxfId="2508" priority="2562" operator="lessThan">
      <formula>0</formula>
    </cfRule>
  </conditionalFormatting>
  <conditionalFormatting sqref="CL23">
    <cfRule type="cellIs" dxfId="2507" priority="2561" operator="lessThan">
      <formula>0</formula>
    </cfRule>
  </conditionalFormatting>
  <conditionalFormatting sqref="AJ23">
    <cfRule type="cellIs" dxfId="2506" priority="2560" operator="lessThan">
      <formula>0</formula>
    </cfRule>
  </conditionalFormatting>
  <conditionalFormatting sqref="AH24">
    <cfRule type="cellIs" dxfId="2505" priority="2559" operator="lessThan">
      <formula>0</formula>
    </cfRule>
  </conditionalFormatting>
  <conditionalFormatting sqref="AL24">
    <cfRule type="cellIs" dxfId="2504" priority="2558" operator="lessThan">
      <formula>0</formula>
    </cfRule>
  </conditionalFormatting>
  <conditionalFormatting sqref="AN24">
    <cfRule type="cellIs" dxfId="2503" priority="2557" operator="lessThan">
      <formula>0</formula>
    </cfRule>
  </conditionalFormatting>
  <conditionalFormatting sqref="AP24">
    <cfRule type="cellIs" dxfId="2502" priority="2556" operator="lessThan">
      <formula>0</formula>
    </cfRule>
  </conditionalFormatting>
  <conditionalFormatting sqref="AR24">
    <cfRule type="cellIs" dxfId="2501" priority="2555" operator="lessThan">
      <formula>0</formula>
    </cfRule>
  </conditionalFormatting>
  <conditionalFormatting sqref="AT24">
    <cfRule type="cellIs" dxfId="2500" priority="2554" operator="lessThan">
      <formula>0</formula>
    </cfRule>
  </conditionalFormatting>
  <conditionalFormatting sqref="AV24">
    <cfRule type="cellIs" dxfId="2499" priority="2553" operator="lessThan">
      <formula>0</formula>
    </cfRule>
  </conditionalFormatting>
  <conditionalFormatting sqref="AX24">
    <cfRule type="cellIs" dxfId="2498" priority="2552" operator="lessThan">
      <formula>0</formula>
    </cfRule>
  </conditionalFormatting>
  <conditionalFormatting sqref="AZ24">
    <cfRule type="cellIs" dxfId="2497" priority="2551" operator="lessThan">
      <formula>0</formula>
    </cfRule>
  </conditionalFormatting>
  <conditionalFormatting sqref="BB24">
    <cfRule type="cellIs" dxfId="2496" priority="2550" operator="lessThan">
      <formula>0</formula>
    </cfRule>
  </conditionalFormatting>
  <conditionalFormatting sqref="BD24">
    <cfRule type="cellIs" dxfId="2495" priority="2549" operator="lessThan">
      <formula>0</formula>
    </cfRule>
  </conditionalFormatting>
  <conditionalFormatting sqref="BF24">
    <cfRule type="cellIs" dxfId="2494" priority="2548" operator="lessThan">
      <formula>0</formula>
    </cfRule>
  </conditionalFormatting>
  <conditionalFormatting sqref="BH24">
    <cfRule type="cellIs" dxfId="2493" priority="2547" operator="lessThan">
      <formula>0</formula>
    </cfRule>
  </conditionalFormatting>
  <conditionalFormatting sqref="BJ24">
    <cfRule type="cellIs" dxfId="2492" priority="2546" operator="lessThan">
      <formula>0</formula>
    </cfRule>
  </conditionalFormatting>
  <conditionalFormatting sqref="BL24">
    <cfRule type="cellIs" dxfId="2491" priority="2545" operator="lessThan">
      <formula>0</formula>
    </cfRule>
  </conditionalFormatting>
  <conditionalFormatting sqref="BN24">
    <cfRule type="cellIs" dxfId="2490" priority="2544" operator="lessThan">
      <formula>0</formula>
    </cfRule>
  </conditionalFormatting>
  <conditionalFormatting sqref="BP24">
    <cfRule type="cellIs" dxfId="2489" priority="2543" operator="lessThan">
      <formula>0</formula>
    </cfRule>
  </conditionalFormatting>
  <conditionalFormatting sqref="BR24">
    <cfRule type="cellIs" dxfId="2488" priority="2542" operator="lessThan">
      <formula>0</formula>
    </cfRule>
  </conditionalFormatting>
  <conditionalFormatting sqref="BT24">
    <cfRule type="cellIs" dxfId="2487" priority="2541" operator="lessThan">
      <formula>0</formula>
    </cfRule>
  </conditionalFormatting>
  <conditionalFormatting sqref="BV24">
    <cfRule type="cellIs" dxfId="2486" priority="2540" operator="lessThan">
      <formula>0</formula>
    </cfRule>
  </conditionalFormatting>
  <conditionalFormatting sqref="BX24">
    <cfRule type="cellIs" dxfId="2485" priority="2539" operator="lessThan">
      <formula>0</formula>
    </cfRule>
  </conditionalFormatting>
  <conditionalFormatting sqref="BZ24">
    <cfRule type="cellIs" dxfId="2484" priority="2538" operator="lessThan">
      <formula>0</formula>
    </cfRule>
  </conditionalFormatting>
  <conditionalFormatting sqref="CB24">
    <cfRule type="cellIs" dxfId="2483" priority="2537" operator="lessThan">
      <formula>0</formula>
    </cfRule>
  </conditionalFormatting>
  <conditionalFormatting sqref="CD24">
    <cfRule type="cellIs" dxfId="2482" priority="2536" operator="lessThan">
      <formula>0</formula>
    </cfRule>
  </conditionalFormatting>
  <conditionalFormatting sqref="CF24">
    <cfRule type="cellIs" dxfId="2481" priority="2535" operator="lessThan">
      <formula>0</formula>
    </cfRule>
  </conditionalFormatting>
  <conditionalFormatting sqref="CH24">
    <cfRule type="cellIs" dxfId="2480" priority="2534" operator="lessThan">
      <formula>0</formula>
    </cfRule>
  </conditionalFormatting>
  <conditionalFormatting sqref="CJ24">
    <cfRule type="cellIs" dxfId="2479" priority="2533" operator="lessThan">
      <formula>0</formula>
    </cfRule>
  </conditionalFormatting>
  <conditionalFormatting sqref="CL24">
    <cfRule type="cellIs" dxfId="2478" priority="2532" operator="lessThan">
      <formula>0</formula>
    </cfRule>
  </conditionalFormatting>
  <conditionalFormatting sqref="AJ24">
    <cfRule type="cellIs" dxfId="2477" priority="2531" operator="lessThan">
      <formula>0</formula>
    </cfRule>
  </conditionalFormatting>
  <conditionalFormatting sqref="AH25">
    <cfRule type="cellIs" dxfId="2476" priority="2501" operator="lessThan">
      <formula>0</formula>
    </cfRule>
  </conditionalFormatting>
  <conditionalFormatting sqref="AL25">
    <cfRule type="cellIs" dxfId="2475" priority="2500" operator="lessThan">
      <formula>0</formula>
    </cfRule>
  </conditionalFormatting>
  <conditionalFormatting sqref="AN25">
    <cfRule type="cellIs" dxfId="2474" priority="2499" operator="lessThan">
      <formula>0</formula>
    </cfRule>
  </conditionalFormatting>
  <conditionalFormatting sqref="AP25">
    <cfRule type="cellIs" dxfId="2473" priority="2498" operator="lessThan">
      <formula>0</formula>
    </cfRule>
  </conditionalFormatting>
  <conditionalFormatting sqref="AR25">
    <cfRule type="cellIs" dxfId="2472" priority="2497" operator="lessThan">
      <formula>0</formula>
    </cfRule>
  </conditionalFormatting>
  <conditionalFormatting sqref="AT25">
    <cfRule type="cellIs" dxfId="2471" priority="2496" operator="lessThan">
      <formula>0</formula>
    </cfRule>
  </conditionalFormatting>
  <conditionalFormatting sqref="AV25">
    <cfRule type="cellIs" dxfId="2470" priority="2495" operator="lessThan">
      <formula>0</formula>
    </cfRule>
  </conditionalFormatting>
  <conditionalFormatting sqref="AX25">
    <cfRule type="cellIs" dxfId="2469" priority="2494" operator="lessThan">
      <formula>0</formula>
    </cfRule>
  </conditionalFormatting>
  <conditionalFormatting sqref="AZ25">
    <cfRule type="cellIs" dxfId="2468" priority="2493" operator="lessThan">
      <formula>0</formula>
    </cfRule>
  </conditionalFormatting>
  <conditionalFormatting sqref="BB25">
    <cfRule type="cellIs" dxfId="2467" priority="2492" operator="lessThan">
      <formula>0</formula>
    </cfRule>
  </conditionalFormatting>
  <conditionalFormatting sqref="BD25">
    <cfRule type="cellIs" dxfId="2466" priority="2491" operator="lessThan">
      <formula>0</formula>
    </cfRule>
  </conditionalFormatting>
  <conditionalFormatting sqref="BF25">
    <cfRule type="cellIs" dxfId="2465" priority="2490" operator="lessThan">
      <formula>0</formula>
    </cfRule>
  </conditionalFormatting>
  <conditionalFormatting sqref="BH25">
    <cfRule type="cellIs" dxfId="2464" priority="2489" operator="lessThan">
      <formula>0</formula>
    </cfRule>
  </conditionalFormatting>
  <conditionalFormatting sqref="BJ25">
    <cfRule type="cellIs" dxfId="2463" priority="2488" operator="lessThan">
      <formula>0</formula>
    </cfRule>
  </conditionalFormatting>
  <conditionalFormatting sqref="BL25">
    <cfRule type="cellIs" dxfId="2462" priority="2487" operator="lessThan">
      <formula>0</formula>
    </cfRule>
  </conditionalFormatting>
  <conditionalFormatting sqref="BN25">
    <cfRule type="cellIs" dxfId="2461" priority="2486" operator="lessThan">
      <formula>0</formula>
    </cfRule>
  </conditionalFormatting>
  <conditionalFormatting sqref="BP25">
    <cfRule type="cellIs" dxfId="2460" priority="2485" operator="lessThan">
      <formula>0</formula>
    </cfRule>
  </conditionalFormatting>
  <conditionalFormatting sqref="BR25">
    <cfRule type="cellIs" dxfId="2459" priority="2484" operator="lessThan">
      <formula>0</formula>
    </cfRule>
  </conditionalFormatting>
  <conditionalFormatting sqref="BT25">
    <cfRule type="cellIs" dxfId="2458" priority="2483" operator="lessThan">
      <formula>0</formula>
    </cfRule>
  </conditionalFormatting>
  <conditionalFormatting sqref="BV25">
    <cfRule type="cellIs" dxfId="2457" priority="2482" operator="lessThan">
      <formula>0</formula>
    </cfRule>
  </conditionalFormatting>
  <conditionalFormatting sqref="BX25">
    <cfRule type="cellIs" dxfId="2456" priority="2481" operator="lessThan">
      <formula>0</formula>
    </cfRule>
  </conditionalFormatting>
  <conditionalFormatting sqref="BZ25">
    <cfRule type="cellIs" dxfId="2455" priority="2480" operator="lessThan">
      <formula>0</formula>
    </cfRule>
  </conditionalFormatting>
  <conditionalFormatting sqref="CB25">
    <cfRule type="cellIs" dxfId="2454" priority="2479" operator="lessThan">
      <formula>0</formula>
    </cfRule>
  </conditionalFormatting>
  <conditionalFormatting sqref="CD25">
    <cfRule type="cellIs" dxfId="2453" priority="2478" operator="lessThan">
      <formula>0</formula>
    </cfRule>
  </conditionalFormatting>
  <conditionalFormatting sqref="CF25">
    <cfRule type="cellIs" dxfId="2452" priority="2477" operator="lessThan">
      <formula>0</formula>
    </cfRule>
  </conditionalFormatting>
  <conditionalFormatting sqref="CH25">
    <cfRule type="cellIs" dxfId="2451" priority="2476" operator="lessThan">
      <formula>0</formula>
    </cfRule>
  </conditionalFormatting>
  <conditionalFormatting sqref="CJ25">
    <cfRule type="cellIs" dxfId="2450" priority="2475" operator="lessThan">
      <formula>0</formula>
    </cfRule>
  </conditionalFormatting>
  <conditionalFormatting sqref="CL25">
    <cfRule type="cellIs" dxfId="2449" priority="2474" operator="lessThan">
      <formula>0</formula>
    </cfRule>
  </conditionalFormatting>
  <conditionalFormatting sqref="AJ25">
    <cfRule type="cellIs" dxfId="2448" priority="2473" operator="lessThan">
      <formula>0</formula>
    </cfRule>
  </conditionalFormatting>
  <conditionalFormatting sqref="AH26">
    <cfRule type="cellIs" dxfId="2447" priority="2472" operator="lessThan">
      <formula>0</formula>
    </cfRule>
  </conditionalFormatting>
  <conditionalFormatting sqref="AL26">
    <cfRule type="cellIs" dxfId="2446" priority="2471" operator="lessThan">
      <formula>0</formula>
    </cfRule>
  </conditionalFormatting>
  <conditionalFormatting sqref="AN26">
    <cfRule type="cellIs" dxfId="2445" priority="2470" operator="lessThan">
      <formula>0</formula>
    </cfRule>
  </conditionalFormatting>
  <conditionalFormatting sqref="AP26">
    <cfRule type="cellIs" dxfId="2444" priority="2469" operator="lessThan">
      <formula>0</formula>
    </cfRule>
  </conditionalFormatting>
  <conditionalFormatting sqref="AR26">
    <cfRule type="cellIs" dxfId="2443" priority="2468" operator="lessThan">
      <formula>0</formula>
    </cfRule>
  </conditionalFormatting>
  <conditionalFormatting sqref="AT26">
    <cfRule type="cellIs" dxfId="2442" priority="2467" operator="lessThan">
      <formula>0</formula>
    </cfRule>
  </conditionalFormatting>
  <conditionalFormatting sqref="AV26">
    <cfRule type="cellIs" dxfId="2441" priority="2466" operator="lessThan">
      <formula>0</formula>
    </cfRule>
  </conditionalFormatting>
  <conditionalFormatting sqref="AX26">
    <cfRule type="cellIs" dxfId="2440" priority="2465" operator="lessThan">
      <formula>0</formula>
    </cfRule>
  </conditionalFormatting>
  <conditionalFormatting sqref="AZ26">
    <cfRule type="cellIs" dxfId="2439" priority="2464" operator="lessThan">
      <formula>0</formula>
    </cfRule>
  </conditionalFormatting>
  <conditionalFormatting sqref="BB26">
    <cfRule type="cellIs" dxfId="2438" priority="2463" operator="lessThan">
      <formula>0</formula>
    </cfRule>
  </conditionalFormatting>
  <conditionalFormatting sqref="BD26">
    <cfRule type="cellIs" dxfId="2437" priority="2462" operator="lessThan">
      <formula>0</formula>
    </cfRule>
  </conditionalFormatting>
  <conditionalFormatting sqref="BF26">
    <cfRule type="cellIs" dxfId="2436" priority="2461" operator="lessThan">
      <formula>0</formula>
    </cfRule>
  </conditionalFormatting>
  <conditionalFormatting sqref="BH26">
    <cfRule type="cellIs" dxfId="2435" priority="2460" operator="lessThan">
      <formula>0</formula>
    </cfRule>
  </conditionalFormatting>
  <conditionalFormatting sqref="BJ26">
    <cfRule type="cellIs" dxfId="2434" priority="2459" operator="lessThan">
      <formula>0</formula>
    </cfRule>
  </conditionalFormatting>
  <conditionalFormatting sqref="BL26">
    <cfRule type="cellIs" dxfId="2433" priority="2458" operator="lessThan">
      <formula>0</formula>
    </cfRule>
  </conditionalFormatting>
  <conditionalFormatting sqref="BN26">
    <cfRule type="cellIs" dxfId="2432" priority="2457" operator="lessThan">
      <formula>0</formula>
    </cfRule>
  </conditionalFormatting>
  <conditionalFormatting sqref="BP26">
    <cfRule type="cellIs" dxfId="2431" priority="2456" operator="lessThan">
      <formula>0</formula>
    </cfRule>
  </conditionalFormatting>
  <conditionalFormatting sqref="BR26">
    <cfRule type="cellIs" dxfId="2430" priority="2455" operator="lessThan">
      <formula>0</formula>
    </cfRule>
  </conditionalFormatting>
  <conditionalFormatting sqref="BT26">
    <cfRule type="cellIs" dxfId="2429" priority="2454" operator="lessThan">
      <formula>0</formula>
    </cfRule>
  </conditionalFormatting>
  <conditionalFormatting sqref="BV26">
    <cfRule type="cellIs" dxfId="2428" priority="2453" operator="lessThan">
      <formula>0</formula>
    </cfRule>
  </conditionalFormatting>
  <conditionalFormatting sqref="BX26">
    <cfRule type="cellIs" dxfId="2427" priority="2452" operator="lessThan">
      <formula>0</formula>
    </cfRule>
  </conditionalFormatting>
  <conditionalFormatting sqref="BZ26">
    <cfRule type="cellIs" dxfId="2426" priority="2451" operator="lessThan">
      <formula>0</formula>
    </cfRule>
  </conditionalFormatting>
  <conditionalFormatting sqref="CB26">
    <cfRule type="cellIs" dxfId="2425" priority="2450" operator="lessThan">
      <formula>0</formula>
    </cfRule>
  </conditionalFormatting>
  <conditionalFormatting sqref="CD26">
    <cfRule type="cellIs" dxfId="2424" priority="2449" operator="lessThan">
      <formula>0</formula>
    </cfRule>
  </conditionalFormatting>
  <conditionalFormatting sqref="CF26">
    <cfRule type="cellIs" dxfId="2423" priority="2448" operator="lessThan">
      <formula>0</formula>
    </cfRule>
  </conditionalFormatting>
  <conditionalFormatting sqref="CH26">
    <cfRule type="cellIs" dxfId="2422" priority="2447" operator="lessThan">
      <formula>0</formula>
    </cfRule>
  </conditionalFormatting>
  <conditionalFormatting sqref="CJ26">
    <cfRule type="cellIs" dxfId="2421" priority="2446" operator="lessThan">
      <formula>0</formula>
    </cfRule>
  </conditionalFormatting>
  <conditionalFormatting sqref="CL26">
    <cfRule type="cellIs" dxfId="2420" priority="2445" operator="lessThan">
      <formula>0</formula>
    </cfRule>
  </conditionalFormatting>
  <conditionalFormatting sqref="AJ26">
    <cfRule type="cellIs" dxfId="2419" priority="2444" operator="lessThan">
      <formula>0</formula>
    </cfRule>
  </conditionalFormatting>
  <conditionalFormatting sqref="AH27">
    <cfRule type="cellIs" dxfId="2418" priority="2443" operator="lessThan">
      <formula>0</formula>
    </cfRule>
  </conditionalFormatting>
  <conditionalFormatting sqref="AL27">
    <cfRule type="cellIs" dxfId="2417" priority="2442" operator="lessThan">
      <formula>0</formula>
    </cfRule>
  </conditionalFormatting>
  <conditionalFormatting sqref="AN27">
    <cfRule type="cellIs" dxfId="2416" priority="2441" operator="lessThan">
      <formula>0</formula>
    </cfRule>
  </conditionalFormatting>
  <conditionalFormatting sqref="AP27">
    <cfRule type="cellIs" dxfId="2415" priority="2440" operator="lessThan">
      <formula>0</formula>
    </cfRule>
  </conditionalFormatting>
  <conditionalFormatting sqref="AR27">
    <cfRule type="cellIs" dxfId="2414" priority="2439" operator="lessThan">
      <formula>0</formula>
    </cfRule>
  </conditionalFormatting>
  <conditionalFormatting sqref="AT27">
    <cfRule type="cellIs" dxfId="2413" priority="2438" operator="lessThan">
      <formula>0</formula>
    </cfRule>
  </conditionalFormatting>
  <conditionalFormatting sqref="AV27">
    <cfRule type="cellIs" dxfId="2412" priority="2437" operator="lessThan">
      <formula>0</formula>
    </cfRule>
  </conditionalFormatting>
  <conditionalFormatting sqref="AX27">
    <cfRule type="cellIs" dxfId="2411" priority="2436" operator="lessThan">
      <formula>0</formula>
    </cfRule>
  </conditionalFormatting>
  <conditionalFormatting sqref="AZ27">
    <cfRule type="cellIs" dxfId="2410" priority="2435" operator="lessThan">
      <formula>0</formula>
    </cfRule>
  </conditionalFormatting>
  <conditionalFormatting sqref="BB27">
    <cfRule type="cellIs" dxfId="2409" priority="2434" operator="lessThan">
      <formula>0</formula>
    </cfRule>
  </conditionalFormatting>
  <conditionalFormatting sqref="BD27">
    <cfRule type="cellIs" dxfId="2408" priority="2433" operator="lessThan">
      <formula>0</formula>
    </cfRule>
  </conditionalFormatting>
  <conditionalFormatting sqref="BF27">
    <cfRule type="cellIs" dxfId="2407" priority="2432" operator="lessThan">
      <formula>0</formula>
    </cfRule>
  </conditionalFormatting>
  <conditionalFormatting sqref="BH27">
    <cfRule type="cellIs" dxfId="2406" priority="2431" operator="lessThan">
      <formula>0</formula>
    </cfRule>
  </conditionalFormatting>
  <conditionalFormatting sqref="BJ27">
    <cfRule type="cellIs" dxfId="2405" priority="2430" operator="lessThan">
      <formula>0</formula>
    </cfRule>
  </conditionalFormatting>
  <conditionalFormatting sqref="BL27">
    <cfRule type="cellIs" dxfId="2404" priority="2429" operator="lessThan">
      <formula>0</formula>
    </cfRule>
  </conditionalFormatting>
  <conditionalFormatting sqref="BN27">
    <cfRule type="cellIs" dxfId="2403" priority="2428" operator="lessThan">
      <formula>0</formula>
    </cfRule>
  </conditionalFormatting>
  <conditionalFormatting sqref="BP27">
    <cfRule type="cellIs" dxfId="2402" priority="2427" operator="lessThan">
      <formula>0</formula>
    </cfRule>
  </conditionalFormatting>
  <conditionalFormatting sqref="BR27">
    <cfRule type="cellIs" dxfId="2401" priority="2426" operator="lessThan">
      <formula>0</formula>
    </cfRule>
  </conditionalFormatting>
  <conditionalFormatting sqref="BT27">
    <cfRule type="cellIs" dxfId="2400" priority="2425" operator="lessThan">
      <formula>0</formula>
    </cfRule>
  </conditionalFormatting>
  <conditionalFormatting sqref="BV27">
    <cfRule type="cellIs" dxfId="2399" priority="2424" operator="lessThan">
      <formula>0</formula>
    </cfRule>
  </conditionalFormatting>
  <conditionalFormatting sqref="BX27">
    <cfRule type="cellIs" dxfId="2398" priority="2423" operator="lessThan">
      <formula>0</formula>
    </cfRule>
  </conditionalFormatting>
  <conditionalFormatting sqref="BZ27">
    <cfRule type="cellIs" dxfId="2397" priority="2422" operator="lessThan">
      <formula>0</formula>
    </cfRule>
  </conditionalFormatting>
  <conditionalFormatting sqref="CB27">
    <cfRule type="cellIs" dxfId="2396" priority="2421" operator="lessThan">
      <formula>0</formula>
    </cfRule>
  </conditionalFormatting>
  <conditionalFormatting sqref="CD27">
    <cfRule type="cellIs" dxfId="2395" priority="2420" operator="lessThan">
      <formula>0</formula>
    </cfRule>
  </conditionalFormatting>
  <conditionalFormatting sqref="CF27">
    <cfRule type="cellIs" dxfId="2394" priority="2419" operator="lessThan">
      <formula>0</formula>
    </cfRule>
  </conditionalFormatting>
  <conditionalFormatting sqref="CH27">
    <cfRule type="cellIs" dxfId="2393" priority="2418" operator="lessThan">
      <formula>0</formula>
    </cfRule>
  </conditionalFormatting>
  <conditionalFormatting sqref="CJ27">
    <cfRule type="cellIs" dxfId="2392" priority="2417" operator="lessThan">
      <formula>0</formula>
    </cfRule>
  </conditionalFormatting>
  <conditionalFormatting sqref="CL27">
    <cfRule type="cellIs" dxfId="2391" priority="2416" operator="lessThan">
      <formula>0</formula>
    </cfRule>
  </conditionalFormatting>
  <conditionalFormatting sqref="AJ27">
    <cfRule type="cellIs" dxfId="2390" priority="2415" operator="lessThan">
      <formula>0</formula>
    </cfRule>
  </conditionalFormatting>
  <conditionalFormatting sqref="AH28">
    <cfRule type="cellIs" dxfId="2389" priority="2414" operator="lessThan">
      <formula>0</formula>
    </cfRule>
  </conditionalFormatting>
  <conditionalFormatting sqref="AL28">
    <cfRule type="cellIs" dxfId="2388" priority="2413" operator="lessThan">
      <formula>0</formula>
    </cfRule>
  </conditionalFormatting>
  <conditionalFormatting sqref="AN28">
    <cfRule type="cellIs" dxfId="2387" priority="2412" operator="lessThan">
      <formula>0</formula>
    </cfRule>
  </conditionalFormatting>
  <conditionalFormatting sqref="AP28">
    <cfRule type="cellIs" dxfId="2386" priority="2411" operator="lessThan">
      <formula>0</formula>
    </cfRule>
  </conditionalFormatting>
  <conditionalFormatting sqref="AR28">
    <cfRule type="cellIs" dxfId="2385" priority="2410" operator="lessThan">
      <formula>0</formula>
    </cfRule>
  </conditionalFormatting>
  <conditionalFormatting sqref="AT28">
    <cfRule type="cellIs" dxfId="2384" priority="2409" operator="lessThan">
      <formula>0</formula>
    </cfRule>
  </conditionalFormatting>
  <conditionalFormatting sqref="AV28">
    <cfRule type="cellIs" dxfId="2383" priority="2408" operator="lessThan">
      <formula>0</formula>
    </cfRule>
  </conditionalFormatting>
  <conditionalFormatting sqref="AX28">
    <cfRule type="cellIs" dxfId="2382" priority="2407" operator="lessThan">
      <formula>0</formula>
    </cfRule>
  </conditionalFormatting>
  <conditionalFormatting sqref="AZ28">
    <cfRule type="cellIs" dxfId="2381" priority="2406" operator="lessThan">
      <formula>0</formula>
    </cfRule>
  </conditionalFormatting>
  <conditionalFormatting sqref="BB28">
    <cfRule type="cellIs" dxfId="2380" priority="2405" operator="lessThan">
      <formula>0</formula>
    </cfRule>
  </conditionalFormatting>
  <conditionalFormatting sqref="BD28">
    <cfRule type="cellIs" dxfId="2379" priority="2404" operator="lessThan">
      <formula>0</formula>
    </cfRule>
  </conditionalFormatting>
  <conditionalFormatting sqref="BF28">
    <cfRule type="cellIs" dxfId="2378" priority="2403" operator="lessThan">
      <formula>0</formula>
    </cfRule>
  </conditionalFormatting>
  <conditionalFormatting sqref="BH28">
    <cfRule type="cellIs" dxfId="2377" priority="2402" operator="lessThan">
      <formula>0</formula>
    </cfRule>
  </conditionalFormatting>
  <conditionalFormatting sqref="BJ28">
    <cfRule type="cellIs" dxfId="2376" priority="2401" operator="lessThan">
      <formula>0</formula>
    </cfRule>
  </conditionalFormatting>
  <conditionalFormatting sqref="BL28">
    <cfRule type="cellIs" dxfId="2375" priority="2400" operator="lessThan">
      <formula>0</formula>
    </cfRule>
  </conditionalFormatting>
  <conditionalFormatting sqref="BN28">
    <cfRule type="cellIs" dxfId="2374" priority="2399" operator="lessThan">
      <formula>0</formula>
    </cfRule>
  </conditionalFormatting>
  <conditionalFormatting sqref="BP28">
    <cfRule type="cellIs" dxfId="2373" priority="2398" operator="lessThan">
      <formula>0</formula>
    </cfRule>
  </conditionalFormatting>
  <conditionalFormatting sqref="BR28">
    <cfRule type="cellIs" dxfId="2372" priority="2397" operator="lessThan">
      <formula>0</formula>
    </cfRule>
  </conditionalFormatting>
  <conditionalFormatting sqref="BT28">
    <cfRule type="cellIs" dxfId="2371" priority="2396" operator="lessThan">
      <formula>0</formula>
    </cfRule>
  </conditionalFormatting>
  <conditionalFormatting sqref="BV28">
    <cfRule type="cellIs" dxfId="2370" priority="2395" operator="lessThan">
      <formula>0</formula>
    </cfRule>
  </conditionalFormatting>
  <conditionalFormatting sqref="BX28">
    <cfRule type="cellIs" dxfId="2369" priority="2394" operator="lessThan">
      <formula>0</formula>
    </cfRule>
  </conditionalFormatting>
  <conditionalFormatting sqref="BZ28">
    <cfRule type="cellIs" dxfId="2368" priority="2393" operator="lessThan">
      <formula>0</formula>
    </cfRule>
  </conditionalFormatting>
  <conditionalFormatting sqref="CB28">
    <cfRule type="cellIs" dxfId="2367" priority="2392" operator="lessThan">
      <formula>0</formula>
    </cfRule>
  </conditionalFormatting>
  <conditionalFormatting sqref="CD28">
    <cfRule type="cellIs" dxfId="2366" priority="2391" operator="lessThan">
      <formula>0</formula>
    </cfRule>
  </conditionalFormatting>
  <conditionalFormatting sqref="CF28">
    <cfRule type="cellIs" dxfId="2365" priority="2390" operator="lessThan">
      <formula>0</formula>
    </cfRule>
  </conditionalFormatting>
  <conditionalFormatting sqref="CH28">
    <cfRule type="cellIs" dxfId="2364" priority="2389" operator="lessThan">
      <formula>0</formula>
    </cfRule>
  </conditionalFormatting>
  <conditionalFormatting sqref="CJ28">
    <cfRule type="cellIs" dxfId="2363" priority="2388" operator="lessThan">
      <formula>0</formula>
    </cfRule>
  </conditionalFormatting>
  <conditionalFormatting sqref="CL28">
    <cfRule type="cellIs" dxfId="2362" priority="2387" operator="lessThan">
      <formula>0</formula>
    </cfRule>
  </conditionalFormatting>
  <conditionalFormatting sqref="AJ28">
    <cfRule type="cellIs" dxfId="2361" priority="2386" operator="lessThan">
      <formula>0</formula>
    </cfRule>
  </conditionalFormatting>
  <conditionalFormatting sqref="AH29">
    <cfRule type="cellIs" dxfId="2360" priority="2385" operator="lessThan">
      <formula>0</formula>
    </cfRule>
  </conditionalFormatting>
  <conditionalFormatting sqref="AL29">
    <cfRule type="cellIs" dxfId="2359" priority="2384" operator="lessThan">
      <formula>0</formula>
    </cfRule>
  </conditionalFormatting>
  <conditionalFormatting sqref="AN29">
    <cfRule type="cellIs" dxfId="2358" priority="2383" operator="lessThan">
      <formula>0</formula>
    </cfRule>
  </conditionalFormatting>
  <conditionalFormatting sqref="AP29">
    <cfRule type="cellIs" dxfId="2357" priority="2382" operator="lessThan">
      <formula>0</formula>
    </cfRule>
  </conditionalFormatting>
  <conditionalFormatting sqref="AR29">
    <cfRule type="cellIs" dxfId="2356" priority="2381" operator="lessThan">
      <formula>0</formula>
    </cfRule>
  </conditionalFormatting>
  <conditionalFormatting sqref="AT29">
    <cfRule type="cellIs" dxfId="2355" priority="2380" operator="lessThan">
      <formula>0</formula>
    </cfRule>
  </conditionalFormatting>
  <conditionalFormatting sqref="AV29">
    <cfRule type="cellIs" dxfId="2354" priority="2379" operator="lessThan">
      <formula>0</formula>
    </cfRule>
  </conditionalFormatting>
  <conditionalFormatting sqref="AX29">
    <cfRule type="cellIs" dxfId="2353" priority="2378" operator="lessThan">
      <formula>0</formula>
    </cfRule>
  </conditionalFormatting>
  <conditionalFormatting sqref="AZ29">
    <cfRule type="cellIs" dxfId="2352" priority="2377" operator="lessThan">
      <formula>0</formula>
    </cfRule>
  </conditionalFormatting>
  <conditionalFormatting sqref="BB29">
    <cfRule type="cellIs" dxfId="2351" priority="2376" operator="lessThan">
      <formula>0</formula>
    </cfRule>
  </conditionalFormatting>
  <conditionalFormatting sqref="BD29">
    <cfRule type="cellIs" dxfId="2350" priority="2375" operator="lessThan">
      <formula>0</formula>
    </cfRule>
  </conditionalFormatting>
  <conditionalFormatting sqref="BF29">
    <cfRule type="cellIs" dxfId="2349" priority="2374" operator="lessThan">
      <formula>0</formula>
    </cfRule>
  </conditionalFormatting>
  <conditionalFormatting sqref="BH29">
    <cfRule type="cellIs" dxfId="2348" priority="2373" operator="lessThan">
      <formula>0</formula>
    </cfRule>
  </conditionalFormatting>
  <conditionalFormatting sqref="BJ29">
    <cfRule type="cellIs" dxfId="2347" priority="2372" operator="lessThan">
      <formula>0</formula>
    </cfRule>
  </conditionalFormatting>
  <conditionalFormatting sqref="BL29">
    <cfRule type="cellIs" dxfId="2346" priority="2371" operator="lessThan">
      <formula>0</formula>
    </cfRule>
  </conditionalFormatting>
  <conditionalFormatting sqref="BN29">
    <cfRule type="cellIs" dxfId="2345" priority="2370" operator="lessThan">
      <formula>0</formula>
    </cfRule>
  </conditionalFormatting>
  <conditionalFormatting sqref="BP29">
    <cfRule type="cellIs" dxfId="2344" priority="2369" operator="lessThan">
      <formula>0</formula>
    </cfRule>
  </conditionalFormatting>
  <conditionalFormatting sqref="BR29">
    <cfRule type="cellIs" dxfId="2343" priority="2368" operator="lessThan">
      <formula>0</formula>
    </cfRule>
  </conditionalFormatting>
  <conditionalFormatting sqref="BT29">
    <cfRule type="cellIs" dxfId="2342" priority="2367" operator="lessThan">
      <formula>0</formula>
    </cfRule>
  </conditionalFormatting>
  <conditionalFormatting sqref="BV29">
    <cfRule type="cellIs" dxfId="2341" priority="2366" operator="lessThan">
      <formula>0</formula>
    </cfRule>
  </conditionalFormatting>
  <conditionalFormatting sqref="BX29">
    <cfRule type="cellIs" dxfId="2340" priority="2365" operator="lessThan">
      <formula>0</formula>
    </cfRule>
  </conditionalFormatting>
  <conditionalFormatting sqref="BZ29">
    <cfRule type="cellIs" dxfId="2339" priority="2364" operator="lessThan">
      <formula>0</formula>
    </cfRule>
  </conditionalFormatting>
  <conditionalFormatting sqref="CB29">
    <cfRule type="cellIs" dxfId="2338" priority="2363" operator="lessThan">
      <formula>0</formula>
    </cfRule>
  </conditionalFormatting>
  <conditionalFormatting sqref="CD29">
    <cfRule type="cellIs" dxfId="2337" priority="2362" operator="lessThan">
      <formula>0</formula>
    </cfRule>
  </conditionalFormatting>
  <conditionalFormatting sqref="CF29">
    <cfRule type="cellIs" dxfId="2336" priority="2361" operator="lessThan">
      <formula>0</formula>
    </cfRule>
  </conditionalFormatting>
  <conditionalFormatting sqref="CH29">
    <cfRule type="cellIs" dxfId="2335" priority="2360" operator="lessThan">
      <formula>0</formula>
    </cfRule>
  </conditionalFormatting>
  <conditionalFormatting sqref="CJ29">
    <cfRule type="cellIs" dxfId="2334" priority="2359" operator="lessThan">
      <formula>0</formula>
    </cfRule>
  </conditionalFormatting>
  <conditionalFormatting sqref="CL29">
    <cfRule type="cellIs" dxfId="2333" priority="2358" operator="lessThan">
      <formula>0</formula>
    </cfRule>
  </conditionalFormatting>
  <conditionalFormatting sqref="AJ29">
    <cfRule type="cellIs" dxfId="2332" priority="2357" operator="lessThan">
      <formula>0</formula>
    </cfRule>
  </conditionalFormatting>
  <conditionalFormatting sqref="AH30">
    <cfRule type="cellIs" dxfId="2331" priority="2356" operator="lessThan">
      <formula>0</formula>
    </cfRule>
  </conditionalFormatting>
  <conditionalFormatting sqref="AL30">
    <cfRule type="cellIs" dxfId="2330" priority="2355" operator="lessThan">
      <formula>0</formula>
    </cfRule>
  </conditionalFormatting>
  <conditionalFormatting sqref="AN30">
    <cfRule type="cellIs" dxfId="2329" priority="2354" operator="lessThan">
      <formula>0</formula>
    </cfRule>
  </conditionalFormatting>
  <conditionalFormatting sqref="AP30">
    <cfRule type="cellIs" dxfId="2328" priority="2353" operator="lessThan">
      <formula>0</formula>
    </cfRule>
  </conditionalFormatting>
  <conditionalFormatting sqref="AR30">
    <cfRule type="cellIs" dxfId="2327" priority="2352" operator="lessThan">
      <formula>0</formula>
    </cfRule>
  </conditionalFormatting>
  <conditionalFormatting sqref="AT30">
    <cfRule type="cellIs" dxfId="2326" priority="2351" operator="lessThan">
      <formula>0</formula>
    </cfRule>
  </conditionalFormatting>
  <conditionalFormatting sqref="AV30">
    <cfRule type="cellIs" dxfId="2325" priority="2350" operator="lessThan">
      <formula>0</formula>
    </cfRule>
  </conditionalFormatting>
  <conditionalFormatting sqref="AX30">
    <cfRule type="cellIs" dxfId="2324" priority="2349" operator="lessThan">
      <formula>0</formula>
    </cfRule>
  </conditionalFormatting>
  <conditionalFormatting sqref="AZ30">
    <cfRule type="cellIs" dxfId="2323" priority="2348" operator="lessThan">
      <formula>0</formula>
    </cfRule>
  </conditionalFormatting>
  <conditionalFormatting sqref="BB30">
    <cfRule type="cellIs" dxfId="2322" priority="2347" operator="lessThan">
      <formula>0</formula>
    </cfRule>
  </conditionalFormatting>
  <conditionalFormatting sqref="BD30">
    <cfRule type="cellIs" dxfId="2321" priority="2346" operator="lessThan">
      <formula>0</formula>
    </cfRule>
  </conditionalFormatting>
  <conditionalFormatting sqref="BF30">
    <cfRule type="cellIs" dxfId="2320" priority="2345" operator="lessThan">
      <formula>0</formula>
    </cfRule>
  </conditionalFormatting>
  <conditionalFormatting sqref="BH30">
    <cfRule type="cellIs" dxfId="2319" priority="2344" operator="lessThan">
      <formula>0</formula>
    </cfRule>
  </conditionalFormatting>
  <conditionalFormatting sqref="BJ30">
    <cfRule type="cellIs" dxfId="2318" priority="2343" operator="lessThan">
      <formula>0</formula>
    </cfRule>
  </conditionalFormatting>
  <conditionalFormatting sqref="BL30">
    <cfRule type="cellIs" dxfId="2317" priority="2342" operator="lessThan">
      <formula>0</formula>
    </cfRule>
  </conditionalFormatting>
  <conditionalFormatting sqref="BN30">
    <cfRule type="cellIs" dxfId="2316" priority="2341" operator="lessThan">
      <formula>0</formula>
    </cfRule>
  </conditionalFormatting>
  <conditionalFormatting sqref="BP30">
    <cfRule type="cellIs" dxfId="2315" priority="2340" operator="lessThan">
      <formula>0</formula>
    </cfRule>
  </conditionalFormatting>
  <conditionalFormatting sqref="BR30">
    <cfRule type="cellIs" dxfId="2314" priority="2339" operator="lessThan">
      <formula>0</formula>
    </cfRule>
  </conditionalFormatting>
  <conditionalFormatting sqref="BT30">
    <cfRule type="cellIs" dxfId="2313" priority="2338" operator="lessThan">
      <formula>0</formula>
    </cfRule>
  </conditionalFormatting>
  <conditionalFormatting sqref="BV30">
    <cfRule type="cellIs" dxfId="2312" priority="2337" operator="lessThan">
      <formula>0</formula>
    </cfRule>
  </conditionalFormatting>
  <conditionalFormatting sqref="BX30">
    <cfRule type="cellIs" dxfId="2311" priority="2336" operator="lessThan">
      <formula>0</formula>
    </cfRule>
  </conditionalFormatting>
  <conditionalFormatting sqref="BZ30">
    <cfRule type="cellIs" dxfId="2310" priority="2335" operator="lessThan">
      <formula>0</formula>
    </cfRule>
  </conditionalFormatting>
  <conditionalFormatting sqref="CB30">
    <cfRule type="cellIs" dxfId="2309" priority="2334" operator="lessThan">
      <formula>0</formula>
    </cfRule>
  </conditionalFormatting>
  <conditionalFormatting sqref="CD30">
    <cfRule type="cellIs" dxfId="2308" priority="2333" operator="lessThan">
      <formula>0</formula>
    </cfRule>
  </conditionalFormatting>
  <conditionalFormatting sqref="CF30">
    <cfRule type="cellIs" dxfId="2307" priority="2332" operator="lessThan">
      <formula>0</formula>
    </cfRule>
  </conditionalFormatting>
  <conditionalFormatting sqref="CH30">
    <cfRule type="cellIs" dxfId="2306" priority="2331" operator="lessThan">
      <formula>0</formula>
    </cfRule>
  </conditionalFormatting>
  <conditionalFormatting sqref="CJ30">
    <cfRule type="cellIs" dxfId="2305" priority="2330" operator="lessThan">
      <formula>0</formula>
    </cfRule>
  </conditionalFormatting>
  <conditionalFormatting sqref="CL30">
    <cfRule type="cellIs" dxfId="2304" priority="2329" operator="lessThan">
      <formula>0</formula>
    </cfRule>
  </conditionalFormatting>
  <conditionalFormatting sqref="AJ30">
    <cfRule type="cellIs" dxfId="2303" priority="2328" operator="lessThan">
      <formula>0</formula>
    </cfRule>
  </conditionalFormatting>
  <conditionalFormatting sqref="AH31">
    <cfRule type="cellIs" dxfId="2302" priority="2298" operator="lessThan">
      <formula>0</formula>
    </cfRule>
  </conditionalFormatting>
  <conditionalFormatting sqref="AL31">
    <cfRule type="cellIs" dxfId="2301" priority="2297" operator="lessThan">
      <formula>0</formula>
    </cfRule>
  </conditionalFormatting>
  <conditionalFormatting sqref="AN31">
    <cfRule type="cellIs" dxfId="2300" priority="2296" operator="lessThan">
      <formula>0</formula>
    </cfRule>
  </conditionalFormatting>
  <conditionalFormatting sqref="AP31">
    <cfRule type="cellIs" dxfId="2299" priority="2295" operator="lessThan">
      <formula>0</formula>
    </cfRule>
  </conditionalFormatting>
  <conditionalFormatting sqref="AR31">
    <cfRule type="cellIs" dxfId="2298" priority="2294" operator="lessThan">
      <formula>0</formula>
    </cfRule>
  </conditionalFormatting>
  <conditionalFormatting sqref="AT31">
    <cfRule type="cellIs" dxfId="2297" priority="2293" operator="lessThan">
      <formula>0</formula>
    </cfRule>
  </conditionalFormatting>
  <conditionalFormatting sqref="AV31">
    <cfRule type="cellIs" dxfId="2296" priority="2292" operator="lessThan">
      <formula>0</formula>
    </cfRule>
  </conditionalFormatting>
  <conditionalFormatting sqref="AX31">
    <cfRule type="cellIs" dxfId="2295" priority="2291" operator="lessThan">
      <formula>0</formula>
    </cfRule>
  </conditionalFormatting>
  <conditionalFormatting sqref="AZ31">
    <cfRule type="cellIs" dxfId="2294" priority="2290" operator="lessThan">
      <formula>0</formula>
    </cfRule>
  </conditionalFormatting>
  <conditionalFormatting sqref="BB31">
    <cfRule type="cellIs" dxfId="2293" priority="2289" operator="lessThan">
      <formula>0</formula>
    </cfRule>
  </conditionalFormatting>
  <conditionalFormatting sqref="BD31">
    <cfRule type="cellIs" dxfId="2292" priority="2288" operator="lessThan">
      <formula>0</formula>
    </cfRule>
  </conditionalFormatting>
  <conditionalFormatting sqref="BF31">
    <cfRule type="cellIs" dxfId="2291" priority="2287" operator="lessThan">
      <formula>0</formula>
    </cfRule>
  </conditionalFormatting>
  <conditionalFormatting sqref="BH31">
    <cfRule type="cellIs" dxfId="2290" priority="2286" operator="lessThan">
      <formula>0</formula>
    </cfRule>
  </conditionalFormatting>
  <conditionalFormatting sqref="BJ31">
    <cfRule type="cellIs" dxfId="2289" priority="2285" operator="lessThan">
      <formula>0</formula>
    </cfRule>
  </conditionalFormatting>
  <conditionalFormatting sqref="BL31">
    <cfRule type="cellIs" dxfId="2288" priority="2284" operator="lessThan">
      <formula>0</formula>
    </cfRule>
  </conditionalFormatting>
  <conditionalFormatting sqref="BN31">
    <cfRule type="cellIs" dxfId="2287" priority="2283" operator="lessThan">
      <formula>0</formula>
    </cfRule>
  </conditionalFormatting>
  <conditionalFormatting sqref="BP31">
    <cfRule type="cellIs" dxfId="2286" priority="2282" operator="lessThan">
      <formula>0</formula>
    </cfRule>
  </conditionalFormatting>
  <conditionalFormatting sqref="BR31">
    <cfRule type="cellIs" dxfId="2285" priority="2281" operator="lessThan">
      <formula>0</formula>
    </cfRule>
  </conditionalFormatting>
  <conditionalFormatting sqref="BT31">
    <cfRule type="cellIs" dxfId="2284" priority="2280" operator="lessThan">
      <formula>0</formula>
    </cfRule>
  </conditionalFormatting>
  <conditionalFormatting sqref="BV31">
    <cfRule type="cellIs" dxfId="2283" priority="2279" operator="lessThan">
      <formula>0</formula>
    </cfRule>
  </conditionalFormatting>
  <conditionalFormatting sqref="BX31">
    <cfRule type="cellIs" dxfId="2282" priority="2278" operator="lessThan">
      <formula>0</formula>
    </cfRule>
  </conditionalFormatting>
  <conditionalFormatting sqref="BZ31">
    <cfRule type="cellIs" dxfId="2281" priority="2277" operator="lessThan">
      <formula>0</formula>
    </cfRule>
  </conditionalFormatting>
  <conditionalFormatting sqref="CB31">
    <cfRule type="cellIs" dxfId="2280" priority="2276" operator="lessThan">
      <formula>0</formula>
    </cfRule>
  </conditionalFormatting>
  <conditionalFormatting sqref="CD31">
    <cfRule type="cellIs" dxfId="2279" priority="2275" operator="lessThan">
      <formula>0</formula>
    </cfRule>
  </conditionalFormatting>
  <conditionalFormatting sqref="CF31">
    <cfRule type="cellIs" dxfId="2278" priority="2274" operator="lessThan">
      <formula>0</formula>
    </cfRule>
  </conditionalFormatting>
  <conditionalFormatting sqref="CH31">
    <cfRule type="cellIs" dxfId="2277" priority="2273" operator="lessThan">
      <formula>0</formula>
    </cfRule>
  </conditionalFormatting>
  <conditionalFormatting sqref="CJ31">
    <cfRule type="cellIs" dxfId="2276" priority="2272" operator="lessThan">
      <formula>0</formula>
    </cfRule>
  </conditionalFormatting>
  <conditionalFormatting sqref="CL31">
    <cfRule type="cellIs" dxfId="2275" priority="2271" operator="lessThan">
      <formula>0</formula>
    </cfRule>
  </conditionalFormatting>
  <conditionalFormatting sqref="AJ31">
    <cfRule type="cellIs" dxfId="2274" priority="2270" operator="lessThan">
      <formula>0</formula>
    </cfRule>
  </conditionalFormatting>
  <conditionalFormatting sqref="AH32">
    <cfRule type="cellIs" dxfId="2273" priority="2269" operator="lessThan">
      <formula>0</formula>
    </cfRule>
  </conditionalFormatting>
  <conditionalFormatting sqref="AL32">
    <cfRule type="cellIs" dxfId="2272" priority="2268" operator="lessThan">
      <formula>0</formula>
    </cfRule>
  </conditionalFormatting>
  <conditionalFormatting sqref="AN32">
    <cfRule type="cellIs" dxfId="2271" priority="2267" operator="lessThan">
      <formula>0</formula>
    </cfRule>
  </conditionalFormatting>
  <conditionalFormatting sqref="AP32">
    <cfRule type="cellIs" dxfId="2270" priority="2266" operator="lessThan">
      <formula>0</formula>
    </cfRule>
  </conditionalFormatting>
  <conditionalFormatting sqref="AR32">
    <cfRule type="cellIs" dxfId="2269" priority="2265" operator="lessThan">
      <formula>0</formula>
    </cfRule>
  </conditionalFormatting>
  <conditionalFormatting sqref="AT32">
    <cfRule type="cellIs" dxfId="2268" priority="2264" operator="lessThan">
      <formula>0</formula>
    </cfRule>
  </conditionalFormatting>
  <conditionalFormatting sqref="AV32">
    <cfRule type="cellIs" dxfId="2267" priority="2263" operator="lessThan">
      <formula>0</formula>
    </cfRule>
  </conditionalFormatting>
  <conditionalFormatting sqref="AX32">
    <cfRule type="cellIs" dxfId="2266" priority="2262" operator="lessThan">
      <formula>0</formula>
    </cfRule>
  </conditionalFormatting>
  <conditionalFormatting sqref="AZ32">
    <cfRule type="cellIs" dxfId="2265" priority="2261" operator="lessThan">
      <formula>0</formula>
    </cfRule>
  </conditionalFormatting>
  <conditionalFormatting sqref="BB32">
    <cfRule type="cellIs" dxfId="2264" priority="2260" operator="lessThan">
      <formula>0</formula>
    </cfRule>
  </conditionalFormatting>
  <conditionalFormatting sqref="BD32">
    <cfRule type="cellIs" dxfId="2263" priority="2259" operator="lessThan">
      <formula>0</formula>
    </cfRule>
  </conditionalFormatting>
  <conditionalFormatting sqref="BF32">
    <cfRule type="cellIs" dxfId="2262" priority="2258" operator="lessThan">
      <formula>0</formula>
    </cfRule>
  </conditionalFormatting>
  <conditionalFormatting sqref="BH32">
    <cfRule type="cellIs" dxfId="2261" priority="2257" operator="lessThan">
      <formula>0</formula>
    </cfRule>
  </conditionalFormatting>
  <conditionalFormatting sqref="BJ32">
    <cfRule type="cellIs" dxfId="2260" priority="2256" operator="lessThan">
      <formula>0</formula>
    </cfRule>
  </conditionalFormatting>
  <conditionalFormatting sqref="BL32">
    <cfRule type="cellIs" dxfId="2259" priority="2255" operator="lessThan">
      <formula>0</formula>
    </cfRule>
  </conditionalFormatting>
  <conditionalFormatting sqref="BN32">
    <cfRule type="cellIs" dxfId="2258" priority="2254" operator="lessThan">
      <formula>0</formula>
    </cfRule>
  </conditionalFormatting>
  <conditionalFormatting sqref="BP32">
    <cfRule type="cellIs" dxfId="2257" priority="2253" operator="lessThan">
      <formula>0</formula>
    </cfRule>
  </conditionalFormatting>
  <conditionalFormatting sqref="BR32">
    <cfRule type="cellIs" dxfId="2256" priority="2252" operator="lessThan">
      <formula>0</formula>
    </cfRule>
  </conditionalFormatting>
  <conditionalFormatting sqref="BT32">
    <cfRule type="cellIs" dxfId="2255" priority="2251" operator="lessThan">
      <formula>0</formula>
    </cfRule>
  </conditionalFormatting>
  <conditionalFormatting sqref="BV32">
    <cfRule type="cellIs" dxfId="2254" priority="2250" operator="lessThan">
      <formula>0</formula>
    </cfRule>
  </conditionalFormatting>
  <conditionalFormatting sqref="BX32">
    <cfRule type="cellIs" dxfId="2253" priority="2249" operator="lessThan">
      <formula>0</formula>
    </cfRule>
  </conditionalFormatting>
  <conditionalFormatting sqref="BZ32">
    <cfRule type="cellIs" dxfId="2252" priority="2248" operator="lessThan">
      <formula>0</formula>
    </cfRule>
  </conditionalFormatting>
  <conditionalFormatting sqref="CB32">
    <cfRule type="cellIs" dxfId="2251" priority="2247" operator="lessThan">
      <formula>0</formula>
    </cfRule>
  </conditionalFormatting>
  <conditionalFormatting sqref="CD32">
    <cfRule type="cellIs" dxfId="2250" priority="2246" operator="lessThan">
      <formula>0</formula>
    </cfRule>
  </conditionalFormatting>
  <conditionalFormatting sqref="CF32">
    <cfRule type="cellIs" dxfId="2249" priority="2245" operator="lessThan">
      <formula>0</formula>
    </cfRule>
  </conditionalFormatting>
  <conditionalFormatting sqref="CH32">
    <cfRule type="cellIs" dxfId="2248" priority="2244" operator="lessThan">
      <formula>0</formula>
    </cfRule>
  </conditionalFormatting>
  <conditionalFormatting sqref="CJ32">
    <cfRule type="cellIs" dxfId="2247" priority="2243" operator="lessThan">
      <formula>0</formula>
    </cfRule>
  </conditionalFormatting>
  <conditionalFormatting sqref="CL32">
    <cfRule type="cellIs" dxfId="2246" priority="2242" operator="lessThan">
      <formula>0</formula>
    </cfRule>
  </conditionalFormatting>
  <conditionalFormatting sqref="AJ32">
    <cfRule type="cellIs" dxfId="2245" priority="2241" operator="lessThan">
      <formula>0</formula>
    </cfRule>
  </conditionalFormatting>
  <conditionalFormatting sqref="AH33">
    <cfRule type="cellIs" dxfId="2244" priority="2240" operator="lessThan">
      <formula>0</formula>
    </cfRule>
  </conditionalFormatting>
  <conditionalFormatting sqref="AL33">
    <cfRule type="cellIs" dxfId="2243" priority="2239" operator="lessThan">
      <formula>0</formula>
    </cfRule>
  </conditionalFormatting>
  <conditionalFormatting sqref="AN33">
    <cfRule type="cellIs" dxfId="2242" priority="2238" operator="lessThan">
      <formula>0</formula>
    </cfRule>
  </conditionalFormatting>
  <conditionalFormatting sqref="AP33">
    <cfRule type="cellIs" dxfId="2241" priority="2237" operator="lessThan">
      <formula>0</formula>
    </cfRule>
  </conditionalFormatting>
  <conditionalFormatting sqref="AR33">
    <cfRule type="cellIs" dxfId="2240" priority="2236" operator="lessThan">
      <formula>0</formula>
    </cfRule>
  </conditionalFormatting>
  <conditionalFormatting sqref="AT33">
    <cfRule type="cellIs" dxfId="2239" priority="2235" operator="lessThan">
      <formula>0</formula>
    </cfRule>
  </conditionalFormatting>
  <conditionalFormatting sqref="AV33">
    <cfRule type="cellIs" dxfId="2238" priority="2234" operator="lessThan">
      <formula>0</formula>
    </cfRule>
  </conditionalFormatting>
  <conditionalFormatting sqref="AX33">
    <cfRule type="cellIs" dxfId="2237" priority="2233" operator="lessThan">
      <formula>0</formula>
    </cfRule>
  </conditionalFormatting>
  <conditionalFormatting sqref="AZ33">
    <cfRule type="cellIs" dxfId="2236" priority="2232" operator="lessThan">
      <formula>0</formula>
    </cfRule>
  </conditionalFormatting>
  <conditionalFormatting sqref="BB33">
    <cfRule type="cellIs" dxfId="2235" priority="2231" operator="lessThan">
      <formula>0</formula>
    </cfRule>
  </conditionalFormatting>
  <conditionalFormatting sqref="BD33">
    <cfRule type="cellIs" dxfId="2234" priority="2230" operator="lessThan">
      <formula>0</formula>
    </cfRule>
  </conditionalFormatting>
  <conditionalFormatting sqref="BF33">
    <cfRule type="cellIs" dxfId="2233" priority="2229" operator="lessThan">
      <formula>0</formula>
    </cfRule>
  </conditionalFormatting>
  <conditionalFormatting sqref="BH33">
    <cfRule type="cellIs" dxfId="2232" priority="2228" operator="lessThan">
      <formula>0</formula>
    </cfRule>
  </conditionalFormatting>
  <conditionalFormatting sqref="BJ33">
    <cfRule type="cellIs" dxfId="2231" priority="2227" operator="lessThan">
      <formula>0</formula>
    </cfRule>
  </conditionalFormatting>
  <conditionalFormatting sqref="BL33">
    <cfRule type="cellIs" dxfId="2230" priority="2226" operator="lessThan">
      <formula>0</formula>
    </cfRule>
  </conditionalFormatting>
  <conditionalFormatting sqref="BN33">
    <cfRule type="cellIs" dxfId="2229" priority="2225" operator="lessThan">
      <formula>0</formula>
    </cfRule>
  </conditionalFormatting>
  <conditionalFormatting sqref="BP33">
    <cfRule type="cellIs" dxfId="2228" priority="2224" operator="lessThan">
      <formula>0</formula>
    </cfRule>
  </conditionalFormatting>
  <conditionalFormatting sqref="BR33">
    <cfRule type="cellIs" dxfId="2227" priority="2223" operator="lessThan">
      <formula>0</formula>
    </cfRule>
  </conditionalFormatting>
  <conditionalFormatting sqref="BT33">
    <cfRule type="cellIs" dxfId="2226" priority="2222" operator="lessThan">
      <formula>0</formula>
    </cfRule>
  </conditionalFormatting>
  <conditionalFormatting sqref="BV33">
    <cfRule type="cellIs" dxfId="2225" priority="2221" operator="lessThan">
      <formula>0</formula>
    </cfRule>
  </conditionalFormatting>
  <conditionalFormatting sqref="BX33">
    <cfRule type="cellIs" dxfId="2224" priority="2220" operator="lessThan">
      <formula>0</formula>
    </cfRule>
  </conditionalFormatting>
  <conditionalFormatting sqref="BZ33">
    <cfRule type="cellIs" dxfId="2223" priority="2219" operator="lessThan">
      <formula>0</formula>
    </cfRule>
  </conditionalFormatting>
  <conditionalFormatting sqref="CB33">
    <cfRule type="cellIs" dxfId="2222" priority="2218" operator="lessThan">
      <formula>0</formula>
    </cfRule>
  </conditionalFormatting>
  <conditionalFormatting sqref="CD33">
    <cfRule type="cellIs" dxfId="2221" priority="2217" operator="lessThan">
      <formula>0</formula>
    </cfRule>
  </conditionalFormatting>
  <conditionalFormatting sqref="CF33">
    <cfRule type="cellIs" dxfId="2220" priority="2216" operator="lessThan">
      <formula>0</formula>
    </cfRule>
  </conditionalFormatting>
  <conditionalFormatting sqref="CH33">
    <cfRule type="cellIs" dxfId="2219" priority="2215" operator="lessThan">
      <formula>0</formula>
    </cfRule>
  </conditionalFormatting>
  <conditionalFormatting sqref="CJ33">
    <cfRule type="cellIs" dxfId="2218" priority="2214" operator="lessThan">
      <formula>0</formula>
    </cfRule>
  </conditionalFormatting>
  <conditionalFormatting sqref="CL33">
    <cfRule type="cellIs" dxfId="2217" priority="2213" operator="lessThan">
      <formula>0</formula>
    </cfRule>
  </conditionalFormatting>
  <conditionalFormatting sqref="AJ33">
    <cfRule type="cellIs" dxfId="2216" priority="2212" operator="lessThan">
      <formula>0</formula>
    </cfRule>
  </conditionalFormatting>
  <conditionalFormatting sqref="AH36">
    <cfRule type="cellIs" dxfId="2215" priority="2211" operator="lessThan">
      <formula>0</formula>
    </cfRule>
  </conditionalFormatting>
  <conditionalFormatting sqref="AL36">
    <cfRule type="cellIs" dxfId="2214" priority="2210" operator="lessThan">
      <formula>0</formula>
    </cfRule>
  </conditionalFormatting>
  <conditionalFormatting sqref="AN36">
    <cfRule type="cellIs" dxfId="2213" priority="2209" operator="lessThan">
      <formula>0</formula>
    </cfRule>
  </conditionalFormatting>
  <conditionalFormatting sqref="AP36">
    <cfRule type="cellIs" dxfId="2212" priority="2208" operator="lessThan">
      <formula>0</formula>
    </cfRule>
  </conditionalFormatting>
  <conditionalFormatting sqref="AR36">
    <cfRule type="cellIs" dxfId="2211" priority="2207" operator="lessThan">
      <formula>0</formula>
    </cfRule>
  </conditionalFormatting>
  <conditionalFormatting sqref="AT36">
    <cfRule type="cellIs" dxfId="2210" priority="2206" operator="lessThan">
      <formula>0</formula>
    </cfRule>
  </conditionalFormatting>
  <conditionalFormatting sqref="AV36">
    <cfRule type="cellIs" dxfId="2209" priority="2205" operator="lessThan">
      <formula>0</formula>
    </cfRule>
  </conditionalFormatting>
  <conditionalFormatting sqref="AX36">
    <cfRule type="cellIs" dxfId="2208" priority="2204" operator="lessThan">
      <formula>0</formula>
    </cfRule>
  </conditionalFormatting>
  <conditionalFormatting sqref="AZ36">
    <cfRule type="cellIs" dxfId="2207" priority="2203" operator="lessThan">
      <formula>0</formula>
    </cfRule>
  </conditionalFormatting>
  <conditionalFormatting sqref="BB36">
    <cfRule type="cellIs" dxfId="2206" priority="2202" operator="lessThan">
      <formula>0</formula>
    </cfRule>
  </conditionalFormatting>
  <conditionalFormatting sqref="BD36">
    <cfRule type="cellIs" dxfId="2205" priority="2201" operator="lessThan">
      <formula>0</formula>
    </cfRule>
  </conditionalFormatting>
  <conditionalFormatting sqref="BF36">
    <cfRule type="cellIs" dxfId="2204" priority="2200" operator="lessThan">
      <formula>0</formula>
    </cfRule>
  </conditionalFormatting>
  <conditionalFormatting sqref="BH36">
    <cfRule type="cellIs" dxfId="2203" priority="2199" operator="lessThan">
      <formula>0</formula>
    </cfRule>
  </conditionalFormatting>
  <conditionalFormatting sqref="BJ36">
    <cfRule type="cellIs" dxfId="2202" priority="2198" operator="lessThan">
      <formula>0</formula>
    </cfRule>
  </conditionalFormatting>
  <conditionalFormatting sqref="BL36">
    <cfRule type="cellIs" dxfId="2201" priority="2197" operator="lessThan">
      <formula>0</formula>
    </cfRule>
  </conditionalFormatting>
  <conditionalFormatting sqref="BN36">
    <cfRule type="cellIs" dxfId="2200" priority="2196" operator="lessThan">
      <formula>0</formula>
    </cfRule>
  </conditionalFormatting>
  <conditionalFormatting sqref="BP36">
    <cfRule type="cellIs" dxfId="2199" priority="2195" operator="lessThan">
      <formula>0</formula>
    </cfRule>
  </conditionalFormatting>
  <conditionalFormatting sqref="BR36">
    <cfRule type="cellIs" dxfId="2198" priority="2194" operator="lessThan">
      <formula>0</formula>
    </cfRule>
  </conditionalFormatting>
  <conditionalFormatting sqref="BT36">
    <cfRule type="cellIs" dxfId="2197" priority="2193" operator="lessThan">
      <formula>0</formula>
    </cfRule>
  </conditionalFormatting>
  <conditionalFormatting sqref="BV36">
    <cfRule type="cellIs" dxfId="2196" priority="2192" operator="lessThan">
      <formula>0</formula>
    </cfRule>
  </conditionalFormatting>
  <conditionalFormatting sqref="BX36">
    <cfRule type="cellIs" dxfId="2195" priority="2191" operator="lessThan">
      <formula>0</formula>
    </cfRule>
  </conditionalFormatting>
  <conditionalFormatting sqref="BZ36">
    <cfRule type="cellIs" dxfId="2194" priority="2190" operator="lessThan">
      <formula>0</formula>
    </cfRule>
  </conditionalFormatting>
  <conditionalFormatting sqref="CB36">
    <cfRule type="cellIs" dxfId="2193" priority="2189" operator="lessThan">
      <formula>0</formula>
    </cfRule>
  </conditionalFormatting>
  <conditionalFormatting sqref="CD36">
    <cfRule type="cellIs" dxfId="2192" priority="2188" operator="lessThan">
      <formula>0</formula>
    </cfRule>
  </conditionalFormatting>
  <conditionalFormatting sqref="CF36">
    <cfRule type="cellIs" dxfId="2191" priority="2187" operator="lessThan">
      <formula>0</formula>
    </cfRule>
  </conditionalFormatting>
  <conditionalFormatting sqref="CH36">
    <cfRule type="cellIs" dxfId="2190" priority="2186" operator="lessThan">
      <formula>0</formula>
    </cfRule>
  </conditionalFormatting>
  <conditionalFormatting sqref="CJ36">
    <cfRule type="cellIs" dxfId="2189" priority="2185" operator="lessThan">
      <formula>0</formula>
    </cfRule>
  </conditionalFormatting>
  <conditionalFormatting sqref="CL36">
    <cfRule type="cellIs" dxfId="2188" priority="2184" operator="lessThan">
      <formula>0</formula>
    </cfRule>
  </conditionalFormatting>
  <conditionalFormatting sqref="AJ36">
    <cfRule type="cellIs" dxfId="2187" priority="2183" operator="lessThan">
      <formula>0</formula>
    </cfRule>
  </conditionalFormatting>
  <conditionalFormatting sqref="AH37">
    <cfRule type="cellIs" dxfId="2186" priority="2182" operator="lessThan">
      <formula>0</formula>
    </cfRule>
  </conditionalFormatting>
  <conditionalFormatting sqref="AL37">
    <cfRule type="cellIs" dxfId="2185" priority="2181" operator="lessThan">
      <formula>0</formula>
    </cfRule>
  </conditionalFormatting>
  <conditionalFormatting sqref="AN37">
    <cfRule type="cellIs" dxfId="2184" priority="2180" operator="lessThan">
      <formula>0</formula>
    </cfRule>
  </conditionalFormatting>
  <conditionalFormatting sqref="AP37">
    <cfRule type="cellIs" dxfId="2183" priority="2179" operator="lessThan">
      <formula>0</formula>
    </cfRule>
  </conditionalFormatting>
  <conditionalFormatting sqref="AR37">
    <cfRule type="cellIs" dxfId="2182" priority="2178" operator="lessThan">
      <formula>0</formula>
    </cfRule>
  </conditionalFormatting>
  <conditionalFormatting sqref="AT37">
    <cfRule type="cellIs" dxfId="2181" priority="2177" operator="lessThan">
      <formula>0</formula>
    </cfRule>
  </conditionalFormatting>
  <conditionalFormatting sqref="AV37">
    <cfRule type="cellIs" dxfId="2180" priority="2176" operator="lessThan">
      <formula>0</formula>
    </cfRule>
  </conditionalFormatting>
  <conditionalFormatting sqref="AX37">
    <cfRule type="cellIs" dxfId="2179" priority="2175" operator="lessThan">
      <formula>0</formula>
    </cfRule>
  </conditionalFormatting>
  <conditionalFormatting sqref="AZ37">
    <cfRule type="cellIs" dxfId="2178" priority="2174" operator="lessThan">
      <formula>0</formula>
    </cfRule>
  </conditionalFormatting>
  <conditionalFormatting sqref="BB37">
    <cfRule type="cellIs" dxfId="2177" priority="2173" operator="lessThan">
      <formula>0</formula>
    </cfRule>
  </conditionalFormatting>
  <conditionalFormatting sqref="BD37">
    <cfRule type="cellIs" dxfId="2176" priority="2172" operator="lessThan">
      <formula>0</formula>
    </cfRule>
  </conditionalFormatting>
  <conditionalFormatting sqref="BF37">
    <cfRule type="cellIs" dxfId="2175" priority="2171" operator="lessThan">
      <formula>0</formula>
    </cfRule>
  </conditionalFormatting>
  <conditionalFormatting sqref="BH37">
    <cfRule type="cellIs" dxfId="2174" priority="2170" operator="lessThan">
      <formula>0</formula>
    </cfRule>
  </conditionalFormatting>
  <conditionalFormatting sqref="BJ37">
    <cfRule type="cellIs" dxfId="2173" priority="2169" operator="lessThan">
      <formula>0</formula>
    </cfRule>
  </conditionalFormatting>
  <conditionalFormatting sqref="BL37">
    <cfRule type="cellIs" dxfId="2172" priority="2168" operator="lessThan">
      <formula>0</formula>
    </cfRule>
  </conditionalFormatting>
  <conditionalFormatting sqref="BN37">
    <cfRule type="cellIs" dxfId="2171" priority="2167" operator="lessThan">
      <formula>0</formula>
    </cfRule>
  </conditionalFormatting>
  <conditionalFormatting sqref="BP37">
    <cfRule type="cellIs" dxfId="2170" priority="2166" operator="lessThan">
      <formula>0</formula>
    </cfRule>
  </conditionalFormatting>
  <conditionalFormatting sqref="BR37">
    <cfRule type="cellIs" dxfId="2169" priority="2165" operator="lessThan">
      <formula>0</formula>
    </cfRule>
  </conditionalFormatting>
  <conditionalFormatting sqref="BT37">
    <cfRule type="cellIs" dxfId="2168" priority="2164" operator="lessThan">
      <formula>0</formula>
    </cfRule>
  </conditionalFormatting>
  <conditionalFormatting sqref="BV37">
    <cfRule type="cellIs" dxfId="2167" priority="2163" operator="lessThan">
      <formula>0</formula>
    </cfRule>
  </conditionalFormatting>
  <conditionalFormatting sqref="BX37">
    <cfRule type="cellIs" dxfId="2166" priority="2162" operator="lessThan">
      <formula>0</formula>
    </cfRule>
  </conditionalFormatting>
  <conditionalFormatting sqref="BZ37">
    <cfRule type="cellIs" dxfId="2165" priority="2161" operator="lessThan">
      <formula>0</formula>
    </cfRule>
  </conditionalFormatting>
  <conditionalFormatting sqref="CB37">
    <cfRule type="cellIs" dxfId="2164" priority="2160" operator="lessThan">
      <formula>0</formula>
    </cfRule>
  </conditionalFormatting>
  <conditionalFormatting sqref="CD37">
    <cfRule type="cellIs" dxfId="2163" priority="2159" operator="lessThan">
      <formula>0</formula>
    </cfRule>
  </conditionalFormatting>
  <conditionalFormatting sqref="CF37">
    <cfRule type="cellIs" dxfId="2162" priority="2158" operator="lessThan">
      <formula>0</formula>
    </cfRule>
  </conditionalFormatting>
  <conditionalFormatting sqref="CH37">
    <cfRule type="cellIs" dxfId="2161" priority="2157" operator="lessThan">
      <formula>0</formula>
    </cfRule>
  </conditionalFormatting>
  <conditionalFormatting sqref="CJ37">
    <cfRule type="cellIs" dxfId="2160" priority="2156" operator="lessThan">
      <formula>0</formula>
    </cfRule>
  </conditionalFormatting>
  <conditionalFormatting sqref="CL37">
    <cfRule type="cellIs" dxfId="2159" priority="2155" operator="lessThan">
      <formula>0</formula>
    </cfRule>
  </conditionalFormatting>
  <conditionalFormatting sqref="AJ37">
    <cfRule type="cellIs" dxfId="2158" priority="2154" operator="lessThan">
      <formula>0</formula>
    </cfRule>
  </conditionalFormatting>
  <conditionalFormatting sqref="AH38">
    <cfRule type="cellIs" dxfId="2157" priority="2153" operator="lessThan">
      <formula>0</formula>
    </cfRule>
  </conditionalFormatting>
  <conditionalFormatting sqref="AL38">
    <cfRule type="cellIs" dxfId="2156" priority="2152" operator="lessThan">
      <formula>0</formula>
    </cfRule>
  </conditionalFormatting>
  <conditionalFormatting sqref="AN38">
    <cfRule type="cellIs" dxfId="2155" priority="2151" operator="lessThan">
      <formula>0</formula>
    </cfRule>
  </conditionalFormatting>
  <conditionalFormatting sqref="AP38">
    <cfRule type="cellIs" dxfId="2154" priority="2150" operator="lessThan">
      <formula>0</formula>
    </cfRule>
  </conditionalFormatting>
  <conditionalFormatting sqref="AR38">
    <cfRule type="cellIs" dxfId="2153" priority="2149" operator="lessThan">
      <formula>0</formula>
    </cfRule>
  </conditionalFormatting>
  <conditionalFormatting sqref="AT38">
    <cfRule type="cellIs" dxfId="2152" priority="2148" operator="lessThan">
      <formula>0</formula>
    </cfRule>
  </conditionalFormatting>
  <conditionalFormatting sqref="AV38">
    <cfRule type="cellIs" dxfId="2151" priority="2147" operator="lessThan">
      <formula>0</formula>
    </cfRule>
  </conditionalFormatting>
  <conditionalFormatting sqref="AX38">
    <cfRule type="cellIs" dxfId="2150" priority="2146" operator="lessThan">
      <formula>0</formula>
    </cfRule>
  </conditionalFormatting>
  <conditionalFormatting sqref="AZ38">
    <cfRule type="cellIs" dxfId="2149" priority="2145" operator="lessThan">
      <formula>0</formula>
    </cfRule>
  </conditionalFormatting>
  <conditionalFormatting sqref="BB38">
    <cfRule type="cellIs" dxfId="2148" priority="2144" operator="lessThan">
      <formula>0</formula>
    </cfRule>
  </conditionalFormatting>
  <conditionalFormatting sqref="BD38">
    <cfRule type="cellIs" dxfId="2147" priority="2143" operator="lessThan">
      <formula>0</formula>
    </cfRule>
  </conditionalFormatting>
  <conditionalFormatting sqref="BF38">
    <cfRule type="cellIs" dxfId="2146" priority="2142" operator="lessThan">
      <formula>0</formula>
    </cfRule>
  </conditionalFormatting>
  <conditionalFormatting sqref="BH38">
    <cfRule type="cellIs" dxfId="2145" priority="2141" operator="lessThan">
      <formula>0</formula>
    </cfRule>
  </conditionalFormatting>
  <conditionalFormatting sqref="BJ38">
    <cfRule type="cellIs" dxfId="2144" priority="2140" operator="lessThan">
      <formula>0</formula>
    </cfRule>
  </conditionalFormatting>
  <conditionalFormatting sqref="BL38">
    <cfRule type="cellIs" dxfId="2143" priority="2139" operator="lessThan">
      <formula>0</formula>
    </cfRule>
  </conditionalFormatting>
  <conditionalFormatting sqref="BN38">
    <cfRule type="cellIs" dxfId="2142" priority="2138" operator="lessThan">
      <formula>0</formula>
    </cfRule>
  </conditionalFormatting>
  <conditionalFormatting sqref="BP38">
    <cfRule type="cellIs" dxfId="2141" priority="2137" operator="lessThan">
      <formula>0</formula>
    </cfRule>
  </conditionalFormatting>
  <conditionalFormatting sqref="BR38">
    <cfRule type="cellIs" dxfId="2140" priority="2136" operator="lessThan">
      <formula>0</formula>
    </cfRule>
  </conditionalFormatting>
  <conditionalFormatting sqref="BT38">
    <cfRule type="cellIs" dxfId="2139" priority="2135" operator="lessThan">
      <formula>0</formula>
    </cfRule>
  </conditionalFormatting>
  <conditionalFormatting sqref="BV38">
    <cfRule type="cellIs" dxfId="2138" priority="2134" operator="lessThan">
      <formula>0</formula>
    </cfRule>
  </conditionalFormatting>
  <conditionalFormatting sqref="BX38">
    <cfRule type="cellIs" dxfId="2137" priority="2133" operator="lessThan">
      <formula>0</formula>
    </cfRule>
  </conditionalFormatting>
  <conditionalFormatting sqref="BZ38">
    <cfRule type="cellIs" dxfId="2136" priority="2132" operator="lessThan">
      <formula>0</formula>
    </cfRule>
  </conditionalFormatting>
  <conditionalFormatting sqref="CB38">
    <cfRule type="cellIs" dxfId="2135" priority="2131" operator="lessThan">
      <formula>0</formula>
    </cfRule>
  </conditionalFormatting>
  <conditionalFormatting sqref="CD38">
    <cfRule type="cellIs" dxfId="2134" priority="2130" operator="lessThan">
      <formula>0</formula>
    </cfRule>
  </conditionalFormatting>
  <conditionalFormatting sqref="CF38">
    <cfRule type="cellIs" dxfId="2133" priority="2129" operator="lessThan">
      <formula>0</formula>
    </cfRule>
  </conditionalFormatting>
  <conditionalFormatting sqref="CH38">
    <cfRule type="cellIs" dxfId="2132" priority="2128" operator="lessThan">
      <formula>0</formula>
    </cfRule>
  </conditionalFormatting>
  <conditionalFormatting sqref="CJ38">
    <cfRule type="cellIs" dxfId="2131" priority="2127" operator="lessThan">
      <formula>0</formula>
    </cfRule>
  </conditionalFormatting>
  <conditionalFormatting sqref="CL38">
    <cfRule type="cellIs" dxfId="2130" priority="2126" operator="lessThan">
      <formula>0</formula>
    </cfRule>
  </conditionalFormatting>
  <conditionalFormatting sqref="AJ38">
    <cfRule type="cellIs" dxfId="2129" priority="2125" operator="lessThan">
      <formula>0</formula>
    </cfRule>
  </conditionalFormatting>
  <conditionalFormatting sqref="AH39">
    <cfRule type="cellIs" dxfId="2128" priority="2124" operator="lessThan">
      <formula>0</formula>
    </cfRule>
  </conditionalFormatting>
  <conditionalFormatting sqref="AL39">
    <cfRule type="cellIs" dxfId="2127" priority="2123" operator="lessThan">
      <formula>0</formula>
    </cfRule>
  </conditionalFormatting>
  <conditionalFormatting sqref="AN39">
    <cfRule type="cellIs" dxfId="2126" priority="2122" operator="lessThan">
      <formula>0</formula>
    </cfRule>
  </conditionalFormatting>
  <conditionalFormatting sqref="AP39">
    <cfRule type="cellIs" dxfId="2125" priority="2121" operator="lessThan">
      <formula>0</formula>
    </cfRule>
  </conditionalFormatting>
  <conditionalFormatting sqref="AR39">
    <cfRule type="cellIs" dxfId="2124" priority="2120" operator="lessThan">
      <formula>0</formula>
    </cfRule>
  </conditionalFormatting>
  <conditionalFormatting sqref="AT39">
    <cfRule type="cellIs" dxfId="2123" priority="2119" operator="lessThan">
      <formula>0</formula>
    </cfRule>
  </conditionalFormatting>
  <conditionalFormatting sqref="AV39">
    <cfRule type="cellIs" dxfId="2122" priority="2118" operator="lessThan">
      <formula>0</formula>
    </cfRule>
  </conditionalFormatting>
  <conditionalFormatting sqref="AX39">
    <cfRule type="cellIs" dxfId="2121" priority="2117" operator="lessThan">
      <formula>0</formula>
    </cfRule>
  </conditionalFormatting>
  <conditionalFormatting sqref="AZ39">
    <cfRule type="cellIs" dxfId="2120" priority="2116" operator="lessThan">
      <formula>0</formula>
    </cfRule>
  </conditionalFormatting>
  <conditionalFormatting sqref="BB39">
    <cfRule type="cellIs" dxfId="2119" priority="2115" operator="lessThan">
      <formula>0</formula>
    </cfRule>
  </conditionalFormatting>
  <conditionalFormatting sqref="BD39">
    <cfRule type="cellIs" dxfId="2118" priority="2114" operator="lessThan">
      <formula>0</formula>
    </cfRule>
  </conditionalFormatting>
  <conditionalFormatting sqref="BF39">
    <cfRule type="cellIs" dxfId="2117" priority="2113" operator="lessThan">
      <formula>0</formula>
    </cfRule>
  </conditionalFormatting>
  <conditionalFormatting sqref="BH39">
    <cfRule type="cellIs" dxfId="2116" priority="2112" operator="lessThan">
      <formula>0</formula>
    </cfRule>
  </conditionalFormatting>
  <conditionalFormatting sqref="BJ39">
    <cfRule type="cellIs" dxfId="2115" priority="2111" operator="lessThan">
      <formula>0</formula>
    </cfRule>
  </conditionalFormatting>
  <conditionalFormatting sqref="BL39">
    <cfRule type="cellIs" dxfId="2114" priority="2110" operator="lessThan">
      <formula>0</formula>
    </cfRule>
  </conditionalFormatting>
  <conditionalFormatting sqref="BN39">
    <cfRule type="cellIs" dxfId="2113" priority="2109" operator="lessThan">
      <formula>0</formula>
    </cfRule>
  </conditionalFormatting>
  <conditionalFormatting sqref="BP39">
    <cfRule type="cellIs" dxfId="2112" priority="2108" operator="lessThan">
      <formula>0</formula>
    </cfRule>
  </conditionalFormatting>
  <conditionalFormatting sqref="BR39">
    <cfRule type="cellIs" dxfId="2111" priority="2107" operator="lessThan">
      <formula>0</formula>
    </cfRule>
  </conditionalFormatting>
  <conditionalFormatting sqref="BT39">
    <cfRule type="cellIs" dxfId="2110" priority="2106" operator="lessThan">
      <formula>0</formula>
    </cfRule>
  </conditionalFormatting>
  <conditionalFormatting sqref="BV39">
    <cfRule type="cellIs" dxfId="2109" priority="2105" operator="lessThan">
      <formula>0</formula>
    </cfRule>
  </conditionalFormatting>
  <conditionalFormatting sqref="BX39">
    <cfRule type="cellIs" dxfId="2108" priority="2104" operator="lessThan">
      <formula>0</formula>
    </cfRule>
  </conditionalFormatting>
  <conditionalFormatting sqref="BZ39">
    <cfRule type="cellIs" dxfId="2107" priority="2103" operator="lessThan">
      <formula>0</formula>
    </cfRule>
  </conditionalFormatting>
  <conditionalFormatting sqref="CB39">
    <cfRule type="cellIs" dxfId="2106" priority="2102" operator="lessThan">
      <formula>0</formula>
    </cfRule>
  </conditionalFormatting>
  <conditionalFormatting sqref="CD39">
    <cfRule type="cellIs" dxfId="2105" priority="2101" operator="lessThan">
      <formula>0</formula>
    </cfRule>
  </conditionalFormatting>
  <conditionalFormatting sqref="CF39">
    <cfRule type="cellIs" dxfId="2104" priority="2100" operator="lessThan">
      <formula>0</formula>
    </cfRule>
  </conditionalFormatting>
  <conditionalFormatting sqref="CH39">
    <cfRule type="cellIs" dxfId="2103" priority="2099" operator="lessThan">
      <formula>0</formula>
    </cfRule>
  </conditionalFormatting>
  <conditionalFormatting sqref="CJ39">
    <cfRule type="cellIs" dxfId="2102" priority="2098" operator="lessThan">
      <formula>0</formula>
    </cfRule>
  </conditionalFormatting>
  <conditionalFormatting sqref="CL39">
    <cfRule type="cellIs" dxfId="2101" priority="2097" operator="lessThan">
      <formula>0</formula>
    </cfRule>
  </conditionalFormatting>
  <conditionalFormatting sqref="AJ39">
    <cfRule type="cellIs" dxfId="2100" priority="2096" operator="lessThan">
      <formula>0</formula>
    </cfRule>
  </conditionalFormatting>
  <conditionalFormatting sqref="AH40">
    <cfRule type="cellIs" dxfId="2099" priority="2095" operator="lessThan">
      <formula>0</formula>
    </cfRule>
  </conditionalFormatting>
  <conditionalFormatting sqref="AL40">
    <cfRule type="cellIs" dxfId="2098" priority="2094" operator="lessThan">
      <formula>0</formula>
    </cfRule>
  </conditionalFormatting>
  <conditionalFormatting sqref="AN40">
    <cfRule type="cellIs" dxfId="2097" priority="2093" operator="lessThan">
      <formula>0</formula>
    </cfRule>
  </conditionalFormatting>
  <conditionalFormatting sqref="AP40">
    <cfRule type="cellIs" dxfId="2096" priority="2092" operator="lessThan">
      <formula>0</formula>
    </cfRule>
  </conditionalFormatting>
  <conditionalFormatting sqref="AR40">
    <cfRule type="cellIs" dxfId="2095" priority="2091" operator="lessThan">
      <formula>0</formula>
    </cfRule>
  </conditionalFormatting>
  <conditionalFormatting sqref="AT40">
    <cfRule type="cellIs" dxfId="2094" priority="2090" operator="lessThan">
      <formula>0</formula>
    </cfRule>
  </conditionalFormatting>
  <conditionalFormatting sqref="AV40">
    <cfRule type="cellIs" dxfId="2093" priority="2089" operator="lessThan">
      <formula>0</formula>
    </cfRule>
  </conditionalFormatting>
  <conditionalFormatting sqref="AX40">
    <cfRule type="cellIs" dxfId="2092" priority="2088" operator="lessThan">
      <formula>0</formula>
    </cfRule>
  </conditionalFormatting>
  <conditionalFormatting sqref="AZ40">
    <cfRule type="cellIs" dxfId="2091" priority="2087" operator="lessThan">
      <formula>0</formula>
    </cfRule>
  </conditionalFormatting>
  <conditionalFormatting sqref="BB40">
    <cfRule type="cellIs" dxfId="2090" priority="2086" operator="lessThan">
      <formula>0</formula>
    </cfRule>
  </conditionalFormatting>
  <conditionalFormatting sqref="BD40">
    <cfRule type="cellIs" dxfId="2089" priority="2085" operator="lessThan">
      <formula>0</formula>
    </cfRule>
  </conditionalFormatting>
  <conditionalFormatting sqref="BF40">
    <cfRule type="cellIs" dxfId="2088" priority="2084" operator="lessThan">
      <formula>0</formula>
    </cfRule>
  </conditionalFormatting>
  <conditionalFormatting sqref="BH40">
    <cfRule type="cellIs" dxfId="2087" priority="2083" operator="lessThan">
      <formula>0</formula>
    </cfRule>
  </conditionalFormatting>
  <conditionalFormatting sqref="BJ40">
    <cfRule type="cellIs" dxfId="2086" priority="2082" operator="lessThan">
      <formula>0</formula>
    </cfRule>
  </conditionalFormatting>
  <conditionalFormatting sqref="BL40">
    <cfRule type="cellIs" dxfId="2085" priority="2081" operator="lessThan">
      <formula>0</formula>
    </cfRule>
  </conditionalFormatting>
  <conditionalFormatting sqref="BN40">
    <cfRule type="cellIs" dxfId="2084" priority="2080" operator="lessThan">
      <formula>0</formula>
    </cfRule>
  </conditionalFormatting>
  <conditionalFormatting sqref="BP40">
    <cfRule type="cellIs" dxfId="2083" priority="2079" operator="lessThan">
      <formula>0</formula>
    </cfRule>
  </conditionalFormatting>
  <conditionalFormatting sqref="BR40">
    <cfRule type="cellIs" dxfId="2082" priority="2078" operator="lessThan">
      <formula>0</formula>
    </cfRule>
  </conditionalFormatting>
  <conditionalFormatting sqref="BT40">
    <cfRule type="cellIs" dxfId="2081" priority="2077" operator="lessThan">
      <formula>0</formula>
    </cfRule>
  </conditionalFormatting>
  <conditionalFormatting sqref="BV40">
    <cfRule type="cellIs" dxfId="2080" priority="2076" operator="lessThan">
      <formula>0</formula>
    </cfRule>
  </conditionalFormatting>
  <conditionalFormatting sqref="BX40">
    <cfRule type="cellIs" dxfId="2079" priority="2075" operator="lessThan">
      <formula>0</formula>
    </cfRule>
  </conditionalFormatting>
  <conditionalFormatting sqref="BZ40">
    <cfRule type="cellIs" dxfId="2078" priority="2074" operator="lessThan">
      <formula>0</formula>
    </cfRule>
  </conditionalFormatting>
  <conditionalFormatting sqref="CB40">
    <cfRule type="cellIs" dxfId="2077" priority="2073" operator="lessThan">
      <formula>0</formula>
    </cfRule>
  </conditionalFormatting>
  <conditionalFormatting sqref="CD40">
    <cfRule type="cellIs" dxfId="2076" priority="2072" operator="lessThan">
      <formula>0</formula>
    </cfRule>
  </conditionalFormatting>
  <conditionalFormatting sqref="CF40">
    <cfRule type="cellIs" dxfId="2075" priority="2071" operator="lessThan">
      <formula>0</formula>
    </cfRule>
  </conditionalFormatting>
  <conditionalFormatting sqref="CH40">
    <cfRule type="cellIs" dxfId="2074" priority="2070" operator="lessThan">
      <formula>0</formula>
    </cfRule>
  </conditionalFormatting>
  <conditionalFormatting sqref="CJ40">
    <cfRule type="cellIs" dxfId="2073" priority="2069" operator="lessThan">
      <formula>0</formula>
    </cfRule>
  </conditionalFormatting>
  <conditionalFormatting sqref="CL40">
    <cfRule type="cellIs" dxfId="2072" priority="2068" operator="lessThan">
      <formula>0</formula>
    </cfRule>
  </conditionalFormatting>
  <conditionalFormatting sqref="AJ40">
    <cfRule type="cellIs" dxfId="2071" priority="2067" operator="lessThan">
      <formula>0</formula>
    </cfRule>
  </conditionalFormatting>
  <conditionalFormatting sqref="AH41">
    <cfRule type="cellIs" dxfId="2070" priority="2066" operator="lessThan">
      <formula>0</formula>
    </cfRule>
  </conditionalFormatting>
  <conditionalFormatting sqref="AL41">
    <cfRule type="cellIs" dxfId="2069" priority="2065" operator="lessThan">
      <formula>0</formula>
    </cfRule>
  </conditionalFormatting>
  <conditionalFormatting sqref="AN41">
    <cfRule type="cellIs" dxfId="2068" priority="2064" operator="lessThan">
      <formula>0</formula>
    </cfRule>
  </conditionalFormatting>
  <conditionalFormatting sqref="AP41">
    <cfRule type="cellIs" dxfId="2067" priority="2063" operator="lessThan">
      <formula>0</formula>
    </cfRule>
  </conditionalFormatting>
  <conditionalFormatting sqref="AR41">
    <cfRule type="cellIs" dxfId="2066" priority="2062" operator="lessThan">
      <formula>0</formula>
    </cfRule>
  </conditionalFormatting>
  <conditionalFormatting sqref="AT41">
    <cfRule type="cellIs" dxfId="2065" priority="2061" operator="lessThan">
      <formula>0</formula>
    </cfRule>
  </conditionalFormatting>
  <conditionalFormatting sqref="AV41">
    <cfRule type="cellIs" dxfId="2064" priority="2060" operator="lessThan">
      <formula>0</formula>
    </cfRule>
  </conditionalFormatting>
  <conditionalFormatting sqref="AX41">
    <cfRule type="cellIs" dxfId="2063" priority="2059" operator="lessThan">
      <formula>0</formula>
    </cfRule>
  </conditionalFormatting>
  <conditionalFormatting sqref="AZ41">
    <cfRule type="cellIs" dxfId="2062" priority="2058" operator="lessThan">
      <formula>0</formula>
    </cfRule>
  </conditionalFormatting>
  <conditionalFormatting sqref="BB41">
    <cfRule type="cellIs" dxfId="2061" priority="2057" operator="lessThan">
      <formula>0</formula>
    </cfRule>
  </conditionalFormatting>
  <conditionalFormatting sqref="BD41">
    <cfRule type="cellIs" dxfId="2060" priority="2056" operator="lessThan">
      <formula>0</formula>
    </cfRule>
  </conditionalFormatting>
  <conditionalFormatting sqref="BF41">
    <cfRule type="cellIs" dxfId="2059" priority="2055" operator="lessThan">
      <formula>0</formula>
    </cfRule>
  </conditionalFormatting>
  <conditionalFormatting sqref="BH41">
    <cfRule type="cellIs" dxfId="2058" priority="2054" operator="lessThan">
      <formula>0</formula>
    </cfRule>
  </conditionalFormatting>
  <conditionalFormatting sqref="BJ41">
    <cfRule type="cellIs" dxfId="2057" priority="2053" operator="lessThan">
      <formula>0</formula>
    </cfRule>
  </conditionalFormatting>
  <conditionalFormatting sqref="BL41">
    <cfRule type="cellIs" dxfId="2056" priority="2052" operator="lessThan">
      <formula>0</formula>
    </cfRule>
  </conditionalFormatting>
  <conditionalFormatting sqref="BN41">
    <cfRule type="cellIs" dxfId="2055" priority="2051" operator="lessThan">
      <formula>0</formula>
    </cfRule>
  </conditionalFormatting>
  <conditionalFormatting sqref="BP41">
    <cfRule type="cellIs" dxfId="2054" priority="2050" operator="lessThan">
      <formula>0</formula>
    </cfRule>
  </conditionalFormatting>
  <conditionalFormatting sqref="BR41">
    <cfRule type="cellIs" dxfId="2053" priority="2049" operator="lessThan">
      <formula>0</formula>
    </cfRule>
  </conditionalFormatting>
  <conditionalFormatting sqref="BT41">
    <cfRule type="cellIs" dxfId="2052" priority="2048" operator="lessThan">
      <formula>0</formula>
    </cfRule>
  </conditionalFormatting>
  <conditionalFormatting sqref="BV41">
    <cfRule type="cellIs" dxfId="2051" priority="2047" operator="lessThan">
      <formula>0</formula>
    </cfRule>
  </conditionalFormatting>
  <conditionalFormatting sqref="BX41">
    <cfRule type="cellIs" dxfId="2050" priority="2046" operator="lessThan">
      <formula>0</formula>
    </cfRule>
  </conditionalFormatting>
  <conditionalFormatting sqref="BZ41">
    <cfRule type="cellIs" dxfId="2049" priority="2045" operator="lessThan">
      <formula>0</formula>
    </cfRule>
  </conditionalFormatting>
  <conditionalFormatting sqref="CB41">
    <cfRule type="cellIs" dxfId="2048" priority="2044" operator="lessThan">
      <formula>0</formula>
    </cfRule>
  </conditionalFormatting>
  <conditionalFormatting sqref="CD41">
    <cfRule type="cellIs" dxfId="2047" priority="2043" operator="lessThan">
      <formula>0</formula>
    </cfRule>
  </conditionalFormatting>
  <conditionalFormatting sqref="CF41">
    <cfRule type="cellIs" dxfId="2046" priority="2042" operator="lessThan">
      <formula>0</formula>
    </cfRule>
  </conditionalFormatting>
  <conditionalFormatting sqref="CH41">
    <cfRule type="cellIs" dxfId="2045" priority="2041" operator="lessThan">
      <formula>0</formula>
    </cfRule>
  </conditionalFormatting>
  <conditionalFormatting sqref="CJ41">
    <cfRule type="cellIs" dxfId="2044" priority="2040" operator="lessThan">
      <formula>0</formula>
    </cfRule>
  </conditionalFormatting>
  <conditionalFormatting sqref="CL41">
    <cfRule type="cellIs" dxfId="2043" priority="2039" operator="lessThan">
      <formula>0</formula>
    </cfRule>
  </conditionalFormatting>
  <conditionalFormatting sqref="AJ41">
    <cfRule type="cellIs" dxfId="2042" priority="2038" operator="lessThan">
      <formula>0</formula>
    </cfRule>
  </conditionalFormatting>
  <conditionalFormatting sqref="AH42">
    <cfRule type="cellIs" dxfId="2041" priority="2037" operator="lessThan">
      <formula>0</formula>
    </cfRule>
  </conditionalFormatting>
  <conditionalFormatting sqref="AL42">
    <cfRule type="cellIs" dxfId="2040" priority="2036" operator="lessThan">
      <formula>0</formula>
    </cfRule>
  </conditionalFormatting>
  <conditionalFormatting sqref="AN42">
    <cfRule type="cellIs" dxfId="2039" priority="2035" operator="lessThan">
      <formula>0</formula>
    </cfRule>
  </conditionalFormatting>
  <conditionalFormatting sqref="AP42">
    <cfRule type="cellIs" dxfId="2038" priority="2034" operator="lessThan">
      <formula>0</formula>
    </cfRule>
  </conditionalFormatting>
  <conditionalFormatting sqref="AR42">
    <cfRule type="cellIs" dxfId="2037" priority="2033" operator="lessThan">
      <formula>0</formula>
    </cfRule>
  </conditionalFormatting>
  <conditionalFormatting sqref="AT42">
    <cfRule type="cellIs" dxfId="2036" priority="2032" operator="lessThan">
      <formula>0</formula>
    </cfRule>
  </conditionalFormatting>
  <conditionalFormatting sqref="AV42">
    <cfRule type="cellIs" dxfId="2035" priority="2031" operator="lessThan">
      <formula>0</formula>
    </cfRule>
  </conditionalFormatting>
  <conditionalFormatting sqref="AX42">
    <cfRule type="cellIs" dxfId="2034" priority="2030" operator="lessThan">
      <formula>0</formula>
    </cfRule>
  </conditionalFormatting>
  <conditionalFormatting sqref="AZ42">
    <cfRule type="cellIs" dxfId="2033" priority="2029" operator="lessThan">
      <formula>0</formula>
    </cfRule>
  </conditionalFormatting>
  <conditionalFormatting sqref="BB42">
    <cfRule type="cellIs" dxfId="2032" priority="2028" operator="lessThan">
      <formula>0</formula>
    </cfRule>
  </conditionalFormatting>
  <conditionalFormatting sqref="BD42">
    <cfRule type="cellIs" dxfId="2031" priority="2027" operator="lessThan">
      <formula>0</formula>
    </cfRule>
  </conditionalFormatting>
  <conditionalFormatting sqref="BF42">
    <cfRule type="cellIs" dxfId="2030" priority="2026" operator="lessThan">
      <formula>0</formula>
    </cfRule>
  </conditionalFormatting>
  <conditionalFormatting sqref="BH42">
    <cfRule type="cellIs" dxfId="2029" priority="2025" operator="lessThan">
      <formula>0</formula>
    </cfRule>
  </conditionalFormatting>
  <conditionalFormatting sqref="BJ42">
    <cfRule type="cellIs" dxfId="2028" priority="2024" operator="lessThan">
      <formula>0</formula>
    </cfRule>
  </conditionalFormatting>
  <conditionalFormatting sqref="BL42">
    <cfRule type="cellIs" dxfId="2027" priority="2023" operator="lessThan">
      <formula>0</formula>
    </cfRule>
  </conditionalFormatting>
  <conditionalFormatting sqref="BN42">
    <cfRule type="cellIs" dxfId="2026" priority="2022" operator="lessThan">
      <formula>0</formula>
    </cfRule>
  </conditionalFormatting>
  <conditionalFormatting sqref="BP42">
    <cfRule type="cellIs" dxfId="2025" priority="2021" operator="lessThan">
      <formula>0</formula>
    </cfRule>
  </conditionalFormatting>
  <conditionalFormatting sqref="BR42">
    <cfRule type="cellIs" dxfId="2024" priority="2020" operator="lessThan">
      <formula>0</formula>
    </cfRule>
  </conditionalFormatting>
  <conditionalFormatting sqref="BT42">
    <cfRule type="cellIs" dxfId="2023" priority="2019" operator="lessThan">
      <formula>0</formula>
    </cfRule>
  </conditionalFormatting>
  <conditionalFormatting sqref="BV42">
    <cfRule type="cellIs" dxfId="2022" priority="2018" operator="lessThan">
      <formula>0</formula>
    </cfRule>
  </conditionalFormatting>
  <conditionalFormatting sqref="BX42">
    <cfRule type="cellIs" dxfId="2021" priority="2017" operator="lessThan">
      <formula>0</formula>
    </cfRule>
  </conditionalFormatting>
  <conditionalFormatting sqref="BZ42">
    <cfRule type="cellIs" dxfId="2020" priority="2016" operator="lessThan">
      <formula>0</formula>
    </cfRule>
  </conditionalFormatting>
  <conditionalFormatting sqref="CB42">
    <cfRule type="cellIs" dxfId="2019" priority="2015" operator="lessThan">
      <formula>0</formula>
    </cfRule>
  </conditionalFormatting>
  <conditionalFormatting sqref="CD42">
    <cfRule type="cellIs" dxfId="2018" priority="2014" operator="lessThan">
      <formula>0</formula>
    </cfRule>
  </conditionalFormatting>
  <conditionalFormatting sqref="CF42">
    <cfRule type="cellIs" dxfId="2017" priority="2013" operator="lessThan">
      <formula>0</formula>
    </cfRule>
  </conditionalFormatting>
  <conditionalFormatting sqref="CH42">
    <cfRule type="cellIs" dxfId="2016" priority="2012" operator="lessThan">
      <formula>0</formula>
    </cfRule>
  </conditionalFormatting>
  <conditionalFormatting sqref="CJ42">
    <cfRule type="cellIs" dxfId="2015" priority="2011" operator="lessThan">
      <formula>0</formula>
    </cfRule>
  </conditionalFormatting>
  <conditionalFormatting sqref="CL42">
    <cfRule type="cellIs" dxfId="2014" priority="2010" operator="lessThan">
      <formula>0</formula>
    </cfRule>
  </conditionalFormatting>
  <conditionalFormatting sqref="AJ42">
    <cfRule type="cellIs" dxfId="2013" priority="2009" operator="lessThan">
      <formula>0</formula>
    </cfRule>
  </conditionalFormatting>
  <conditionalFormatting sqref="AH43">
    <cfRule type="cellIs" dxfId="2012" priority="2008" operator="lessThan">
      <formula>0</formula>
    </cfRule>
  </conditionalFormatting>
  <conditionalFormatting sqref="AL43">
    <cfRule type="cellIs" dxfId="2011" priority="2007" operator="lessThan">
      <formula>0</formula>
    </cfRule>
  </conditionalFormatting>
  <conditionalFormatting sqref="AN43">
    <cfRule type="cellIs" dxfId="2010" priority="2006" operator="lessThan">
      <formula>0</formula>
    </cfRule>
  </conditionalFormatting>
  <conditionalFormatting sqref="AP43">
    <cfRule type="cellIs" dxfId="2009" priority="2005" operator="lessThan">
      <formula>0</formula>
    </cfRule>
  </conditionalFormatting>
  <conditionalFormatting sqref="AR43">
    <cfRule type="cellIs" dxfId="2008" priority="2004" operator="lessThan">
      <formula>0</formula>
    </cfRule>
  </conditionalFormatting>
  <conditionalFormatting sqref="AT43">
    <cfRule type="cellIs" dxfId="2007" priority="2003" operator="lessThan">
      <formula>0</formula>
    </cfRule>
  </conditionalFormatting>
  <conditionalFormatting sqref="AV43">
    <cfRule type="cellIs" dxfId="2006" priority="2002" operator="lessThan">
      <formula>0</formula>
    </cfRule>
  </conditionalFormatting>
  <conditionalFormatting sqref="AX43">
    <cfRule type="cellIs" dxfId="2005" priority="2001" operator="lessThan">
      <formula>0</formula>
    </cfRule>
  </conditionalFormatting>
  <conditionalFormatting sqref="AZ43">
    <cfRule type="cellIs" dxfId="2004" priority="2000" operator="lessThan">
      <formula>0</formula>
    </cfRule>
  </conditionalFormatting>
  <conditionalFormatting sqref="BB43">
    <cfRule type="cellIs" dxfId="2003" priority="1999" operator="lessThan">
      <formula>0</formula>
    </cfRule>
  </conditionalFormatting>
  <conditionalFormatting sqref="BD43">
    <cfRule type="cellIs" dxfId="2002" priority="1998" operator="lessThan">
      <formula>0</formula>
    </cfRule>
  </conditionalFormatting>
  <conditionalFormatting sqref="BF43">
    <cfRule type="cellIs" dxfId="2001" priority="1997" operator="lessThan">
      <formula>0</formula>
    </cfRule>
  </conditionalFormatting>
  <conditionalFormatting sqref="BH43">
    <cfRule type="cellIs" dxfId="2000" priority="1996" operator="lessThan">
      <formula>0</formula>
    </cfRule>
  </conditionalFormatting>
  <conditionalFormatting sqref="BJ43">
    <cfRule type="cellIs" dxfId="1999" priority="1995" operator="lessThan">
      <formula>0</formula>
    </cfRule>
  </conditionalFormatting>
  <conditionalFormatting sqref="BL43">
    <cfRule type="cellIs" dxfId="1998" priority="1994" operator="lessThan">
      <formula>0</formula>
    </cfRule>
  </conditionalFormatting>
  <conditionalFormatting sqref="BN43">
    <cfRule type="cellIs" dxfId="1997" priority="1993" operator="lessThan">
      <formula>0</formula>
    </cfRule>
  </conditionalFormatting>
  <conditionalFormatting sqref="BP43">
    <cfRule type="cellIs" dxfId="1996" priority="1992" operator="lessThan">
      <formula>0</formula>
    </cfRule>
  </conditionalFormatting>
  <conditionalFormatting sqref="BR43">
    <cfRule type="cellIs" dxfId="1995" priority="1991" operator="lessThan">
      <formula>0</formula>
    </cfRule>
  </conditionalFormatting>
  <conditionalFormatting sqref="BT43">
    <cfRule type="cellIs" dxfId="1994" priority="1990" operator="lessThan">
      <formula>0</formula>
    </cfRule>
  </conditionalFormatting>
  <conditionalFormatting sqref="BV43">
    <cfRule type="cellIs" dxfId="1993" priority="1989" operator="lessThan">
      <formula>0</formula>
    </cfRule>
  </conditionalFormatting>
  <conditionalFormatting sqref="BX43">
    <cfRule type="cellIs" dxfId="1992" priority="1988" operator="lessThan">
      <formula>0</formula>
    </cfRule>
  </conditionalFormatting>
  <conditionalFormatting sqref="BZ43">
    <cfRule type="cellIs" dxfId="1991" priority="1987" operator="lessThan">
      <formula>0</formula>
    </cfRule>
  </conditionalFormatting>
  <conditionalFormatting sqref="CB43">
    <cfRule type="cellIs" dxfId="1990" priority="1986" operator="lessThan">
      <formula>0</formula>
    </cfRule>
  </conditionalFormatting>
  <conditionalFormatting sqref="CD43">
    <cfRule type="cellIs" dxfId="1989" priority="1985" operator="lessThan">
      <formula>0</formula>
    </cfRule>
  </conditionalFormatting>
  <conditionalFormatting sqref="CF43">
    <cfRule type="cellIs" dxfId="1988" priority="1984" operator="lessThan">
      <formula>0</formula>
    </cfRule>
  </conditionalFormatting>
  <conditionalFormatting sqref="CH43">
    <cfRule type="cellIs" dxfId="1987" priority="1983" operator="lessThan">
      <formula>0</formula>
    </cfRule>
  </conditionalFormatting>
  <conditionalFormatting sqref="CJ43">
    <cfRule type="cellIs" dxfId="1986" priority="1982" operator="lessThan">
      <formula>0</formula>
    </cfRule>
  </conditionalFormatting>
  <conditionalFormatting sqref="CL43">
    <cfRule type="cellIs" dxfId="1985" priority="1981" operator="lessThan">
      <formula>0</formula>
    </cfRule>
  </conditionalFormatting>
  <conditionalFormatting sqref="AJ43">
    <cfRule type="cellIs" dxfId="1984" priority="1980" operator="lessThan">
      <formula>0</formula>
    </cfRule>
  </conditionalFormatting>
  <conditionalFormatting sqref="AH44">
    <cfRule type="cellIs" dxfId="1983" priority="1979" operator="lessThan">
      <formula>0</formula>
    </cfRule>
  </conditionalFormatting>
  <conditionalFormatting sqref="AL44">
    <cfRule type="cellIs" dxfId="1982" priority="1978" operator="lessThan">
      <formula>0</formula>
    </cfRule>
  </conditionalFormatting>
  <conditionalFormatting sqref="AN44">
    <cfRule type="cellIs" dxfId="1981" priority="1977" operator="lessThan">
      <formula>0</formula>
    </cfRule>
  </conditionalFormatting>
  <conditionalFormatting sqref="AP44">
    <cfRule type="cellIs" dxfId="1980" priority="1976" operator="lessThan">
      <formula>0</formula>
    </cfRule>
  </conditionalFormatting>
  <conditionalFormatting sqref="AR44">
    <cfRule type="cellIs" dxfId="1979" priority="1975" operator="lessThan">
      <formula>0</formula>
    </cfRule>
  </conditionalFormatting>
  <conditionalFormatting sqref="AT44">
    <cfRule type="cellIs" dxfId="1978" priority="1974" operator="lessThan">
      <formula>0</formula>
    </cfRule>
  </conditionalFormatting>
  <conditionalFormatting sqref="AV44">
    <cfRule type="cellIs" dxfId="1977" priority="1973" operator="lessThan">
      <formula>0</formula>
    </cfRule>
  </conditionalFormatting>
  <conditionalFormatting sqref="AX44">
    <cfRule type="cellIs" dxfId="1976" priority="1972" operator="lessThan">
      <formula>0</formula>
    </cfRule>
  </conditionalFormatting>
  <conditionalFormatting sqref="AZ44">
    <cfRule type="cellIs" dxfId="1975" priority="1971" operator="lessThan">
      <formula>0</formula>
    </cfRule>
  </conditionalFormatting>
  <conditionalFormatting sqref="BB44">
    <cfRule type="cellIs" dxfId="1974" priority="1970" operator="lessThan">
      <formula>0</formula>
    </cfRule>
  </conditionalFormatting>
  <conditionalFormatting sqref="BD44">
    <cfRule type="cellIs" dxfId="1973" priority="1969" operator="lessThan">
      <formula>0</formula>
    </cfRule>
  </conditionalFormatting>
  <conditionalFormatting sqref="BF44">
    <cfRule type="cellIs" dxfId="1972" priority="1968" operator="lessThan">
      <formula>0</formula>
    </cfRule>
  </conditionalFormatting>
  <conditionalFormatting sqref="BH44">
    <cfRule type="cellIs" dxfId="1971" priority="1967" operator="lessThan">
      <formula>0</formula>
    </cfRule>
  </conditionalFormatting>
  <conditionalFormatting sqref="BJ44">
    <cfRule type="cellIs" dxfId="1970" priority="1966" operator="lessThan">
      <formula>0</formula>
    </cfRule>
  </conditionalFormatting>
  <conditionalFormatting sqref="BL44">
    <cfRule type="cellIs" dxfId="1969" priority="1965" operator="lessThan">
      <formula>0</formula>
    </cfRule>
  </conditionalFormatting>
  <conditionalFormatting sqref="BN44">
    <cfRule type="cellIs" dxfId="1968" priority="1964" operator="lessThan">
      <formula>0</formula>
    </cfRule>
  </conditionalFormatting>
  <conditionalFormatting sqref="BP44">
    <cfRule type="cellIs" dxfId="1967" priority="1963" operator="lessThan">
      <formula>0</formula>
    </cfRule>
  </conditionalFormatting>
  <conditionalFormatting sqref="BR44">
    <cfRule type="cellIs" dxfId="1966" priority="1962" operator="lessThan">
      <formula>0</formula>
    </cfRule>
  </conditionalFormatting>
  <conditionalFormatting sqref="BT44">
    <cfRule type="cellIs" dxfId="1965" priority="1961" operator="lessThan">
      <formula>0</formula>
    </cfRule>
  </conditionalFormatting>
  <conditionalFormatting sqref="BV44">
    <cfRule type="cellIs" dxfId="1964" priority="1960" operator="lessThan">
      <formula>0</formula>
    </cfRule>
  </conditionalFormatting>
  <conditionalFormatting sqref="BX44">
    <cfRule type="cellIs" dxfId="1963" priority="1959" operator="lessThan">
      <formula>0</formula>
    </cfRule>
  </conditionalFormatting>
  <conditionalFormatting sqref="BZ44">
    <cfRule type="cellIs" dxfId="1962" priority="1958" operator="lessThan">
      <formula>0</formula>
    </cfRule>
  </conditionalFormatting>
  <conditionalFormatting sqref="CB44">
    <cfRule type="cellIs" dxfId="1961" priority="1957" operator="lessThan">
      <formula>0</formula>
    </cfRule>
  </conditionalFormatting>
  <conditionalFormatting sqref="CD44">
    <cfRule type="cellIs" dxfId="1960" priority="1956" operator="lessThan">
      <formula>0</formula>
    </cfRule>
  </conditionalFormatting>
  <conditionalFormatting sqref="CF44">
    <cfRule type="cellIs" dxfId="1959" priority="1955" operator="lessThan">
      <formula>0</formula>
    </cfRule>
  </conditionalFormatting>
  <conditionalFormatting sqref="CH44">
    <cfRule type="cellIs" dxfId="1958" priority="1954" operator="lessThan">
      <formula>0</formula>
    </cfRule>
  </conditionalFormatting>
  <conditionalFormatting sqref="CJ44">
    <cfRule type="cellIs" dxfId="1957" priority="1953" operator="lessThan">
      <formula>0</formula>
    </cfRule>
  </conditionalFormatting>
  <conditionalFormatting sqref="CL44">
    <cfRule type="cellIs" dxfId="1956" priority="1952" operator="lessThan">
      <formula>0</formula>
    </cfRule>
  </conditionalFormatting>
  <conditionalFormatting sqref="AJ44">
    <cfRule type="cellIs" dxfId="1955" priority="1951" operator="lessThan">
      <formula>0</formula>
    </cfRule>
  </conditionalFormatting>
  <conditionalFormatting sqref="AH45">
    <cfRule type="cellIs" dxfId="1954" priority="1950" operator="lessThan">
      <formula>0</formula>
    </cfRule>
  </conditionalFormatting>
  <conditionalFormatting sqref="AL45">
    <cfRule type="cellIs" dxfId="1953" priority="1949" operator="lessThan">
      <formula>0</formula>
    </cfRule>
  </conditionalFormatting>
  <conditionalFormatting sqref="AN45">
    <cfRule type="cellIs" dxfId="1952" priority="1948" operator="lessThan">
      <formula>0</formula>
    </cfRule>
  </conditionalFormatting>
  <conditionalFormatting sqref="AP45">
    <cfRule type="cellIs" dxfId="1951" priority="1947" operator="lessThan">
      <formula>0</formula>
    </cfRule>
  </conditionalFormatting>
  <conditionalFormatting sqref="AR45">
    <cfRule type="cellIs" dxfId="1950" priority="1946" operator="lessThan">
      <formula>0</formula>
    </cfRule>
  </conditionalFormatting>
  <conditionalFormatting sqref="AT45">
    <cfRule type="cellIs" dxfId="1949" priority="1945" operator="lessThan">
      <formula>0</formula>
    </cfRule>
  </conditionalFormatting>
  <conditionalFormatting sqref="AV45">
    <cfRule type="cellIs" dxfId="1948" priority="1944" operator="lessThan">
      <formula>0</formula>
    </cfRule>
  </conditionalFormatting>
  <conditionalFormatting sqref="AX45">
    <cfRule type="cellIs" dxfId="1947" priority="1943" operator="lessThan">
      <formula>0</formula>
    </cfRule>
  </conditionalFormatting>
  <conditionalFormatting sqref="AZ45">
    <cfRule type="cellIs" dxfId="1946" priority="1942" operator="lessThan">
      <formula>0</formula>
    </cfRule>
  </conditionalFormatting>
  <conditionalFormatting sqref="BB45">
    <cfRule type="cellIs" dxfId="1945" priority="1941" operator="lessThan">
      <formula>0</formula>
    </cfRule>
  </conditionalFormatting>
  <conditionalFormatting sqref="BD45">
    <cfRule type="cellIs" dxfId="1944" priority="1940" operator="lessThan">
      <formula>0</formula>
    </cfRule>
  </conditionalFormatting>
  <conditionalFormatting sqref="BF45">
    <cfRule type="cellIs" dxfId="1943" priority="1939" operator="lessThan">
      <formula>0</formula>
    </cfRule>
  </conditionalFormatting>
  <conditionalFormatting sqref="BH45">
    <cfRule type="cellIs" dxfId="1942" priority="1938" operator="lessThan">
      <formula>0</formula>
    </cfRule>
  </conditionalFormatting>
  <conditionalFormatting sqref="BJ45">
    <cfRule type="cellIs" dxfId="1941" priority="1937" operator="lessThan">
      <formula>0</formula>
    </cfRule>
  </conditionalFormatting>
  <conditionalFormatting sqref="BL45">
    <cfRule type="cellIs" dxfId="1940" priority="1936" operator="lessThan">
      <formula>0</formula>
    </cfRule>
  </conditionalFormatting>
  <conditionalFormatting sqref="BN45">
    <cfRule type="cellIs" dxfId="1939" priority="1935" operator="lessThan">
      <formula>0</formula>
    </cfRule>
  </conditionalFormatting>
  <conditionalFormatting sqref="BP45">
    <cfRule type="cellIs" dxfId="1938" priority="1934" operator="lessThan">
      <formula>0</formula>
    </cfRule>
  </conditionalFormatting>
  <conditionalFormatting sqref="BR45">
    <cfRule type="cellIs" dxfId="1937" priority="1933" operator="lessThan">
      <formula>0</formula>
    </cfRule>
  </conditionalFormatting>
  <conditionalFormatting sqref="BT45">
    <cfRule type="cellIs" dxfId="1936" priority="1932" operator="lessThan">
      <formula>0</formula>
    </cfRule>
  </conditionalFormatting>
  <conditionalFormatting sqref="BV45">
    <cfRule type="cellIs" dxfId="1935" priority="1931" operator="lessThan">
      <formula>0</formula>
    </cfRule>
  </conditionalFormatting>
  <conditionalFormatting sqref="BX45">
    <cfRule type="cellIs" dxfId="1934" priority="1930" operator="lessThan">
      <formula>0</formula>
    </cfRule>
  </conditionalFormatting>
  <conditionalFormatting sqref="BZ45">
    <cfRule type="cellIs" dxfId="1933" priority="1929" operator="lessThan">
      <formula>0</formula>
    </cfRule>
  </conditionalFormatting>
  <conditionalFormatting sqref="CB45">
    <cfRule type="cellIs" dxfId="1932" priority="1928" operator="lessThan">
      <formula>0</formula>
    </cfRule>
  </conditionalFormatting>
  <conditionalFormatting sqref="CD45">
    <cfRule type="cellIs" dxfId="1931" priority="1927" operator="lessThan">
      <formula>0</formula>
    </cfRule>
  </conditionalFormatting>
  <conditionalFormatting sqref="CF45">
    <cfRule type="cellIs" dxfId="1930" priority="1926" operator="lessThan">
      <formula>0</formula>
    </cfRule>
  </conditionalFormatting>
  <conditionalFormatting sqref="CH45">
    <cfRule type="cellIs" dxfId="1929" priority="1925" operator="lessThan">
      <formula>0</formula>
    </cfRule>
  </conditionalFormatting>
  <conditionalFormatting sqref="CJ45">
    <cfRule type="cellIs" dxfId="1928" priority="1924" operator="lessThan">
      <formula>0</formula>
    </cfRule>
  </conditionalFormatting>
  <conditionalFormatting sqref="CL45">
    <cfRule type="cellIs" dxfId="1927" priority="1923" operator="lessThan">
      <formula>0</formula>
    </cfRule>
  </conditionalFormatting>
  <conditionalFormatting sqref="AJ45">
    <cfRule type="cellIs" dxfId="1926" priority="1922" operator="lessThan">
      <formula>0</formula>
    </cfRule>
  </conditionalFormatting>
  <conditionalFormatting sqref="AH46">
    <cfRule type="cellIs" dxfId="1925" priority="1921" operator="lessThan">
      <formula>0</formula>
    </cfRule>
  </conditionalFormatting>
  <conditionalFormatting sqref="AL46">
    <cfRule type="cellIs" dxfId="1924" priority="1920" operator="lessThan">
      <formula>0</formula>
    </cfRule>
  </conditionalFormatting>
  <conditionalFormatting sqref="AN46">
    <cfRule type="cellIs" dxfId="1923" priority="1919" operator="lessThan">
      <formula>0</formula>
    </cfRule>
  </conditionalFormatting>
  <conditionalFormatting sqref="AP46">
    <cfRule type="cellIs" dxfId="1922" priority="1918" operator="lessThan">
      <formula>0</formula>
    </cfRule>
  </conditionalFormatting>
  <conditionalFormatting sqref="AR46">
    <cfRule type="cellIs" dxfId="1921" priority="1917" operator="lessThan">
      <formula>0</formula>
    </cfRule>
  </conditionalFormatting>
  <conditionalFormatting sqref="AT46">
    <cfRule type="cellIs" dxfId="1920" priority="1916" operator="lessThan">
      <formula>0</formula>
    </cfRule>
  </conditionalFormatting>
  <conditionalFormatting sqref="AV46">
    <cfRule type="cellIs" dxfId="1919" priority="1915" operator="lessThan">
      <formula>0</formula>
    </cfRule>
  </conditionalFormatting>
  <conditionalFormatting sqref="AX46">
    <cfRule type="cellIs" dxfId="1918" priority="1914" operator="lessThan">
      <formula>0</formula>
    </cfRule>
  </conditionalFormatting>
  <conditionalFormatting sqref="AZ46">
    <cfRule type="cellIs" dxfId="1917" priority="1913" operator="lessThan">
      <formula>0</formula>
    </cfRule>
  </conditionalFormatting>
  <conditionalFormatting sqref="BB46">
    <cfRule type="cellIs" dxfId="1916" priority="1912" operator="lessThan">
      <formula>0</formula>
    </cfRule>
  </conditionalFormatting>
  <conditionalFormatting sqref="BD46">
    <cfRule type="cellIs" dxfId="1915" priority="1911" operator="lessThan">
      <formula>0</formula>
    </cfRule>
  </conditionalFormatting>
  <conditionalFormatting sqref="BF46">
    <cfRule type="cellIs" dxfId="1914" priority="1910" operator="lessThan">
      <formula>0</formula>
    </cfRule>
  </conditionalFormatting>
  <conditionalFormatting sqref="BH46">
    <cfRule type="cellIs" dxfId="1913" priority="1909" operator="lessThan">
      <formula>0</formula>
    </cfRule>
  </conditionalFormatting>
  <conditionalFormatting sqref="BJ46">
    <cfRule type="cellIs" dxfId="1912" priority="1908" operator="lessThan">
      <formula>0</formula>
    </cfRule>
  </conditionalFormatting>
  <conditionalFormatting sqref="BL46">
    <cfRule type="cellIs" dxfId="1911" priority="1907" operator="lessThan">
      <formula>0</formula>
    </cfRule>
  </conditionalFormatting>
  <conditionalFormatting sqref="BN46">
    <cfRule type="cellIs" dxfId="1910" priority="1906" operator="lessThan">
      <formula>0</formula>
    </cfRule>
  </conditionalFormatting>
  <conditionalFormatting sqref="BP46">
    <cfRule type="cellIs" dxfId="1909" priority="1905" operator="lessThan">
      <formula>0</formula>
    </cfRule>
  </conditionalFormatting>
  <conditionalFormatting sqref="BR46">
    <cfRule type="cellIs" dxfId="1908" priority="1904" operator="lessThan">
      <formula>0</formula>
    </cfRule>
  </conditionalFormatting>
  <conditionalFormatting sqref="BT46">
    <cfRule type="cellIs" dxfId="1907" priority="1903" operator="lessThan">
      <formula>0</formula>
    </cfRule>
  </conditionalFormatting>
  <conditionalFormatting sqref="BV46">
    <cfRule type="cellIs" dxfId="1906" priority="1902" operator="lessThan">
      <formula>0</formula>
    </cfRule>
  </conditionalFormatting>
  <conditionalFormatting sqref="BX46">
    <cfRule type="cellIs" dxfId="1905" priority="1901" operator="lessThan">
      <formula>0</formula>
    </cfRule>
  </conditionalFormatting>
  <conditionalFormatting sqref="BZ46">
    <cfRule type="cellIs" dxfId="1904" priority="1900" operator="lessThan">
      <formula>0</formula>
    </cfRule>
  </conditionalFormatting>
  <conditionalFormatting sqref="CB46">
    <cfRule type="cellIs" dxfId="1903" priority="1899" operator="lessThan">
      <formula>0</formula>
    </cfRule>
  </conditionalFormatting>
  <conditionalFormatting sqref="CD46">
    <cfRule type="cellIs" dxfId="1902" priority="1898" operator="lessThan">
      <formula>0</formula>
    </cfRule>
  </conditionalFormatting>
  <conditionalFormatting sqref="CF46">
    <cfRule type="cellIs" dxfId="1901" priority="1897" operator="lessThan">
      <formula>0</formula>
    </cfRule>
  </conditionalFormatting>
  <conditionalFormatting sqref="CH46">
    <cfRule type="cellIs" dxfId="1900" priority="1896" operator="lessThan">
      <formula>0</formula>
    </cfRule>
  </conditionalFormatting>
  <conditionalFormatting sqref="CJ46">
    <cfRule type="cellIs" dxfId="1899" priority="1895" operator="lessThan">
      <formula>0</formula>
    </cfRule>
  </conditionalFormatting>
  <conditionalFormatting sqref="CL46">
    <cfRule type="cellIs" dxfId="1898" priority="1894" operator="lessThan">
      <formula>0</formula>
    </cfRule>
  </conditionalFormatting>
  <conditionalFormatting sqref="AJ46">
    <cfRule type="cellIs" dxfId="1897" priority="1893" operator="lessThan">
      <formula>0</formula>
    </cfRule>
  </conditionalFormatting>
  <conditionalFormatting sqref="AH49:AH55">
    <cfRule type="cellIs" dxfId="1896" priority="1892" operator="lessThan">
      <formula>0</formula>
    </cfRule>
  </conditionalFormatting>
  <conditionalFormatting sqref="AL49:AL55">
    <cfRule type="cellIs" dxfId="1895" priority="1891" operator="lessThan">
      <formula>0</formula>
    </cfRule>
  </conditionalFormatting>
  <conditionalFormatting sqref="AN49:AN55">
    <cfRule type="cellIs" dxfId="1894" priority="1890" operator="lessThan">
      <formula>0</formula>
    </cfRule>
  </conditionalFormatting>
  <conditionalFormatting sqref="AP49:AP55">
    <cfRule type="cellIs" dxfId="1893" priority="1889" operator="lessThan">
      <formula>0</formula>
    </cfRule>
  </conditionalFormatting>
  <conditionalFormatting sqref="AR49:AR55">
    <cfRule type="cellIs" dxfId="1892" priority="1888" operator="lessThan">
      <formula>0</formula>
    </cfRule>
  </conditionalFormatting>
  <conditionalFormatting sqref="AT49:AT55">
    <cfRule type="cellIs" dxfId="1891" priority="1887" operator="lessThan">
      <formula>0</formula>
    </cfRule>
  </conditionalFormatting>
  <conditionalFormatting sqref="AV49:AV55">
    <cfRule type="cellIs" dxfId="1890" priority="1886" operator="lessThan">
      <formula>0</formula>
    </cfRule>
  </conditionalFormatting>
  <conditionalFormatting sqref="AX49:AX55">
    <cfRule type="cellIs" dxfId="1889" priority="1885" operator="lessThan">
      <formula>0</formula>
    </cfRule>
  </conditionalFormatting>
  <conditionalFormatting sqref="AZ49:AZ55">
    <cfRule type="cellIs" dxfId="1888" priority="1884" operator="lessThan">
      <formula>0</formula>
    </cfRule>
  </conditionalFormatting>
  <conditionalFormatting sqref="BB49:BB55">
    <cfRule type="cellIs" dxfId="1887" priority="1883" operator="lessThan">
      <formula>0</formula>
    </cfRule>
  </conditionalFormatting>
  <conditionalFormatting sqref="BD49:BD55">
    <cfRule type="cellIs" dxfId="1886" priority="1882" operator="lessThan">
      <formula>0</formula>
    </cfRule>
  </conditionalFormatting>
  <conditionalFormatting sqref="BF49:BF55">
    <cfRule type="cellIs" dxfId="1885" priority="1881" operator="lessThan">
      <formula>0</formula>
    </cfRule>
  </conditionalFormatting>
  <conditionalFormatting sqref="BH49:BH55">
    <cfRule type="cellIs" dxfId="1884" priority="1880" operator="lessThan">
      <formula>0</formula>
    </cfRule>
  </conditionalFormatting>
  <conditionalFormatting sqref="BJ49:BJ55">
    <cfRule type="cellIs" dxfId="1883" priority="1879" operator="lessThan">
      <formula>0</formula>
    </cfRule>
  </conditionalFormatting>
  <conditionalFormatting sqref="BL49:BL55">
    <cfRule type="cellIs" dxfId="1882" priority="1878" operator="lessThan">
      <formula>0</formula>
    </cfRule>
  </conditionalFormatting>
  <conditionalFormatting sqref="BN49:BN55">
    <cfRule type="cellIs" dxfId="1881" priority="1877" operator="lessThan">
      <formula>0</formula>
    </cfRule>
  </conditionalFormatting>
  <conditionalFormatting sqref="BP49:BP55">
    <cfRule type="cellIs" dxfId="1880" priority="1876" operator="lessThan">
      <formula>0</formula>
    </cfRule>
  </conditionalFormatting>
  <conditionalFormatting sqref="BR49:BR55">
    <cfRule type="cellIs" dxfId="1879" priority="1875" operator="lessThan">
      <formula>0</formula>
    </cfRule>
  </conditionalFormatting>
  <conditionalFormatting sqref="BT49:BT55">
    <cfRule type="cellIs" dxfId="1878" priority="1874" operator="lessThan">
      <formula>0</formula>
    </cfRule>
  </conditionalFormatting>
  <conditionalFormatting sqref="BV49:BV55">
    <cfRule type="cellIs" dxfId="1877" priority="1873" operator="lessThan">
      <formula>0</formula>
    </cfRule>
  </conditionalFormatting>
  <conditionalFormatting sqref="BX49:BX55">
    <cfRule type="cellIs" dxfId="1876" priority="1872" operator="lessThan">
      <formula>0</formula>
    </cfRule>
  </conditionalFormatting>
  <conditionalFormatting sqref="BZ49:BZ55">
    <cfRule type="cellIs" dxfId="1875" priority="1871" operator="lessThan">
      <formula>0</formula>
    </cfRule>
  </conditionalFormatting>
  <conditionalFormatting sqref="CB49:CB55">
    <cfRule type="cellIs" dxfId="1874" priority="1870" operator="lessThan">
      <formula>0</formula>
    </cfRule>
  </conditionalFormatting>
  <conditionalFormatting sqref="CD49:CD55">
    <cfRule type="cellIs" dxfId="1873" priority="1869" operator="lessThan">
      <formula>0</formula>
    </cfRule>
  </conditionalFormatting>
  <conditionalFormatting sqref="CF49:CF55">
    <cfRule type="cellIs" dxfId="1872" priority="1868" operator="lessThan">
      <formula>0</formula>
    </cfRule>
  </conditionalFormatting>
  <conditionalFormatting sqref="CH49:CH55">
    <cfRule type="cellIs" dxfId="1871" priority="1867" operator="lessThan">
      <formula>0</formula>
    </cfRule>
  </conditionalFormatting>
  <conditionalFormatting sqref="CJ49:CJ55">
    <cfRule type="cellIs" dxfId="1870" priority="1866" operator="lessThan">
      <formula>0</formula>
    </cfRule>
  </conditionalFormatting>
  <conditionalFormatting sqref="CL49:CL55">
    <cfRule type="cellIs" dxfId="1869" priority="1865" operator="lessThan">
      <formula>0</formula>
    </cfRule>
  </conditionalFormatting>
  <conditionalFormatting sqref="AJ49:AJ55">
    <cfRule type="cellIs" dxfId="1868" priority="1864" operator="lessThan">
      <formula>0</formula>
    </cfRule>
  </conditionalFormatting>
  <conditionalFormatting sqref="AH56:AH58">
    <cfRule type="cellIs" dxfId="1867" priority="1863" operator="lessThan">
      <formula>0</formula>
    </cfRule>
  </conditionalFormatting>
  <conditionalFormatting sqref="AL56:AL58">
    <cfRule type="cellIs" dxfId="1866" priority="1862" operator="lessThan">
      <formula>0</formula>
    </cfRule>
  </conditionalFormatting>
  <conditionalFormatting sqref="AN56:AN58">
    <cfRule type="cellIs" dxfId="1865" priority="1861" operator="lessThan">
      <formula>0</formula>
    </cfRule>
  </conditionalFormatting>
  <conditionalFormatting sqref="AP56:AP58">
    <cfRule type="cellIs" dxfId="1864" priority="1860" operator="lessThan">
      <formula>0</formula>
    </cfRule>
  </conditionalFormatting>
  <conditionalFormatting sqref="AR56:AR58">
    <cfRule type="cellIs" dxfId="1863" priority="1859" operator="lessThan">
      <formula>0</formula>
    </cfRule>
  </conditionalFormatting>
  <conditionalFormatting sqref="AT56:AT58">
    <cfRule type="cellIs" dxfId="1862" priority="1858" operator="lessThan">
      <formula>0</formula>
    </cfRule>
  </conditionalFormatting>
  <conditionalFormatting sqref="AV56:AV58">
    <cfRule type="cellIs" dxfId="1861" priority="1857" operator="lessThan">
      <formula>0</formula>
    </cfRule>
  </conditionalFormatting>
  <conditionalFormatting sqref="AX56:AX58">
    <cfRule type="cellIs" dxfId="1860" priority="1856" operator="lessThan">
      <formula>0</formula>
    </cfRule>
  </conditionalFormatting>
  <conditionalFormatting sqref="AZ56:AZ58">
    <cfRule type="cellIs" dxfId="1859" priority="1855" operator="lessThan">
      <formula>0</formula>
    </cfRule>
  </conditionalFormatting>
  <conditionalFormatting sqref="BB56:BB58">
    <cfRule type="cellIs" dxfId="1858" priority="1854" operator="lessThan">
      <formula>0</formula>
    </cfRule>
  </conditionalFormatting>
  <conditionalFormatting sqref="BD56:BD58">
    <cfRule type="cellIs" dxfId="1857" priority="1853" operator="lessThan">
      <formula>0</formula>
    </cfRule>
  </conditionalFormatting>
  <conditionalFormatting sqref="BF56:BF58">
    <cfRule type="cellIs" dxfId="1856" priority="1852" operator="lessThan">
      <formula>0</formula>
    </cfRule>
  </conditionalFormatting>
  <conditionalFormatting sqref="BH56:BH58">
    <cfRule type="cellIs" dxfId="1855" priority="1851" operator="lessThan">
      <formula>0</formula>
    </cfRule>
  </conditionalFormatting>
  <conditionalFormatting sqref="BJ56:BJ58">
    <cfRule type="cellIs" dxfId="1854" priority="1850" operator="lessThan">
      <formula>0</formula>
    </cfRule>
  </conditionalFormatting>
  <conditionalFormatting sqref="BL56:BL58">
    <cfRule type="cellIs" dxfId="1853" priority="1849" operator="lessThan">
      <formula>0</formula>
    </cfRule>
  </conditionalFormatting>
  <conditionalFormatting sqref="BN56:BN58">
    <cfRule type="cellIs" dxfId="1852" priority="1848" operator="lessThan">
      <formula>0</formula>
    </cfRule>
  </conditionalFormatting>
  <conditionalFormatting sqref="BP56:BP58">
    <cfRule type="cellIs" dxfId="1851" priority="1847" operator="lessThan">
      <formula>0</formula>
    </cfRule>
  </conditionalFormatting>
  <conditionalFormatting sqref="BR56:BR58">
    <cfRule type="cellIs" dxfId="1850" priority="1846" operator="lessThan">
      <formula>0</formula>
    </cfRule>
  </conditionalFormatting>
  <conditionalFormatting sqref="BT56:BT58">
    <cfRule type="cellIs" dxfId="1849" priority="1845" operator="lessThan">
      <formula>0</formula>
    </cfRule>
  </conditionalFormatting>
  <conditionalFormatting sqref="BV56:BV58">
    <cfRule type="cellIs" dxfId="1848" priority="1844" operator="lessThan">
      <formula>0</formula>
    </cfRule>
  </conditionalFormatting>
  <conditionalFormatting sqref="BX56:BX58">
    <cfRule type="cellIs" dxfId="1847" priority="1843" operator="lessThan">
      <formula>0</formula>
    </cfRule>
  </conditionalFormatting>
  <conditionalFormatting sqref="BZ56:BZ58">
    <cfRule type="cellIs" dxfId="1846" priority="1842" operator="lessThan">
      <formula>0</formula>
    </cfRule>
  </conditionalFormatting>
  <conditionalFormatting sqref="CB56:CB58">
    <cfRule type="cellIs" dxfId="1845" priority="1841" operator="lessThan">
      <formula>0</formula>
    </cfRule>
  </conditionalFormatting>
  <conditionalFormatting sqref="CD56:CD58">
    <cfRule type="cellIs" dxfId="1844" priority="1840" operator="lessThan">
      <formula>0</formula>
    </cfRule>
  </conditionalFormatting>
  <conditionalFormatting sqref="CF56:CF58">
    <cfRule type="cellIs" dxfId="1843" priority="1839" operator="lessThan">
      <formula>0</formula>
    </cfRule>
  </conditionalFormatting>
  <conditionalFormatting sqref="CH56:CH58">
    <cfRule type="cellIs" dxfId="1842" priority="1838" operator="lessThan">
      <formula>0</formula>
    </cfRule>
  </conditionalFormatting>
  <conditionalFormatting sqref="CJ56:CJ58">
    <cfRule type="cellIs" dxfId="1841" priority="1837" operator="lessThan">
      <formula>0</formula>
    </cfRule>
  </conditionalFormatting>
  <conditionalFormatting sqref="CL56:CL58">
    <cfRule type="cellIs" dxfId="1840" priority="1836" operator="lessThan">
      <formula>0</formula>
    </cfRule>
  </conditionalFormatting>
  <conditionalFormatting sqref="AJ56:AJ58">
    <cfRule type="cellIs" dxfId="1839" priority="1835" operator="lessThan">
      <formula>0</formula>
    </cfRule>
  </conditionalFormatting>
  <conditionalFormatting sqref="AH59">
    <cfRule type="cellIs" dxfId="1838" priority="1834" operator="lessThan">
      <formula>0</formula>
    </cfRule>
  </conditionalFormatting>
  <conditionalFormatting sqref="AL59">
    <cfRule type="cellIs" dxfId="1837" priority="1833" operator="lessThan">
      <formula>0</formula>
    </cfRule>
  </conditionalFormatting>
  <conditionalFormatting sqref="AN59">
    <cfRule type="cellIs" dxfId="1836" priority="1832" operator="lessThan">
      <formula>0</formula>
    </cfRule>
  </conditionalFormatting>
  <conditionalFormatting sqref="AP59">
    <cfRule type="cellIs" dxfId="1835" priority="1831" operator="lessThan">
      <formula>0</formula>
    </cfRule>
  </conditionalFormatting>
  <conditionalFormatting sqref="AR59">
    <cfRule type="cellIs" dxfId="1834" priority="1830" operator="lessThan">
      <formula>0</formula>
    </cfRule>
  </conditionalFormatting>
  <conditionalFormatting sqref="AT59">
    <cfRule type="cellIs" dxfId="1833" priority="1829" operator="lessThan">
      <formula>0</formula>
    </cfRule>
  </conditionalFormatting>
  <conditionalFormatting sqref="AV59">
    <cfRule type="cellIs" dxfId="1832" priority="1828" operator="lessThan">
      <formula>0</formula>
    </cfRule>
  </conditionalFormatting>
  <conditionalFormatting sqref="AX59">
    <cfRule type="cellIs" dxfId="1831" priority="1827" operator="lessThan">
      <formula>0</formula>
    </cfRule>
  </conditionalFormatting>
  <conditionalFormatting sqref="AZ59">
    <cfRule type="cellIs" dxfId="1830" priority="1826" operator="lessThan">
      <formula>0</formula>
    </cfRule>
  </conditionalFormatting>
  <conditionalFormatting sqref="BB59">
    <cfRule type="cellIs" dxfId="1829" priority="1825" operator="lessThan">
      <formula>0</formula>
    </cfRule>
  </conditionalFormatting>
  <conditionalFormatting sqref="BD59">
    <cfRule type="cellIs" dxfId="1828" priority="1824" operator="lessThan">
      <formula>0</formula>
    </cfRule>
  </conditionalFormatting>
  <conditionalFormatting sqref="BF59">
    <cfRule type="cellIs" dxfId="1827" priority="1823" operator="lessThan">
      <formula>0</formula>
    </cfRule>
  </conditionalFormatting>
  <conditionalFormatting sqref="BH59">
    <cfRule type="cellIs" dxfId="1826" priority="1822" operator="lessThan">
      <formula>0</formula>
    </cfRule>
  </conditionalFormatting>
  <conditionalFormatting sqref="BJ59">
    <cfRule type="cellIs" dxfId="1825" priority="1821" operator="lessThan">
      <formula>0</formula>
    </cfRule>
  </conditionalFormatting>
  <conditionalFormatting sqref="BL59">
    <cfRule type="cellIs" dxfId="1824" priority="1820" operator="lessThan">
      <formula>0</formula>
    </cfRule>
  </conditionalFormatting>
  <conditionalFormatting sqref="BN59">
    <cfRule type="cellIs" dxfId="1823" priority="1819" operator="lessThan">
      <formula>0</formula>
    </cfRule>
  </conditionalFormatting>
  <conditionalFormatting sqref="BP59">
    <cfRule type="cellIs" dxfId="1822" priority="1818" operator="lessThan">
      <formula>0</formula>
    </cfRule>
  </conditionalFormatting>
  <conditionalFormatting sqref="BR59">
    <cfRule type="cellIs" dxfId="1821" priority="1817" operator="lessThan">
      <formula>0</formula>
    </cfRule>
  </conditionalFormatting>
  <conditionalFormatting sqref="BT59">
    <cfRule type="cellIs" dxfId="1820" priority="1816" operator="lessThan">
      <formula>0</formula>
    </cfRule>
  </conditionalFormatting>
  <conditionalFormatting sqref="BV59">
    <cfRule type="cellIs" dxfId="1819" priority="1815" operator="lessThan">
      <formula>0</formula>
    </cfRule>
  </conditionalFormatting>
  <conditionalFormatting sqref="BX59">
    <cfRule type="cellIs" dxfId="1818" priority="1814" operator="lessThan">
      <formula>0</formula>
    </cfRule>
  </conditionalFormatting>
  <conditionalFormatting sqref="BZ59">
    <cfRule type="cellIs" dxfId="1817" priority="1813" operator="lessThan">
      <formula>0</formula>
    </cfRule>
  </conditionalFormatting>
  <conditionalFormatting sqref="CB59">
    <cfRule type="cellIs" dxfId="1816" priority="1812" operator="lessThan">
      <formula>0</formula>
    </cfRule>
  </conditionalFormatting>
  <conditionalFormatting sqref="CD59">
    <cfRule type="cellIs" dxfId="1815" priority="1811" operator="lessThan">
      <formula>0</formula>
    </cfRule>
  </conditionalFormatting>
  <conditionalFormatting sqref="CF59">
    <cfRule type="cellIs" dxfId="1814" priority="1810" operator="lessThan">
      <formula>0</formula>
    </cfRule>
  </conditionalFormatting>
  <conditionalFormatting sqref="CH59">
    <cfRule type="cellIs" dxfId="1813" priority="1809" operator="lessThan">
      <formula>0</formula>
    </cfRule>
  </conditionalFormatting>
  <conditionalFormatting sqref="CJ59">
    <cfRule type="cellIs" dxfId="1812" priority="1808" operator="lessThan">
      <formula>0</formula>
    </cfRule>
  </conditionalFormatting>
  <conditionalFormatting sqref="CL59">
    <cfRule type="cellIs" dxfId="1811" priority="1807" operator="lessThan">
      <formula>0</formula>
    </cfRule>
  </conditionalFormatting>
  <conditionalFormatting sqref="AJ59">
    <cfRule type="cellIs" dxfId="1810" priority="1806" operator="lessThan">
      <formula>0</formula>
    </cfRule>
  </conditionalFormatting>
  <conditionalFormatting sqref="AH62">
    <cfRule type="cellIs" dxfId="1809" priority="1805" operator="lessThan">
      <formula>0</formula>
    </cfRule>
  </conditionalFormatting>
  <conditionalFormatting sqref="AL62">
    <cfRule type="cellIs" dxfId="1808" priority="1804" operator="lessThan">
      <formula>0</formula>
    </cfRule>
  </conditionalFormatting>
  <conditionalFormatting sqref="AN62">
    <cfRule type="cellIs" dxfId="1807" priority="1803" operator="lessThan">
      <formula>0</formula>
    </cfRule>
  </conditionalFormatting>
  <conditionalFormatting sqref="AP62">
    <cfRule type="cellIs" dxfId="1806" priority="1802" operator="lessThan">
      <formula>0</formula>
    </cfRule>
  </conditionalFormatting>
  <conditionalFormatting sqref="AR62">
    <cfRule type="cellIs" dxfId="1805" priority="1801" operator="lessThan">
      <formula>0</formula>
    </cfRule>
  </conditionalFormatting>
  <conditionalFormatting sqref="AT62">
    <cfRule type="cellIs" dxfId="1804" priority="1800" operator="lessThan">
      <formula>0</formula>
    </cfRule>
  </conditionalFormatting>
  <conditionalFormatting sqref="AV62">
    <cfRule type="cellIs" dxfId="1803" priority="1799" operator="lessThan">
      <formula>0</formula>
    </cfRule>
  </conditionalFormatting>
  <conditionalFormatting sqref="AX62">
    <cfRule type="cellIs" dxfId="1802" priority="1798" operator="lessThan">
      <formula>0</formula>
    </cfRule>
  </conditionalFormatting>
  <conditionalFormatting sqref="AZ62">
    <cfRule type="cellIs" dxfId="1801" priority="1797" operator="lessThan">
      <formula>0</formula>
    </cfRule>
  </conditionalFormatting>
  <conditionalFormatting sqref="BB62">
    <cfRule type="cellIs" dxfId="1800" priority="1796" operator="lessThan">
      <formula>0</formula>
    </cfRule>
  </conditionalFormatting>
  <conditionalFormatting sqref="BD62">
    <cfRule type="cellIs" dxfId="1799" priority="1795" operator="lessThan">
      <formula>0</formula>
    </cfRule>
  </conditionalFormatting>
  <conditionalFormatting sqref="BF62">
    <cfRule type="cellIs" dxfId="1798" priority="1794" operator="lessThan">
      <formula>0</formula>
    </cfRule>
  </conditionalFormatting>
  <conditionalFormatting sqref="BH62">
    <cfRule type="cellIs" dxfId="1797" priority="1793" operator="lessThan">
      <formula>0</formula>
    </cfRule>
  </conditionalFormatting>
  <conditionalFormatting sqref="BJ62">
    <cfRule type="cellIs" dxfId="1796" priority="1792" operator="lessThan">
      <formula>0</formula>
    </cfRule>
  </conditionalFormatting>
  <conditionalFormatting sqref="BL62">
    <cfRule type="cellIs" dxfId="1795" priority="1791" operator="lessThan">
      <formula>0</formula>
    </cfRule>
  </conditionalFormatting>
  <conditionalFormatting sqref="BN62">
    <cfRule type="cellIs" dxfId="1794" priority="1790" operator="lessThan">
      <formula>0</formula>
    </cfRule>
  </conditionalFormatting>
  <conditionalFormatting sqref="BP62">
    <cfRule type="cellIs" dxfId="1793" priority="1789" operator="lessThan">
      <formula>0</formula>
    </cfRule>
  </conditionalFormatting>
  <conditionalFormatting sqref="BR62">
    <cfRule type="cellIs" dxfId="1792" priority="1788" operator="lessThan">
      <formula>0</formula>
    </cfRule>
  </conditionalFormatting>
  <conditionalFormatting sqref="BT62">
    <cfRule type="cellIs" dxfId="1791" priority="1787" operator="lessThan">
      <formula>0</formula>
    </cfRule>
  </conditionalFormatting>
  <conditionalFormatting sqref="BV62">
    <cfRule type="cellIs" dxfId="1790" priority="1786" operator="lessThan">
      <formula>0</formula>
    </cfRule>
  </conditionalFormatting>
  <conditionalFormatting sqref="BX62">
    <cfRule type="cellIs" dxfId="1789" priority="1785" operator="lessThan">
      <formula>0</formula>
    </cfRule>
  </conditionalFormatting>
  <conditionalFormatting sqref="BZ62">
    <cfRule type="cellIs" dxfId="1788" priority="1784" operator="lessThan">
      <formula>0</formula>
    </cfRule>
  </conditionalFormatting>
  <conditionalFormatting sqref="CB62">
    <cfRule type="cellIs" dxfId="1787" priority="1783" operator="lessThan">
      <formula>0</formula>
    </cfRule>
  </conditionalFormatting>
  <conditionalFormatting sqref="CD62">
    <cfRule type="cellIs" dxfId="1786" priority="1782" operator="lessThan">
      <formula>0</formula>
    </cfRule>
  </conditionalFormatting>
  <conditionalFormatting sqref="CF62">
    <cfRule type="cellIs" dxfId="1785" priority="1781" operator="lessThan">
      <formula>0</formula>
    </cfRule>
  </conditionalFormatting>
  <conditionalFormatting sqref="CH62">
    <cfRule type="cellIs" dxfId="1784" priority="1780" operator="lessThan">
      <formula>0</formula>
    </cfRule>
  </conditionalFormatting>
  <conditionalFormatting sqref="CJ62">
    <cfRule type="cellIs" dxfId="1783" priority="1779" operator="lessThan">
      <formula>0</formula>
    </cfRule>
  </conditionalFormatting>
  <conditionalFormatting sqref="CL62">
    <cfRule type="cellIs" dxfId="1782" priority="1778" operator="lessThan">
      <formula>0</formula>
    </cfRule>
  </conditionalFormatting>
  <conditionalFormatting sqref="AJ62">
    <cfRule type="cellIs" dxfId="1781" priority="1777" operator="lessThan">
      <formula>0</formula>
    </cfRule>
  </conditionalFormatting>
  <conditionalFormatting sqref="AH63">
    <cfRule type="cellIs" dxfId="1780" priority="1776" operator="lessThan">
      <formula>0</formula>
    </cfRule>
  </conditionalFormatting>
  <conditionalFormatting sqref="AL63">
    <cfRule type="cellIs" dxfId="1779" priority="1775" operator="lessThan">
      <formula>0</formula>
    </cfRule>
  </conditionalFormatting>
  <conditionalFormatting sqref="AN63">
    <cfRule type="cellIs" dxfId="1778" priority="1774" operator="lessThan">
      <formula>0</formula>
    </cfRule>
  </conditionalFormatting>
  <conditionalFormatting sqref="AP63">
    <cfRule type="cellIs" dxfId="1777" priority="1773" operator="lessThan">
      <formula>0</formula>
    </cfRule>
  </conditionalFormatting>
  <conditionalFormatting sqref="AR63">
    <cfRule type="cellIs" dxfId="1776" priority="1772" operator="lessThan">
      <formula>0</formula>
    </cfRule>
  </conditionalFormatting>
  <conditionalFormatting sqref="AT63">
    <cfRule type="cellIs" dxfId="1775" priority="1771" operator="lessThan">
      <formula>0</formula>
    </cfRule>
  </conditionalFormatting>
  <conditionalFormatting sqref="AV63">
    <cfRule type="cellIs" dxfId="1774" priority="1770" operator="lessThan">
      <formula>0</formula>
    </cfRule>
  </conditionalFormatting>
  <conditionalFormatting sqref="AX63">
    <cfRule type="cellIs" dxfId="1773" priority="1769" operator="lessThan">
      <formula>0</formula>
    </cfRule>
  </conditionalFormatting>
  <conditionalFormatting sqref="AZ63">
    <cfRule type="cellIs" dxfId="1772" priority="1768" operator="lessThan">
      <formula>0</formula>
    </cfRule>
  </conditionalFormatting>
  <conditionalFormatting sqref="BB63">
    <cfRule type="cellIs" dxfId="1771" priority="1767" operator="lessThan">
      <formula>0</formula>
    </cfRule>
  </conditionalFormatting>
  <conditionalFormatting sqref="BD63">
    <cfRule type="cellIs" dxfId="1770" priority="1766" operator="lessThan">
      <formula>0</formula>
    </cfRule>
  </conditionalFormatting>
  <conditionalFormatting sqref="BF63">
    <cfRule type="cellIs" dxfId="1769" priority="1765" operator="lessThan">
      <formula>0</formula>
    </cfRule>
  </conditionalFormatting>
  <conditionalFormatting sqref="BH63">
    <cfRule type="cellIs" dxfId="1768" priority="1764" operator="lessThan">
      <formula>0</formula>
    </cfRule>
  </conditionalFormatting>
  <conditionalFormatting sqref="BJ63">
    <cfRule type="cellIs" dxfId="1767" priority="1763" operator="lessThan">
      <formula>0</formula>
    </cfRule>
  </conditionalFormatting>
  <conditionalFormatting sqref="BL63">
    <cfRule type="cellIs" dxfId="1766" priority="1762" operator="lessThan">
      <formula>0</formula>
    </cfRule>
  </conditionalFormatting>
  <conditionalFormatting sqref="BN63">
    <cfRule type="cellIs" dxfId="1765" priority="1761" operator="lessThan">
      <formula>0</formula>
    </cfRule>
  </conditionalFormatting>
  <conditionalFormatting sqref="BP63">
    <cfRule type="cellIs" dxfId="1764" priority="1760" operator="lessThan">
      <formula>0</formula>
    </cfRule>
  </conditionalFormatting>
  <conditionalFormatting sqref="BR63">
    <cfRule type="cellIs" dxfId="1763" priority="1759" operator="lessThan">
      <formula>0</formula>
    </cfRule>
  </conditionalFormatting>
  <conditionalFormatting sqref="BT63">
    <cfRule type="cellIs" dxfId="1762" priority="1758" operator="lessThan">
      <formula>0</formula>
    </cfRule>
  </conditionalFormatting>
  <conditionalFormatting sqref="BV63">
    <cfRule type="cellIs" dxfId="1761" priority="1757" operator="lessThan">
      <formula>0</formula>
    </cfRule>
  </conditionalFormatting>
  <conditionalFormatting sqref="BX63">
    <cfRule type="cellIs" dxfId="1760" priority="1756" operator="lessThan">
      <formula>0</formula>
    </cfRule>
  </conditionalFormatting>
  <conditionalFormatting sqref="BZ63">
    <cfRule type="cellIs" dxfId="1759" priority="1755" operator="lessThan">
      <formula>0</formula>
    </cfRule>
  </conditionalFormatting>
  <conditionalFormatting sqref="CB63">
    <cfRule type="cellIs" dxfId="1758" priority="1754" operator="lessThan">
      <formula>0</formula>
    </cfRule>
  </conditionalFormatting>
  <conditionalFormatting sqref="CD63">
    <cfRule type="cellIs" dxfId="1757" priority="1753" operator="lessThan">
      <formula>0</formula>
    </cfRule>
  </conditionalFormatting>
  <conditionalFormatting sqref="CF63">
    <cfRule type="cellIs" dxfId="1756" priority="1752" operator="lessThan">
      <formula>0</formula>
    </cfRule>
  </conditionalFormatting>
  <conditionalFormatting sqref="CH63">
    <cfRule type="cellIs" dxfId="1755" priority="1751" operator="lessThan">
      <formula>0</formula>
    </cfRule>
  </conditionalFormatting>
  <conditionalFormatting sqref="CJ63">
    <cfRule type="cellIs" dxfId="1754" priority="1750" operator="lessThan">
      <formula>0</formula>
    </cfRule>
  </conditionalFormatting>
  <conditionalFormatting sqref="CL63">
    <cfRule type="cellIs" dxfId="1753" priority="1749" operator="lessThan">
      <formula>0</formula>
    </cfRule>
  </conditionalFormatting>
  <conditionalFormatting sqref="AJ63">
    <cfRule type="cellIs" dxfId="1752" priority="1748" operator="lessThan">
      <formula>0</formula>
    </cfRule>
  </conditionalFormatting>
  <conditionalFormatting sqref="AH64">
    <cfRule type="cellIs" dxfId="1751" priority="1660" operator="lessThan">
      <formula>0</formula>
    </cfRule>
  </conditionalFormatting>
  <conditionalFormatting sqref="AL64">
    <cfRule type="cellIs" dxfId="1750" priority="1659" operator="lessThan">
      <formula>0</formula>
    </cfRule>
  </conditionalFormatting>
  <conditionalFormatting sqref="AN64">
    <cfRule type="cellIs" dxfId="1749" priority="1658" operator="lessThan">
      <formula>0</formula>
    </cfRule>
  </conditionalFormatting>
  <conditionalFormatting sqref="AP64">
    <cfRule type="cellIs" dxfId="1748" priority="1657" operator="lessThan">
      <formula>0</formula>
    </cfRule>
  </conditionalFormatting>
  <conditionalFormatting sqref="AR64">
    <cfRule type="cellIs" dxfId="1747" priority="1656" operator="lessThan">
      <formula>0</formula>
    </cfRule>
  </conditionalFormatting>
  <conditionalFormatting sqref="AT64">
    <cfRule type="cellIs" dxfId="1746" priority="1655" operator="lessThan">
      <formula>0</formula>
    </cfRule>
  </conditionalFormatting>
  <conditionalFormatting sqref="AV64">
    <cfRule type="cellIs" dxfId="1745" priority="1654" operator="lessThan">
      <formula>0</formula>
    </cfRule>
  </conditionalFormatting>
  <conditionalFormatting sqref="AX64">
    <cfRule type="cellIs" dxfId="1744" priority="1653" operator="lessThan">
      <formula>0</formula>
    </cfRule>
  </conditionalFormatting>
  <conditionalFormatting sqref="AZ64">
    <cfRule type="cellIs" dxfId="1743" priority="1652" operator="lessThan">
      <formula>0</formula>
    </cfRule>
  </conditionalFormatting>
  <conditionalFormatting sqref="BB64">
    <cfRule type="cellIs" dxfId="1742" priority="1651" operator="lessThan">
      <formula>0</formula>
    </cfRule>
  </conditionalFormatting>
  <conditionalFormatting sqref="BD64">
    <cfRule type="cellIs" dxfId="1741" priority="1650" operator="lessThan">
      <formula>0</formula>
    </cfRule>
  </conditionalFormatting>
  <conditionalFormatting sqref="BF64">
    <cfRule type="cellIs" dxfId="1740" priority="1649" operator="lessThan">
      <formula>0</formula>
    </cfRule>
  </conditionalFormatting>
  <conditionalFormatting sqref="BH64">
    <cfRule type="cellIs" dxfId="1739" priority="1648" operator="lessThan">
      <formula>0</formula>
    </cfRule>
  </conditionalFormatting>
  <conditionalFormatting sqref="BJ64">
    <cfRule type="cellIs" dxfId="1738" priority="1647" operator="lessThan">
      <formula>0</formula>
    </cfRule>
  </conditionalFormatting>
  <conditionalFormatting sqref="BL64">
    <cfRule type="cellIs" dxfId="1737" priority="1646" operator="lessThan">
      <formula>0</formula>
    </cfRule>
  </conditionalFormatting>
  <conditionalFormatting sqref="BN64">
    <cfRule type="cellIs" dxfId="1736" priority="1645" operator="lessThan">
      <formula>0</formula>
    </cfRule>
  </conditionalFormatting>
  <conditionalFormatting sqref="BP64">
    <cfRule type="cellIs" dxfId="1735" priority="1644" operator="lessThan">
      <formula>0</formula>
    </cfRule>
  </conditionalFormatting>
  <conditionalFormatting sqref="BR64">
    <cfRule type="cellIs" dxfId="1734" priority="1643" operator="lessThan">
      <formula>0</formula>
    </cfRule>
  </conditionalFormatting>
  <conditionalFormatting sqref="BT64">
    <cfRule type="cellIs" dxfId="1733" priority="1642" operator="lessThan">
      <formula>0</formula>
    </cfRule>
  </conditionalFormatting>
  <conditionalFormatting sqref="BV64">
    <cfRule type="cellIs" dxfId="1732" priority="1641" operator="lessThan">
      <formula>0</formula>
    </cfRule>
  </conditionalFormatting>
  <conditionalFormatting sqref="BX64">
    <cfRule type="cellIs" dxfId="1731" priority="1640" operator="lessThan">
      <formula>0</formula>
    </cfRule>
  </conditionalFormatting>
  <conditionalFormatting sqref="BZ64">
    <cfRule type="cellIs" dxfId="1730" priority="1639" operator="lessThan">
      <formula>0</formula>
    </cfRule>
  </conditionalFormatting>
  <conditionalFormatting sqref="CB64">
    <cfRule type="cellIs" dxfId="1729" priority="1638" operator="lessThan">
      <formula>0</formula>
    </cfRule>
  </conditionalFormatting>
  <conditionalFormatting sqref="CD64">
    <cfRule type="cellIs" dxfId="1728" priority="1637" operator="lessThan">
      <formula>0</formula>
    </cfRule>
  </conditionalFormatting>
  <conditionalFormatting sqref="CF64">
    <cfRule type="cellIs" dxfId="1727" priority="1636" operator="lessThan">
      <formula>0</formula>
    </cfRule>
  </conditionalFormatting>
  <conditionalFormatting sqref="CH64">
    <cfRule type="cellIs" dxfId="1726" priority="1635" operator="lessThan">
      <formula>0</formula>
    </cfRule>
  </conditionalFormatting>
  <conditionalFormatting sqref="CJ64">
    <cfRule type="cellIs" dxfId="1725" priority="1634" operator="lessThan">
      <formula>0</formula>
    </cfRule>
  </conditionalFormatting>
  <conditionalFormatting sqref="CL64">
    <cfRule type="cellIs" dxfId="1724" priority="1633" operator="lessThan">
      <formula>0</formula>
    </cfRule>
  </conditionalFormatting>
  <conditionalFormatting sqref="AJ64">
    <cfRule type="cellIs" dxfId="1723" priority="1632" operator="lessThan">
      <formula>0</formula>
    </cfRule>
  </conditionalFormatting>
  <conditionalFormatting sqref="AH65">
    <cfRule type="cellIs" dxfId="1722" priority="1631" operator="lessThan">
      <formula>0</formula>
    </cfRule>
  </conditionalFormatting>
  <conditionalFormatting sqref="AL65">
    <cfRule type="cellIs" dxfId="1721" priority="1630" operator="lessThan">
      <formula>0</formula>
    </cfRule>
  </conditionalFormatting>
  <conditionalFormatting sqref="AN65">
    <cfRule type="cellIs" dxfId="1720" priority="1629" operator="lessThan">
      <formula>0</formula>
    </cfRule>
  </conditionalFormatting>
  <conditionalFormatting sqref="AP65">
    <cfRule type="cellIs" dxfId="1719" priority="1628" operator="lessThan">
      <formula>0</formula>
    </cfRule>
  </conditionalFormatting>
  <conditionalFormatting sqref="AR65">
    <cfRule type="cellIs" dxfId="1718" priority="1627" operator="lessThan">
      <formula>0</formula>
    </cfRule>
  </conditionalFormatting>
  <conditionalFormatting sqref="AT65">
    <cfRule type="cellIs" dxfId="1717" priority="1626" operator="lessThan">
      <formula>0</formula>
    </cfRule>
  </conditionalFormatting>
  <conditionalFormatting sqref="AV65">
    <cfRule type="cellIs" dxfId="1716" priority="1625" operator="lessThan">
      <formula>0</formula>
    </cfRule>
  </conditionalFormatting>
  <conditionalFormatting sqref="AX65">
    <cfRule type="cellIs" dxfId="1715" priority="1624" operator="lessThan">
      <formula>0</formula>
    </cfRule>
  </conditionalFormatting>
  <conditionalFormatting sqref="AZ65">
    <cfRule type="cellIs" dxfId="1714" priority="1623" operator="lessThan">
      <formula>0</formula>
    </cfRule>
  </conditionalFormatting>
  <conditionalFormatting sqref="BB65">
    <cfRule type="cellIs" dxfId="1713" priority="1622" operator="lessThan">
      <formula>0</formula>
    </cfRule>
  </conditionalFormatting>
  <conditionalFormatting sqref="BD65">
    <cfRule type="cellIs" dxfId="1712" priority="1621" operator="lessThan">
      <formula>0</formula>
    </cfRule>
  </conditionalFormatting>
  <conditionalFormatting sqref="BF65">
    <cfRule type="cellIs" dxfId="1711" priority="1620" operator="lessThan">
      <formula>0</formula>
    </cfRule>
  </conditionalFormatting>
  <conditionalFormatting sqref="BH65">
    <cfRule type="cellIs" dxfId="1710" priority="1619" operator="lessThan">
      <formula>0</formula>
    </cfRule>
  </conditionalFormatting>
  <conditionalFormatting sqref="BJ65">
    <cfRule type="cellIs" dxfId="1709" priority="1618" operator="lessThan">
      <formula>0</formula>
    </cfRule>
  </conditionalFormatting>
  <conditionalFormatting sqref="BL65">
    <cfRule type="cellIs" dxfId="1708" priority="1617" operator="lessThan">
      <formula>0</formula>
    </cfRule>
  </conditionalFormatting>
  <conditionalFormatting sqref="BN65">
    <cfRule type="cellIs" dxfId="1707" priority="1616" operator="lessThan">
      <formula>0</formula>
    </cfRule>
  </conditionalFormatting>
  <conditionalFormatting sqref="BP65">
    <cfRule type="cellIs" dxfId="1706" priority="1615" operator="lessThan">
      <formula>0</formula>
    </cfRule>
  </conditionalFormatting>
  <conditionalFormatting sqref="BR65">
    <cfRule type="cellIs" dxfId="1705" priority="1614" operator="lessThan">
      <formula>0</formula>
    </cfRule>
  </conditionalFormatting>
  <conditionalFormatting sqref="BT65">
    <cfRule type="cellIs" dxfId="1704" priority="1613" operator="lessThan">
      <formula>0</formula>
    </cfRule>
  </conditionalFormatting>
  <conditionalFormatting sqref="BV65">
    <cfRule type="cellIs" dxfId="1703" priority="1612" operator="lessThan">
      <formula>0</formula>
    </cfRule>
  </conditionalFormatting>
  <conditionalFormatting sqref="BX65">
    <cfRule type="cellIs" dxfId="1702" priority="1611" operator="lessThan">
      <formula>0</formula>
    </cfRule>
  </conditionalFormatting>
  <conditionalFormatting sqref="BZ65">
    <cfRule type="cellIs" dxfId="1701" priority="1610" operator="lessThan">
      <formula>0</formula>
    </cfRule>
  </conditionalFormatting>
  <conditionalFormatting sqref="CB65">
    <cfRule type="cellIs" dxfId="1700" priority="1609" operator="lessThan">
      <formula>0</formula>
    </cfRule>
  </conditionalFormatting>
  <conditionalFormatting sqref="CD65">
    <cfRule type="cellIs" dxfId="1699" priority="1608" operator="lessThan">
      <formula>0</formula>
    </cfRule>
  </conditionalFormatting>
  <conditionalFormatting sqref="CF65">
    <cfRule type="cellIs" dxfId="1698" priority="1607" operator="lessThan">
      <formula>0</formula>
    </cfRule>
  </conditionalFormatting>
  <conditionalFormatting sqref="CH65">
    <cfRule type="cellIs" dxfId="1697" priority="1606" operator="lessThan">
      <formula>0</formula>
    </cfRule>
  </conditionalFormatting>
  <conditionalFormatting sqref="CJ65">
    <cfRule type="cellIs" dxfId="1696" priority="1605" operator="lessThan">
      <formula>0</formula>
    </cfRule>
  </conditionalFormatting>
  <conditionalFormatting sqref="CL65">
    <cfRule type="cellIs" dxfId="1695" priority="1604" operator="lessThan">
      <formula>0</formula>
    </cfRule>
  </conditionalFormatting>
  <conditionalFormatting sqref="AJ65">
    <cfRule type="cellIs" dxfId="1694" priority="1603" operator="lessThan">
      <formula>0</formula>
    </cfRule>
  </conditionalFormatting>
  <conditionalFormatting sqref="AH66">
    <cfRule type="cellIs" dxfId="1693" priority="1602" operator="lessThan">
      <formula>0</formula>
    </cfRule>
  </conditionalFormatting>
  <conditionalFormatting sqref="AL66">
    <cfRule type="cellIs" dxfId="1692" priority="1601" operator="lessThan">
      <formula>0</formula>
    </cfRule>
  </conditionalFormatting>
  <conditionalFormatting sqref="AN66">
    <cfRule type="cellIs" dxfId="1691" priority="1600" operator="lessThan">
      <formula>0</formula>
    </cfRule>
  </conditionalFormatting>
  <conditionalFormatting sqref="AP66">
    <cfRule type="cellIs" dxfId="1690" priority="1599" operator="lessThan">
      <formula>0</formula>
    </cfRule>
  </conditionalFormatting>
  <conditionalFormatting sqref="AR66">
    <cfRule type="cellIs" dxfId="1689" priority="1598" operator="lessThan">
      <formula>0</formula>
    </cfRule>
  </conditionalFormatting>
  <conditionalFormatting sqref="AT66">
    <cfRule type="cellIs" dxfId="1688" priority="1597" operator="lessThan">
      <formula>0</formula>
    </cfRule>
  </conditionalFormatting>
  <conditionalFormatting sqref="AV66">
    <cfRule type="cellIs" dxfId="1687" priority="1596" operator="lessThan">
      <formula>0</formula>
    </cfRule>
  </conditionalFormatting>
  <conditionalFormatting sqref="AX66">
    <cfRule type="cellIs" dxfId="1686" priority="1595" operator="lessThan">
      <formula>0</formula>
    </cfRule>
  </conditionalFormatting>
  <conditionalFormatting sqref="AZ66">
    <cfRule type="cellIs" dxfId="1685" priority="1594" operator="lessThan">
      <formula>0</formula>
    </cfRule>
  </conditionalFormatting>
  <conditionalFormatting sqref="BB66">
    <cfRule type="cellIs" dxfId="1684" priority="1593" operator="lessThan">
      <formula>0</formula>
    </cfRule>
  </conditionalFormatting>
  <conditionalFormatting sqref="BD66">
    <cfRule type="cellIs" dxfId="1683" priority="1592" operator="lessThan">
      <formula>0</formula>
    </cfRule>
  </conditionalFormatting>
  <conditionalFormatting sqref="BF66">
    <cfRule type="cellIs" dxfId="1682" priority="1591" operator="lessThan">
      <formula>0</formula>
    </cfRule>
  </conditionalFormatting>
  <conditionalFormatting sqref="BH66">
    <cfRule type="cellIs" dxfId="1681" priority="1590" operator="lessThan">
      <formula>0</formula>
    </cfRule>
  </conditionalFormatting>
  <conditionalFormatting sqref="BJ66">
    <cfRule type="cellIs" dxfId="1680" priority="1589" operator="lessThan">
      <formula>0</formula>
    </cfRule>
  </conditionalFormatting>
  <conditionalFormatting sqref="BL66">
    <cfRule type="cellIs" dxfId="1679" priority="1588" operator="lessThan">
      <formula>0</formula>
    </cfRule>
  </conditionalFormatting>
  <conditionalFormatting sqref="BN66">
    <cfRule type="cellIs" dxfId="1678" priority="1587" operator="lessThan">
      <formula>0</formula>
    </cfRule>
  </conditionalFormatting>
  <conditionalFormatting sqref="BP66">
    <cfRule type="cellIs" dxfId="1677" priority="1586" operator="lessThan">
      <formula>0</formula>
    </cfRule>
  </conditionalFormatting>
  <conditionalFormatting sqref="BR66">
    <cfRule type="cellIs" dxfId="1676" priority="1585" operator="lessThan">
      <formula>0</formula>
    </cfRule>
  </conditionalFormatting>
  <conditionalFormatting sqref="BT66">
    <cfRule type="cellIs" dxfId="1675" priority="1584" operator="lessThan">
      <formula>0</formula>
    </cfRule>
  </conditionalFormatting>
  <conditionalFormatting sqref="BV66">
    <cfRule type="cellIs" dxfId="1674" priority="1583" operator="lessThan">
      <formula>0</formula>
    </cfRule>
  </conditionalFormatting>
  <conditionalFormatting sqref="BX66">
    <cfRule type="cellIs" dxfId="1673" priority="1582" operator="lessThan">
      <formula>0</formula>
    </cfRule>
  </conditionalFormatting>
  <conditionalFormatting sqref="BZ66">
    <cfRule type="cellIs" dxfId="1672" priority="1581" operator="lessThan">
      <formula>0</formula>
    </cfRule>
  </conditionalFormatting>
  <conditionalFormatting sqref="CB66">
    <cfRule type="cellIs" dxfId="1671" priority="1580" operator="lessThan">
      <formula>0</formula>
    </cfRule>
  </conditionalFormatting>
  <conditionalFormatting sqref="CD66">
    <cfRule type="cellIs" dxfId="1670" priority="1579" operator="lessThan">
      <formula>0</formula>
    </cfRule>
  </conditionalFormatting>
  <conditionalFormatting sqref="CF66">
    <cfRule type="cellIs" dxfId="1669" priority="1578" operator="lessThan">
      <formula>0</formula>
    </cfRule>
  </conditionalFormatting>
  <conditionalFormatting sqref="CH66">
    <cfRule type="cellIs" dxfId="1668" priority="1577" operator="lessThan">
      <formula>0</formula>
    </cfRule>
  </conditionalFormatting>
  <conditionalFormatting sqref="CJ66">
    <cfRule type="cellIs" dxfId="1667" priority="1576" operator="lessThan">
      <formula>0</formula>
    </cfRule>
  </conditionalFormatting>
  <conditionalFormatting sqref="CL66">
    <cfRule type="cellIs" dxfId="1666" priority="1575" operator="lessThan">
      <formula>0</formula>
    </cfRule>
  </conditionalFormatting>
  <conditionalFormatting sqref="AJ66">
    <cfRule type="cellIs" dxfId="1665" priority="1574" operator="lessThan">
      <formula>0</formula>
    </cfRule>
  </conditionalFormatting>
  <conditionalFormatting sqref="AH67">
    <cfRule type="cellIs" dxfId="1664" priority="1573" operator="lessThan">
      <formula>0</formula>
    </cfRule>
  </conditionalFormatting>
  <conditionalFormatting sqref="AL67">
    <cfRule type="cellIs" dxfId="1663" priority="1572" operator="lessThan">
      <formula>0</formula>
    </cfRule>
  </conditionalFormatting>
  <conditionalFormatting sqref="AN67">
    <cfRule type="cellIs" dxfId="1662" priority="1571" operator="lessThan">
      <formula>0</formula>
    </cfRule>
  </conditionalFormatting>
  <conditionalFormatting sqref="AP67">
    <cfRule type="cellIs" dxfId="1661" priority="1570" operator="lessThan">
      <formula>0</formula>
    </cfRule>
  </conditionalFormatting>
  <conditionalFormatting sqref="AR67">
    <cfRule type="cellIs" dxfId="1660" priority="1569" operator="lessThan">
      <formula>0</formula>
    </cfRule>
  </conditionalFormatting>
  <conditionalFormatting sqref="AT67">
    <cfRule type="cellIs" dxfId="1659" priority="1568" operator="lessThan">
      <formula>0</formula>
    </cfRule>
  </conditionalFormatting>
  <conditionalFormatting sqref="AV67">
    <cfRule type="cellIs" dxfId="1658" priority="1567" operator="lessThan">
      <formula>0</formula>
    </cfRule>
  </conditionalFormatting>
  <conditionalFormatting sqref="AX67">
    <cfRule type="cellIs" dxfId="1657" priority="1566" operator="lessThan">
      <formula>0</formula>
    </cfRule>
  </conditionalFormatting>
  <conditionalFormatting sqref="AZ67">
    <cfRule type="cellIs" dxfId="1656" priority="1565" operator="lessThan">
      <formula>0</formula>
    </cfRule>
  </conditionalFormatting>
  <conditionalFormatting sqref="BB67">
    <cfRule type="cellIs" dxfId="1655" priority="1564" operator="lessThan">
      <formula>0</formula>
    </cfRule>
  </conditionalFormatting>
  <conditionalFormatting sqref="BD67">
    <cfRule type="cellIs" dxfId="1654" priority="1563" operator="lessThan">
      <formula>0</formula>
    </cfRule>
  </conditionalFormatting>
  <conditionalFormatting sqref="BF67">
    <cfRule type="cellIs" dxfId="1653" priority="1562" operator="lessThan">
      <formula>0</formula>
    </cfRule>
  </conditionalFormatting>
  <conditionalFormatting sqref="BH67">
    <cfRule type="cellIs" dxfId="1652" priority="1561" operator="lessThan">
      <formula>0</formula>
    </cfRule>
  </conditionalFormatting>
  <conditionalFormatting sqref="BJ67">
    <cfRule type="cellIs" dxfId="1651" priority="1560" operator="lessThan">
      <formula>0</formula>
    </cfRule>
  </conditionalFormatting>
  <conditionalFormatting sqref="BL67">
    <cfRule type="cellIs" dxfId="1650" priority="1559" operator="lessThan">
      <formula>0</formula>
    </cfRule>
  </conditionalFormatting>
  <conditionalFormatting sqref="BN67">
    <cfRule type="cellIs" dxfId="1649" priority="1558" operator="lessThan">
      <formula>0</formula>
    </cfRule>
  </conditionalFormatting>
  <conditionalFormatting sqref="BP67">
    <cfRule type="cellIs" dxfId="1648" priority="1557" operator="lessThan">
      <formula>0</formula>
    </cfRule>
  </conditionalFormatting>
  <conditionalFormatting sqref="BR67">
    <cfRule type="cellIs" dxfId="1647" priority="1556" operator="lessThan">
      <formula>0</formula>
    </cfRule>
  </conditionalFormatting>
  <conditionalFormatting sqref="BT67">
    <cfRule type="cellIs" dxfId="1646" priority="1555" operator="lessThan">
      <formula>0</formula>
    </cfRule>
  </conditionalFormatting>
  <conditionalFormatting sqref="BV67">
    <cfRule type="cellIs" dxfId="1645" priority="1554" operator="lessThan">
      <formula>0</formula>
    </cfRule>
  </conditionalFormatting>
  <conditionalFormatting sqref="BX67">
    <cfRule type="cellIs" dxfId="1644" priority="1553" operator="lessThan">
      <formula>0</formula>
    </cfRule>
  </conditionalFormatting>
  <conditionalFormatting sqref="BZ67">
    <cfRule type="cellIs" dxfId="1643" priority="1552" operator="lessThan">
      <formula>0</formula>
    </cfRule>
  </conditionalFormatting>
  <conditionalFormatting sqref="CB67">
    <cfRule type="cellIs" dxfId="1642" priority="1551" operator="lessThan">
      <formula>0</formula>
    </cfRule>
  </conditionalFormatting>
  <conditionalFormatting sqref="CD67">
    <cfRule type="cellIs" dxfId="1641" priority="1550" operator="lessThan">
      <formula>0</formula>
    </cfRule>
  </conditionalFormatting>
  <conditionalFormatting sqref="CF67">
    <cfRule type="cellIs" dxfId="1640" priority="1549" operator="lessThan">
      <formula>0</formula>
    </cfRule>
  </conditionalFormatting>
  <conditionalFormatting sqref="CH67">
    <cfRule type="cellIs" dxfId="1639" priority="1548" operator="lessThan">
      <formula>0</formula>
    </cfRule>
  </conditionalFormatting>
  <conditionalFormatting sqref="CJ67">
    <cfRule type="cellIs" dxfId="1638" priority="1547" operator="lessThan">
      <formula>0</formula>
    </cfRule>
  </conditionalFormatting>
  <conditionalFormatting sqref="CL67">
    <cfRule type="cellIs" dxfId="1637" priority="1546" operator="lessThan">
      <formula>0</formula>
    </cfRule>
  </conditionalFormatting>
  <conditionalFormatting sqref="AJ67">
    <cfRule type="cellIs" dxfId="1636" priority="1545" operator="lessThan">
      <formula>0</formula>
    </cfRule>
  </conditionalFormatting>
  <conditionalFormatting sqref="AH68">
    <cfRule type="cellIs" dxfId="1635" priority="1544" operator="lessThan">
      <formula>0</formula>
    </cfRule>
  </conditionalFormatting>
  <conditionalFormatting sqref="AL68">
    <cfRule type="cellIs" dxfId="1634" priority="1543" operator="lessThan">
      <formula>0</formula>
    </cfRule>
  </conditionalFormatting>
  <conditionalFormatting sqref="AN68">
    <cfRule type="cellIs" dxfId="1633" priority="1542" operator="lessThan">
      <formula>0</formula>
    </cfRule>
  </conditionalFormatting>
  <conditionalFormatting sqref="AP68">
    <cfRule type="cellIs" dxfId="1632" priority="1541" operator="lessThan">
      <formula>0</formula>
    </cfRule>
  </conditionalFormatting>
  <conditionalFormatting sqref="AR68">
    <cfRule type="cellIs" dxfId="1631" priority="1540" operator="lessThan">
      <formula>0</formula>
    </cfRule>
  </conditionalFormatting>
  <conditionalFormatting sqref="AT68">
    <cfRule type="cellIs" dxfId="1630" priority="1539" operator="lessThan">
      <formula>0</formula>
    </cfRule>
  </conditionalFormatting>
  <conditionalFormatting sqref="AV68">
    <cfRule type="cellIs" dxfId="1629" priority="1538" operator="lessThan">
      <formula>0</formula>
    </cfRule>
  </conditionalFormatting>
  <conditionalFormatting sqref="AX68">
    <cfRule type="cellIs" dxfId="1628" priority="1537" operator="lessThan">
      <formula>0</formula>
    </cfRule>
  </conditionalFormatting>
  <conditionalFormatting sqref="AZ68">
    <cfRule type="cellIs" dxfId="1627" priority="1536" operator="lessThan">
      <formula>0</formula>
    </cfRule>
  </conditionalFormatting>
  <conditionalFormatting sqref="BB68">
    <cfRule type="cellIs" dxfId="1626" priority="1535" operator="lessThan">
      <formula>0</formula>
    </cfRule>
  </conditionalFormatting>
  <conditionalFormatting sqref="BD68">
    <cfRule type="cellIs" dxfId="1625" priority="1534" operator="lessThan">
      <formula>0</formula>
    </cfRule>
  </conditionalFormatting>
  <conditionalFormatting sqref="BF68">
    <cfRule type="cellIs" dxfId="1624" priority="1533" operator="lessThan">
      <formula>0</formula>
    </cfRule>
  </conditionalFormatting>
  <conditionalFormatting sqref="BH68">
    <cfRule type="cellIs" dxfId="1623" priority="1532" operator="lessThan">
      <formula>0</formula>
    </cfRule>
  </conditionalFormatting>
  <conditionalFormatting sqref="BJ68">
    <cfRule type="cellIs" dxfId="1622" priority="1531" operator="lessThan">
      <formula>0</formula>
    </cfRule>
  </conditionalFormatting>
  <conditionalFormatting sqref="BL68">
    <cfRule type="cellIs" dxfId="1621" priority="1530" operator="lessThan">
      <formula>0</formula>
    </cfRule>
  </conditionalFormatting>
  <conditionalFormatting sqref="BN68">
    <cfRule type="cellIs" dxfId="1620" priority="1529" operator="lessThan">
      <formula>0</formula>
    </cfRule>
  </conditionalFormatting>
  <conditionalFormatting sqref="BP68">
    <cfRule type="cellIs" dxfId="1619" priority="1528" operator="lessThan">
      <formula>0</formula>
    </cfRule>
  </conditionalFormatting>
  <conditionalFormatting sqref="BR68">
    <cfRule type="cellIs" dxfId="1618" priority="1527" operator="lessThan">
      <formula>0</formula>
    </cfRule>
  </conditionalFormatting>
  <conditionalFormatting sqref="BT68">
    <cfRule type="cellIs" dxfId="1617" priority="1526" operator="lessThan">
      <formula>0</formula>
    </cfRule>
  </conditionalFormatting>
  <conditionalFormatting sqref="BV68">
    <cfRule type="cellIs" dxfId="1616" priority="1525" operator="lessThan">
      <formula>0</formula>
    </cfRule>
  </conditionalFormatting>
  <conditionalFormatting sqref="BX68">
    <cfRule type="cellIs" dxfId="1615" priority="1524" operator="lessThan">
      <formula>0</formula>
    </cfRule>
  </conditionalFormatting>
  <conditionalFormatting sqref="BZ68">
    <cfRule type="cellIs" dxfId="1614" priority="1523" operator="lessThan">
      <formula>0</formula>
    </cfRule>
  </conditionalFormatting>
  <conditionalFormatting sqref="CB68">
    <cfRule type="cellIs" dxfId="1613" priority="1522" operator="lessThan">
      <formula>0</formula>
    </cfRule>
  </conditionalFormatting>
  <conditionalFormatting sqref="CD68">
    <cfRule type="cellIs" dxfId="1612" priority="1521" operator="lessThan">
      <formula>0</formula>
    </cfRule>
  </conditionalFormatting>
  <conditionalFormatting sqref="CF68">
    <cfRule type="cellIs" dxfId="1611" priority="1520" operator="lessThan">
      <formula>0</formula>
    </cfRule>
  </conditionalFormatting>
  <conditionalFormatting sqref="CH68">
    <cfRule type="cellIs" dxfId="1610" priority="1519" operator="lessThan">
      <formula>0</formula>
    </cfRule>
  </conditionalFormatting>
  <conditionalFormatting sqref="CJ68">
    <cfRule type="cellIs" dxfId="1609" priority="1518" operator="lessThan">
      <formula>0</formula>
    </cfRule>
  </conditionalFormatting>
  <conditionalFormatting sqref="CL68">
    <cfRule type="cellIs" dxfId="1608" priority="1517" operator="lessThan">
      <formula>0</formula>
    </cfRule>
  </conditionalFormatting>
  <conditionalFormatting sqref="AJ68">
    <cfRule type="cellIs" dxfId="1607" priority="1516" operator="lessThan">
      <formula>0</formula>
    </cfRule>
  </conditionalFormatting>
  <conditionalFormatting sqref="AH69">
    <cfRule type="cellIs" dxfId="1606" priority="1515" operator="lessThan">
      <formula>0</formula>
    </cfRule>
  </conditionalFormatting>
  <conditionalFormatting sqref="AL69">
    <cfRule type="cellIs" dxfId="1605" priority="1514" operator="lessThan">
      <formula>0</formula>
    </cfRule>
  </conditionalFormatting>
  <conditionalFormatting sqref="AN69">
    <cfRule type="cellIs" dxfId="1604" priority="1513" operator="lessThan">
      <formula>0</formula>
    </cfRule>
  </conditionalFormatting>
  <conditionalFormatting sqref="AP69">
    <cfRule type="cellIs" dxfId="1603" priority="1512" operator="lessThan">
      <formula>0</formula>
    </cfRule>
  </conditionalFormatting>
  <conditionalFormatting sqref="AR69">
    <cfRule type="cellIs" dxfId="1602" priority="1511" operator="lessThan">
      <formula>0</formula>
    </cfRule>
  </conditionalFormatting>
  <conditionalFormatting sqref="AT69">
    <cfRule type="cellIs" dxfId="1601" priority="1510" operator="lessThan">
      <formula>0</formula>
    </cfRule>
  </conditionalFormatting>
  <conditionalFormatting sqref="AV69">
    <cfRule type="cellIs" dxfId="1600" priority="1509" operator="lessThan">
      <formula>0</formula>
    </cfRule>
  </conditionalFormatting>
  <conditionalFormatting sqref="AX69">
    <cfRule type="cellIs" dxfId="1599" priority="1508" operator="lessThan">
      <formula>0</formula>
    </cfRule>
  </conditionalFormatting>
  <conditionalFormatting sqref="AZ69">
    <cfRule type="cellIs" dxfId="1598" priority="1507" operator="lessThan">
      <formula>0</formula>
    </cfRule>
  </conditionalFormatting>
  <conditionalFormatting sqref="BB69">
    <cfRule type="cellIs" dxfId="1597" priority="1506" operator="lessThan">
      <formula>0</formula>
    </cfRule>
  </conditionalFormatting>
  <conditionalFormatting sqref="BD69">
    <cfRule type="cellIs" dxfId="1596" priority="1505" operator="lessThan">
      <formula>0</formula>
    </cfRule>
  </conditionalFormatting>
  <conditionalFormatting sqref="BF69">
    <cfRule type="cellIs" dxfId="1595" priority="1504" operator="lessThan">
      <formula>0</formula>
    </cfRule>
  </conditionalFormatting>
  <conditionalFormatting sqref="BH69">
    <cfRule type="cellIs" dxfId="1594" priority="1503" operator="lessThan">
      <formula>0</formula>
    </cfRule>
  </conditionalFormatting>
  <conditionalFormatting sqref="BJ69">
    <cfRule type="cellIs" dxfId="1593" priority="1502" operator="lessThan">
      <formula>0</formula>
    </cfRule>
  </conditionalFormatting>
  <conditionalFormatting sqref="BL69">
    <cfRule type="cellIs" dxfId="1592" priority="1501" operator="lessThan">
      <formula>0</formula>
    </cfRule>
  </conditionalFormatting>
  <conditionalFormatting sqref="BN69">
    <cfRule type="cellIs" dxfId="1591" priority="1500" operator="lessThan">
      <formula>0</formula>
    </cfRule>
  </conditionalFormatting>
  <conditionalFormatting sqref="BP69">
    <cfRule type="cellIs" dxfId="1590" priority="1499" operator="lessThan">
      <formula>0</formula>
    </cfRule>
  </conditionalFormatting>
  <conditionalFormatting sqref="BR69">
    <cfRule type="cellIs" dxfId="1589" priority="1498" operator="lessThan">
      <formula>0</formula>
    </cfRule>
  </conditionalFormatting>
  <conditionalFormatting sqref="BT69">
    <cfRule type="cellIs" dxfId="1588" priority="1497" operator="lessThan">
      <formula>0</formula>
    </cfRule>
  </conditionalFormatting>
  <conditionalFormatting sqref="BV69">
    <cfRule type="cellIs" dxfId="1587" priority="1496" operator="lessThan">
      <formula>0</formula>
    </cfRule>
  </conditionalFormatting>
  <conditionalFormatting sqref="BX69">
    <cfRule type="cellIs" dxfId="1586" priority="1495" operator="lessThan">
      <formula>0</formula>
    </cfRule>
  </conditionalFormatting>
  <conditionalFormatting sqref="BZ69">
    <cfRule type="cellIs" dxfId="1585" priority="1494" operator="lessThan">
      <formula>0</formula>
    </cfRule>
  </conditionalFormatting>
  <conditionalFormatting sqref="CB69">
    <cfRule type="cellIs" dxfId="1584" priority="1493" operator="lessThan">
      <formula>0</formula>
    </cfRule>
  </conditionalFormatting>
  <conditionalFormatting sqref="CD69">
    <cfRule type="cellIs" dxfId="1583" priority="1492" operator="lessThan">
      <formula>0</formula>
    </cfRule>
  </conditionalFormatting>
  <conditionalFormatting sqref="CF69">
    <cfRule type="cellIs" dxfId="1582" priority="1491" operator="lessThan">
      <formula>0</formula>
    </cfRule>
  </conditionalFormatting>
  <conditionalFormatting sqref="CH69">
    <cfRule type="cellIs" dxfId="1581" priority="1490" operator="lessThan">
      <formula>0</formula>
    </cfRule>
  </conditionalFormatting>
  <conditionalFormatting sqref="CJ69">
    <cfRule type="cellIs" dxfId="1580" priority="1489" operator="lessThan">
      <formula>0</formula>
    </cfRule>
  </conditionalFormatting>
  <conditionalFormatting sqref="CL69">
    <cfRule type="cellIs" dxfId="1579" priority="1488" operator="lessThan">
      <formula>0</formula>
    </cfRule>
  </conditionalFormatting>
  <conditionalFormatting sqref="AJ69">
    <cfRule type="cellIs" dxfId="1578" priority="1487" operator="lessThan">
      <formula>0</formula>
    </cfRule>
  </conditionalFormatting>
  <conditionalFormatting sqref="AH70">
    <cfRule type="cellIs" dxfId="1577" priority="1486" operator="lessThan">
      <formula>0</formula>
    </cfRule>
  </conditionalFormatting>
  <conditionalFormatting sqref="AL70">
    <cfRule type="cellIs" dxfId="1576" priority="1485" operator="lessThan">
      <formula>0</formula>
    </cfRule>
  </conditionalFormatting>
  <conditionalFormatting sqref="AN70">
    <cfRule type="cellIs" dxfId="1575" priority="1484" operator="lessThan">
      <formula>0</formula>
    </cfRule>
  </conditionalFormatting>
  <conditionalFormatting sqref="AP70">
    <cfRule type="cellIs" dxfId="1574" priority="1483" operator="lessThan">
      <formula>0</formula>
    </cfRule>
  </conditionalFormatting>
  <conditionalFormatting sqref="AR70">
    <cfRule type="cellIs" dxfId="1573" priority="1482" operator="lessThan">
      <formula>0</formula>
    </cfRule>
  </conditionalFormatting>
  <conditionalFormatting sqref="AT70">
    <cfRule type="cellIs" dxfId="1572" priority="1481" operator="lessThan">
      <formula>0</formula>
    </cfRule>
  </conditionalFormatting>
  <conditionalFormatting sqref="AV70">
    <cfRule type="cellIs" dxfId="1571" priority="1480" operator="lessThan">
      <formula>0</formula>
    </cfRule>
  </conditionalFormatting>
  <conditionalFormatting sqref="AX70">
    <cfRule type="cellIs" dxfId="1570" priority="1479" operator="lessThan">
      <formula>0</formula>
    </cfRule>
  </conditionalFormatting>
  <conditionalFormatting sqref="AZ70">
    <cfRule type="cellIs" dxfId="1569" priority="1478" operator="lessThan">
      <formula>0</formula>
    </cfRule>
  </conditionalFormatting>
  <conditionalFormatting sqref="BB70">
    <cfRule type="cellIs" dxfId="1568" priority="1477" operator="lessThan">
      <formula>0</formula>
    </cfRule>
  </conditionalFormatting>
  <conditionalFormatting sqref="BD70">
    <cfRule type="cellIs" dxfId="1567" priority="1476" operator="lessThan">
      <formula>0</formula>
    </cfRule>
  </conditionalFormatting>
  <conditionalFormatting sqref="BF70">
    <cfRule type="cellIs" dxfId="1566" priority="1475" operator="lessThan">
      <formula>0</formula>
    </cfRule>
  </conditionalFormatting>
  <conditionalFormatting sqref="BH70">
    <cfRule type="cellIs" dxfId="1565" priority="1474" operator="lessThan">
      <formula>0</formula>
    </cfRule>
  </conditionalFormatting>
  <conditionalFormatting sqref="BJ70">
    <cfRule type="cellIs" dxfId="1564" priority="1473" operator="lessThan">
      <formula>0</formula>
    </cfRule>
  </conditionalFormatting>
  <conditionalFormatting sqref="BL70">
    <cfRule type="cellIs" dxfId="1563" priority="1472" operator="lessThan">
      <formula>0</formula>
    </cfRule>
  </conditionalFormatting>
  <conditionalFormatting sqref="BN70">
    <cfRule type="cellIs" dxfId="1562" priority="1471" operator="lessThan">
      <formula>0</formula>
    </cfRule>
  </conditionalFormatting>
  <conditionalFormatting sqref="BP70">
    <cfRule type="cellIs" dxfId="1561" priority="1470" operator="lessThan">
      <formula>0</formula>
    </cfRule>
  </conditionalFormatting>
  <conditionalFormatting sqref="BR70">
    <cfRule type="cellIs" dxfId="1560" priority="1469" operator="lessThan">
      <formula>0</formula>
    </cfRule>
  </conditionalFormatting>
  <conditionalFormatting sqref="BT70">
    <cfRule type="cellIs" dxfId="1559" priority="1468" operator="lessThan">
      <formula>0</formula>
    </cfRule>
  </conditionalFormatting>
  <conditionalFormatting sqref="BV70">
    <cfRule type="cellIs" dxfId="1558" priority="1467" operator="lessThan">
      <formula>0</formula>
    </cfRule>
  </conditionalFormatting>
  <conditionalFormatting sqref="BX70">
    <cfRule type="cellIs" dxfId="1557" priority="1466" operator="lessThan">
      <formula>0</formula>
    </cfRule>
  </conditionalFormatting>
  <conditionalFormatting sqref="BZ70">
    <cfRule type="cellIs" dxfId="1556" priority="1465" operator="lessThan">
      <formula>0</formula>
    </cfRule>
  </conditionalFormatting>
  <conditionalFormatting sqref="CB70">
    <cfRule type="cellIs" dxfId="1555" priority="1464" operator="lessThan">
      <formula>0</formula>
    </cfRule>
  </conditionalFormatting>
  <conditionalFormatting sqref="CD70">
    <cfRule type="cellIs" dxfId="1554" priority="1463" operator="lessThan">
      <formula>0</formula>
    </cfRule>
  </conditionalFormatting>
  <conditionalFormatting sqref="CF70">
    <cfRule type="cellIs" dxfId="1553" priority="1462" operator="lessThan">
      <formula>0</formula>
    </cfRule>
  </conditionalFormatting>
  <conditionalFormatting sqref="CH70">
    <cfRule type="cellIs" dxfId="1552" priority="1461" operator="lessThan">
      <formula>0</formula>
    </cfRule>
  </conditionalFormatting>
  <conditionalFormatting sqref="CJ70">
    <cfRule type="cellIs" dxfId="1551" priority="1460" operator="lessThan">
      <formula>0</formula>
    </cfRule>
  </conditionalFormatting>
  <conditionalFormatting sqref="CL70">
    <cfRule type="cellIs" dxfId="1550" priority="1459" operator="lessThan">
      <formula>0</formula>
    </cfRule>
  </conditionalFormatting>
  <conditionalFormatting sqref="AJ70">
    <cfRule type="cellIs" dxfId="1549" priority="1458" operator="lessThan">
      <formula>0</formula>
    </cfRule>
  </conditionalFormatting>
  <conditionalFormatting sqref="AH71">
    <cfRule type="cellIs" dxfId="1548" priority="1457" operator="lessThan">
      <formula>0</formula>
    </cfRule>
  </conditionalFormatting>
  <conditionalFormatting sqref="AL71">
    <cfRule type="cellIs" dxfId="1547" priority="1456" operator="lessThan">
      <formula>0</formula>
    </cfRule>
  </conditionalFormatting>
  <conditionalFormatting sqref="AN71">
    <cfRule type="cellIs" dxfId="1546" priority="1455" operator="lessThan">
      <formula>0</formula>
    </cfRule>
  </conditionalFormatting>
  <conditionalFormatting sqref="AP71">
    <cfRule type="cellIs" dxfId="1545" priority="1454" operator="lessThan">
      <formula>0</formula>
    </cfRule>
  </conditionalFormatting>
  <conditionalFormatting sqref="AR71">
    <cfRule type="cellIs" dxfId="1544" priority="1453" operator="lessThan">
      <formula>0</formula>
    </cfRule>
  </conditionalFormatting>
  <conditionalFormatting sqref="AT71">
    <cfRule type="cellIs" dxfId="1543" priority="1452" operator="lessThan">
      <formula>0</formula>
    </cfRule>
  </conditionalFormatting>
  <conditionalFormatting sqref="AV71">
    <cfRule type="cellIs" dxfId="1542" priority="1451" operator="lessThan">
      <formula>0</formula>
    </cfRule>
  </conditionalFormatting>
  <conditionalFormatting sqref="AX71">
    <cfRule type="cellIs" dxfId="1541" priority="1450" operator="lessThan">
      <formula>0</formula>
    </cfRule>
  </conditionalFormatting>
  <conditionalFormatting sqref="AZ71">
    <cfRule type="cellIs" dxfId="1540" priority="1449" operator="lessThan">
      <formula>0</formula>
    </cfRule>
  </conditionalFormatting>
  <conditionalFormatting sqref="BB71">
    <cfRule type="cellIs" dxfId="1539" priority="1448" operator="lessThan">
      <formula>0</formula>
    </cfRule>
  </conditionalFormatting>
  <conditionalFormatting sqref="BD71">
    <cfRule type="cellIs" dxfId="1538" priority="1447" operator="lessThan">
      <formula>0</formula>
    </cfRule>
  </conditionalFormatting>
  <conditionalFormatting sqref="BF71">
    <cfRule type="cellIs" dxfId="1537" priority="1446" operator="lessThan">
      <formula>0</formula>
    </cfRule>
  </conditionalFormatting>
  <conditionalFormatting sqref="BH71">
    <cfRule type="cellIs" dxfId="1536" priority="1445" operator="lessThan">
      <formula>0</formula>
    </cfRule>
  </conditionalFormatting>
  <conditionalFormatting sqref="BJ71">
    <cfRule type="cellIs" dxfId="1535" priority="1444" operator="lessThan">
      <formula>0</formula>
    </cfRule>
  </conditionalFormatting>
  <conditionalFormatting sqref="BL71">
    <cfRule type="cellIs" dxfId="1534" priority="1443" operator="lessThan">
      <formula>0</formula>
    </cfRule>
  </conditionalFormatting>
  <conditionalFormatting sqref="BN71">
    <cfRule type="cellIs" dxfId="1533" priority="1442" operator="lessThan">
      <formula>0</formula>
    </cfRule>
  </conditionalFormatting>
  <conditionalFormatting sqref="BP71">
    <cfRule type="cellIs" dxfId="1532" priority="1441" operator="lessThan">
      <formula>0</formula>
    </cfRule>
  </conditionalFormatting>
  <conditionalFormatting sqref="BR71">
    <cfRule type="cellIs" dxfId="1531" priority="1440" operator="lessThan">
      <formula>0</formula>
    </cfRule>
  </conditionalFormatting>
  <conditionalFormatting sqref="BT71">
    <cfRule type="cellIs" dxfId="1530" priority="1439" operator="lessThan">
      <formula>0</formula>
    </cfRule>
  </conditionalFormatting>
  <conditionalFormatting sqref="BV71">
    <cfRule type="cellIs" dxfId="1529" priority="1438" operator="lessThan">
      <formula>0</formula>
    </cfRule>
  </conditionalFormatting>
  <conditionalFormatting sqref="BX71">
    <cfRule type="cellIs" dxfId="1528" priority="1437" operator="lessThan">
      <formula>0</formula>
    </cfRule>
  </conditionalFormatting>
  <conditionalFormatting sqref="BZ71">
    <cfRule type="cellIs" dxfId="1527" priority="1436" operator="lessThan">
      <formula>0</formula>
    </cfRule>
  </conditionalFormatting>
  <conditionalFormatting sqref="CB71">
    <cfRule type="cellIs" dxfId="1526" priority="1435" operator="lessThan">
      <formula>0</formula>
    </cfRule>
  </conditionalFormatting>
  <conditionalFormatting sqref="CD71">
    <cfRule type="cellIs" dxfId="1525" priority="1434" operator="lessThan">
      <formula>0</formula>
    </cfRule>
  </conditionalFormatting>
  <conditionalFormatting sqref="CF71">
    <cfRule type="cellIs" dxfId="1524" priority="1433" operator="lessThan">
      <formula>0</formula>
    </cfRule>
  </conditionalFormatting>
  <conditionalFormatting sqref="CH71">
    <cfRule type="cellIs" dxfId="1523" priority="1432" operator="lessThan">
      <formula>0</formula>
    </cfRule>
  </conditionalFormatting>
  <conditionalFormatting sqref="CJ71">
    <cfRule type="cellIs" dxfId="1522" priority="1431" operator="lessThan">
      <formula>0</formula>
    </cfRule>
  </conditionalFormatting>
  <conditionalFormatting sqref="CL71">
    <cfRule type="cellIs" dxfId="1521" priority="1430" operator="lessThan">
      <formula>0</formula>
    </cfRule>
  </conditionalFormatting>
  <conditionalFormatting sqref="AJ71">
    <cfRule type="cellIs" dxfId="1520" priority="1429" operator="lessThan">
      <formula>0</formula>
    </cfRule>
  </conditionalFormatting>
  <conditionalFormatting sqref="AH74:AH80">
    <cfRule type="cellIs" dxfId="1519" priority="1428" operator="lessThan">
      <formula>0</formula>
    </cfRule>
  </conditionalFormatting>
  <conditionalFormatting sqref="AL74:AL80">
    <cfRule type="cellIs" dxfId="1518" priority="1427" operator="lessThan">
      <formula>0</formula>
    </cfRule>
  </conditionalFormatting>
  <conditionalFormatting sqref="AN74:AN80">
    <cfRule type="cellIs" dxfId="1517" priority="1426" operator="lessThan">
      <formula>0</formula>
    </cfRule>
  </conditionalFormatting>
  <conditionalFormatting sqref="AP74:AP80">
    <cfRule type="cellIs" dxfId="1516" priority="1425" operator="lessThan">
      <formula>0</formula>
    </cfRule>
  </conditionalFormatting>
  <conditionalFormatting sqref="AR74:AR80">
    <cfRule type="cellIs" dxfId="1515" priority="1424" operator="lessThan">
      <formula>0</formula>
    </cfRule>
  </conditionalFormatting>
  <conditionalFormatting sqref="AT74:AT80">
    <cfRule type="cellIs" dxfId="1514" priority="1423" operator="lessThan">
      <formula>0</formula>
    </cfRule>
  </conditionalFormatting>
  <conditionalFormatting sqref="AV74:AV80">
    <cfRule type="cellIs" dxfId="1513" priority="1422" operator="lessThan">
      <formula>0</formula>
    </cfRule>
  </conditionalFormatting>
  <conditionalFormatting sqref="AX74:AX80">
    <cfRule type="cellIs" dxfId="1512" priority="1421" operator="lessThan">
      <formula>0</formula>
    </cfRule>
  </conditionalFormatting>
  <conditionalFormatting sqref="AZ74:AZ80">
    <cfRule type="cellIs" dxfId="1511" priority="1420" operator="lessThan">
      <formula>0</formula>
    </cfRule>
  </conditionalFormatting>
  <conditionalFormatting sqref="BB74:BB80">
    <cfRule type="cellIs" dxfId="1510" priority="1419" operator="lessThan">
      <formula>0</formula>
    </cfRule>
  </conditionalFormatting>
  <conditionalFormatting sqref="BD74:BD80">
    <cfRule type="cellIs" dxfId="1509" priority="1418" operator="lessThan">
      <formula>0</formula>
    </cfRule>
  </conditionalFormatting>
  <conditionalFormatting sqref="BF74:BF80">
    <cfRule type="cellIs" dxfId="1508" priority="1417" operator="lessThan">
      <formula>0</formula>
    </cfRule>
  </conditionalFormatting>
  <conditionalFormatting sqref="BH74:BH80">
    <cfRule type="cellIs" dxfId="1507" priority="1416" operator="lessThan">
      <formula>0</formula>
    </cfRule>
  </conditionalFormatting>
  <conditionalFormatting sqref="BJ74:BJ80">
    <cfRule type="cellIs" dxfId="1506" priority="1415" operator="lessThan">
      <formula>0</formula>
    </cfRule>
  </conditionalFormatting>
  <conditionalFormatting sqref="BL74:BL80">
    <cfRule type="cellIs" dxfId="1505" priority="1414" operator="lessThan">
      <formula>0</formula>
    </cfRule>
  </conditionalFormatting>
  <conditionalFormatting sqref="BN74:BN80">
    <cfRule type="cellIs" dxfId="1504" priority="1413" operator="lessThan">
      <formula>0</formula>
    </cfRule>
  </conditionalFormatting>
  <conditionalFormatting sqref="BP74:BP80">
    <cfRule type="cellIs" dxfId="1503" priority="1412" operator="lessThan">
      <formula>0</formula>
    </cfRule>
  </conditionalFormatting>
  <conditionalFormatting sqref="BR74:BR80">
    <cfRule type="cellIs" dxfId="1502" priority="1411" operator="lessThan">
      <formula>0</formula>
    </cfRule>
  </conditionalFormatting>
  <conditionalFormatting sqref="BT74:BT80">
    <cfRule type="cellIs" dxfId="1501" priority="1410" operator="lessThan">
      <formula>0</formula>
    </cfRule>
  </conditionalFormatting>
  <conditionalFormatting sqref="BV74:BV80">
    <cfRule type="cellIs" dxfId="1500" priority="1409" operator="lessThan">
      <formula>0</formula>
    </cfRule>
  </conditionalFormatting>
  <conditionalFormatting sqref="BX74:BX80">
    <cfRule type="cellIs" dxfId="1499" priority="1408" operator="lessThan">
      <formula>0</formula>
    </cfRule>
  </conditionalFormatting>
  <conditionalFormatting sqref="BZ74:BZ80">
    <cfRule type="cellIs" dxfId="1498" priority="1407" operator="lessThan">
      <formula>0</formula>
    </cfRule>
  </conditionalFormatting>
  <conditionalFormatting sqref="CB74:CB80">
    <cfRule type="cellIs" dxfId="1497" priority="1406" operator="lessThan">
      <formula>0</formula>
    </cfRule>
  </conditionalFormatting>
  <conditionalFormatting sqref="CD74:CD80">
    <cfRule type="cellIs" dxfId="1496" priority="1405" operator="lessThan">
      <formula>0</formula>
    </cfRule>
  </conditionalFormatting>
  <conditionalFormatting sqref="CF74:CF80">
    <cfRule type="cellIs" dxfId="1495" priority="1404" operator="lessThan">
      <formula>0</formula>
    </cfRule>
  </conditionalFormatting>
  <conditionalFormatting sqref="CH74:CH80">
    <cfRule type="cellIs" dxfId="1494" priority="1403" operator="lessThan">
      <formula>0</formula>
    </cfRule>
  </conditionalFormatting>
  <conditionalFormatting sqref="CJ74:CJ80">
    <cfRule type="cellIs" dxfId="1493" priority="1402" operator="lessThan">
      <formula>0</formula>
    </cfRule>
  </conditionalFormatting>
  <conditionalFormatting sqref="CL74:CL80">
    <cfRule type="cellIs" dxfId="1492" priority="1401" operator="lessThan">
      <formula>0</formula>
    </cfRule>
  </conditionalFormatting>
  <conditionalFormatting sqref="AJ74:AJ80">
    <cfRule type="cellIs" dxfId="1491" priority="1400" operator="lessThan">
      <formula>0</formula>
    </cfRule>
  </conditionalFormatting>
  <conditionalFormatting sqref="AH81:AH83">
    <cfRule type="cellIs" dxfId="1490" priority="1399" operator="lessThan">
      <formula>0</formula>
    </cfRule>
  </conditionalFormatting>
  <conditionalFormatting sqref="AL81:AL83">
    <cfRule type="cellIs" dxfId="1489" priority="1398" operator="lessThan">
      <formula>0</formula>
    </cfRule>
  </conditionalFormatting>
  <conditionalFormatting sqref="AN81:AN83">
    <cfRule type="cellIs" dxfId="1488" priority="1397" operator="lessThan">
      <formula>0</formula>
    </cfRule>
  </conditionalFormatting>
  <conditionalFormatting sqref="AP81:AP83">
    <cfRule type="cellIs" dxfId="1487" priority="1396" operator="lessThan">
      <formula>0</formula>
    </cfRule>
  </conditionalFormatting>
  <conditionalFormatting sqref="AR81:AR83">
    <cfRule type="cellIs" dxfId="1486" priority="1395" operator="lessThan">
      <formula>0</formula>
    </cfRule>
  </conditionalFormatting>
  <conditionalFormatting sqref="AT81:AT83">
    <cfRule type="cellIs" dxfId="1485" priority="1394" operator="lessThan">
      <formula>0</formula>
    </cfRule>
  </conditionalFormatting>
  <conditionalFormatting sqref="AV81:AV83">
    <cfRule type="cellIs" dxfId="1484" priority="1393" operator="lessThan">
      <formula>0</formula>
    </cfRule>
  </conditionalFormatting>
  <conditionalFormatting sqref="AX81:AX83">
    <cfRule type="cellIs" dxfId="1483" priority="1392" operator="lessThan">
      <formula>0</formula>
    </cfRule>
  </conditionalFormatting>
  <conditionalFormatting sqref="AZ81:AZ83">
    <cfRule type="cellIs" dxfId="1482" priority="1391" operator="lessThan">
      <formula>0</formula>
    </cfRule>
  </conditionalFormatting>
  <conditionalFormatting sqref="BB81:BB83">
    <cfRule type="cellIs" dxfId="1481" priority="1390" operator="lessThan">
      <formula>0</formula>
    </cfRule>
  </conditionalFormatting>
  <conditionalFormatting sqref="BD81:BD83">
    <cfRule type="cellIs" dxfId="1480" priority="1389" operator="lessThan">
      <formula>0</formula>
    </cfRule>
  </conditionalFormatting>
  <conditionalFormatting sqref="BF81:BF83">
    <cfRule type="cellIs" dxfId="1479" priority="1388" operator="lessThan">
      <formula>0</formula>
    </cfRule>
  </conditionalFormatting>
  <conditionalFormatting sqref="BH81:BH83">
    <cfRule type="cellIs" dxfId="1478" priority="1387" operator="lessThan">
      <formula>0</formula>
    </cfRule>
  </conditionalFormatting>
  <conditionalFormatting sqref="BJ81:BJ83">
    <cfRule type="cellIs" dxfId="1477" priority="1386" operator="lessThan">
      <formula>0</formula>
    </cfRule>
  </conditionalFormatting>
  <conditionalFormatting sqref="BL81:BL83">
    <cfRule type="cellIs" dxfId="1476" priority="1385" operator="lessThan">
      <formula>0</formula>
    </cfRule>
  </conditionalFormatting>
  <conditionalFormatting sqref="BN81:BN83">
    <cfRule type="cellIs" dxfId="1475" priority="1384" operator="lessThan">
      <formula>0</formula>
    </cfRule>
  </conditionalFormatting>
  <conditionalFormatting sqref="BP81:BP83">
    <cfRule type="cellIs" dxfId="1474" priority="1383" operator="lessThan">
      <formula>0</formula>
    </cfRule>
  </conditionalFormatting>
  <conditionalFormatting sqref="BR81:BR83">
    <cfRule type="cellIs" dxfId="1473" priority="1382" operator="lessThan">
      <formula>0</formula>
    </cfRule>
  </conditionalFormatting>
  <conditionalFormatting sqref="BT81:BT83">
    <cfRule type="cellIs" dxfId="1472" priority="1381" operator="lessThan">
      <formula>0</formula>
    </cfRule>
  </conditionalFormatting>
  <conditionalFormatting sqref="BV81:BV83">
    <cfRule type="cellIs" dxfId="1471" priority="1380" operator="lessThan">
      <formula>0</formula>
    </cfRule>
  </conditionalFormatting>
  <conditionalFormatting sqref="BX81:BX83">
    <cfRule type="cellIs" dxfId="1470" priority="1379" operator="lessThan">
      <formula>0</formula>
    </cfRule>
  </conditionalFormatting>
  <conditionalFormatting sqref="BZ81:BZ83">
    <cfRule type="cellIs" dxfId="1469" priority="1378" operator="lessThan">
      <formula>0</formula>
    </cfRule>
  </conditionalFormatting>
  <conditionalFormatting sqref="CB81:CB83">
    <cfRule type="cellIs" dxfId="1468" priority="1377" operator="lessThan">
      <formula>0</formula>
    </cfRule>
  </conditionalFormatting>
  <conditionalFormatting sqref="CD81:CD83">
    <cfRule type="cellIs" dxfId="1467" priority="1376" operator="lessThan">
      <formula>0</formula>
    </cfRule>
  </conditionalFormatting>
  <conditionalFormatting sqref="CF81:CF83">
    <cfRule type="cellIs" dxfId="1466" priority="1375" operator="lessThan">
      <formula>0</formula>
    </cfRule>
  </conditionalFormatting>
  <conditionalFormatting sqref="CH81:CH83">
    <cfRule type="cellIs" dxfId="1465" priority="1374" operator="lessThan">
      <formula>0</formula>
    </cfRule>
  </conditionalFormatting>
  <conditionalFormatting sqref="CJ81:CJ83">
    <cfRule type="cellIs" dxfId="1464" priority="1373" operator="lessThan">
      <formula>0</formula>
    </cfRule>
  </conditionalFormatting>
  <conditionalFormatting sqref="CL81:CL83">
    <cfRule type="cellIs" dxfId="1463" priority="1372" operator="lessThan">
      <formula>0</formula>
    </cfRule>
  </conditionalFormatting>
  <conditionalFormatting sqref="AJ81:AJ83">
    <cfRule type="cellIs" dxfId="1462" priority="1371" operator="lessThan">
      <formula>0</formula>
    </cfRule>
  </conditionalFormatting>
  <conditionalFormatting sqref="AH84">
    <cfRule type="cellIs" dxfId="1461" priority="1370" operator="lessThan">
      <formula>0</formula>
    </cfRule>
  </conditionalFormatting>
  <conditionalFormatting sqref="AL84">
    <cfRule type="cellIs" dxfId="1460" priority="1369" operator="lessThan">
      <formula>0</formula>
    </cfRule>
  </conditionalFormatting>
  <conditionalFormatting sqref="AN84">
    <cfRule type="cellIs" dxfId="1459" priority="1368" operator="lessThan">
      <formula>0</formula>
    </cfRule>
  </conditionalFormatting>
  <conditionalFormatting sqref="AP84">
    <cfRule type="cellIs" dxfId="1458" priority="1367" operator="lessThan">
      <formula>0</formula>
    </cfRule>
  </conditionalFormatting>
  <conditionalFormatting sqref="AR84">
    <cfRule type="cellIs" dxfId="1457" priority="1366" operator="lessThan">
      <formula>0</formula>
    </cfRule>
  </conditionalFormatting>
  <conditionalFormatting sqref="AT84">
    <cfRule type="cellIs" dxfId="1456" priority="1365" operator="lessThan">
      <formula>0</formula>
    </cfRule>
  </conditionalFormatting>
  <conditionalFormatting sqref="AV84">
    <cfRule type="cellIs" dxfId="1455" priority="1364" operator="lessThan">
      <formula>0</formula>
    </cfRule>
  </conditionalFormatting>
  <conditionalFormatting sqref="AX84">
    <cfRule type="cellIs" dxfId="1454" priority="1363" operator="lessThan">
      <formula>0</formula>
    </cfRule>
  </conditionalFormatting>
  <conditionalFormatting sqref="AZ84">
    <cfRule type="cellIs" dxfId="1453" priority="1362" operator="lessThan">
      <formula>0</formula>
    </cfRule>
  </conditionalFormatting>
  <conditionalFormatting sqref="BB84">
    <cfRule type="cellIs" dxfId="1452" priority="1361" operator="lessThan">
      <formula>0</formula>
    </cfRule>
  </conditionalFormatting>
  <conditionalFormatting sqref="BD84">
    <cfRule type="cellIs" dxfId="1451" priority="1360" operator="lessThan">
      <formula>0</formula>
    </cfRule>
  </conditionalFormatting>
  <conditionalFormatting sqref="BF84">
    <cfRule type="cellIs" dxfId="1450" priority="1359" operator="lessThan">
      <formula>0</formula>
    </cfRule>
  </conditionalFormatting>
  <conditionalFormatting sqref="BH84">
    <cfRule type="cellIs" dxfId="1449" priority="1358" operator="lessThan">
      <formula>0</formula>
    </cfRule>
  </conditionalFormatting>
  <conditionalFormatting sqref="BJ84">
    <cfRule type="cellIs" dxfId="1448" priority="1357" operator="lessThan">
      <formula>0</formula>
    </cfRule>
  </conditionalFormatting>
  <conditionalFormatting sqref="BL84">
    <cfRule type="cellIs" dxfId="1447" priority="1356" operator="lessThan">
      <formula>0</formula>
    </cfRule>
  </conditionalFormatting>
  <conditionalFormatting sqref="BN84">
    <cfRule type="cellIs" dxfId="1446" priority="1355" operator="lessThan">
      <formula>0</formula>
    </cfRule>
  </conditionalFormatting>
  <conditionalFormatting sqref="BP84">
    <cfRule type="cellIs" dxfId="1445" priority="1354" operator="lessThan">
      <formula>0</formula>
    </cfRule>
  </conditionalFormatting>
  <conditionalFormatting sqref="BR84">
    <cfRule type="cellIs" dxfId="1444" priority="1353" operator="lessThan">
      <formula>0</formula>
    </cfRule>
  </conditionalFormatting>
  <conditionalFormatting sqref="BT84">
    <cfRule type="cellIs" dxfId="1443" priority="1352" operator="lessThan">
      <formula>0</formula>
    </cfRule>
  </conditionalFormatting>
  <conditionalFormatting sqref="BV84">
    <cfRule type="cellIs" dxfId="1442" priority="1351" operator="lessThan">
      <formula>0</formula>
    </cfRule>
  </conditionalFormatting>
  <conditionalFormatting sqref="BX84">
    <cfRule type="cellIs" dxfId="1441" priority="1350" operator="lessThan">
      <formula>0</formula>
    </cfRule>
  </conditionalFormatting>
  <conditionalFormatting sqref="BZ84">
    <cfRule type="cellIs" dxfId="1440" priority="1349" operator="lessThan">
      <formula>0</formula>
    </cfRule>
  </conditionalFormatting>
  <conditionalFormatting sqref="CB84">
    <cfRule type="cellIs" dxfId="1439" priority="1348" operator="lessThan">
      <formula>0</formula>
    </cfRule>
  </conditionalFormatting>
  <conditionalFormatting sqref="CD84">
    <cfRule type="cellIs" dxfId="1438" priority="1347" operator="lessThan">
      <formula>0</formula>
    </cfRule>
  </conditionalFormatting>
  <conditionalFormatting sqref="CF84">
    <cfRule type="cellIs" dxfId="1437" priority="1346" operator="lessThan">
      <formula>0</formula>
    </cfRule>
  </conditionalFormatting>
  <conditionalFormatting sqref="CH84">
    <cfRule type="cellIs" dxfId="1436" priority="1345" operator="lessThan">
      <formula>0</formula>
    </cfRule>
  </conditionalFormatting>
  <conditionalFormatting sqref="CJ84">
    <cfRule type="cellIs" dxfId="1435" priority="1344" operator="lessThan">
      <formula>0</formula>
    </cfRule>
  </conditionalFormatting>
  <conditionalFormatting sqref="CL84">
    <cfRule type="cellIs" dxfId="1434" priority="1343" operator="lessThan">
      <formula>0</formula>
    </cfRule>
  </conditionalFormatting>
  <conditionalFormatting sqref="AJ84">
    <cfRule type="cellIs" dxfId="1433" priority="1342" operator="lessThan">
      <formula>0</formula>
    </cfRule>
  </conditionalFormatting>
  <conditionalFormatting sqref="AH87">
    <cfRule type="cellIs" dxfId="1432" priority="1341" operator="lessThan">
      <formula>0</formula>
    </cfRule>
  </conditionalFormatting>
  <conditionalFormatting sqref="AL87">
    <cfRule type="cellIs" dxfId="1431" priority="1340" operator="lessThan">
      <formula>0</formula>
    </cfRule>
  </conditionalFormatting>
  <conditionalFormatting sqref="AN87">
    <cfRule type="cellIs" dxfId="1430" priority="1339" operator="lessThan">
      <formula>0</formula>
    </cfRule>
  </conditionalFormatting>
  <conditionalFormatting sqref="AP87">
    <cfRule type="cellIs" dxfId="1429" priority="1338" operator="lessThan">
      <formula>0</formula>
    </cfRule>
  </conditionalFormatting>
  <conditionalFormatting sqref="AR87">
    <cfRule type="cellIs" dxfId="1428" priority="1337" operator="lessThan">
      <formula>0</formula>
    </cfRule>
  </conditionalFormatting>
  <conditionalFormatting sqref="AT87">
    <cfRule type="cellIs" dxfId="1427" priority="1336" operator="lessThan">
      <formula>0</formula>
    </cfRule>
  </conditionalFormatting>
  <conditionalFormatting sqref="AV87">
    <cfRule type="cellIs" dxfId="1426" priority="1335" operator="lessThan">
      <formula>0</formula>
    </cfRule>
  </conditionalFormatting>
  <conditionalFormatting sqref="AX87">
    <cfRule type="cellIs" dxfId="1425" priority="1334" operator="lessThan">
      <formula>0</formula>
    </cfRule>
  </conditionalFormatting>
  <conditionalFormatting sqref="AZ87">
    <cfRule type="cellIs" dxfId="1424" priority="1333" operator="lessThan">
      <formula>0</formula>
    </cfRule>
  </conditionalFormatting>
  <conditionalFormatting sqref="BB87">
    <cfRule type="cellIs" dxfId="1423" priority="1332" operator="lessThan">
      <formula>0</formula>
    </cfRule>
  </conditionalFormatting>
  <conditionalFormatting sqref="BD87">
    <cfRule type="cellIs" dxfId="1422" priority="1331" operator="lessThan">
      <formula>0</formula>
    </cfRule>
  </conditionalFormatting>
  <conditionalFormatting sqref="BF87">
    <cfRule type="cellIs" dxfId="1421" priority="1330" operator="lessThan">
      <formula>0</formula>
    </cfRule>
  </conditionalFormatting>
  <conditionalFormatting sqref="BH87">
    <cfRule type="cellIs" dxfId="1420" priority="1329" operator="lessThan">
      <formula>0</formula>
    </cfRule>
  </conditionalFormatting>
  <conditionalFormatting sqref="BJ87">
    <cfRule type="cellIs" dxfId="1419" priority="1328" operator="lessThan">
      <formula>0</formula>
    </cfRule>
  </conditionalFormatting>
  <conditionalFormatting sqref="BL87">
    <cfRule type="cellIs" dxfId="1418" priority="1327" operator="lessThan">
      <formula>0</formula>
    </cfRule>
  </conditionalFormatting>
  <conditionalFormatting sqref="BN87">
    <cfRule type="cellIs" dxfId="1417" priority="1326" operator="lessThan">
      <formula>0</formula>
    </cfRule>
  </conditionalFormatting>
  <conditionalFormatting sqref="BP87">
    <cfRule type="cellIs" dxfId="1416" priority="1325" operator="lessThan">
      <formula>0</formula>
    </cfRule>
  </conditionalFormatting>
  <conditionalFormatting sqref="BR87">
    <cfRule type="cellIs" dxfId="1415" priority="1324" operator="lessThan">
      <formula>0</formula>
    </cfRule>
  </conditionalFormatting>
  <conditionalFormatting sqref="BT87">
    <cfRule type="cellIs" dxfId="1414" priority="1323" operator="lessThan">
      <formula>0</formula>
    </cfRule>
  </conditionalFormatting>
  <conditionalFormatting sqref="BV87">
    <cfRule type="cellIs" dxfId="1413" priority="1322" operator="lessThan">
      <formula>0</formula>
    </cfRule>
  </conditionalFormatting>
  <conditionalFormatting sqref="BX87">
    <cfRule type="cellIs" dxfId="1412" priority="1321" operator="lessThan">
      <formula>0</formula>
    </cfRule>
  </conditionalFormatting>
  <conditionalFormatting sqref="BZ87">
    <cfRule type="cellIs" dxfId="1411" priority="1320" operator="lessThan">
      <formula>0</formula>
    </cfRule>
  </conditionalFormatting>
  <conditionalFormatting sqref="CB87">
    <cfRule type="cellIs" dxfId="1410" priority="1319" operator="lessThan">
      <formula>0</formula>
    </cfRule>
  </conditionalFormatting>
  <conditionalFormatting sqref="CD87">
    <cfRule type="cellIs" dxfId="1409" priority="1318" operator="lessThan">
      <formula>0</formula>
    </cfRule>
  </conditionalFormatting>
  <conditionalFormatting sqref="CF87">
    <cfRule type="cellIs" dxfId="1408" priority="1317" operator="lessThan">
      <formula>0</formula>
    </cfRule>
  </conditionalFormatting>
  <conditionalFormatting sqref="CH87">
    <cfRule type="cellIs" dxfId="1407" priority="1316" operator="lessThan">
      <formula>0</formula>
    </cfRule>
  </conditionalFormatting>
  <conditionalFormatting sqref="CJ87">
    <cfRule type="cellIs" dxfId="1406" priority="1315" operator="lessThan">
      <formula>0</formula>
    </cfRule>
  </conditionalFormatting>
  <conditionalFormatting sqref="CL87">
    <cfRule type="cellIs" dxfId="1405" priority="1314" operator="lessThan">
      <formula>0</formula>
    </cfRule>
  </conditionalFormatting>
  <conditionalFormatting sqref="AJ87">
    <cfRule type="cellIs" dxfId="1404" priority="1313" operator="lessThan">
      <formula>0</formula>
    </cfRule>
  </conditionalFormatting>
  <conditionalFormatting sqref="AH88:AH94">
    <cfRule type="cellIs" dxfId="1403" priority="1312" operator="lessThan">
      <formula>0</formula>
    </cfRule>
  </conditionalFormatting>
  <conditionalFormatting sqref="AL88:AL94">
    <cfRule type="cellIs" dxfId="1402" priority="1311" operator="lessThan">
      <formula>0</formula>
    </cfRule>
  </conditionalFormatting>
  <conditionalFormatting sqref="AN88:AN94">
    <cfRule type="cellIs" dxfId="1401" priority="1310" operator="lessThan">
      <formula>0</formula>
    </cfRule>
  </conditionalFormatting>
  <conditionalFormatting sqref="AP88:AP94">
    <cfRule type="cellIs" dxfId="1400" priority="1309" operator="lessThan">
      <formula>0</formula>
    </cfRule>
  </conditionalFormatting>
  <conditionalFormatting sqref="AR88:AR94">
    <cfRule type="cellIs" dxfId="1399" priority="1308" operator="lessThan">
      <formula>0</formula>
    </cfRule>
  </conditionalFormatting>
  <conditionalFormatting sqref="AT88:AT94">
    <cfRule type="cellIs" dxfId="1398" priority="1307" operator="lessThan">
      <formula>0</formula>
    </cfRule>
  </conditionalFormatting>
  <conditionalFormatting sqref="AV88:AV94">
    <cfRule type="cellIs" dxfId="1397" priority="1306" operator="lessThan">
      <formula>0</formula>
    </cfRule>
  </conditionalFormatting>
  <conditionalFormatting sqref="AX88:AX94">
    <cfRule type="cellIs" dxfId="1396" priority="1305" operator="lessThan">
      <formula>0</formula>
    </cfRule>
  </conditionalFormatting>
  <conditionalFormatting sqref="AZ88:AZ94">
    <cfRule type="cellIs" dxfId="1395" priority="1304" operator="lessThan">
      <formula>0</formula>
    </cfRule>
  </conditionalFormatting>
  <conditionalFormatting sqref="BB88:BB94">
    <cfRule type="cellIs" dxfId="1394" priority="1303" operator="lessThan">
      <formula>0</formula>
    </cfRule>
  </conditionalFormatting>
  <conditionalFormatting sqref="BD88:BD94">
    <cfRule type="cellIs" dxfId="1393" priority="1302" operator="lessThan">
      <formula>0</formula>
    </cfRule>
  </conditionalFormatting>
  <conditionalFormatting sqref="BF88:BF94">
    <cfRule type="cellIs" dxfId="1392" priority="1301" operator="lessThan">
      <formula>0</formula>
    </cfRule>
  </conditionalFormatting>
  <conditionalFormatting sqref="BH88:BH94">
    <cfRule type="cellIs" dxfId="1391" priority="1300" operator="lessThan">
      <formula>0</formula>
    </cfRule>
  </conditionalFormatting>
  <conditionalFormatting sqref="BJ88:BJ94">
    <cfRule type="cellIs" dxfId="1390" priority="1299" operator="lessThan">
      <formula>0</formula>
    </cfRule>
  </conditionalFormatting>
  <conditionalFormatting sqref="BL88:BL94">
    <cfRule type="cellIs" dxfId="1389" priority="1298" operator="lessThan">
      <formula>0</formula>
    </cfRule>
  </conditionalFormatting>
  <conditionalFormatting sqref="BN88:BN94">
    <cfRule type="cellIs" dxfId="1388" priority="1297" operator="lessThan">
      <formula>0</formula>
    </cfRule>
  </conditionalFormatting>
  <conditionalFormatting sqref="BP88:BP94">
    <cfRule type="cellIs" dxfId="1387" priority="1296" operator="lessThan">
      <formula>0</formula>
    </cfRule>
  </conditionalFormatting>
  <conditionalFormatting sqref="BR88:BR94">
    <cfRule type="cellIs" dxfId="1386" priority="1295" operator="lessThan">
      <formula>0</formula>
    </cfRule>
  </conditionalFormatting>
  <conditionalFormatting sqref="BT88:BT94">
    <cfRule type="cellIs" dxfId="1385" priority="1294" operator="lessThan">
      <formula>0</formula>
    </cfRule>
  </conditionalFormatting>
  <conditionalFormatting sqref="BV88:BV94">
    <cfRule type="cellIs" dxfId="1384" priority="1293" operator="lessThan">
      <formula>0</formula>
    </cfRule>
  </conditionalFormatting>
  <conditionalFormatting sqref="BX88:BX94">
    <cfRule type="cellIs" dxfId="1383" priority="1292" operator="lessThan">
      <formula>0</formula>
    </cfRule>
  </conditionalFormatting>
  <conditionalFormatting sqref="BZ88:BZ94">
    <cfRule type="cellIs" dxfId="1382" priority="1291" operator="lessThan">
      <formula>0</formula>
    </cfRule>
  </conditionalFormatting>
  <conditionalFormatting sqref="CB88:CB94">
    <cfRule type="cellIs" dxfId="1381" priority="1290" operator="lessThan">
      <formula>0</formula>
    </cfRule>
  </conditionalFormatting>
  <conditionalFormatting sqref="CD88:CD94">
    <cfRule type="cellIs" dxfId="1380" priority="1289" operator="lessThan">
      <formula>0</formula>
    </cfRule>
  </conditionalFormatting>
  <conditionalFormatting sqref="CF88:CF94">
    <cfRule type="cellIs" dxfId="1379" priority="1288" operator="lessThan">
      <formula>0</formula>
    </cfRule>
  </conditionalFormatting>
  <conditionalFormatting sqref="CH88:CH94">
    <cfRule type="cellIs" dxfId="1378" priority="1287" operator="lessThan">
      <formula>0</formula>
    </cfRule>
  </conditionalFormatting>
  <conditionalFormatting sqref="CJ88:CJ94">
    <cfRule type="cellIs" dxfId="1377" priority="1286" operator="lessThan">
      <formula>0</formula>
    </cfRule>
  </conditionalFormatting>
  <conditionalFormatting sqref="CL88:CL94">
    <cfRule type="cellIs" dxfId="1376" priority="1285" operator="lessThan">
      <formula>0</formula>
    </cfRule>
  </conditionalFormatting>
  <conditionalFormatting sqref="AJ88:AJ94">
    <cfRule type="cellIs" dxfId="1375" priority="1284" operator="lessThan">
      <formula>0</formula>
    </cfRule>
  </conditionalFormatting>
  <conditionalFormatting sqref="AH95:AH96">
    <cfRule type="cellIs" dxfId="1374" priority="1283" operator="lessThan">
      <formula>0</formula>
    </cfRule>
  </conditionalFormatting>
  <conditionalFormatting sqref="AL95:AL96">
    <cfRule type="cellIs" dxfId="1373" priority="1282" operator="lessThan">
      <formula>0</formula>
    </cfRule>
  </conditionalFormatting>
  <conditionalFormatting sqref="AN95:AN96">
    <cfRule type="cellIs" dxfId="1372" priority="1281" operator="lessThan">
      <formula>0</formula>
    </cfRule>
  </conditionalFormatting>
  <conditionalFormatting sqref="AP95:AP96">
    <cfRule type="cellIs" dxfId="1371" priority="1280" operator="lessThan">
      <formula>0</formula>
    </cfRule>
  </conditionalFormatting>
  <conditionalFormatting sqref="AR95:AR96">
    <cfRule type="cellIs" dxfId="1370" priority="1279" operator="lessThan">
      <formula>0</formula>
    </cfRule>
  </conditionalFormatting>
  <conditionalFormatting sqref="AT95:AT96">
    <cfRule type="cellIs" dxfId="1369" priority="1278" operator="lessThan">
      <formula>0</formula>
    </cfRule>
  </conditionalFormatting>
  <conditionalFormatting sqref="AV95:AV96">
    <cfRule type="cellIs" dxfId="1368" priority="1277" operator="lessThan">
      <formula>0</formula>
    </cfRule>
  </conditionalFormatting>
  <conditionalFormatting sqref="AX95:AX96">
    <cfRule type="cellIs" dxfId="1367" priority="1276" operator="lessThan">
      <formula>0</formula>
    </cfRule>
  </conditionalFormatting>
  <conditionalFormatting sqref="AZ95:AZ96">
    <cfRule type="cellIs" dxfId="1366" priority="1275" operator="lessThan">
      <formula>0</formula>
    </cfRule>
  </conditionalFormatting>
  <conditionalFormatting sqref="BB95:BB96">
    <cfRule type="cellIs" dxfId="1365" priority="1274" operator="lessThan">
      <formula>0</formula>
    </cfRule>
  </conditionalFormatting>
  <conditionalFormatting sqref="BD95:BD96">
    <cfRule type="cellIs" dxfId="1364" priority="1273" operator="lessThan">
      <formula>0</formula>
    </cfRule>
  </conditionalFormatting>
  <conditionalFormatting sqref="BF95:BF96">
    <cfRule type="cellIs" dxfId="1363" priority="1272" operator="lessThan">
      <formula>0</formula>
    </cfRule>
  </conditionalFormatting>
  <conditionalFormatting sqref="BH95:BH96">
    <cfRule type="cellIs" dxfId="1362" priority="1271" operator="lessThan">
      <formula>0</formula>
    </cfRule>
  </conditionalFormatting>
  <conditionalFormatting sqref="BJ95:BJ96">
    <cfRule type="cellIs" dxfId="1361" priority="1270" operator="lessThan">
      <formula>0</formula>
    </cfRule>
  </conditionalFormatting>
  <conditionalFormatting sqref="BL95:BL96">
    <cfRule type="cellIs" dxfId="1360" priority="1269" operator="lessThan">
      <formula>0</formula>
    </cfRule>
  </conditionalFormatting>
  <conditionalFormatting sqref="BN95:BN96">
    <cfRule type="cellIs" dxfId="1359" priority="1268" operator="lessThan">
      <formula>0</formula>
    </cfRule>
  </conditionalFormatting>
  <conditionalFormatting sqref="BP95:BP96">
    <cfRule type="cellIs" dxfId="1358" priority="1267" operator="lessThan">
      <formula>0</formula>
    </cfRule>
  </conditionalFormatting>
  <conditionalFormatting sqref="BR95:BR96">
    <cfRule type="cellIs" dxfId="1357" priority="1266" operator="lessThan">
      <formula>0</formula>
    </cfRule>
  </conditionalFormatting>
  <conditionalFormatting sqref="BT95:BT96">
    <cfRule type="cellIs" dxfId="1356" priority="1265" operator="lessThan">
      <formula>0</formula>
    </cfRule>
  </conditionalFormatting>
  <conditionalFormatting sqref="BV95:BV96">
    <cfRule type="cellIs" dxfId="1355" priority="1264" operator="lessThan">
      <formula>0</formula>
    </cfRule>
  </conditionalFormatting>
  <conditionalFormatting sqref="BX95:BX96">
    <cfRule type="cellIs" dxfId="1354" priority="1263" operator="lessThan">
      <formula>0</formula>
    </cfRule>
  </conditionalFormatting>
  <conditionalFormatting sqref="BZ95:BZ96">
    <cfRule type="cellIs" dxfId="1353" priority="1262" operator="lessThan">
      <formula>0</formula>
    </cfRule>
  </conditionalFormatting>
  <conditionalFormatting sqref="CB95:CB96">
    <cfRule type="cellIs" dxfId="1352" priority="1261" operator="lessThan">
      <formula>0</formula>
    </cfRule>
  </conditionalFormatting>
  <conditionalFormatting sqref="CD95:CD96">
    <cfRule type="cellIs" dxfId="1351" priority="1260" operator="lessThan">
      <formula>0</formula>
    </cfRule>
  </conditionalFormatting>
  <conditionalFormatting sqref="CF95:CF96">
    <cfRule type="cellIs" dxfId="1350" priority="1259" operator="lessThan">
      <formula>0</formula>
    </cfRule>
  </conditionalFormatting>
  <conditionalFormatting sqref="CH95:CH96">
    <cfRule type="cellIs" dxfId="1349" priority="1258" operator="lessThan">
      <formula>0</formula>
    </cfRule>
  </conditionalFormatting>
  <conditionalFormatting sqref="CJ95:CJ96">
    <cfRule type="cellIs" dxfId="1348" priority="1257" operator="lessThan">
      <formula>0</formula>
    </cfRule>
  </conditionalFormatting>
  <conditionalFormatting sqref="CL95:CL96">
    <cfRule type="cellIs" dxfId="1347" priority="1256" operator="lessThan">
      <formula>0</formula>
    </cfRule>
  </conditionalFormatting>
  <conditionalFormatting sqref="AJ95:AJ96">
    <cfRule type="cellIs" dxfId="1346" priority="1255" operator="lessThan">
      <formula>0</formula>
    </cfRule>
  </conditionalFormatting>
  <conditionalFormatting sqref="AH97">
    <cfRule type="cellIs" dxfId="1345" priority="1254" operator="lessThan">
      <formula>0</formula>
    </cfRule>
  </conditionalFormatting>
  <conditionalFormatting sqref="AL97">
    <cfRule type="cellIs" dxfId="1344" priority="1253" operator="lessThan">
      <formula>0</formula>
    </cfRule>
  </conditionalFormatting>
  <conditionalFormatting sqref="AN97">
    <cfRule type="cellIs" dxfId="1343" priority="1252" operator="lessThan">
      <formula>0</formula>
    </cfRule>
  </conditionalFormatting>
  <conditionalFormatting sqref="AP97">
    <cfRule type="cellIs" dxfId="1342" priority="1251" operator="lessThan">
      <formula>0</formula>
    </cfRule>
  </conditionalFormatting>
  <conditionalFormatting sqref="AR97">
    <cfRule type="cellIs" dxfId="1341" priority="1250" operator="lessThan">
      <formula>0</formula>
    </cfRule>
  </conditionalFormatting>
  <conditionalFormatting sqref="AT97">
    <cfRule type="cellIs" dxfId="1340" priority="1249" operator="lessThan">
      <formula>0</formula>
    </cfRule>
  </conditionalFormatting>
  <conditionalFormatting sqref="AV97">
    <cfRule type="cellIs" dxfId="1339" priority="1248" operator="lessThan">
      <formula>0</formula>
    </cfRule>
  </conditionalFormatting>
  <conditionalFormatting sqref="AX97">
    <cfRule type="cellIs" dxfId="1338" priority="1247" operator="lessThan">
      <formula>0</formula>
    </cfRule>
  </conditionalFormatting>
  <conditionalFormatting sqref="AZ97">
    <cfRule type="cellIs" dxfId="1337" priority="1246" operator="lessThan">
      <formula>0</formula>
    </cfRule>
  </conditionalFormatting>
  <conditionalFormatting sqref="BB97">
    <cfRule type="cellIs" dxfId="1336" priority="1245" operator="lessThan">
      <formula>0</formula>
    </cfRule>
  </conditionalFormatting>
  <conditionalFormatting sqref="BD97">
    <cfRule type="cellIs" dxfId="1335" priority="1244" operator="lessThan">
      <formula>0</formula>
    </cfRule>
  </conditionalFormatting>
  <conditionalFormatting sqref="BF97">
    <cfRule type="cellIs" dxfId="1334" priority="1243" operator="lessThan">
      <formula>0</formula>
    </cfRule>
  </conditionalFormatting>
  <conditionalFormatting sqref="BH97">
    <cfRule type="cellIs" dxfId="1333" priority="1242" operator="lessThan">
      <formula>0</formula>
    </cfRule>
  </conditionalFormatting>
  <conditionalFormatting sqref="BJ97">
    <cfRule type="cellIs" dxfId="1332" priority="1241" operator="lessThan">
      <formula>0</formula>
    </cfRule>
  </conditionalFormatting>
  <conditionalFormatting sqref="BL97">
    <cfRule type="cellIs" dxfId="1331" priority="1240" operator="lessThan">
      <formula>0</formula>
    </cfRule>
  </conditionalFormatting>
  <conditionalFormatting sqref="BN97">
    <cfRule type="cellIs" dxfId="1330" priority="1239" operator="lessThan">
      <formula>0</formula>
    </cfRule>
  </conditionalFormatting>
  <conditionalFormatting sqref="BP97">
    <cfRule type="cellIs" dxfId="1329" priority="1238" operator="lessThan">
      <formula>0</formula>
    </cfRule>
  </conditionalFormatting>
  <conditionalFormatting sqref="BR97">
    <cfRule type="cellIs" dxfId="1328" priority="1237" operator="lessThan">
      <formula>0</formula>
    </cfRule>
  </conditionalFormatting>
  <conditionalFormatting sqref="BT97">
    <cfRule type="cellIs" dxfId="1327" priority="1236" operator="lessThan">
      <formula>0</formula>
    </cfRule>
  </conditionalFormatting>
  <conditionalFormatting sqref="BV97">
    <cfRule type="cellIs" dxfId="1326" priority="1235" operator="lessThan">
      <formula>0</formula>
    </cfRule>
  </conditionalFormatting>
  <conditionalFormatting sqref="BX97">
    <cfRule type="cellIs" dxfId="1325" priority="1234" operator="lessThan">
      <formula>0</formula>
    </cfRule>
  </conditionalFormatting>
  <conditionalFormatting sqref="BZ97">
    <cfRule type="cellIs" dxfId="1324" priority="1233" operator="lessThan">
      <formula>0</formula>
    </cfRule>
  </conditionalFormatting>
  <conditionalFormatting sqref="CB97">
    <cfRule type="cellIs" dxfId="1323" priority="1232" operator="lessThan">
      <formula>0</formula>
    </cfRule>
  </conditionalFormatting>
  <conditionalFormatting sqref="CD97">
    <cfRule type="cellIs" dxfId="1322" priority="1231" operator="lessThan">
      <formula>0</formula>
    </cfRule>
  </conditionalFormatting>
  <conditionalFormatting sqref="CF97">
    <cfRule type="cellIs" dxfId="1321" priority="1230" operator="lessThan">
      <formula>0</formula>
    </cfRule>
  </conditionalFormatting>
  <conditionalFormatting sqref="CH97">
    <cfRule type="cellIs" dxfId="1320" priority="1229" operator="lessThan">
      <formula>0</formula>
    </cfRule>
  </conditionalFormatting>
  <conditionalFormatting sqref="CJ97">
    <cfRule type="cellIs" dxfId="1319" priority="1228" operator="lessThan">
      <formula>0</formula>
    </cfRule>
  </conditionalFormatting>
  <conditionalFormatting sqref="CL97">
    <cfRule type="cellIs" dxfId="1318" priority="1227" operator="lessThan">
      <formula>0</formula>
    </cfRule>
  </conditionalFormatting>
  <conditionalFormatting sqref="AJ97">
    <cfRule type="cellIs" dxfId="1317" priority="1226" operator="lessThan">
      <formula>0</formula>
    </cfRule>
  </conditionalFormatting>
  <conditionalFormatting sqref="AH100">
    <cfRule type="cellIs" dxfId="1316" priority="1225" operator="lessThan">
      <formula>0</formula>
    </cfRule>
  </conditionalFormatting>
  <conditionalFormatting sqref="AL100">
    <cfRule type="cellIs" dxfId="1315" priority="1224" operator="lessThan">
      <formula>0</formula>
    </cfRule>
  </conditionalFormatting>
  <conditionalFormatting sqref="AN100">
    <cfRule type="cellIs" dxfId="1314" priority="1223" operator="lessThan">
      <formula>0</formula>
    </cfRule>
  </conditionalFormatting>
  <conditionalFormatting sqref="AP100">
    <cfRule type="cellIs" dxfId="1313" priority="1222" operator="lessThan">
      <formula>0</formula>
    </cfRule>
  </conditionalFormatting>
  <conditionalFormatting sqref="AR100">
    <cfRule type="cellIs" dxfId="1312" priority="1221" operator="lessThan">
      <formula>0</formula>
    </cfRule>
  </conditionalFormatting>
  <conditionalFormatting sqref="AT100">
    <cfRule type="cellIs" dxfId="1311" priority="1220" operator="lessThan">
      <formula>0</formula>
    </cfRule>
  </conditionalFormatting>
  <conditionalFormatting sqref="AV100">
    <cfRule type="cellIs" dxfId="1310" priority="1219" operator="lessThan">
      <formula>0</formula>
    </cfRule>
  </conditionalFormatting>
  <conditionalFormatting sqref="AX100">
    <cfRule type="cellIs" dxfId="1309" priority="1218" operator="lessThan">
      <formula>0</formula>
    </cfRule>
  </conditionalFormatting>
  <conditionalFormatting sqref="AZ100">
    <cfRule type="cellIs" dxfId="1308" priority="1217" operator="lessThan">
      <formula>0</formula>
    </cfRule>
  </conditionalFormatting>
  <conditionalFormatting sqref="BB100">
    <cfRule type="cellIs" dxfId="1307" priority="1216" operator="lessThan">
      <formula>0</formula>
    </cfRule>
  </conditionalFormatting>
  <conditionalFormatting sqref="BD100">
    <cfRule type="cellIs" dxfId="1306" priority="1215" operator="lessThan">
      <formula>0</formula>
    </cfRule>
  </conditionalFormatting>
  <conditionalFormatting sqref="BF100">
    <cfRule type="cellIs" dxfId="1305" priority="1214" operator="lessThan">
      <formula>0</formula>
    </cfRule>
  </conditionalFormatting>
  <conditionalFormatting sqref="BH100">
    <cfRule type="cellIs" dxfId="1304" priority="1213" operator="lessThan">
      <formula>0</formula>
    </cfRule>
  </conditionalFormatting>
  <conditionalFormatting sqref="BJ100">
    <cfRule type="cellIs" dxfId="1303" priority="1212" operator="lessThan">
      <formula>0</formula>
    </cfRule>
  </conditionalFormatting>
  <conditionalFormatting sqref="BL100">
    <cfRule type="cellIs" dxfId="1302" priority="1211" operator="lessThan">
      <formula>0</formula>
    </cfRule>
  </conditionalFormatting>
  <conditionalFormatting sqref="BN100">
    <cfRule type="cellIs" dxfId="1301" priority="1210" operator="lessThan">
      <formula>0</formula>
    </cfRule>
  </conditionalFormatting>
  <conditionalFormatting sqref="BP100">
    <cfRule type="cellIs" dxfId="1300" priority="1209" operator="lessThan">
      <formula>0</formula>
    </cfRule>
  </conditionalFormatting>
  <conditionalFormatting sqref="BR100">
    <cfRule type="cellIs" dxfId="1299" priority="1208" operator="lessThan">
      <formula>0</formula>
    </cfRule>
  </conditionalFormatting>
  <conditionalFormatting sqref="BT100">
    <cfRule type="cellIs" dxfId="1298" priority="1207" operator="lessThan">
      <formula>0</formula>
    </cfRule>
  </conditionalFormatting>
  <conditionalFormatting sqref="BV100">
    <cfRule type="cellIs" dxfId="1297" priority="1206" operator="lessThan">
      <formula>0</formula>
    </cfRule>
  </conditionalFormatting>
  <conditionalFormatting sqref="BX100">
    <cfRule type="cellIs" dxfId="1296" priority="1205" operator="lessThan">
      <formula>0</formula>
    </cfRule>
  </conditionalFormatting>
  <conditionalFormatting sqref="BZ100">
    <cfRule type="cellIs" dxfId="1295" priority="1204" operator="lessThan">
      <formula>0</formula>
    </cfRule>
  </conditionalFormatting>
  <conditionalFormatting sqref="CB100">
    <cfRule type="cellIs" dxfId="1294" priority="1203" operator="lessThan">
      <formula>0</formula>
    </cfRule>
  </conditionalFormatting>
  <conditionalFormatting sqref="CD100">
    <cfRule type="cellIs" dxfId="1293" priority="1202" operator="lessThan">
      <formula>0</formula>
    </cfRule>
  </conditionalFormatting>
  <conditionalFormatting sqref="CF100">
    <cfRule type="cellIs" dxfId="1292" priority="1201" operator="lessThan">
      <formula>0</formula>
    </cfRule>
  </conditionalFormatting>
  <conditionalFormatting sqref="CH100">
    <cfRule type="cellIs" dxfId="1291" priority="1200" operator="lessThan">
      <formula>0</formula>
    </cfRule>
  </conditionalFormatting>
  <conditionalFormatting sqref="CJ100">
    <cfRule type="cellIs" dxfId="1290" priority="1199" operator="lessThan">
      <formula>0</formula>
    </cfRule>
  </conditionalFormatting>
  <conditionalFormatting sqref="CL100">
    <cfRule type="cellIs" dxfId="1289" priority="1198" operator="lessThan">
      <formula>0</formula>
    </cfRule>
  </conditionalFormatting>
  <conditionalFormatting sqref="AJ100">
    <cfRule type="cellIs" dxfId="1288" priority="1197" operator="lessThan">
      <formula>0</formula>
    </cfRule>
  </conditionalFormatting>
  <conditionalFormatting sqref="AH101:AH107">
    <cfRule type="cellIs" dxfId="1287" priority="1196" operator="lessThan">
      <formula>0</formula>
    </cfRule>
  </conditionalFormatting>
  <conditionalFormatting sqref="AL101:AL107">
    <cfRule type="cellIs" dxfId="1286" priority="1195" operator="lessThan">
      <formula>0</formula>
    </cfRule>
  </conditionalFormatting>
  <conditionalFormatting sqref="AN101:AN107">
    <cfRule type="cellIs" dxfId="1285" priority="1194" operator="lessThan">
      <formula>0</formula>
    </cfRule>
  </conditionalFormatting>
  <conditionalFormatting sqref="AP101:AP107">
    <cfRule type="cellIs" dxfId="1284" priority="1193" operator="lessThan">
      <formula>0</formula>
    </cfRule>
  </conditionalFormatting>
  <conditionalFormatting sqref="AR101:AR107">
    <cfRule type="cellIs" dxfId="1283" priority="1192" operator="lessThan">
      <formula>0</formula>
    </cfRule>
  </conditionalFormatting>
  <conditionalFormatting sqref="AT101:AT107">
    <cfRule type="cellIs" dxfId="1282" priority="1191" operator="lessThan">
      <formula>0</formula>
    </cfRule>
  </conditionalFormatting>
  <conditionalFormatting sqref="AV101:AV107">
    <cfRule type="cellIs" dxfId="1281" priority="1190" operator="lessThan">
      <formula>0</formula>
    </cfRule>
  </conditionalFormatting>
  <conditionalFormatting sqref="AX101:AX107">
    <cfRule type="cellIs" dxfId="1280" priority="1189" operator="lessThan">
      <formula>0</formula>
    </cfRule>
  </conditionalFormatting>
  <conditionalFormatting sqref="AZ101:AZ107">
    <cfRule type="cellIs" dxfId="1279" priority="1188" operator="lessThan">
      <formula>0</formula>
    </cfRule>
  </conditionalFormatting>
  <conditionalFormatting sqref="BB101:BB107">
    <cfRule type="cellIs" dxfId="1278" priority="1187" operator="lessThan">
      <formula>0</formula>
    </cfRule>
  </conditionalFormatting>
  <conditionalFormatting sqref="BD101:BD107">
    <cfRule type="cellIs" dxfId="1277" priority="1186" operator="lessThan">
      <formula>0</formula>
    </cfRule>
  </conditionalFormatting>
  <conditionalFormatting sqref="BF101:BF107">
    <cfRule type="cellIs" dxfId="1276" priority="1185" operator="lessThan">
      <formula>0</formula>
    </cfRule>
  </conditionalFormatting>
  <conditionalFormatting sqref="BH101:BH107">
    <cfRule type="cellIs" dxfId="1275" priority="1184" operator="lessThan">
      <formula>0</formula>
    </cfRule>
  </conditionalFormatting>
  <conditionalFormatting sqref="BJ101:BJ107">
    <cfRule type="cellIs" dxfId="1274" priority="1183" operator="lessThan">
      <formula>0</formula>
    </cfRule>
  </conditionalFormatting>
  <conditionalFormatting sqref="BL101:BL107">
    <cfRule type="cellIs" dxfId="1273" priority="1182" operator="lessThan">
      <formula>0</formula>
    </cfRule>
  </conditionalFormatting>
  <conditionalFormatting sqref="BN101:BN107">
    <cfRule type="cellIs" dxfId="1272" priority="1181" operator="lessThan">
      <formula>0</formula>
    </cfRule>
  </conditionalFormatting>
  <conditionalFormatting sqref="BP101:BP107">
    <cfRule type="cellIs" dxfId="1271" priority="1180" operator="lessThan">
      <formula>0</formula>
    </cfRule>
  </conditionalFormatting>
  <conditionalFormatting sqref="BR101:BR107">
    <cfRule type="cellIs" dxfId="1270" priority="1179" operator="lessThan">
      <formula>0</formula>
    </cfRule>
  </conditionalFormatting>
  <conditionalFormatting sqref="BT101:BT107">
    <cfRule type="cellIs" dxfId="1269" priority="1178" operator="lessThan">
      <formula>0</formula>
    </cfRule>
  </conditionalFormatting>
  <conditionalFormatting sqref="BV101:BV107">
    <cfRule type="cellIs" dxfId="1268" priority="1177" operator="lessThan">
      <formula>0</formula>
    </cfRule>
  </conditionalFormatting>
  <conditionalFormatting sqref="BX101:BX107">
    <cfRule type="cellIs" dxfId="1267" priority="1176" operator="lessThan">
      <formula>0</formula>
    </cfRule>
  </conditionalFormatting>
  <conditionalFormatting sqref="BZ101:BZ107">
    <cfRule type="cellIs" dxfId="1266" priority="1175" operator="lessThan">
      <formula>0</formula>
    </cfRule>
  </conditionalFormatting>
  <conditionalFormatting sqref="CB101:CB107">
    <cfRule type="cellIs" dxfId="1265" priority="1174" operator="lessThan">
      <formula>0</formula>
    </cfRule>
  </conditionalFormatting>
  <conditionalFormatting sqref="CD101:CD107">
    <cfRule type="cellIs" dxfId="1264" priority="1173" operator="lessThan">
      <formula>0</formula>
    </cfRule>
  </conditionalFormatting>
  <conditionalFormatting sqref="CF101:CF107">
    <cfRule type="cellIs" dxfId="1263" priority="1172" operator="lessThan">
      <formula>0</formula>
    </cfRule>
  </conditionalFormatting>
  <conditionalFormatting sqref="CH101:CH107">
    <cfRule type="cellIs" dxfId="1262" priority="1171" operator="lessThan">
      <formula>0</formula>
    </cfRule>
  </conditionalFormatting>
  <conditionalFormatting sqref="CJ101:CJ107">
    <cfRule type="cellIs" dxfId="1261" priority="1170" operator="lessThan">
      <formula>0</formula>
    </cfRule>
  </conditionalFormatting>
  <conditionalFormatting sqref="CL101:CL107">
    <cfRule type="cellIs" dxfId="1260" priority="1169" operator="lessThan">
      <formula>0</formula>
    </cfRule>
  </conditionalFormatting>
  <conditionalFormatting sqref="AJ101:AJ107">
    <cfRule type="cellIs" dxfId="1259" priority="1168" operator="lessThan">
      <formula>0</formula>
    </cfRule>
  </conditionalFormatting>
  <conditionalFormatting sqref="AH108:AH110">
    <cfRule type="cellIs" dxfId="1258" priority="1167" operator="lessThan">
      <formula>0</formula>
    </cfRule>
  </conditionalFormatting>
  <conditionalFormatting sqref="AL108:AL110">
    <cfRule type="cellIs" dxfId="1257" priority="1166" operator="lessThan">
      <formula>0</formula>
    </cfRule>
  </conditionalFormatting>
  <conditionalFormatting sqref="AN108:AN110">
    <cfRule type="cellIs" dxfId="1256" priority="1165" operator="lessThan">
      <formula>0</formula>
    </cfRule>
  </conditionalFormatting>
  <conditionalFormatting sqref="AP108:AP110">
    <cfRule type="cellIs" dxfId="1255" priority="1164" operator="lessThan">
      <formula>0</formula>
    </cfRule>
  </conditionalFormatting>
  <conditionalFormatting sqref="AR108:AR110">
    <cfRule type="cellIs" dxfId="1254" priority="1163" operator="lessThan">
      <formula>0</formula>
    </cfRule>
  </conditionalFormatting>
  <conditionalFormatting sqref="AT108:AT110">
    <cfRule type="cellIs" dxfId="1253" priority="1162" operator="lessThan">
      <formula>0</formula>
    </cfRule>
  </conditionalFormatting>
  <conditionalFormatting sqref="AV108:AV110">
    <cfRule type="cellIs" dxfId="1252" priority="1161" operator="lessThan">
      <formula>0</formula>
    </cfRule>
  </conditionalFormatting>
  <conditionalFormatting sqref="AX108:AX110">
    <cfRule type="cellIs" dxfId="1251" priority="1160" operator="lessThan">
      <formula>0</formula>
    </cfRule>
  </conditionalFormatting>
  <conditionalFormatting sqref="AZ108:AZ110">
    <cfRule type="cellIs" dxfId="1250" priority="1159" operator="lessThan">
      <formula>0</formula>
    </cfRule>
  </conditionalFormatting>
  <conditionalFormatting sqref="BB108:BB110">
    <cfRule type="cellIs" dxfId="1249" priority="1158" operator="lessThan">
      <formula>0</formula>
    </cfRule>
  </conditionalFormatting>
  <conditionalFormatting sqref="BD108:BD110">
    <cfRule type="cellIs" dxfId="1248" priority="1157" operator="lessThan">
      <formula>0</formula>
    </cfRule>
  </conditionalFormatting>
  <conditionalFormatting sqref="BF108:BF110">
    <cfRule type="cellIs" dxfId="1247" priority="1156" operator="lessThan">
      <formula>0</formula>
    </cfRule>
  </conditionalFormatting>
  <conditionalFormatting sqref="BH108:BH110">
    <cfRule type="cellIs" dxfId="1246" priority="1155" operator="lessThan">
      <formula>0</formula>
    </cfRule>
  </conditionalFormatting>
  <conditionalFormatting sqref="BJ108:BJ110">
    <cfRule type="cellIs" dxfId="1245" priority="1154" operator="lessThan">
      <formula>0</formula>
    </cfRule>
  </conditionalFormatting>
  <conditionalFormatting sqref="BL108:BL110">
    <cfRule type="cellIs" dxfId="1244" priority="1153" operator="lessThan">
      <formula>0</formula>
    </cfRule>
  </conditionalFormatting>
  <conditionalFormatting sqref="BN108:BN110">
    <cfRule type="cellIs" dxfId="1243" priority="1152" operator="lessThan">
      <formula>0</formula>
    </cfRule>
  </conditionalFormatting>
  <conditionalFormatting sqref="BP108:BP110">
    <cfRule type="cellIs" dxfId="1242" priority="1151" operator="lessThan">
      <formula>0</formula>
    </cfRule>
  </conditionalFormatting>
  <conditionalFormatting sqref="BR108:BR110">
    <cfRule type="cellIs" dxfId="1241" priority="1150" operator="lessThan">
      <formula>0</formula>
    </cfRule>
  </conditionalFormatting>
  <conditionalFormatting sqref="BT108:BT110">
    <cfRule type="cellIs" dxfId="1240" priority="1149" operator="lessThan">
      <formula>0</formula>
    </cfRule>
  </conditionalFormatting>
  <conditionalFormatting sqref="BV108:BV110">
    <cfRule type="cellIs" dxfId="1239" priority="1148" operator="lessThan">
      <formula>0</formula>
    </cfRule>
  </conditionalFormatting>
  <conditionalFormatting sqref="BX108:BX110">
    <cfRule type="cellIs" dxfId="1238" priority="1147" operator="lessThan">
      <formula>0</formula>
    </cfRule>
  </conditionalFormatting>
  <conditionalFormatting sqref="BZ108:BZ110">
    <cfRule type="cellIs" dxfId="1237" priority="1146" operator="lessThan">
      <formula>0</formula>
    </cfRule>
  </conditionalFormatting>
  <conditionalFormatting sqref="CB108:CB110">
    <cfRule type="cellIs" dxfId="1236" priority="1145" operator="lessThan">
      <formula>0</formula>
    </cfRule>
  </conditionalFormatting>
  <conditionalFormatting sqref="CD108:CD110">
    <cfRule type="cellIs" dxfId="1235" priority="1144" operator="lessThan">
      <formula>0</formula>
    </cfRule>
  </conditionalFormatting>
  <conditionalFormatting sqref="CF108:CF110">
    <cfRule type="cellIs" dxfId="1234" priority="1143" operator="lessThan">
      <formula>0</formula>
    </cfRule>
  </conditionalFormatting>
  <conditionalFormatting sqref="CH108:CH110">
    <cfRule type="cellIs" dxfId="1233" priority="1142" operator="lessThan">
      <formula>0</formula>
    </cfRule>
  </conditionalFormatting>
  <conditionalFormatting sqref="CJ108:CJ110">
    <cfRule type="cellIs" dxfId="1232" priority="1141" operator="lessThan">
      <formula>0</formula>
    </cfRule>
  </conditionalFormatting>
  <conditionalFormatting sqref="CL108:CL110">
    <cfRule type="cellIs" dxfId="1231" priority="1140" operator="lessThan">
      <formula>0</formula>
    </cfRule>
  </conditionalFormatting>
  <conditionalFormatting sqref="AJ108:AJ110">
    <cfRule type="cellIs" dxfId="1230" priority="1139" operator="lessThan">
      <formula>0</formula>
    </cfRule>
  </conditionalFormatting>
  <conditionalFormatting sqref="AH111">
    <cfRule type="cellIs" dxfId="1229" priority="1138" operator="lessThan">
      <formula>0</formula>
    </cfRule>
  </conditionalFormatting>
  <conditionalFormatting sqref="AL111">
    <cfRule type="cellIs" dxfId="1228" priority="1137" operator="lessThan">
      <formula>0</formula>
    </cfRule>
  </conditionalFormatting>
  <conditionalFormatting sqref="AN111">
    <cfRule type="cellIs" dxfId="1227" priority="1136" operator="lessThan">
      <formula>0</formula>
    </cfRule>
  </conditionalFormatting>
  <conditionalFormatting sqref="AP111">
    <cfRule type="cellIs" dxfId="1226" priority="1135" operator="lessThan">
      <formula>0</formula>
    </cfRule>
  </conditionalFormatting>
  <conditionalFormatting sqref="AR111">
    <cfRule type="cellIs" dxfId="1225" priority="1134" operator="lessThan">
      <formula>0</formula>
    </cfRule>
  </conditionalFormatting>
  <conditionalFormatting sqref="AT111">
    <cfRule type="cellIs" dxfId="1224" priority="1133" operator="lessThan">
      <formula>0</formula>
    </cfRule>
  </conditionalFormatting>
  <conditionalFormatting sqref="AV111">
    <cfRule type="cellIs" dxfId="1223" priority="1132" operator="lessThan">
      <formula>0</formula>
    </cfRule>
  </conditionalFormatting>
  <conditionalFormatting sqref="AX111">
    <cfRule type="cellIs" dxfId="1222" priority="1131" operator="lessThan">
      <formula>0</formula>
    </cfRule>
  </conditionalFormatting>
  <conditionalFormatting sqref="AZ111">
    <cfRule type="cellIs" dxfId="1221" priority="1130" operator="lessThan">
      <formula>0</formula>
    </cfRule>
  </conditionalFormatting>
  <conditionalFormatting sqref="BB111">
    <cfRule type="cellIs" dxfId="1220" priority="1129" operator="lessThan">
      <formula>0</formula>
    </cfRule>
  </conditionalFormatting>
  <conditionalFormatting sqref="BD111">
    <cfRule type="cellIs" dxfId="1219" priority="1128" operator="lessThan">
      <formula>0</formula>
    </cfRule>
  </conditionalFormatting>
  <conditionalFormatting sqref="BF111">
    <cfRule type="cellIs" dxfId="1218" priority="1127" operator="lessThan">
      <formula>0</formula>
    </cfRule>
  </conditionalFormatting>
  <conditionalFormatting sqref="BH111">
    <cfRule type="cellIs" dxfId="1217" priority="1126" operator="lessThan">
      <formula>0</formula>
    </cfRule>
  </conditionalFormatting>
  <conditionalFormatting sqref="BJ111">
    <cfRule type="cellIs" dxfId="1216" priority="1125" operator="lessThan">
      <formula>0</formula>
    </cfRule>
  </conditionalFormatting>
  <conditionalFormatting sqref="BL111">
    <cfRule type="cellIs" dxfId="1215" priority="1124" operator="lessThan">
      <formula>0</formula>
    </cfRule>
  </conditionalFormatting>
  <conditionalFormatting sqref="BN111">
    <cfRule type="cellIs" dxfId="1214" priority="1123" operator="lessThan">
      <formula>0</formula>
    </cfRule>
  </conditionalFormatting>
  <conditionalFormatting sqref="BP111">
    <cfRule type="cellIs" dxfId="1213" priority="1122" operator="lessThan">
      <formula>0</formula>
    </cfRule>
  </conditionalFormatting>
  <conditionalFormatting sqref="BR111">
    <cfRule type="cellIs" dxfId="1212" priority="1121" operator="lessThan">
      <formula>0</formula>
    </cfRule>
  </conditionalFormatting>
  <conditionalFormatting sqref="BT111">
    <cfRule type="cellIs" dxfId="1211" priority="1120" operator="lessThan">
      <formula>0</formula>
    </cfRule>
  </conditionalFormatting>
  <conditionalFormatting sqref="BV111">
    <cfRule type="cellIs" dxfId="1210" priority="1119" operator="lessThan">
      <formula>0</formula>
    </cfRule>
  </conditionalFormatting>
  <conditionalFormatting sqref="BX111">
    <cfRule type="cellIs" dxfId="1209" priority="1118" operator="lessThan">
      <formula>0</formula>
    </cfRule>
  </conditionalFormatting>
  <conditionalFormatting sqref="BZ111">
    <cfRule type="cellIs" dxfId="1208" priority="1117" operator="lessThan">
      <formula>0</formula>
    </cfRule>
  </conditionalFormatting>
  <conditionalFormatting sqref="CB111">
    <cfRule type="cellIs" dxfId="1207" priority="1116" operator="lessThan">
      <formula>0</formula>
    </cfRule>
  </conditionalFormatting>
  <conditionalFormatting sqref="CD111">
    <cfRule type="cellIs" dxfId="1206" priority="1115" operator="lessThan">
      <formula>0</formula>
    </cfRule>
  </conditionalFormatting>
  <conditionalFormatting sqref="CF111">
    <cfRule type="cellIs" dxfId="1205" priority="1114" operator="lessThan">
      <formula>0</formula>
    </cfRule>
  </conditionalFormatting>
  <conditionalFormatting sqref="CH111">
    <cfRule type="cellIs" dxfId="1204" priority="1113" operator="lessThan">
      <formula>0</formula>
    </cfRule>
  </conditionalFormatting>
  <conditionalFormatting sqref="CJ111">
    <cfRule type="cellIs" dxfId="1203" priority="1112" operator="lessThan">
      <formula>0</formula>
    </cfRule>
  </conditionalFormatting>
  <conditionalFormatting sqref="CL111">
    <cfRule type="cellIs" dxfId="1202" priority="1111" operator="lessThan">
      <formula>0</formula>
    </cfRule>
  </conditionalFormatting>
  <conditionalFormatting sqref="AJ111">
    <cfRule type="cellIs" dxfId="1201" priority="1110" operator="lessThan">
      <formula>0</formula>
    </cfRule>
  </conditionalFormatting>
  <conditionalFormatting sqref="AH114">
    <cfRule type="cellIs" dxfId="1200" priority="1109" operator="lessThan">
      <formula>0</formula>
    </cfRule>
  </conditionalFormatting>
  <conditionalFormatting sqref="AL114">
    <cfRule type="cellIs" dxfId="1199" priority="1108" operator="lessThan">
      <formula>0</formula>
    </cfRule>
  </conditionalFormatting>
  <conditionalFormatting sqref="AN114">
    <cfRule type="cellIs" dxfId="1198" priority="1107" operator="lessThan">
      <formula>0</formula>
    </cfRule>
  </conditionalFormatting>
  <conditionalFormatting sqref="AP114">
    <cfRule type="cellIs" dxfId="1197" priority="1106" operator="lessThan">
      <formula>0</formula>
    </cfRule>
  </conditionalFormatting>
  <conditionalFormatting sqref="AR114">
    <cfRule type="cellIs" dxfId="1196" priority="1105" operator="lessThan">
      <formula>0</formula>
    </cfRule>
  </conditionalFormatting>
  <conditionalFormatting sqref="AT114">
    <cfRule type="cellIs" dxfId="1195" priority="1104" operator="lessThan">
      <formula>0</formula>
    </cfRule>
  </conditionalFormatting>
  <conditionalFormatting sqref="AV114">
    <cfRule type="cellIs" dxfId="1194" priority="1103" operator="lessThan">
      <formula>0</formula>
    </cfRule>
  </conditionalFormatting>
  <conditionalFormatting sqref="AX114">
    <cfRule type="cellIs" dxfId="1193" priority="1102" operator="lessThan">
      <formula>0</formula>
    </cfRule>
  </conditionalFormatting>
  <conditionalFormatting sqref="AZ114">
    <cfRule type="cellIs" dxfId="1192" priority="1101" operator="lessThan">
      <formula>0</formula>
    </cfRule>
  </conditionalFormatting>
  <conditionalFormatting sqref="BB114">
    <cfRule type="cellIs" dxfId="1191" priority="1100" operator="lessThan">
      <formula>0</formula>
    </cfRule>
  </conditionalFormatting>
  <conditionalFormatting sqref="BD114">
    <cfRule type="cellIs" dxfId="1190" priority="1099" operator="lessThan">
      <formula>0</formula>
    </cfRule>
  </conditionalFormatting>
  <conditionalFormatting sqref="BF114">
    <cfRule type="cellIs" dxfId="1189" priority="1098" operator="lessThan">
      <formula>0</formula>
    </cfRule>
  </conditionalFormatting>
  <conditionalFormatting sqref="BH114">
    <cfRule type="cellIs" dxfId="1188" priority="1097" operator="lessThan">
      <formula>0</formula>
    </cfRule>
  </conditionalFormatting>
  <conditionalFormatting sqref="BJ114">
    <cfRule type="cellIs" dxfId="1187" priority="1096" operator="lessThan">
      <formula>0</formula>
    </cfRule>
  </conditionalFormatting>
  <conditionalFormatting sqref="BL114">
    <cfRule type="cellIs" dxfId="1186" priority="1095" operator="lessThan">
      <formula>0</formula>
    </cfRule>
  </conditionalFormatting>
  <conditionalFormatting sqref="BN114">
    <cfRule type="cellIs" dxfId="1185" priority="1094" operator="lessThan">
      <formula>0</formula>
    </cfRule>
  </conditionalFormatting>
  <conditionalFormatting sqref="BP114">
    <cfRule type="cellIs" dxfId="1184" priority="1093" operator="lessThan">
      <formula>0</formula>
    </cfRule>
  </conditionalFormatting>
  <conditionalFormatting sqref="BR114">
    <cfRule type="cellIs" dxfId="1183" priority="1092" operator="lessThan">
      <formula>0</formula>
    </cfRule>
  </conditionalFormatting>
  <conditionalFormatting sqref="BT114">
    <cfRule type="cellIs" dxfId="1182" priority="1091" operator="lessThan">
      <formula>0</formula>
    </cfRule>
  </conditionalFormatting>
  <conditionalFormatting sqref="BV114">
    <cfRule type="cellIs" dxfId="1181" priority="1090" operator="lessThan">
      <formula>0</formula>
    </cfRule>
  </conditionalFormatting>
  <conditionalFormatting sqref="BX114">
    <cfRule type="cellIs" dxfId="1180" priority="1089" operator="lessThan">
      <formula>0</formula>
    </cfRule>
  </conditionalFormatting>
  <conditionalFormatting sqref="BZ114">
    <cfRule type="cellIs" dxfId="1179" priority="1088" operator="lessThan">
      <formula>0</formula>
    </cfRule>
  </conditionalFormatting>
  <conditionalFormatting sqref="CB114">
    <cfRule type="cellIs" dxfId="1178" priority="1087" operator="lessThan">
      <formula>0</formula>
    </cfRule>
  </conditionalFormatting>
  <conditionalFormatting sqref="CD114">
    <cfRule type="cellIs" dxfId="1177" priority="1086" operator="lessThan">
      <formula>0</formula>
    </cfRule>
  </conditionalFormatting>
  <conditionalFormatting sqref="CF114">
    <cfRule type="cellIs" dxfId="1176" priority="1085" operator="lessThan">
      <formula>0</formula>
    </cfRule>
  </conditionalFormatting>
  <conditionalFormatting sqref="CH114">
    <cfRule type="cellIs" dxfId="1175" priority="1084" operator="lessThan">
      <formula>0</formula>
    </cfRule>
  </conditionalFormatting>
  <conditionalFormatting sqref="CJ114">
    <cfRule type="cellIs" dxfId="1174" priority="1083" operator="lessThan">
      <formula>0</formula>
    </cfRule>
  </conditionalFormatting>
  <conditionalFormatting sqref="CL114">
    <cfRule type="cellIs" dxfId="1173" priority="1082" operator="lessThan">
      <formula>0</formula>
    </cfRule>
  </conditionalFormatting>
  <conditionalFormatting sqref="AJ114">
    <cfRule type="cellIs" dxfId="1172" priority="1081" operator="lessThan">
      <formula>0</formula>
    </cfRule>
  </conditionalFormatting>
  <conditionalFormatting sqref="AH115">
    <cfRule type="cellIs" dxfId="1171" priority="1080" operator="lessThan">
      <formula>0</formula>
    </cfRule>
  </conditionalFormatting>
  <conditionalFormatting sqref="AL115">
    <cfRule type="cellIs" dxfId="1170" priority="1079" operator="lessThan">
      <formula>0</formula>
    </cfRule>
  </conditionalFormatting>
  <conditionalFormatting sqref="AN115">
    <cfRule type="cellIs" dxfId="1169" priority="1078" operator="lessThan">
      <formula>0</formula>
    </cfRule>
  </conditionalFormatting>
  <conditionalFormatting sqref="AP115">
    <cfRule type="cellIs" dxfId="1168" priority="1077" operator="lessThan">
      <formula>0</formula>
    </cfRule>
  </conditionalFormatting>
  <conditionalFormatting sqref="AR115">
    <cfRule type="cellIs" dxfId="1167" priority="1076" operator="lessThan">
      <formula>0</formula>
    </cfRule>
  </conditionalFormatting>
  <conditionalFormatting sqref="AT115">
    <cfRule type="cellIs" dxfId="1166" priority="1075" operator="lessThan">
      <formula>0</formula>
    </cfRule>
  </conditionalFormatting>
  <conditionalFormatting sqref="AV115">
    <cfRule type="cellIs" dxfId="1165" priority="1074" operator="lessThan">
      <formula>0</formula>
    </cfRule>
  </conditionalFormatting>
  <conditionalFormatting sqref="AX115">
    <cfRule type="cellIs" dxfId="1164" priority="1073" operator="lessThan">
      <formula>0</formula>
    </cfRule>
  </conditionalFormatting>
  <conditionalFormatting sqref="AZ115">
    <cfRule type="cellIs" dxfId="1163" priority="1072" operator="lessThan">
      <formula>0</formula>
    </cfRule>
  </conditionalFormatting>
  <conditionalFormatting sqref="BB115">
    <cfRule type="cellIs" dxfId="1162" priority="1071" operator="lessThan">
      <formula>0</formula>
    </cfRule>
  </conditionalFormatting>
  <conditionalFormatting sqref="BD115">
    <cfRule type="cellIs" dxfId="1161" priority="1070" operator="lessThan">
      <formula>0</formula>
    </cfRule>
  </conditionalFormatting>
  <conditionalFormatting sqref="BF115">
    <cfRule type="cellIs" dxfId="1160" priority="1069" operator="lessThan">
      <formula>0</formula>
    </cfRule>
  </conditionalFormatting>
  <conditionalFormatting sqref="BH115">
    <cfRule type="cellIs" dxfId="1159" priority="1068" operator="lessThan">
      <formula>0</formula>
    </cfRule>
  </conditionalFormatting>
  <conditionalFormatting sqref="BJ115">
    <cfRule type="cellIs" dxfId="1158" priority="1067" operator="lessThan">
      <formula>0</formula>
    </cfRule>
  </conditionalFormatting>
  <conditionalFormatting sqref="BL115">
    <cfRule type="cellIs" dxfId="1157" priority="1066" operator="lessThan">
      <formula>0</formula>
    </cfRule>
  </conditionalFormatting>
  <conditionalFormatting sqref="BN115">
    <cfRule type="cellIs" dxfId="1156" priority="1065" operator="lessThan">
      <formula>0</formula>
    </cfRule>
  </conditionalFormatting>
  <conditionalFormatting sqref="BP115">
    <cfRule type="cellIs" dxfId="1155" priority="1064" operator="lessThan">
      <formula>0</formula>
    </cfRule>
  </conditionalFormatting>
  <conditionalFormatting sqref="BR115">
    <cfRule type="cellIs" dxfId="1154" priority="1063" operator="lessThan">
      <formula>0</formula>
    </cfRule>
  </conditionalFormatting>
  <conditionalFormatting sqref="BT115">
    <cfRule type="cellIs" dxfId="1153" priority="1062" operator="lessThan">
      <formula>0</formula>
    </cfRule>
  </conditionalFormatting>
  <conditionalFormatting sqref="BV115">
    <cfRule type="cellIs" dxfId="1152" priority="1061" operator="lessThan">
      <formula>0</formula>
    </cfRule>
  </conditionalFormatting>
  <conditionalFormatting sqref="BX115">
    <cfRule type="cellIs" dxfId="1151" priority="1060" operator="lessThan">
      <formula>0</formula>
    </cfRule>
  </conditionalFormatting>
  <conditionalFormatting sqref="BZ115">
    <cfRule type="cellIs" dxfId="1150" priority="1059" operator="lessThan">
      <formula>0</formula>
    </cfRule>
  </conditionalFormatting>
  <conditionalFormatting sqref="CB115">
    <cfRule type="cellIs" dxfId="1149" priority="1058" operator="lessThan">
      <formula>0</formula>
    </cfRule>
  </conditionalFormatting>
  <conditionalFormatting sqref="CD115">
    <cfRule type="cellIs" dxfId="1148" priority="1057" operator="lessThan">
      <formula>0</formula>
    </cfRule>
  </conditionalFormatting>
  <conditionalFormatting sqref="CF115">
    <cfRule type="cellIs" dxfId="1147" priority="1056" operator="lessThan">
      <formula>0</formula>
    </cfRule>
  </conditionalFormatting>
  <conditionalFormatting sqref="CH115">
    <cfRule type="cellIs" dxfId="1146" priority="1055" operator="lessThan">
      <formula>0</formula>
    </cfRule>
  </conditionalFormatting>
  <conditionalFormatting sqref="CJ115">
    <cfRule type="cellIs" dxfId="1145" priority="1054" operator="lessThan">
      <formula>0</formula>
    </cfRule>
  </conditionalFormatting>
  <conditionalFormatting sqref="CL115">
    <cfRule type="cellIs" dxfId="1144" priority="1053" operator="lessThan">
      <formula>0</formula>
    </cfRule>
  </conditionalFormatting>
  <conditionalFormatting sqref="AJ115">
    <cfRule type="cellIs" dxfId="1143" priority="1052" operator="lessThan">
      <formula>0</formula>
    </cfRule>
  </conditionalFormatting>
  <conditionalFormatting sqref="AH116">
    <cfRule type="cellIs" dxfId="1142" priority="1051" operator="lessThan">
      <formula>0</formula>
    </cfRule>
  </conditionalFormatting>
  <conditionalFormatting sqref="AL116">
    <cfRule type="cellIs" dxfId="1141" priority="1050" operator="lessThan">
      <formula>0</formula>
    </cfRule>
  </conditionalFormatting>
  <conditionalFormatting sqref="AN116">
    <cfRule type="cellIs" dxfId="1140" priority="1049" operator="lessThan">
      <formula>0</formula>
    </cfRule>
  </conditionalFormatting>
  <conditionalFormatting sqref="AP116">
    <cfRule type="cellIs" dxfId="1139" priority="1048" operator="lessThan">
      <formula>0</formula>
    </cfRule>
  </conditionalFormatting>
  <conditionalFormatting sqref="AR116">
    <cfRule type="cellIs" dxfId="1138" priority="1047" operator="lessThan">
      <formula>0</formula>
    </cfRule>
  </conditionalFormatting>
  <conditionalFormatting sqref="AT116">
    <cfRule type="cellIs" dxfId="1137" priority="1046" operator="lessThan">
      <formula>0</formula>
    </cfRule>
  </conditionalFormatting>
  <conditionalFormatting sqref="AV116">
    <cfRule type="cellIs" dxfId="1136" priority="1045" operator="lessThan">
      <formula>0</formula>
    </cfRule>
  </conditionalFormatting>
  <conditionalFormatting sqref="AX116">
    <cfRule type="cellIs" dxfId="1135" priority="1044" operator="lessThan">
      <formula>0</formula>
    </cfRule>
  </conditionalFormatting>
  <conditionalFormatting sqref="AZ116">
    <cfRule type="cellIs" dxfId="1134" priority="1043" operator="lessThan">
      <formula>0</formula>
    </cfRule>
  </conditionalFormatting>
  <conditionalFormatting sqref="BB116">
    <cfRule type="cellIs" dxfId="1133" priority="1042" operator="lessThan">
      <formula>0</formula>
    </cfRule>
  </conditionalFormatting>
  <conditionalFormatting sqref="BD116">
    <cfRule type="cellIs" dxfId="1132" priority="1041" operator="lessThan">
      <formula>0</formula>
    </cfRule>
  </conditionalFormatting>
  <conditionalFormatting sqref="BF116">
    <cfRule type="cellIs" dxfId="1131" priority="1040" operator="lessThan">
      <formula>0</formula>
    </cfRule>
  </conditionalFormatting>
  <conditionalFormatting sqref="BH116">
    <cfRule type="cellIs" dxfId="1130" priority="1039" operator="lessThan">
      <formula>0</formula>
    </cfRule>
  </conditionalFormatting>
  <conditionalFormatting sqref="BJ116">
    <cfRule type="cellIs" dxfId="1129" priority="1038" operator="lessThan">
      <formula>0</formula>
    </cfRule>
  </conditionalFormatting>
  <conditionalFormatting sqref="BL116">
    <cfRule type="cellIs" dxfId="1128" priority="1037" operator="lessThan">
      <formula>0</formula>
    </cfRule>
  </conditionalFormatting>
  <conditionalFormatting sqref="BN116">
    <cfRule type="cellIs" dxfId="1127" priority="1036" operator="lessThan">
      <formula>0</formula>
    </cfRule>
  </conditionalFormatting>
  <conditionalFormatting sqref="BP116">
    <cfRule type="cellIs" dxfId="1126" priority="1035" operator="lessThan">
      <formula>0</formula>
    </cfRule>
  </conditionalFormatting>
  <conditionalFormatting sqref="BR116">
    <cfRule type="cellIs" dxfId="1125" priority="1034" operator="lessThan">
      <formula>0</formula>
    </cfRule>
  </conditionalFormatting>
  <conditionalFormatting sqref="BT116">
    <cfRule type="cellIs" dxfId="1124" priority="1033" operator="lessThan">
      <formula>0</formula>
    </cfRule>
  </conditionalFormatting>
  <conditionalFormatting sqref="BV116">
    <cfRule type="cellIs" dxfId="1123" priority="1032" operator="lessThan">
      <formula>0</formula>
    </cfRule>
  </conditionalFormatting>
  <conditionalFormatting sqref="BX116">
    <cfRule type="cellIs" dxfId="1122" priority="1031" operator="lessThan">
      <formula>0</formula>
    </cfRule>
  </conditionalFormatting>
  <conditionalFormatting sqref="BZ116">
    <cfRule type="cellIs" dxfId="1121" priority="1030" operator="lessThan">
      <formula>0</formula>
    </cfRule>
  </conditionalFormatting>
  <conditionalFormatting sqref="CB116">
    <cfRule type="cellIs" dxfId="1120" priority="1029" operator="lessThan">
      <formula>0</formula>
    </cfRule>
  </conditionalFormatting>
  <conditionalFormatting sqref="CD116">
    <cfRule type="cellIs" dxfId="1119" priority="1028" operator="lessThan">
      <formula>0</formula>
    </cfRule>
  </conditionalFormatting>
  <conditionalFormatting sqref="CF116">
    <cfRule type="cellIs" dxfId="1118" priority="1027" operator="lessThan">
      <formula>0</formula>
    </cfRule>
  </conditionalFormatting>
  <conditionalFormatting sqref="CH116">
    <cfRule type="cellIs" dxfId="1117" priority="1026" operator="lessThan">
      <formula>0</formula>
    </cfRule>
  </conditionalFormatting>
  <conditionalFormatting sqref="CJ116">
    <cfRule type="cellIs" dxfId="1116" priority="1025" operator="lessThan">
      <formula>0</formula>
    </cfRule>
  </conditionalFormatting>
  <conditionalFormatting sqref="CL116">
    <cfRule type="cellIs" dxfId="1115" priority="1024" operator="lessThan">
      <formula>0</formula>
    </cfRule>
  </conditionalFormatting>
  <conditionalFormatting sqref="AJ116">
    <cfRule type="cellIs" dxfId="1114" priority="1023" operator="lessThan">
      <formula>0</formula>
    </cfRule>
  </conditionalFormatting>
  <conditionalFormatting sqref="AH117">
    <cfRule type="cellIs" dxfId="1113" priority="1022" operator="lessThan">
      <formula>0</formula>
    </cfRule>
  </conditionalFormatting>
  <conditionalFormatting sqref="AL117">
    <cfRule type="cellIs" dxfId="1112" priority="1021" operator="lessThan">
      <formula>0</formula>
    </cfRule>
  </conditionalFormatting>
  <conditionalFormatting sqref="AN117">
    <cfRule type="cellIs" dxfId="1111" priority="1020" operator="lessThan">
      <formula>0</formula>
    </cfRule>
  </conditionalFormatting>
  <conditionalFormatting sqref="AP117">
    <cfRule type="cellIs" dxfId="1110" priority="1019" operator="lessThan">
      <formula>0</formula>
    </cfRule>
  </conditionalFormatting>
  <conditionalFormatting sqref="AR117">
    <cfRule type="cellIs" dxfId="1109" priority="1018" operator="lessThan">
      <formula>0</formula>
    </cfRule>
  </conditionalFormatting>
  <conditionalFormatting sqref="AT117">
    <cfRule type="cellIs" dxfId="1108" priority="1017" operator="lessThan">
      <formula>0</formula>
    </cfRule>
  </conditionalFormatting>
  <conditionalFormatting sqref="AV117">
    <cfRule type="cellIs" dxfId="1107" priority="1016" operator="lessThan">
      <formula>0</formula>
    </cfRule>
  </conditionalFormatting>
  <conditionalFormatting sqref="AX117">
    <cfRule type="cellIs" dxfId="1106" priority="1015" operator="lessThan">
      <formula>0</formula>
    </cfRule>
  </conditionalFormatting>
  <conditionalFormatting sqref="AZ117">
    <cfRule type="cellIs" dxfId="1105" priority="1014" operator="lessThan">
      <formula>0</formula>
    </cfRule>
  </conditionalFormatting>
  <conditionalFormatting sqref="BB117">
    <cfRule type="cellIs" dxfId="1104" priority="1013" operator="lessThan">
      <formula>0</formula>
    </cfRule>
  </conditionalFormatting>
  <conditionalFormatting sqref="BD117">
    <cfRule type="cellIs" dxfId="1103" priority="1012" operator="lessThan">
      <formula>0</formula>
    </cfRule>
  </conditionalFormatting>
  <conditionalFormatting sqref="BF117">
    <cfRule type="cellIs" dxfId="1102" priority="1011" operator="lessThan">
      <formula>0</formula>
    </cfRule>
  </conditionalFormatting>
  <conditionalFormatting sqref="BH117">
    <cfRule type="cellIs" dxfId="1101" priority="1010" operator="lessThan">
      <formula>0</formula>
    </cfRule>
  </conditionalFormatting>
  <conditionalFormatting sqref="BJ117">
    <cfRule type="cellIs" dxfId="1100" priority="1009" operator="lessThan">
      <formula>0</formula>
    </cfRule>
  </conditionalFormatting>
  <conditionalFormatting sqref="BL117">
    <cfRule type="cellIs" dxfId="1099" priority="1008" operator="lessThan">
      <formula>0</formula>
    </cfRule>
  </conditionalFormatting>
  <conditionalFormatting sqref="BN117">
    <cfRule type="cellIs" dxfId="1098" priority="1007" operator="lessThan">
      <formula>0</formula>
    </cfRule>
  </conditionalFormatting>
  <conditionalFormatting sqref="BP117">
    <cfRule type="cellIs" dxfId="1097" priority="1006" operator="lessThan">
      <formula>0</formula>
    </cfRule>
  </conditionalFormatting>
  <conditionalFormatting sqref="BR117">
    <cfRule type="cellIs" dxfId="1096" priority="1005" operator="lessThan">
      <formula>0</formula>
    </cfRule>
  </conditionalFormatting>
  <conditionalFormatting sqref="BT117">
    <cfRule type="cellIs" dxfId="1095" priority="1004" operator="lessThan">
      <formula>0</formula>
    </cfRule>
  </conditionalFormatting>
  <conditionalFormatting sqref="BV117">
    <cfRule type="cellIs" dxfId="1094" priority="1003" operator="lessThan">
      <formula>0</formula>
    </cfRule>
  </conditionalFormatting>
  <conditionalFormatting sqref="BX117">
    <cfRule type="cellIs" dxfId="1093" priority="1002" operator="lessThan">
      <formula>0</formula>
    </cfRule>
  </conditionalFormatting>
  <conditionalFormatting sqref="BZ117">
    <cfRule type="cellIs" dxfId="1092" priority="1001" operator="lessThan">
      <formula>0</formula>
    </cfRule>
  </conditionalFormatting>
  <conditionalFormatting sqref="CB117">
    <cfRule type="cellIs" dxfId="1091" priority="1000" operator="lessThan">
      <formula>0</formula>
    </cfRule>
  </conditionalFormatting>
  <conditionalFormatting sqref="CD117">
    <cfRule type="cellIs" dxfId="1090" priority="999" operator="lessThan">
      <formula>0</formula>
    </cfRule>
  </conditionalFormatting>
  <conditionalFormatting sqref="CF117">
    <cfRule type="cellIs" dxfId="1089" priority="998" operator="lessThan">
      <formula>0</formula>
    </cfRule>
  </conditionalFormatting>
  <conditionalFormatting sqref="CH117">
    <cfRule type="cellIs" dxfId="1088" priority="997" operator="lessThan">
      <formula>0</formula>
    </cfRule>
  </conditionalFormatting>
  <conditionalFormatting sqref="CJ117">
    <cfRule type="cellIs" dxfId="1087" priority="996" operator="lessThan">
      <formula>0</formula>
    </cfRule>
  </conditionalFormatting>
  <conditionalFormatting sqref="CL117">
    <cfRule type="cellIs" dxfId="1086" priority="995" operator="lessThan">
      <formula>0</formula>
    </cfRule>
  </conditionalFormatting>
  <conditionalFormatting sqref="AJ117">
    <cfRule type="cellIs" dxfId="1085" priority="994" operator="lessThan">
      <formula>0</formula>
    </cfRule>
  </conditionalFormatting>
  <conditionalFormatting sqref="AH118">
    <cfRule type="cellIs" dxfId="1084" priority="993" operator="lessThan">
      <formula>0</formula>
    </cfRule>
  </conditionalFormatting>
  <conditionalFormatting sqref="AL118">
    <cfRule type="cellIs" dxfId="1083" priority="992" operator="lessThan">
      <formula>0</formula>
    </cfRule>
  </conditionalFormatting>
  <conditionalFormatting sqref="AN118">
    <cfRule type="cellIs" dxfId="1082" priority="991" operator="lessThan">
      <formula>0</formula>
    </cfRule>
  </conditionalFormatting>
  <conditionalFormatting sqref="AP118">
    <cfRule type="cellIs" dxfId="1081" priority="990" operator="lessThan">
      <formula>0</formula>
    </cfRule>
  </conditionalFormatting>
  <conditionalFormatting sqref="AR118">
    <cfRule type="cellIs" dxfId="1080" priority="989" operator="lessThan">
      <formula>0</formula>
    </cfRule>
  </conditionalFormatting>
  <conditionalFormatting sqref="AT118">
    <cfRule type="cellIs" dxfId="1079" priority="988" operator="lessThan">
      <formula>0</formula>
    </cfRule>
  </conditionalFormatting>
  <conditionalFormatting sqref="AV118">
    <cfRule type="cellIs" dxfId="1078" priority="987" operator="lessThan">
      <formula>0</formula>
    </cfRule>
  </conditionalFormatting>
  <conditionalFormatting sqref="AX118">
    <cfRule type="cellIs" dxfId="1077" priority="986" operator="lessThan">
      <formula>0</formula>
    </cfRule>
  </conditionalFormatting>
  <conditionalFormatting sqref="AZ118">
    <cfRule type="cellIs" dxfId="1076" priority="985" operator="lessThan">
      <formula>0</formula>
    </cfRule>
  </conditionalFormatting>
  <conditionalFormatting sqref="BB118">
    <cfRule type="cellIs" dxfId="1075" priority="984" operator="lessThan">
      <formula>0</formula>
    </cfRule>
  </conditionalFormatting>
  <conditionalFormatting sqref="BD118">
    <cfRule type="cellIs" dxfId="1074" priority="983" operator="lessThan">
      <formula>0</formula>
    </cfRule>
  </conditionalFormatting>
  <conditionalFormatting sqref="BF118">
    <cfRule type="cellIs" dxfId="1073" priority="982" operator="lessThan">
      <formula>0</formula>
    </cfRule>
  </conditionalFormatting>
  <conditionalFormatting sqref="BH118">
    <cfRule type="cellIs" dxfId="1072" priority="981" operator="lessThan">
      <formula>0</formula>
    </cfRule>
  </conditionalFormatting>
  <conditionalFormatting sqref="BJ118">
    <cfRule type="cellIs" dxfId="1071" priority="980" operator="lessThan">
      <formula>0</formula>
    </cfRule>
  </conditionalFormatting>
  <conditionalFormatting sqref="BL118">
    <cfRule type="cellIs" dxfId="1070" priority="979" operator="lessThan">
      <formula>0</formula>
    </cfRule>
  </conditionalFormatting>
  <conditionalFormatting sqref="BN118">
    <cfRule type="cellIs" dxfId="1069" priority="978" operator="lessThan">
      <formula>0</formula>
    </cfRule>
  </conditionalFormatting>
  <conditionalFormatting sqref="BP118">
    <cfRule type="cellIs" dxfId="1068" priority="977" operator="lessThan">
      <formula>0</formula>
    </cfRule>
  </conditionalFormatting>
  <conditionalFormatting sqref="BR118">
    <cfRule type="cellIs" dxfId="1067" priority="976" operator="lessThan">
      <formula>0</formula>
    </cfRule>
  </conditionalFormatting>
  <conditionalFormatting sqref="BT118">
    <cfRule type="cellIs" dxfId="1066" priority="975" operator="lessThan">
      <formula>0</formula>
    </cfRule>
  </conditionalFormatting>
  <conditionalFormatting sqref="BV118">
    <cfRule type="cellIs" dxfId="1065" priority="974" operator="lessThan">
      <formula>0</formula>
    </cfRule>
  </conditionalFormatting>
  <conditionalFormatting sqref="BX118">
    <cfRule type="cellIs" dxfId="1064" priority="973" operator="lessThan">
      <formula>0</formula>
    </cfRule>
  </conditionalFormatting>
  <conditionalFormatting sqref="BZ118">
    <cfRule type="cellIs" dxfId="1063" priority="972" operator="lessThan">
      <formula>0</formula>
    </cfRule>
  </conditionalFormatting>
  <conditionalFormatting sqref="CB118">
    <cfRule type="cellIs" dxfId="1062" priority="971" operator="lessThan">
      <formula>0</formula>
    </cfRule>
  </conditionalFormatting>
  <conditionalFormatting sqref="CD118">
    <cfRule type="cellIs" dxfId="1061" priority="970" operator="lessThan">
      <formula>0</formula>
    </cfRule>
  </conditionalFormatting>
  <conditionalFormatting sqref="CF118">
    <cfRule type="cellIs" dxfId="1060" priority="969" operator="lessThan">
      <formula>0</formula>
    </cfRule>
  </conditionalFormatting>
  <conditionalFormatting sqref="CH118">
    <cfRule type="cellIs" dxfId="1059" priority="968" operator="lessThan">
      <formula>0</formula>
    </cfRule>
  </conditionalFormatting>
  <conditionalFormatting sqref="CJ118">
    <cfRule type="cellIs" dxfId="1058" priority="967" operator="lessThan">
      <formula>0</formula>
    </cfRule>
  </conditionalFormatting>
  <conditionalFormatting sqref="CL118">
    <cfRule type="cellIs" dxfId="1057" priority="966" operator="lessThan">
      <formula>0</formula>
    </cfRule>
  </conditionalFormatting>
  <conditionalFormatting sqref="AJ118">
    <cfRule type="cellIs" dxfId="1056" priority="965" operator="lessThan">
      <formula>0</formula>
    </cfRule>
  </conditionalFormatting>
  <conditionalFormatting sqref="AH119">
    <cfRule type="cellIs" dxfId="1055" priority="964" operator="lessThan">
      <formula>0</formula>
    </cfRule>
  </conditionalFormatting>
  <conditionalFormatting sqref="AL119">
    <cfRule type="cellIs" dxfId="1054" priority="963" operator="lessThan">
      <formula>0</formula>
    </cfRule>
  </conditionalFormatting>
  <conditionalFormatting sqref="AN119">
    <cfRule type="cellIs" dxfId="1053" priority="962" operator="lessThan">
      <formula>0</formula>
    </cfRule>
  </conditionalFormatting>
  <conditionalFormatting sqref="AP119">
    <cfRule type="cellIs" dxfId="1052" priority="961" operator="lessThan">
      <formula>0</formula>
    </cfRule>
  </conditionalFormatting>
  <conditionalFormatting sqref="AR119">
    <cfRule type="cellIs" dxfId="1051" priority="960" operator="lessThan">
      <formula>0</formula>
    </cfRule>
  </conditionalFormatting>
  <conditionalFormatting sqref="AT119">
    <cfRule type="cellIs" dxfId="1050" priority="959" operator="lessThan">
      <formula>0</formula>
    </cfRule>
  </conditionalFormatting>
  <conditionalFormatting sqref="AV119">
    <cfRule type="cellIs" dxfId="1049" priority="958" operator="lessThan">
      <formula>0</formula>
    </cfRule>
  </conditionalFormatting>
  <conditionalFormatting sqref="AX119">
    <cfRule type="cellIs" dxfId="1048" priority="957" operator="lessThan">
      <formula>0</formula>
    </cfRule>
  </conditionalFormatting>
  <conditionalFormatting sqref="AZ119">
    <cfRule type="cellIs" dxfId="1047" priority="956" operator="lessThan">
      <formula>0</formula>
    </cfRule>
  </conditionalFormatting>
  <conditionalFormatting sqref="BB119">
    <cfRule type="cellIs" dxfId="1046" priority="955" operator="lessThan">
      <formula>0</formula>
    </cfRule>
  </conditionalFormatting>
  <conditionalFormatting sqref="BD119">
    <cfRule type="cellIs" dxfId="1045" priority="954" operator="lessThan">
      <formula>0</formula>
    </cfRule>
  </conditionalFormatting>
  <conditionalFormatting sqref="BF119">
    <cfRule type="cellIs" dxfId="1044" priority="953" operator="lessThan">
      <formula>0</formula>
    </cfRule>
  </conditionalFormatting>
  <conditionalFormatting sqref="BH119">
    <cfRule type="cellIs" dxfId="1043" priority="952" operator="lessThan">
      <formula>0</formula>
    </cfRule>
  </conditionalFormatting>
  <conditionalFormatting sqref="BJ119">
    <cfRule type="cellIs" dxfId="1042" priority="951" operator="lessThan">
      <formula>0</formula>
    </cfRule>
  </conditionalFormatting>
  <conditionalFormatting sqref="BL119">
    <cfRule type="cellIs" dxfId="1041" priority="950" operator="lessThan">
      <formula>0</formula>
    </cfRule>
  </conditionalFormatting>
  <conditionalFormatting sqref="BN119">
    <cfRule type="cellIs" dxfId="1040" priority="949" operator="lessThan">
      <formula>0</formula>
    </cfRule>
  </conditionalFormatting>
  <conditionalFormatting sqref="BP119">
    <cfRule type="cellIs" dxfId="1039" priority="948" operator="lessThan">
      <formula>0</formula>
    </cfRule>
  </conditionalFormatting>
  <conditionalFormatting sqref="BR119">
    <cfRule type="cellIs" dxfId="1038" priority="947" operator="lessThan">
      <formula>0</formula>
    </cfRule>
  </conditionalFormatting>
  <conditionalFormatting sqref="BT119">
    <cfRule type="cellIs" dxfId="1037" priority="946" operator="lessThan">
      <formula>0</formula>
    </cfRule>
  </conditionalFormatting>
  <conditionalFormatting sqref="BV119">
    <cfRule type="cellIs" dxfId="1036" priority="945" operator="lessThan">
      <formula>0</formula>
    </cfRule>
  </conditionalFormatting>
  <conditionalFormatting sqref="BX119">
    <cfRule type="cellIs" dxfId="1035" priority="944" operator="lessThan">
      <formula>0</formula>
    </cfRule>
  </conditionalFormatting>
  <conditionalFormatting sqref="BZ119">
    <cfRule type="cellIs" dxfId="1034" priority="943" operator="lessThan">
      <formula>0</formula>
    </cfRule>
  </conditionalFormatting>
  <conditionalFormatting sqref="CB119">
    <cfRule type="cellIs" dxfId="1033" priority="942" operator="lessThan">
      <formula>0</formula>
    </cfRule>
  </conditionalFormatting>
  <conditionalFormatting sqref="CD119">
    <cfRule type="cellIs" dxfId="1032" priority="941" operator="lessThan">
      <formula>0</formula>
    </cfRule>
  </conditionalFormatting>
  <conditionalFormatting sqref="CF119">
    <cfRule type="cellIs" dxfId="1031" priority="940" operator="lessThan">
      <formula>0</formula>
    </cfRule>
  </conditionalFormatting>
  <conditionalFormatting sqref="CH119">
    <cfRule type="cellIs" dxfId="1030" priority="939" operator="lessThan">
      <formula>0</formula>
    </cfRule>
  </conditionalFormatting>
  <conditionalFormatting sqref="CJ119">
    <cfRule type="cellIs" dxfId="1029" priority="938" operator="lessThan">
      <formula>0</formula>
    </cfRule>
  </conditionalFormatting>
  <conditionalFormatting sqref="CL119">
    <cfRule type="cellIs" dxfId="1028" priority="937" operator="lessThan">
      <formula>0</formula>
    </cfRule>
  </conditionalFormatting>
  <conditionalFormatting sqref="AJ119">
    <cfRule type="cellIs" dxfId="1027" priority="936" operator="lessThan">
      <formula>0</formula>
    </cfRule>
  </conditionalFormatting>
  <conditionalFormatting sqref="AH120">
    <cfRule type="cellIs" dxfId="1026" priority="935" operator="lessThan">
      <formula>0</formula>
    </cfRule>
  </conditionalFormatting>
  <conditionalFormatting sqref="AL120">
    <cfRule type="cellIs" dxfId="1025" priority="934" operator="lessThan">
      <formula>0</formula>
    </cfRule>
  </conditionalFormatting>
  <conditionalFormatting sqref="AN120">
    <cfRule type="cellIs" dxfId="1024" priority="933" operator="lessThan">
      <formula>0</formula>
    </cfRule>
  </conditionalFormatting>
  <conditionalFormatting sqref="AP120">
    <cfRule type="cellIs" dxfId="1023" priority="932" operator="lessThan">
      <formula>0</formula>
    </cfRule>
  </conditionalFormatting>
  <conditionalFormatting sqref="AR120">
    <cfRule type="cellIs" dxfId="1022" priority="931" operator="lessThan">
      <formula>0</formula>
    </cfRule>
  </conditionalFormatting>
  <conditionalFormatting sqref="AT120">
    <cfRule type="cellIs" dxfId="1021" priority="930" operator="lessThan">
      <formula>0</formula>
    </cfRule>
  </conditionalFormatting>
  <conditionalFormatting sqref="AV120">
    <cfRule type="cellIs" dxfId="1020" priority="929" operator="lessThan">
      <formula>0</formula>
    </cfRule>
  </conditionalFormatting>
  <conditionalFormatting sqref="AX120">
    <cfRule type="cellIs" dxfId="1019" priority="928" operator="lessThan">
      <formula>0</formula>
    </cfRule>
  </conditionalFormatting>
  <conditionalFormatting sqref="AZ120">
    <cfRule type="cellIs" dxfId="1018" priority="927" operator="lessThan">
      <formula>0</formula>
    </cfRule>
  </conditionalFormatting>
  <conditionalFormatting sqref="BB120">
    <cfRule type="cellIs" dxfId="1017" priority="926" operator="lessThan">
      <formula>0</formula>
    </cfRule>
  </conditionalFormatting>
  <conditionalFormatting sqref="BD120">
    <cfRule type="cellIs" dxfId="1016" priority="925" operator="lessThan">
      <formula>0</formula>
    </cfRule>
  </conditionalFormatting>
  <conditionalFormatting sqref="BF120">
    <cfRule type="cellIs" dxfId="1015" priority="924" operator="lessThan">
      <formula>0</formula>
    </cfRule>
  </conditionalFormatting>
  <conditionalFormatting sqref="BH120">
    <cfRule type="cellIs" dxfId="1014" priority="923" operator="lessThan">
      <formula>0</formula>
    </cfRule>
  </conditionalFormatting>
  <conditionalFormatting sqref="BJ120">
    <cfRule type="cellIs" dxfId="1013" priority="922" operator="lessThan">
      <formula>0</formula>
    </cfRule>
  </conditionalFormatting>
  <conditionalFormatting sqref="BL120">
    <cfRule type="cellIs" dxfId="1012" priority="921" operator="lessThan">
      <formula>0</formula>
    </cfRule>
  </conditionalFormatting>
  <conditionalFormatting sqref="BN120">
    <cfRule type="cellIs" dxfId="1011" priority="920" operator="lessThan">
      <formula>0</formula>
    </cfRule>
  </conditionalFormatting>
  <conditionalFormatting sqref="BP120">
    <cfRule type="cellIs" dxfId="1010" priority="919" operator="lessThan">
      <formula>0</formula>
    </cfRule>
  </conditionalFormatting>
  <conditionalFormatting sqref="BR120">
    <cfRule type="cellIs" dxfId="1009" priority="918" operator="lessThan">
      <formula>0</formula>
    </cfRule>
  </conditionalFormatting>
  <conditionalFormatting sqref="BT120">
    <cfRule type="cellIs" dxfId="1008" priority="917" operator="lessThan">
      <formula>0</formula>
    </cfRule>
  </conditionalFormatting>
  <conditionalFormatting sqref="BV120">
    <cfRule type="cellIs" dxfId="1007" priority="916" operator="lessThan">
      <formula>0</formula>
    </cfRule>
  </conditionalFormatting>
  <conditionalFormatting sqref="BX120">
    <cfRule type="cellIs" dxfId="1006" priority="915" operator="lessThan">
      <formula>0</formula>
    </cfRule>
  </conditionalFormatting>
  <conditionalFormatting sqref="BZ120">
    <cfRule type="cellIs" dxfId="1005" priority="914" operator="lessThan">
      <formula>0</formula>
    </cfRule>
  </conditionalFormatting>
  <conditionalFormatting sqref="CB120">
    <cfRule type="cellIs" dxfId="1004" priority="913" operator="lessThan">
      <formula>0</formula>
    </cfRule>
  </conditionalFormatting>
  <conditionalFormatting sqref="CD120">
    <cfRule type="cellIs" dxfId="1003" priority="912" operator="lessThan">
      <formula>0</formula>
    </cfRule>
  </conditionalFormatting>
  <conditionalFormatting sqref="CF120">
    <cfRule type="cellIs" dxfId="1002" priority="911" operator="lessThan">
      <formula>0</formula>
    </cfRule>
  </conditionalFormatting>
  <conditionalFormatting sqref="CH120">
    <cfRule type="cellIs" dxfId="1001" priority="910" operator="lessThan">
      <formula>0</formula>
    </cfRule>
  </conditionalFormatting>
  <conditionalFormatting sqref="CJ120">
    <cfRule type="cellIs" dxfId="1000" priority="909" operator="lessThan">
      <formula>0</formula>
    </cfRule>
  </conditionalFormatting>
  <conditionalFormatting sqref="CL120">
    <cfRule type="cellIs" dxfId="999" priority="908" operator="lessThan">
      <formula>0</formula>
    </cfRule>
  </conditionalFormatting>
  <conditionalFormatting sqref="AJ120">
    <cfRule type="cellIs" dxfId="998" priority="907" operator="lessThan">
      <formula>0</formula>
    </cfRule>
  </conditionalFormatting>
  <conditionalFormatting sqref="AH121">
    <cfRule type="cellIs" dxfId="997" priority="877" operator="lessThan">
      <formula>0</formula>
    </cfRule>
  </conditionalFormatting>
  <conditionalFormatting sqref="AL121">
    <cfRule type="cellIs" dxfId="996" priority="876" operator="lessThan">
      <formula>0</formula>
    </cfRule>
  </conditionalFormatting>
  <conditionalFormatting sqref="AN121">
    <cfRule type="cellIs" dxfId="995" priority="875" operator="lessThan">
      <formula>0</formula>
    </cfRule>
  </conditionalFormatting>
  <conditionalFormatting sqref="AP121">
    <cfRule type="cellIs" dxfId="994" priority="874" operator="lessThan">
      <formula>0</formula>
    </cfRule>
  </conditionalFormatting>
  <conditionalFormatting sqref="AR121">
    <cfRule type="cellIs" dxfId="993" priority="873" operator="lessThan">
      <formula>0</formula>
    </cfRule>
  </conditionalFormatting>
  <conditionalFormatting sqref="AT121">
    <cfRule type="cellIs" dxfId="992" priority="872" operator="lessThan">
      <formula>0</formula>
    </cfRule>
  </conditionalFormatting>
  <conditionalFormatting sqref="AV121">
    <cfRule type="cellIs" dxfId="991" priority="871" operator="lessThan">
      <formula>0</formula>
    </cfRule>
  </conditionalFormatting>
  <conditionalFormatting sqref="AX121">
    <cfRule type="cellIs" dxfId="990" priority="870" operator="lessThan">
      <formula>0</formula>
    </cfRule>
  </conditionalFormatting>
  <conditionalFormatting sqref="AZ121">
    <cfRule type="cellIs" dxfId="989" priority="869" operator="lessThan">
      <formula>0</formula>
    </cfRule>
  </conditionalFormatting>
  <conditionalFormatting sqref="BB121">
    <cfRule type="cellIs" dxfId="988" priority="868" operator="lessThan">
      <formula>0</formula>
    </cfRule>
  </conditionalFormatting>
  <conditionalFormatting sqref="BD121">
    <cfRule type="cellIs" dxfId="987" priority="867" operator="lessThan">
      <formula>0</formula>
    </cfRule>
  </conditionalFormatting>
  <conditionalFormatting sqref="BF121">
    <cfRule type="cellIs" dxfId="986" priority="866" operator="lessThan">
      <formula>0</formula>
    </cfRule>
  </conditionalFormatting>
  <conditionalFormatting sqref="BH121">
    <cfRule type="cellIs" dxfId="985" priority="865" operator="lessThan">
      <formula>0</formula>
    </cfRule>
  </conditionalFormatting>
  <conditionalFormatting sqref="BJ121">
    <cfRule type="cellIs" dxfId="984" priority="864" operator="lessThan">
      <formula>0</formula>
    </cfRule>
  </conditionalFormatting>
  <conditionalFormatting sqref="BL121">
    <cfRule type="cellIs" dxfId="983" priority="863" operator="lessThan">
      <formula>0</formula>
    </cfRule>
  </conditionalFormatting>
  <conditionalFormatting sqref="BN121">
    <cfRule type="cellIs" dxfId="982" priority="862" operator="lessThan">
      <formula>0</formula>
    </cfRule>
  </conditionalFormatting>
  <conditionalFormatting sqref="BP121">
    <cfRule type="cellIs" dxfId="981" priority="861" operator="lessThan">
      <formula>0</formula>
    </cfRule>
  </conditionalFormatting>
  <conditionalFormatting sqref="BR121">
    <cfRule type="cellIs" dxfId="980" priority="860" operator="lessThan">
      <formula>0</formula>
    </cfRule>
  </conditionalFormatting>
  <conditionalFormatting sqref="BT121">
    <cfRule type="cellIs" dxfId="979" priority="859" operator="lessThan">
      <formula>0</formula>
    </cfRule>
  </conditionalFormatting>
  <conditionalFormatting sqref="BV121">
    <cfRule type="cellIs" dxfId="978" priority="858" operator="lessThan">
      <formula>0</formula>
    </cfRule>
  </conditionalFormatting>
  <conditionalFormatting sqref="BX121">
    <cfRule type="cellIs" dxfId="977" priority="857" operator="lessThan">
      <formula>0</formula>
    </cfRule>
  </conditionalFormatting>
  <conditionalFormatting sqref="BZ121">
    <cfRule type="cellIs" dxfId="976" priority="856" operator="lessThan">
      <formula>0</formula>
    </cfRule>
  </conditionalFormatting>
  <conditionalFormatting sqref="CB121">
    <cfRule type="cellIs" dxfId="975" priority="855" operator="lessThan">
      <formula>0</formula>
    </cfRule>
  </conditionalFormatting>
  <conditionalFormatting sqref="CD121">
    <cfRule type="cellIs" dxfId="974" priority="854" operator="lessThan">
      <formula>0</formula>
    </cfRule>
  </conditionalFormatting>
  <conditionalFormatting sqref="CF121">
    <cfRule type="cellIs" dxfId="973" priority="853" operator="lessThan">
      <formula>0</formula>
    </cfRule>
  </conditionalFormatting>
  <conditionalFormatting sqref="CH121">
    <cfRule type="cellIs" dxfId="972" priority="852" operator="lessThan">
      <formula>0</formula>
    </cfRule>
  </conditionalFormatting>
  <conditionalFormatting sqref="CJ121">
    <cfRule type="cellIs" dxfId="971" priority="851" operator="lessThan">
      <formula>0</formula>
    </cfRule>
  </conditionalFormatting>
  <conditionalFormatting sqref="CL121">
    <cfRule type="cellIs" dxfId="970" priority="850" operator="lessThan">
      <formula>0</formula>
    </cfRule>
  </conditionalFormatting>
  <conditionalFormatting sqref="AJ121">
    <cfRule type="cellIs" dxfId="969" priority="849" operator="lessThan">
      <formula>0</formula>
    </cfRule>
  </conditionalFormatting>
  <conditionalFormatting sqref="AH122">
    <cfRule type="cellIs" dxfId="968" priority="848" operator="lessThan">
      <formula>0</formula>
    </cfRule>
  </conditionalFormatting>
  <conditionalFormatting sqref="AL122">
    <cfRule type="cellIs" dxfId="967" priority="847" operator="lessThan">
      <formula>0</formula>
    </cfRule>
  </conditionalFormatting>
  <conditionalFormatting sqref="AN122">
    <cfRule type="cellIs" dxfId="966" priority="846" operator="lessThan">
      <formula>0</formula>
    </cfRule>
  </conditionalFormatting>
  <conditionalFormatting sqref="AP122">
    <cfRule type="cellIs" dxfId="965" priority="845" operator="lessThan">
      <formula>0</formula>
    </cfRule>
  </conditionalFormatting>
  <conditionalFormatting sqref="AR122">
    <cfRule type="cellIs" dxfId="964" priority="844" operator="lessThan">
      <formula>0</formula>
    </cfRule>
  </conditionalFormatting>
  <conditionalFormatting sqref="AT122">
    <cfRule type="cellIs" dxfId="963" priority="843" operator="lessThan">
      <formula>0</formula>
    </cfRule>
  </conditionalFormatting>
  <conditionalFormatting sqref="AV122">
    <cfRule type="cellIs" dxfId="962" priority="842" operator="lessThan">
      <formula>0</formula>
    </cfRule>
  </conditionalFormatting>
  <conditionalFormatting sqref="AX122">
    <cfRule type="cellIs" dxfId="961" priority="841" operator="lessThan">
      <formula>0</formula>
    </cfRule>
  </conditionalFormatting>
  <conditionalFormatting sqref="AZ122">
    <cfRule type="cellIs" dxfId="960" priority="840" operator="lessThan">
      <formula>0</formula>
    </cfRule>
  </conditionalFormatting>
  <conditionalFormatting sqref="BB122">
    <cfRule type="cellIs" dxfId="959" priority="839" operator="lessThan">
      <formula>0</formula>
    </cfRule>
  </conditionalFormatting>
  <conditionalFormatting sqref="BD122">
    <cfRule type="cellIs" dxfId="958" priority="838" operator="lessThan">
      <formula>0</formula>
    </cfRule>
  </conditionalFormatting>
  <conditionalFormatting sqref="BF122">
    <cfRule type="cellIs" dxfId="957" priority="837" operator="lessThan">
      <formula>0</formula>
    </cfRule>
  </conditionalFormatting>
  <conditionalFormatting sqref="BH122">
    <cfRule type="cellIs" dxfId="956" priority="836" operator="lessThan">
      <formula>0</formula>
    </cfRule>
  </conditionalFormatting>
  <conditionalFormatting sqref="BJ122">
    <cfRule type="cellIs" dxfId="955" priority="835" operator="lessThan">
      <formula>0</formula>
    </cfRule>
  </conditionalFormatting>
  <conditionalFormatting sqref="BL122">
    <cfRule type="cellIs" dxfId="954" priority="834" operator="lessThan">
      <formula>0</formula>
    </cfRule>
  </conditionalFormatting>
  <conditionalFormatting sqref="BN122">
    <cfRule type="cellIs" dxfId="953" priority="833" operator="lessThan">
      <formula>0</formula>
    </cfRule>
  </conditionalFormatting>
  <conditionalFormatting sqref="BP122">
    <cfRule type="cellIs" dxfId="952" priority="832" operator="lessThan">
      <formula>0</formula>
    </cfRule>
  </conditionalFormatting>
  <conditionalFormatting sqref="BR122">
    <cfRule type="cellIs" dxfId="951" priority="831" operator="lessThan">
      <formula>0</formula>
    </cfRule>
  </conditionalFormatting>
  <conditionalFormatting sqref="BT122">
    <cfRule type="cellIs" dxfId="950" priority="830" operator="lessThan">
      <formula>0</formula>
    </cfRule>
  </conditionalFormatting>
  <conditionalFormatting sqref="BV122">
    <cfRule type="cellIs" dxfId="949" priority="829" operator="lessThan">
      <formula>0</formula>
    </cfRule>
  </conditionalFormatting>
  <conditionalFormatting sqref="BX122">
    <cfRule type="cellIs" dxfId="948" priority="828" operator="lessThan">
      <formula>0</formula>
    </cfRule>
  </conditionalFormatting>
  <conditionalFormatting sqref="BZ122">
    <cfRule type="cellIs" dxfId="947" priority="827" operator="lessThan">
      <formula>0</formula>
    </cfRule>
  </conditionalFormatting>
  <conditionalFormatting sqref="CB122">
    <cfRule type="cellIs" dxfId="946" priority="826" operator="lessThan">
      <formula>0</formula>
    </cfRule>
  </conditionalFormatting>
  <conditionalFormatting sqref="CD122">
    <cfRule type="cellIs" dxfId="945" priority="825" operator="lessThan">
      <formula>0</formula>
    </cfRule>
  </conditionalFormatting>
  <conditionalFormatting sqref="CF122">
    <cfRule type="cellIs" dxfId="944" priority="824" operator="lessThan">
      <formula>0</formula>
    </cfRule>
  </conditionalFormatting>
  <conditionalFormatting sqref="CH122">
    <cfRule type="cellIs" dxfId="943" priority="823" operator="lessThan">
      <formula>0</formula>
    </cfRule>
  </conditionalFormatting>
  <conditionalFormatting sqref="CJ122">
    <cfRule type="cellIs" dxfId="942" priority="822" operator="lessThan">
      <formula>0</formula>
    </cfRule>
  </conditionalFormatting>
  <conditionalFormatting sqref="CL122">
    <cfRule type="cellIs" dxfId="941" priority="821" operator="lessThan">
      <formula>0</formula>
    </cfRule>
  </conditionalFormatting>
  <conditionalFormatting sqref="AJ122">
    <cfRule type="cellIs" dxfId="940" priority="820" operator="lessThan">
      <formula>0</formula>
    </cfRule>
  </conditionalFormatting>
  <conditionalFormatting sqref="AH123">
    <cfRule type="cellIs" dxfId="939" priority="819" operator="lessThan">
      <formula>0</formula>
    </cfRule>
  </conditionalFormatting>
  <conditionalFormatting sqref="AL123">
    <cfRule type="cellIs" dxfId="938" priority="818" operator="lessThan">
      <formula>0</formula>
    </cfRule>
  </conditionalFormatting>
  <conditionalFormatting sqref="AN123">
    <cfRule type="cellIs" dxfId="937" priority="817" operator="lessThan">
      <formula>0</formula>
    </cfRule>
  </conditionalFormatting>
  <conditionalFormatting sqref="AP123">
    <cfRule type="cellIs" dxfId="936" priority="816" operator="lessThan">
      <formula>0</formula>
    </cfRule>
  </conditionalFormatting>
  <conditionalFormatting sqref="AR123">
    <cfRule type="cellIs" dxfId="935" priority="815" operator="lessThan">
      <formula>0</formula>
    </cfRule>
  </conditionalFormatting>
  <conditionalFormatting sqref="AT123">
    <cfRule type="cellIs" dxfId="934" priority="814" operator="lessThan">
      <formula>0</formula>
    </cfRule>
  </conditionalFormatting>
  <conditionalFormatting sqref="AV123">
    <cfRule type="cellIs" dxfId="933" priority="813" operator="lessThan">
      <formula>0</formula>
    </cfRule>
  </conditionalFormatting>
  <conditionalFormatting sqref="AX123">
    <cfRule type="cellIs" dxfId="932" priority="812" operator="lessThan">
      <formula>0</formula>
    </cfRule>
  </conditionalFormatting>
  <conditionalFormatting sqref="AZ123">
    <cfRule type="cellIs" dxfId="931" priority="811" operator="lessThan">
      <formula>0</formula>
    </cfRule>
  </conditionalFormatting>
  <conditionalFormatting sqref="BB123">
    <cfRule type="cellIs" dxfId="930" priority="810" operator="lessThan">
      <formula>0</formula>
    </cfRule>
  </conditionalFormatting>
  <conditionalFormatting sqref="BD123">
    <cfRule type="cellIs" dxfId="929" priority="809" operator="lessThan">
      <formula>0</formula>
    </cfRule>
  </conditionalFormatting>
  <conditionalFormatting sqref="BF123">
    <cfRule type="cellIs" dxfId="928" priority="808" operator="lessThan">
      <formula>0</formula>
    </cfRule>
  </conditionalFormatting>
  <conditionalFormatting sqref="BH123">
    <cfRule type="cellIs" dxfId="927" priority="807" operator="lessThan">
      <formula>0</formula>
    </cfRule>
  </conditionalFormatting>
  <conditionalFormatting sqref="BJ123">
    <cfRule type="cellIs" dxfId="926" priority="806" operator="lessThan">
      <formula>0</formula>
    </cfRule>
  </conditionalFormatting>
  <conditionalFormatting sqref="BL123">
    <cfRule type="cellIs" dxfId="925" priority="805" operator="lessThan">
      <formula>0</formula>
    </cfRule>
  </conditionalFormatting>
  <conditionalFormatting sqref="BN123">
    <cfRule type="cellIs" dxfId="924" priority="804" operator="lessThan">
      <formula>0</formula>
    </cfRule>
  </conditionalFormatting>
  <conditionalFormatting sqref="BP123">
    <cfRule type="cellIs" dxfId="923" priority="803" operator="lessThan">
      <formula>0</formula>
    </cfRule>
  </conditionalFormatting>
  <conditionalFormatting sqref="BR123">
    <cfRule type="cellIs" dxfId="922" priority="802" operator="lessThan">
      <formula>0</formula>
    </cfRule>
  </conditionalFormatting>
  <conditionalFormatting sqref="BT123">
    <cfRule type="cellIs" dxfId="921" priority="801" operator="lessThan">
      <formula>0</formula>
    </cfRule>
  </conditionalFormatting>
  <conditionalFormatting sqref="BV123">
    <cfRule type="cellIs" dxfId="920" priority="800" operator="lessThan">
      <formula>0</formula>
    </cfRule>
  </conditionalFormatting>
  <conditionalFormatting sqref="BX123">
    <cfRule type="cellIs" dxfId="919" priority="799" operator="lessThan">
      <formula>0</formula>
    </cfRule>
  </conditionalFormatting>
  <conditionalFormatting sqref="BZ123">
    <cfRule type="cellIs" dxfId="918" priority="798" operator="lessThan">
      <formula>0</formula>
    </cfRule>
  </conditionalFormatting>
  <conditionalFormatting sqref="CB123">
    <cfRule type="cellIs" dxfId="917" priority="797" operator="lessThan">
      <formula>0</formula>
    </cfRule>
  </conditionalFormatting>
  <conditionalFormatting sqref="CD123">
    <cfRule type="cellIs" dxfId="916" priority="796" operator="lessThan">
      <formula>0</formula>
    </cfRule>
  </conditionalFormatting>
  <conditionalFormatting sqref="CF123">
    <cfRule type="cellIs" dxfId="915" priority="795" operator="lessThan">
      <formula>0</formula>
    </cfRule>
  </conditionalFormatting>
  <conditionalFormatting sqref="CH123">
    <cfRule type="cellIs" dxfId="914" priority="794" operator="lessThan">
      <formula>0</formula>
    </cfRule>
  </conditionalFormatting>
  <conditionalFormatting sqref="CJ123">
    <cfRule type="cellIs" dxfId="913" priority="793" operator="lessThan">
      <formula>0</formula>
    </cfRule>
  </conditionalFormatting>
  <conditionalFormatting sqref="CL123">
    <cfRule type="cellIs" dxfId="912" priority="792" operator="lessThan">
      <formula>0</formula>
    </cfRule>
  </conditionalFormatting>
  <conditionalFormatting sqref="AJ123">
    <cfRule type="cellIs" dxfId="911" priority="791" operator="lessThan">
      <formula>0</formula>
    </cfRule>
  </conditionalFormatting>
  <conditionalFormatting sqref="AH124">
    <cfRule type="cellIs" dxfId="910" priority="790" operator="lessThan">
      <formula>0</formula>
    </cfRule>
  </conditionalFormatting>
  <conditionalFormatting sqref="AL124">
    <cfRule type="cellIs" dxfId="909" priority="789" operator="lessThan">
      <formula>0</formula>
    </cfRule>
  </conditionalFormatting>
  <conditionalFormatting sqref="AN124">
    <cfRule type="cellIs" dxfId="908" priority="788" operator="lessThan">
      <formula>0</formula>
    </cfRule>
  </conditionalFormatting>
  <conditionalFormatting sqref="AP124">
    <cfRule type="cellIs" dxfId="907" priority="787" operator="lessThan">
      <formula>0</formula>
    </cfRule>
  </conditionalFormatting>
  <conditionalFormatting sqref="AR124">
    <cfRule type="cellIs" dxfId="906" priority="786" operator="lessThan">
      <formula>0</formula>
    </cfRule>
  </conditionalFormatting>
  <conditionalFormatting sqref="AT124">
    <cfRule type="cellIs" dxfId="905" priority="785" operator="lessThan">
      <formula>0</formula>
    </cfRule>
  </conditionalFormatting>
  <conditionalFormatting sqref="AV124">
    <cfRule type="cellIs" dxfId="904" priority="784" operator="lessThan">
      <formula>0</formula>
    </cfRule>
  </conditionalFormatting>
  <conditionalFormatting sqref="AX124">
    <cfRule type="cellIs" dxfId="903" priority="783" operator="lessThan">
      <formula>0</formula>
    </cfRule>
  </conditionalFormatting>
  <conditionalFormatting sqref="AZ124">
    <cfRule type="cellIs" dxfId="902" priority="782" operator="lessThan">
      <formula>0</formula>
    </cfRule>
  </conditionalFormatting>
  <conditionalFormatting sqref="BB124">
    <cfRule type="cellIs" dxfId="901" priority="781" operator="lessThan">
      <formula>0</formula>
    </cfRule>
  </conditionalFormatting>
  <conditionalFormatting sqref="BD124">
    <cfRule type="cellIs" dxfId="900" priority="780" operator="lessThan">
      <formula>0</formula>
    </cfRule>
  </conditionalFormatting>
  <conditionalFormatting sqref="BF124">
    <cfRule type="cellIs" dxfId="899" priority="779" operator="lessThan">
      <formula>0</formula>
    </cfRule>
  </conditionalFormatting>
  <conditionalFormatting sqref="BH124">
    <cfRule type="cellIs" dxfId="898" priority="778" operator="lessThan">
      <formula>0</formula>
    </cfRule>
  </conditionalFormatting>
  <conditionalFormatting sqref="BJ124">
    <cfRule type="cellIs" dxfId="897" priority="777" operator="lessThan">
      <formula>0</formula>
    </cfRule>
  </conditionalFormatting>
  <conditionalFormatting sqref="BL124">
    <cfRule type="cellIs" dxfId="896" priority="776" operator="lessThan">
      <formula>0</formula>
    </cfRule>
  </conditionalFormatting>
  <conditionalFormatting sqref="BN124">
    <cfRule type="cellIs" dxfId="895" priority="775" operator="lessThan">
      <formula>0</formula>
    </cfRule>
  </conditionalFormatting>
  <conditionalFormatting sqref="BP124">
    <cfRule type="cellIs" dxfId="894" priority="774" operator="lessThan">
      <formula>0</formula>
    </cfRule>
  </conditionalFormatting>
  <conditionalFormatting sqref="BR124">
    <cfRule type="cellIs" dxfId="893" priority="773" operator="lessThan">
      <formula>0</formula>
    </cfRule>
  </conditionalFormatting>
  <conditionalFormatting sqref="BT124">
    <cfRule type="cellIs" dxfId="892" priority="772" operator="lessThan">
      <formula>0</formula>
    </cfRule>
  </conditionalFormatting>
  <conditionalFormatting sqref="BV124">
    <cfRule type="cellIs" dxfId="891" priority="771" operator="lessThan">
      <formula>0</formula>
    </cfRule>
  </conditionalFormatting>
  <conditionalFormatting sqref="BX124">
    <cfRule type="cellIs" dxfId="890" priority="770" operator="lessThan">
      <formula>0</formula>
    </cfRule>
  </conditionalFormatting>
  <conditionalFormatting sqref="BZ124">
    <cfRule type="cellIs" dxfId="889" priority="769" operator="lessThan">
      <formula>0</formula>
    </cfRule>
  </conditionalFormatting>
  <conditionalFormatting sqref="CB124">
    <cfRule type="cellIs" dxfId="888" priority="768" operator="lessThan">
      <formula>0</formula>
    </cfRule>
  </conditionalFormatting>
  <conditionalFormatting sqref="CD124">
    <cfRule type="cellIs" dxfId="887" priority="767" operator="lessThan">
      <formula>0</formula>
    </cfRule>
  </conditionalFormatting>
  <conditionalFormatting sqref="CF124">
    <cfRule type="cellIs" dxfId="886" priority="766" operator="lessThan">
      <formula>0</formula>
    </cfRule>
  </conditionalFormatting>
  <conditionalFormatting sqref="CH124">
    <cfRule type="cellIs" dxfId="885" priority="765" operator="lessThan">
      <formula>0</formula>
    </cfRule>
  </conditionalFormatting>
  <conditionalFormatting sqref="CJ124">
    <cfRule type="cellIs" dxfId="884" priority="764" operator="lessThan">
      <formula>0</formula>
    </cfRule>
  </conditionalFormatting>
  <conditionalFormatting sqref="CL124">
    <cfRule type="cellIs" dxfId="883" priority="763" operator="lessThan">
      <formula>0</formula>
    </cfRule>
  </conditionalFormatting>
  <conditionalFormatting sqref="AJ124">
    <cfRule type="cellIs" dxfId="882" priority="762" operator="lessThan">
      <formula>0</formula>
    </cfRule>
  </conditionalFormatting>
  <conditionalFormatting sqref="AH125">
    <cfRule type="cellIs" dxfId="881" priority="761" operator="lessThan">
      <formula>0</formula>
    </cfRule>
  </conditionalFormatting>
  <conditionalFormatting sqref="AL125">
    <cfRule type="cellIs" dxfId="880" priority="760" operator="lessThan">
      <formula>0</formula>
    </cfRule>
  </conditionalFormatting>
  <conditionalFormatting sqref="AN125">
    <cfRule type="cellIs" dxfId="879" priority="759" operator="lessThan">
      <formula>0</formula>
    </cfRule>
  </conditionalFormatting>
  <conditionalFormatting sqref="AP125">
    <cfRule type="cellIs" dxfId="878" priority="758" operator="lessThan">
      <formula>0</formula>
    </cfRule>
  </conditionalFormatting>
  <conditionalFormatting sqref="AR125">
    <cfRule type="cellIs" dxfId="877" priority="757" operator="lessThan">
      <formula>0</formula>
    </cfRule>
  </conditionalFormatting>
  <conditionalFormatting sqref="AT125">
    <cfRule type="cellIs" dxfId="876" priority="756" operator="lessThan">
      <formula>0</formula>
    </cfRule>
  </conditionalFormatting>
  <conditionalFormatting sqref="AV125">
    <cfRule type="cellIs" dxfId="875" priority="755" operator="lessThan">
      <formula>0</formula>
    </cfRule>
  </conditionalFormatting>
  <conditionalFormatting sqref="AX125">
    <cfRule type="cellIs" dxfId="874" priority="754" operator="lessThan">
      <formula>0</formula>
    </cfRule>
  </conditionalFormatting>
  <conditionalFormatting sqref="AZ125">
    <cfRule type="cellIs" dxfId="873" priority="753" operator="lessThan">
      <formula>0</formula>
    </cfRule>
  </conditionalFormatting>
  <conditionalFormatting sqref="BB125">
    <cfRule type="cellIs" dxfId="872" priority="752" operator="lessThan">
      <formula>0</formula>
    </cfRule>
  </conditionalFormatting>
  <conditionalFormatting sqref="BD125">
    <cfRule type="cellIs" dxfId="871" priority="751" operator="lessThan">
      <formula>0</formula>
    </cfRule>
  </conditionalFormatting>
  <conditionalFormatting sqref="BF125">
    <cfRule type="cellIs" dxfId="870" priority="750" operator="lessThan">
      <formula>0</formula>
    </cfRule>
  </conditionalFormatting>
  <conditionalFormatting sqref="BH125">
    <cfRule type="cellIs" dxfId="869" priority="749" operator="lessThan">
      <formula>0</formula>
    </cfRule>
  </conditionalFormatting>
  <conditionalFormatting sqref="BJ125">
    <cfRule type="cellIs" dxfId="868" priority="748" operator="lessThan">
      <formula>0</formula>
    </cfRule>
  </conditionalFormatting>
  <conditionalFormatting sqref="BL125">
    <cfRule type="cellIs" dxfId="867" priority="747" operator="lessThan">
      <formula>0</formula>
    </cfRule>
  </conditionalFormatting>
  <conditionalFormatting sqref="BN125">
    <cfRule type="cellIs" dxfId="866" priority="746" operator="lessThan">
      <formula>0</formula>
    </cfRule>
  </conditionalFormatting>
  <conditionalFormatting sqref="BP125">
    <cfRule type="cellIs" dxfId="865" priority="745" operator="lessThan">
      <formula>0</formula>
    </cfRule>
  </conditionalFormatting>
  <conditionalFormatting sqref="BR125">
    <cfRule type="cellIs" dxfId="864" priority="744" operator="lessThan">
      <formula>0</formula>
    </cfRule>
  </conditionalFormatting>
  <conditionalFormatting sqref="BT125">
    <cfRule type="cellIs" dxfId="863" priority="743" operator="lessThan">
      <formula>0</formula>
    </cfRule>
  </conditionalFormatting>
  <conditionalFormatting sqref="BV125">
    <cfRule type="cellIs" dxfId="862" priority="742" operator="lessThan">
      <formula>0</formula>
    </cfRule>
  </conditionalFormatting>
  <conditionalFormatting sqref="BX125">
    <cfRule type="cellIs" dxfId="861" priority="741" operator="lessThan">
      <formula>0</formula>
    </cfRule>
  </conditionalFormatting>
  <conditionalFormatting sqref="BZ125">
    <cfRule type="cellIs" dxfId="860" priority="740" operator="lessThan">
      <formula>0</formula>
    </cfRule>
  </conditionalFormatting>
  <conditionalFormatting sqref="CB125">
    <cfRule type="cellIs" dxfId="859" priority="739" operator="lessThan">
      <formula>0</formula>
    </cfRule>
  </conditionalFormatting>
  <conditionalFormatting sqref="CD125">
    <cfRule type="cellIs" dxfId="858" priority="738" operator="lessThan">
      <formula>0</formula>
    </cfRule>
  </conditionalFormatting>
  <conditionalFormatting sqref="CF125">
    <cfRule type="cellIs" dxfId="857" priority="737" operator="lessThan">
      <formula>0</formula>
    </cfRule>
  </conditionalFormatting>
  <conditionalFormatting sqref="CH125">
    <cfRule type="cellIs" dxfId="856" priority="736" operator="lessThan">
      <formula>0</formula>
    </cfRule>
  </conditionalFormatting>
  <conditionalFormatting sqref="CJ125">
    <cfRule type="cellIs" dxfId="855" priority="735" operator="lessThan">
      <formula>0</formula>
    </cfRule>
  </conditionalFormatting>
  <conditionalFormatting sqref="CL125">
    <cfRule type="cellIs" dxfId="854" priority="734" operator="lessThan">
      <formula>0</formula>
    </cfRule>
  </conditionalFormatting>
  <conditionalFormatting sqref="AJ125">
    <cfRule type="cellIs" dxfId="853" priority="733" operator="lessThan">
      <formula>0</formula>
    </cfRule>
  </conditionalFormatting>
  <conditionalFormatting sqref="AH128">
    <cfRule type="cellIs" dxfId="852" priority="732" operator="lessThan">
      <formula>0</formula>
    </cfRule>
  </conditionalFormatting>
  <conditionalFormatting sqref="AL128">
    <cfRule type="cellIs" dxfId="851" priority="731" operator="lessThan">
      <formula>0</formula>
    </cfRule>
  </conditionalFormatting>
  <conditionalFormatting sqref="AN128">
    <cfRule type="cellIs" dxfId="850" priority="730" operator="lessThan">
      <formula>0</formula>
    </cfRule>
  </conditionalFormatting>
  <conditionalFormatting sqref="AP128">
    <cfRule type="cellIs" dxfId="849" priority="729" operator="lessThan">
      <formula>0</formula>
    </cfRule>
  </conditionalFormatting>
  <conditionalFormatting sqref="AR128">
    <cfRule type="cellIs" dxfId="848" priority="728" operator="lessThan">
      <formula>0</formula>
    </cfRule>
  </conditionalFormatting>
  <conditionalFormatting sqref="AT128">
    <cfRule type="cellIs" dxfId="847" priority="727" operator="lessThan">
      <formula>0</formula>
    </cfRule>
  </conditionalFormatting>
  <conditionalFormatting sqref="AV128">
    <cfRule type="cellIs" dxfId="846" priority="726" operator="lessThan">
      <formula>0</formula>
    </cfRule>
  </conditionalFormatting>
  <conditionalFormatting sqref="AX128">
    <cfRule type="cellIs" dxfId="845" priority="725" operator="lessThan">
      <formula>0</formula>
    </cfRule>
  </conditionalFormatting>
  <conditionalFormatting sqref="AZ128">
    <cfRule type="cellIs" dxfId="844" priority="724" operator="lessThan">
      <formula>0</formula>
    </cfRule>
  </conditionalFormatting>
  <conditionalFormatting sqref="BB128">
    <cfRule type="cellIs" dxfId="843" priority="723" operator="lessThan">
      <formula>0</formula>
    </cfRule>
  </conditionalFormatting>
  <conditionalFormatting sqref="BD128">
    <cfRule type="cellIs" dxfId="842" priority="722" operator="lessThan">
      <formula>0</formula>
    </cfRule>
  </conditionalFormatting>
  <conditionalFormatting sqref="BF128">
    <cfRule type="cellIs" dxfId="841" priority="721" operator="lessThan">
      <formula>0</formula>
    </cfRule>
  </conditionalFormatting>
  <conditionalFormatting sqref="BH128">
    <cfRule type="cellIs" dxfId="840" priority="720" operator="lessThan">
      <formula>0</formula>
    </cfRule>
  </conditionalFormatting>
  <conditionalFormatting sqref="BJ128">
    <cfRule type="cellIs" dxfId="839" priority="719" operator="lessThan">
      <formula>0</formula>
    </cfRule>
  </conditionalFormatting>
  <conditionalFormatting sqref="BL128">
    <cfRule type="cellIs" dxfId="838" priority="718" operator="lessThan">
      <formula>0</formula>
    </cfRule>
  </conditionalFormatting>
  <conditionalFormatting sqref="BN128">
    <cfRule type="cellIs" dxfId="837" priority="717" operator="lessThan">
      <formula>0</formula>
    </cfRule>
  </conditionalFormatting>
  <conditionalFormatting sqref="BP128">
    <cfRule type="cellIs" dxfId="836" priority="716" operator="lessThan">
      <formula>0</formula>
    </cfRule>
  </conditionalFormatting>
  <conditionalFormatting sqref="BR128">
    <cfRule type="cellIs" dxfId="835" priority="715" operator="lessThan">
      <formula>0</formula>
    </cfRule>
  </conditionalFormatting>
  <conditionalFormatting sqref="BT128">
    <cfRule type="cellIs" dxfId="834" priority="714" operator="lessThan">
      <formula>0</formula>
    </cfRule>
  </conditionalFormatting>
  <conditionalFormatting sqref="BV128">
    <cfRule type="cellIs" dxfId="833" priority="713" operator="lessThan">
      <formula>0</formula>
    </cfRule>
  </conditionalFormatting>
  <conditionalFormatting sqref="BX128">
    <cfRule type="cellIs" dxfId="832" priority="712" operator="lessThan">
      <formula>0</formula>
    </cfRule>
  </conditionalFormatting>
  <conditionalFormatting sqref="BZ128">
    <cfRule type="cellIs" dxfId="831" priority="711" operator="lessThan">
      <formula>0</formula>
    </cfRule>
  </conditionalFormatting>
  <conditionalFormatting sqref="CB128">
    <cfRule type="cellIs" dxfId="830" priority="710" operator="lessThan">
      <formula>0</formula>
    </cfRule>
  </conditionalFormatting>
  <conditionalFormatting sqref="CD128">
    <cfRule type="cellIs" dxfId="829" priority="709" operator="lessThan">
      <formula>0</formula>
    </cfRule>
  </conditionalFormatting>
  <conditionalFormatting sqref="CF128">
    <cfRule type="cellIs" dxfId="828" priority="708" operator="lessThan">
      <formula>0</formula>
    </cfRule>
  </conditionalFormatting>
  <conditionalFormatting sqref="CH128">
    <cfRule type="cellIs" dxfId="827" priority="707" operator="lessThan">
      <formula>0</formula>
    </cfRule>
  </conditionalFormatting>
  <conditionalFormatting sqref="CJ128">
    <cfRule type="cellIs" dxfId="826" priority="706" operator="lessThan">
      <formula>0</formula>
    </cfRule>
  </conditionalFormatting>
  <conditionalFormatting sqref="CL128">
    <cfRule type="cellIs" dxfId="825" priority="705" operator="lessThan">
      <formula>0</formula>
    </cfRule>
  </conditionalFormatting>
  <conditionalFormatting sqref="AJ128">
    <cfRule type="cellIs" dxfId="824" priority="704" operator="lessThan">
      <formula>0</formula>
    </cfRule>
  </conditionalFormatting>
  <conditionalFormatting sqref="AH129:AH135">
    <cfRule type="cellIs" dxfId="823" priority="703" operator="lessThan">
      <formula>0</formula>
    </cfRule>
  </conditionalFormatting>
  <conditionalFormatting sqref="AL129:AL135">
    <cfRule type="cellIs" dxfId="822" priority="702" operator="lessThan">
      <formula>0</formula>
    </cfRule>
  </conditionalFormatting>
  <conditionalFormatting sqref="AN129:AN135">
    <cfRule type="cellIs" dxfId="821" priority="701" operator="lessThan">
      <formula>0</formula>
    </cfRule>
  </conditionalFormatting>
  <conditionalFormatting sqref="AP129:AP135">
    <cfRule type="cellIs" dxfId="820" priority="700" operator="lessThan">
      <formula>0</formula>
    </cfRule>
  </conditionalFormatting>
  <conditionalFormatting sqref="AR129:AR135">
    <cfRule type="cellIs" dxfId="819" priority="699" operator="lessThan">
      <formula>0</formula>
    </cfRule>
  </conditionalFormatting>
  <conditionalFormatting sqref="AT129:AT135">
    <cfRule type="cellIs" dxfId="818" priority="698" operator="lessThan">
      <formula>0</formula>
    </cfRule>
  </conditionalFormatting>
  <conditionalFormatting sqref="AV129:AV135">
    <cfRule type="cellIs" dxfId="817" priority="697" operator="lessThan">
      <formula>0</formula>
    </cfRule>
  </conditionalFormatting>
  <conditionalFormatting sqref="AX129:AX135">
    <cfRule type="cellIs" dxfId="816" priority="696" operator="lessThan">
      <formula>0</formula>
    </cfRule>
  </conditionalFormatting>
  <conditionalFormatting sqref="AZ129:AZ135">
    <cfRule type="cellIs" dxfId="815" priority="695" operator="lessThan">
      <formula>0</formula>
    </cfRule>
  </conditionalFormatting>
  <conditionalFormatting sqref="BB129:BB135">
    <cfRule type="cellIs" dxfId="814" priority="694" operator="lessThan">
      <formula>0</formula>
    </cfRule>
  </conditionalFormatting>
  <conditionalFormatting sqref="BD129:BD135">
    <cfRule type="cellIs" dxfId="813" priority="693" operator="lessThan">
      <formula>0</formula>
    </cfRule>
  </conditionalFormatting>
  <conditionalFormatting sqref="BF129:BF135">
    <cfRule type="cellIs" dxfId="812" priority="692" operator="lessThan">
      <formula>0</formula>
    </cfRule>
  </conditionalFormatting>
  <conditionalFormatting sqref="BH129:BH135">
    <cfRule type="cellIs" dxfId="811" priority="691" operator="lessThan">
      <formula>0</formula>
    </cfRule>
  </conditionalFormatting>
  <conditionalFormatting sqref="BJ129:BJ135">
    <cfRule type="cellIs" dxfId="810" priority="690" operator="lessThan">
      <formula>0</formula>
    </cfRule>
  </conditionalFormatting>
  <conditionalFormatting sqref="BL129:BL135">
    <cfRule type="cellIs" dxfId="809" priority="689" operator="lessThan">
      <formula>0</formula>
    </cfRule>
  </conditionalFormatting>
  <conditionalFormatting sqref="BN129:BN135">
    <cfRule type="cellIs" dxfId="808" priority="688" operator="lessThan">
      <formula>0</formula>
    </cfRule>
  </conditionalFormatting>
  <conditionalFormatting sqref="BP129:BP135">
    <cfRule type="cellIs" dxfId="807" priority="687" operator="lessThan">
      <formula>0</formula>
    </cfRule>
  </conditionalFormatting>
  <conditionalFormatting sqref="BR129:BR135">
    <cfRule type="cellIs" dxfId="806" priority="686" operator="lessThan">
      <formula>0</formula>
    </cfRule>
  </conditionalFormatting>
  <conditionalFormatting sqref="BT129:BT135">
    <cfRule type="cellIs" dxfId="805" priority="685" operator="lessThan">
      <formula>0</formula>
    </cfRule>
  </conditionalFormatting>
  <conditionalFormatting sqref="BV129:BV135">
    <cfRule type="cellIs" dxfId="804" priority="684" operator="lessThan">
      <formula>0</formula>
    </cfRule>
  </conditionalFormatting>
  <conditionalFormatting sqref="BX129:BX135">
    <cfRule type="cellIs" dxfId="803" priority="683" operator="lessThan">
      <formula>0</formula>
    </cfRule>
  </conditionalFormatting>
  <conditionalFormatting sqref="BZ129:BZ135">
    <cfRule type="cellIs" dxfId="802" priority="682" operator="lessThan">
      <formula>0</formula>
    </cfRule>
  </conditionalFormatting>
  <conditionalFormatting sqref="CB129:CB135">
    <cfRule type="cellIs" dxfId="801" priority="681" operator="lessThan">
      <formula>0</formula>
    </cfRule>
  </conditionalFormatting>
  <conditionalFormatting sqref="CD129:CD135">
    <cfRule type="cellIs" dxfId="800" priority="680" operator="lessThan">
      <formula>0</formula>
    </cfRule>
  </conditionalFormatting>
  <conditionalFormatting sqref="CF129:CF135">
    <cfRule type="cellIs" dxfId="799" priority="679" operator="lessThan">
      <formula>0</formula>
    </cfRule>
  </conditionalFormatting>
  <conditionalFormatting sqref="CH129:CH135">
    <cfRule type="cellIs" dxfId="798" priority="678" operator="lessThan">
      <formula>0</formula>
    </cfRule>
  </conditionalFormatting>
  <conditionalFormatting sqref="CJ129:CJ135">
    <cfRule type="cellIs" dxfId="797" priority="677" operator="lessThan">
      <formula>0</formula>
    </cfRule>
  </conditionalFormatting>
  <conditionalFormatting sqref="CL129:CL135">
    <cfRule type="cellIs" dxfId="796" priority="676" operator="lessThan">
      <formula>0</formula>
    </cfRule>
  </conditionalFormatting>
  <conditionalFormatting sqref="AJ129:AJ135">
    <cfRule type="cellIs" dxfId="795" priority="675" operator="lessThan">
      <formula>0</formula>
    </cfRule>
  </conditionalFormatting>
  <conditionalFormatting sqref="AH136:AH138">
    <cfRule type="cellIs" dxfId="794" priority="674" operator="lessThan">
      <formula>0</formula>
    </cfRule>
  </conditionalFormatting>
  <conditionalFormatting sqref="AL136:AL138">
    <cfRule type="cellIs" dxfId="793" priority="673" operator="lessThan">
      <formula>0</formula>
    </cfRule>
  </conditionalFormatting>
  <conditionalFormatting sqref="AN136:AN138">
    <cfRule type="cellIs" dxfId="792" priority="672" operator="lessThan">
      <formula>0</formula>
    </cfRule>
  </conditionalFormatting>
  <conditionalFormatting sqref="AP136:AP138">
    <cfRule type="cellIs" dxfId="791" priority="671" operator="lessThan">
      <formula>0</formula>
    </cfRule>
  </conditionalFormatting>
  <conditionalFormatting sqref="AR136:AR138">
    <cfRule type="cellIs" dxfId="790" priority="670" operator="lessThan">
      <formula>0</formula>
    </cfRule>
  </conditionalFormatting>
  <conditionalFormatting sqref="AT136:AT138">
    <cfRule type="cellIs" dxfId="789" priority="669" operator="lessThan">
      <formula>0</formula>
    </cfRule>
  </conditionalFormatting>
  <conditionalFormatting sqref="AV136:AV138">
    <cfRule type="cellIs" dxfId="788" priority="668" operator="lessThan">
      <formula>0</formula>
    </cfRule>
  </conditionalFormatting>
  <conditionalFormatting sqref="AX136:AX138">
    <cfRule type="cellIs" dxfId="787" priority="667" operator="lessThan">
      <formula>0</formula>
    </cfRule>
  </conditionalFormatting>
  <conditionalFormatting sqref="AZ136:AZ138">
    <cfRule type="cellIs" dxfId="786" priority="666" operator="lessThan">
      <formula>0</formula>
    </cfRule>
  </conditionalFormatting>
  <conditionalFormatting sqref="BB136:BB138">
    <cfRule type="cellIs" dxfId="785" priority="665" operator="lessThan">
      <formula>0</formula>
    </cfRule>
  </conditionalFormatting>
  <conditionalFormatting sqref="BD136:BD138">
    <cfRule type="cellIs" dxfId="784" priority="664" operator="lessThan">
      <formula>0</formula>
    </cfRule>
  </conditionalFormatting>
  <conditionalFormatting sqref="BF136:BF138">
    <cfRule type="cellIs" dxfId="783" priority="663" operator="lessThan">
      <formula>0</formula>
    </cfRule>
  </conditionalFormatting>
  <conditionalFormatting sqref="BH136:BH138">
    <cfRule type="cellIs" dxfId="782" priority="662" operator="lessThan">
      <formula>0</formula>
    </cfRule>
  </conditionalFormatting>
  <conditionalFormatting sqref="BJ136:BJ138">
    <cfRule type="cellIs" dxfId="781" priority="661" operator="lessThan">
      <formula>0</formula>
    </cfRule>
  </conditionalFormatting>
  <conditionalFormatting sqref="BL136:BL138">
    <cfRule type="cellIs" dxfId="780" priority="660" operator="lessThan">
      <formula>0</formula>
    </cfRule>
  </conditionalFormatting>
  <conditionalFormatting sqref="BN136:BN138">
    <cfRule type="cellIs" dxfId="779" priority="659" operator="lessThan">
      <formula>0</formula>
    </cfRule>
  </conditionalFormatting>
  <conditionalFormatting sqref="BP136:BP138">
    <cfRule type="cellIs" dxfId="778" priority="658" operator="lessThan">
      <formula>0</formula>
    </cfRule>
  </conditionalFormatting>
  <conditionalFormatting sqref="BR136:BR138">
    <cfRule type="cellIs" dxfId="777" priority="657" operator="lessThan">
      <formula>0</formula>
    </cfRule>
  </conditionalFormatting>
  <conditionalFormatting sqref="BT136:BT138">
    <cfRule type="cellIs" dxfId="776" priority="656" operator="lessThan">
      <formula>0</formula>
    </cfRule>
  </conditionalFormatting>
  <conditionalFormatting sqref="BV136:BV138">
    <cfRule type="cellIs" dxfId="775" priority="655" operator="lessThan">
      <formula>0</formula>
    </cfRule>
  </conditionalFormatting>
  <conditionalFormatting sqref="BX136:BX138">
    <cfRule type="cellIs" dxfId="774" priority="654" operator="lessThan">
      <formula>0</formula>
    </cfRule>
  </conditionalFormatting>
  <conditionalFormatting sqref="BZ136:BZ138">
    <cfRule type="cellIs" dxfId="773" priority="653" operator="lessThan">
      <formula>0</formula>
    </cfRule>
  </conditionalFormatting>
  <conditionalFormatting sqref="CB136:CB138">
    <cfRule type="cellIs" dxfId="772" priority="652" operator="lessThan">
      <formula>0</formula>
    </cfRule>
  </conditionalFormatting>
  <conditionalFormatting sqref="CD136:CD138">
    <cfRule type="cellIs" dxfId="771" priority="651" operator="lessThan">
      <formula>0</formula>
    </cfRule>
  </conditionalFormatting>
  <conditionalFormatting sqref="CF136:CF138">
    <cfRule type="cellIs" dxfId="770" priority="650" operator="lessThan">
      <formula>0</formula>
    </cfRule>
  </conditionalFormatting>
  <conditionalFormatting sqref="CH136:CH138">
    <cfRule type="cellIs" dxfId="769" priority="649" operator="lessThan">
      <formula>0</formula>
    </cfRule>
  </conditionalFormatting>
  <conditionalFormatting sqref="CJ136:CJ138">
    <cfRule type="cellIs" dxfId="768" priority="648" operator="lessThan">
      <formula>0</formula>
    </cfRule>
  </conditionalFormatting>
  <conditionalFormatting sqref="CL136:CL138">
    <cfRule type="cellIs" dxfId="767" priority="647" operator="lessThan">
      <formula>0</formula>
    </cfRule>
  </conditionalFormatting>
  <conditionalFormatting sqref="AJ136:AJ138">
    <cfRule type="cellIs" dxfId="766" priority="646" operator="lessThan">
      <formula>0</formula>
    </cfRule>
  </conditionalFormatting>
  <conditionalFormatting sqref="AH139">
    <cfRule type="cellIs" dxfId="765" priority="645" operator="lessThan">
      <formula>0</formula>
    </cfRule>
  </conditionalFormatting>
  <conditionalFormatting sqref="AL139">
    <cfRule type="cellIs" dxfId="764" priority="644" operator="lessThan">
      <formula>0</formula>
    </cfRule>
  </conditionalFormatting>
  <conditionalFormatting sqref="AN139">
    <cfRule type="cellIs" dxfId="763" priority="643" operator="lessThan">
      <formula>0</formula>
    </cfRule>
  </conditionalFormatting>
  <conditionalFormatting sqref="AP139">
    <cfRule type="cellIs" dxfId="762" priority="642" operator="lessThan">
      <formula>0</formula>
    </cfRule>
  </conditionalFormatting>
  <conditionalFormatting sqref="AR139">
    <cfRule type="cellIs" dxfId="761" priority="641" operator="lessThan">
      <formula>0</formula>
    </cfRule>
  </conditionalFormatting>
  <conditionalFormatting sqref="AT139">
    <cfRule type="cellIs" dxfId="760" priority="640" operator="lessThan">
      <formula>0</formula>
    </cfRule>
  </conditionalFormatting>
  <conditionalFormatting sqref="AV139">
    <cfRule type="cellIs" dxfId="759" priority="639" operator="lessThan">
      <formula>0</formula>
    </cfRule>
  </conditionalFormatting>
  <conditionalFormatting sqref="AX139">
    <cfRule type="cellIs" dxfId="758" priority="638" operator="lessThan">
      <formula>0</formula>
    </cfRule>
  </conditionalFormatting>
  <conditionalFormatting sqref="AZ139">
    <cfRule type="cellIs" dxfId="757" priority="637" operator="lessThan">
      <formula>0</formula>
    </cfRule>
  </conditionalFormatting>
  <conditionalFormatting sqref="BB139">
    <cfRule type="cellIs" dxfId="756" priority="636" operator="lessThan">
      <formula>0</formula>
    </cfRule>
  </conditionalFormatting>
  <conditionalFormatting sqref="BD139">
    <cfRule type="cellIs" dxfId="755" priority="635" operator="lessThan">
      <formula>0</formula>
    </cfRule>
  </conditionalFormatting>
  <conditionalFormatting sqref="BF139">
    <cfRule type="cellIs" dxfId="754" priority="634" operator="lessThan">
      <formula>0</formula>
    </cfRule>
  </conditionalFormatting>
  <conditionalFormatting sqref="BH139">
    <cfRule type="cellIs" dxfId="753" priority="633" operator="lessThan">
      <formula>0</formula>
    </cfRule>
  </conditionalFormatting>
  <conditionalFormatting sqref="BJ139">
    <cfRule type="cellIs" dxfId="752" priority="632" operator="lessThan">
      <formula>0</formula>
    </cfRule>
  </conditionalFormatting>
  <conditionalFormatting sqref="BL139">
    <cfRule type="cellIs" dxfId="751" priority="631" operator="lessThan">
      <formula>0</formula>
    </cfRule>
  </conditionalFormatting>
  <conditionalFormatting sqref="BN139">
    <cfRule type="cellIs" dxfId="750" priority="630" operator="lessThan">
      <formula>0</formula>
    </cfRule>
  </conditionalFormatting>
  <conditionalFormatting sqref="BP139">
    <cfRule type="cellIs" dxfId="749" priority="629" operator="lessThan">
      <formula>0</formula>
    </cfRule>
  </conditionalFormatting>
  <conditionalFormatting sqref="BR139">
    <cfRule type="cellIs" dxfId="748" priority="628" operator="lessThan">
      <formula>0</formula>
    </cfRule>
  </conditionalFormatting>
  <conditionalFormatting sqref="BT139">
    <cfRule type="cellIs" dxfId="747" priority="627" operator="lessThan">
      <formula>0</formula>
    </cfRule>
  </conditionalFormatting>
  <conditionalFormatting sqref="BV139">
    <cfRule type="cellIs" dxfId="746" priority="626" operator="lessThan">
      <formula>0</formula>
    </cfRule>
  </conditionalFormatting>
  <conditionalFormatting sqref="BX139">
    <cfRule type="cellIs" dxfId="745" priority="625" operator="lessThan">
      <formula>0</formula>
    </cfRule>
  </conditionalFormatting>
  <conditionalFormatting sqref="BZ139">
    <cfRule type="cellIs" dxfId="744" priority="624" operator="lessThan">
      <formula>0</formula>
    </cfRule>
  </conditionalFormatting>
  <conditionalFormatting sqref="CB139">
    <cfRule type="cellIs" dxfId="743" priority="623" operator="lessThan">
      <formula>0</formula>
    </cfRule>
  </conditionalFormatting>
  <conditionalFormatting sqref="CD139">
    <cfRule type="cellIs" dxfId="742" priority="622" operator="lessThan">
      <formula>0</formula>
    </cfRule>
  </conditionalFormatting>
  <conditionalFormatting sqref="CF139">
    <cfRule type="cellIs" dxfId="741" priority="621" operator="lessThan">
      <formula>0</formula>
    </cfRule>
  </conditionalFormatting>
  <conditionalFormatting sqref="CH139">
    <cfRule type="cellIs" dxfId="740" priority="620" operator="lessThan">
      <formula>0</formula>
    </cfRule>
  </conditionalFormatting>
  <conditionalFormatting sqref="CJ139">
    <cfRule type="cellIs" dxfId="739" priority="619" operator="lessThan">
      <formula>0</formula>
    </cfRule>
  </conditionalFormatting>
  <conditionalFormatting sqref="CL139">
    <cfRule type="cellIs" dxfId="738" priority="618" operator="lessThan">
      <formula>0</formula>
    </cfRule>
  </conditionalFormatting>
  <conditionalFormatting sqref="AJ139">
    <cfRule type="cellIs" dxfId="737" priority="617" operator="lessThan">
      <formula>0</formula>
    </cfRule>
  </conditionalFormatting>
  <conditionalFormatting sqref="AH142">
    <cfRule type="cellIs" dxfId="736" priority="616" operator="lessThan">
      <formula>0</formula>
    </cfRule>
  </conditionalFormatting>
  <conditionalFormatting sqref="AL142">
    <cfRule type="cellIs" dxfId="735" priority="615" operator="lessThan">
      <formula>0</formula>
    </cfRule>
  </conditionalFormatting>
  <conditionalFormatting sqref="AN142">
    <cfRule type="cellIs" dxfId="734" priority="614" operator="lessThan">
      <formula>0</formula>
    </cfRule>
  </conditionalFormatting>
  <conditionalFormatting sqref="AP142">
    <cfRule type="cellIs" dxfId="733" priority="613" operator="lessThan">
      <formula>0</formula>
    </cfRule>
  </conditionalFormatting>
  <conditionalFormatting sqref="AR142">
    <cfRule type="cellIs" dxfId="732" priority="612" operator="lessThan">
      <formula>0</formula>
    </cfRule>
  </conditionalFormatting>
  <conditionalFormatting sqref="AT142">
    <cfRule type="cellIs" dxfId="731" priority="611" operator="lessThan">
      <formula>0</formula>
    </cfRule>
  </conditionalFormatting>
  <conditionalFormatting sqref="AV142">
    <cfRule type="cellIs" dxfId="730" priority="610" operator="lessThan">
      <formula>0</formula>
    </cfRule>
  </conditionalFormatting>
  <conditionalFormatting sqref="AX142">
    <cfRule type="cellIs" dxfId="729" priority="609" operator="lessThan">
      <formula>0</formula>
    </cfRule>
  </conditionalFormatting>
  <conditionalFormatting sqref="AZ142">
    <cfRule type="cellIs" dxfId="728" priority="608" operator="lessThan">
      <formula>0</formula>
    </cfRule>
  </conditionalFormatting>
  <conditionalFormatting sqref="BB142">
    <cfRule type="cellIs" dxfId="727" priority="607" operator="lessThan">
      <formula>0</formula>
    </cfRule>
  </conditionalFormatting>
  <conditionalFormatting sqref="BD142">
    <cfRule type="cellIs" dxfId="726" priority="606" operator="lessThan">
      <formula>0</formula>
    </cfRule>
  </conditionalFormatting>
  <conditionalFormatting sqref="BF142">
    <cfRule type="cellIs" dxfId="725" priority="605" operator="lessThan">
      <formula>0</formula>
    </cfRule>
  </conditionalFormatting>
  <conditionalFormatting sqref="BH142">
    <cfRule type="cellIs" dxfId="724" priority="604" operator="lessThan">
      <formula>0</formula>
    </cfRule>
  </conditionalFormatting>
  <conditionalFormatting sqref="BJ142">
    <cfRule type="cellIs" dxfId="723" priority="603" operator="lessThan">
      <formula>0</formula>
    </cfRule>
  </conditionalFormatting>
  <conditionalFormatting sqref="BL142">
    <cfRule type="cellIs" dxfId="722" priority="602" operator="lessThan">
      <formula>0</formula>
    </cfRule>
  </conditionalFormatting>
  <conditionalFormatting sqref="BN142">
    <cfRule type="cellIs" dxfId="721" priority="601" operator="lessThan">
      <formula>0</formula>
    </cfRule>
  </conditionalFormatting>
  <conditionalFormatting sqref="BP142">
    <cfRule type="cellIs" dxfId="720" priority="600" operator="lessThan">
      <formula>0</formula>
    </cfRule>
  </conditionalFormatting>
  <conditionalFormatting sqref="BR142">
    <cfRule type="cellIs" dxfId="719" priority="599" operator="lessThan">
      <formula>0</formula>
    </cfRule>
  </conditionalFormatting>
  <conditionalFormatting sqref="BT142">
    <cfRule type="cellIs" dxfId="718" priority="598" operator="lessThan">
      <formula>0</formula>
    </cfRule>
  </conditionalFormatting>
  <conditionalFormatting sqref="BV142">
    <cfRule type="cellIs" dxfId="717" priority="597" operator="lessThan">
      <formula>0</formula>
    </cfRule>
  </conditionalFormatting>
  <conditionalFormatting sqref="BX142">
    <cfRule type="cellIs" dxfId="716" priority="596" operator="lessThan">
      <formula>0</formula>
    </cfRule>
  </conditionalFormatting>
  <conditionalFormatting sqref="BZ142">
    <cfRule type="cellIs" dxfId="715" priority="595" operator="lessThan">
      <formula>0</formula>
    </cfRule>
  </conditionalFormatting>
  <conditionalFormatting sqref="CB142">
    <cfRule type="cellIs" dxfId="714" priority="594" operator="lessThan">
      <formula>0</formula>
    </cfRule>
  </conditionalFormatting>
  <conditionalFormatting sqref="CD142">
    <cfRule type="cellIs" dxfId="713" priority="593" operator="lessThan">
      <formula>0</formula>
    </cfRule>
  </conditionalFormatting>
  <conditionalFormatting sqref="CF142">
    <cfRule type="cellIs" dxfId="712" priority="592" operator="lessThan">
      <formula>0</formula>
    </cfRule>
  </conditionalFormatting>
  <conditionalFormatting sqref="CH142">
    <cfRule type="cellIs" dxfId="711" priority="591" operator="lessThan">
      <formula>0</formula>
    </cfRule>
  </conditionalFormatting>
  <conditionalFormatting sqref="CJ142">
    <cfRule type="cellIs" dxfId="710" priority="590" operator="lessThan">
      <formula>0</formula>
    </cfRule>
  </conditionalFormatting>
  <conditionalFormatting sqref="CL142">
    <cfRule type="cellIs" dxfId="709" priority="589" operator="lessThan">
      <formula>0</formula>
    </cfRule>
  </conditionalFormatting>
  <conditionalFormatting sqref="AJ142">
    <cfRule type="cellIs" dxfId="708" priority="588" operator="lessThan">
      <formula>0</formula>
    </cfRule>
  </conditionalFormatting>
  <conditionalFormatting sqref="AH143">
    <cfRule type="cellIs" dxfId="707" priority="587" operator="lessThan">
      <formula>0</formula>
    </cfRule>
  </conditionalFormatting>
  <conditionalFormatting sqref="AL143">
    <cfRule type="cellIs" dxfId="706" priority="586" operator="lessThan">
      <formula>0</formula>
    </cfRule>
  </conditionalFormatting>
  <conditionalFormatting sqref="AN143">
    <cfRule type="cellIs" dxfId="705" priority="585" operator="lessThan">
      <formula>0</formula>
    </cfRule>
  </conditionalFormatting>
  <conditionalFormatting sqref="AP143">
    <cfRule type="cellIs" dxfId="704" priority="584" operator="lessThan">
      <formula>0</formula>
    </cfRule>
  </conditionalFormatting>
  <conditionalFormatting sqref="AR143">
    <cfRule type="cellIs" dxfId="703" priority="583" operator="lessThan">
      <formula>0</formula>
    </cfRule>
  </conditionalFormatting>
  <conditionalFormatting sqref="AT143">
    <cfRule type="cellIs" dxfId="702" priority="582" operator="lessThan">
      <formula>0</formula>
    </cfRule>
  </conditionalFormatting>
  <conditionalFormatting sqref="AV143">
    <cfRule type="cellIs" dxfId="701" priority="581" operator="lessThan">
      <formula>0</formula>
    </cfRule>
  </conditionalFormatting>
  <conditionalFormatting sqref="AX143">
    <cfRule type="cellIs" dxfId="700" priority="580" operator="lessThan">
      <formula>0</formula>
    </cfRule>
  </conditionalFormatting>
  <conditionalFormatting sqref="AZ143">
    <cfRule type="cellIs" dxfId="699" priority="579" operator="lessThan">
      <formula>0</formula>
    </cfRule>
  </conditionalFormatting>
  <conditionalFormatting sqref="BB143">
    <cfRule type="cellIs" dxfId="698" priority="578" operator="lessThan">
      <formula>0</formula>
    </cfRule>
  </conditionalFormatting>
  <conditionalFormatting sqref="BD143">
    <cfRule type="cellIs" dxfId="697" priority="577" operator="lessThan">
      <formula>0</formula>
    </cfRule>
  </conditionalFormatting>
  <conditionalFormatting sqref="BF143">
    <cfRule type="cellIs" dxfId="696" priority="576" operator="lessThan">
      <formula>0</formula>
    </cfRule>
  </conditionalFormatting>
  <conditionalFormatting sqref="BH143">
    <cfRule type="cellIs" dxfId="695" priority="575" operator="lessThan">
      <formula>0</formula>
    </cfRule>
  </conditionalFormatting>
  <conditionalFormatting sqref="BJ143">
    <cfRule type="cellIs" dxfId="694" priority="574" operator="lessThan">
      <formula>0</formula>
    </cfRule>
  </conditionalFormatting>
  <conditionalFormatting sqref="BL143">
    <cfRule type="cellIs" dxfId="693" priority="573" operator="lessThan">
      <formula>0</formula>
    </cfRule>
  </conditionalFormatting>
  <conditionalFormatting sqref="BN143">
    <cfRule type="cellIs" dxfId="692" priority="572" operator="lessThan">
      <formula>0</formula>
    </cfRule>
  </conditionalFormatting>
  <conditionalFormatting sqref="BP143">
    <cfRule type="cellIs" dxfId="691" priority="571" operator="lessThan">
      <formula>0</formula>
    </cfRule>
  </conditionalFormatting>
  <conditionalFormatting sqref="BR143">
    <cfRule type="cellIs" dxfId="690" priority="570" operator="lessThan">
      <formula>0</formula>
    </cfRule>
  </conditionalFormatting>
  <conditionalFormatting sqref="BT143">
    <cfRule type="cellIs" dxfId="689" priority="569" operator="lessThan">
      <formula>0</formula>
    </cfRule>
  </conditionalFormatting>
  <conditionalFormatting sqref="BV143">
    <cfRule type="cellIs" dxfId="688" priority="568" operator="lessThan">
      <formula>0</formula>
    </cfRule>
  </conditionalFormatting>
  <conditionalFormatting sqref="BX143">
    <cfRule type="cellIs" dxfId="687" priority="567" operator="lessThan">
      <formula>0</formula>
    </cfRule>
  </conditionalFormatting>
  <conditionalFormatting sqref="BZ143">
    <cfRule type="cellIs" dxfId="686" priority="566" operator="lessThan">
      <formula>0</formula>
    </cfRule>
  </conditionalFormatting>
  <conditionalFormatting sqref="CB143">
    <cfRule type="cellIs" dxfId="685" priority="565" operator="lessThan">
      <formula>0</formula>
    </cfRule>
  </conditionalFormatting>
  <conditionalFormatting sqref="CD143">
    <cfRule type="cellIs" dxfId="684" priority="564" operator="lessThan">
      <formula>0</formula>
    </cfRule>
  </conditionalFormatting>
  <conditionalFormatting sqref="CF143">
    <cfRule type="cellIs" dxfId="683" priority="563" operator="lessThan">
      <formula>0</formula>
    </cfRule>
  </conditionalFormatting>
  <conditionalFormatting sqref="CH143">
    <cfRule type="cellIs" dxfId="682" priority="562" operator="lessThan">
      <formula>0</formula>
    </cfRule>
  </conditionalFormatting>
  <conditionalFormatting sqref="CJ143">
    <cfRule type="cellIs" dxfId="681" priority="561" operator="lessThan">
      <formula>0</formula>
    </cfRule>
  </conditionalFormatting>
  <conditionalFormatting sqref="CL143">
    <cfRule type="cellIs" dxfId="680" priority="560" operator="lessThan">
      <formula>0</formula>
    </cfRule>
  </conditionalFormatting>
  <conditionalFormatting sqref="AJ143">
    <cfRule type="cellIs" dxfId="679" priority="559" operator="lessThan">
      <formula>0</formula>
    </cfRule>
  </conditionalFormatting>
  <conditionalFormatting sqref="AH144">
    <cfRule type="cellIs" dxfId="678" priority="558" operator="lessThan">
      <formula>0</formula>
    </cfRule>
  </conditionalFormatting>
  <conditionalFormatting sqref="AL144">
    <cfRule type="cellIs" dxfId="677" priority="557" operator="lessThan">
      <formula>0</formula>
    </cfRule>
  </conditionalFormatting>
  <conditionalFormatting sqref="AN144">
    <cfRule type="cellIs" dxfId="676" priority="556" operator="lessThan">
      <formula>0</formula>
    </cfRule>
  </conditionalFormatting>
  <conditionalFormatting sqref="AP144">
    <cfRule type="cellIs" dxfId="675" priority="555" operator="lessThan">
      <formula>0</formula>
    </cfRule>
  </conditionalFormatting>
  <conditionalFormatting sqref="AR144">
    <cfRule type="cellIs" dxfId="674" priority="554" operator="lessThan">
      <formula>0</formula>
    </cfRule>
  </conditionalFormatting>
  <conditionalFormatting sqref="AT144">
    <cfRule type="cellIs" dxfId="673" priority="553" operator="lessThan">
      <formula>0</formula>
    </cfRule>
  </conditionalFormatting>
  <conditionalFormatting sqref="AV144">
    <cfRule type="cellIs" dxfId="672" priority="552" operator="lessThan">
      <formula>0</formula>
    </cfRule>
  </conditionalFormatting>
  <conditionalFormatting sqref="AX144">
    <cfRule type="cellIs" dxfId="671" priority="551" operator="lessThan">
      <formula>0</formula>
    </cfRule>
  </conditionalFormatting>
  <conditionalFormatting sqref="AZ144">
    <cfRule type="cellIs" dxfId="670" priority="550" operator="lessThan">
      <formula>0</formula>
    </cfRule>
  </conditionalFormatting>
  <conditionalFormatting sqref="BB144">
    <cfRule type="cellIs" dxfId="669" priority="549" operator="lessThan">
      <formula>0</formula>
    </cfRule>
  </conditionalFormatting>
  <conditionalFormatting sqref="BD144">
    <cfRule type="cellIs" dxfId="668" priority="548" operator="lessThan">
      <formula>0</formula>
    </cfRule>
  </conditionalFormatting>
  <conditionalFormatting sqref="BF144">
    <cfRule type="cellIs" dxfId="667" priority="547" operator="lessThan">
      <formula>0</formula>
    </cfRule>
  </conditionalFormatting>
  <conditionalFormatting sqref="BH144">
    <cfRule type="cellIs" dxfId="666" priority="546" operator="lessThan">
      <formula>0</formula>
    </cfRule>
  </conditionalFormatting>
  <conditionalFormatting sqref="BJ144">
    <cfRule type="cellIs" dxfId="665" priority="545" operator="lessThan">
      <formula>0</formula>
    </cfRule>
  </conditionalFormatting>
  <conditionalFormatting sqref="BL144">
    <cfRule type="cellIs" dxfId="664" priority="544" operator="lessThan">
      <formula>0</formula>
    </cfRule>
  </conditionalFormatting>
  <conditionalFormatting sqref="BN144">
    <cfRule type="cellIs" dxfId="663" priority="543" operator="lessThan">
      <formula>0</formula>
    </cfRule>
  </conditionalFormatting>
  <conditionalFormatting sqref="BP144">
    <cfRule type="cellIs" dxfId="662" priority="542" operator="lessThan">
      <formula>0</formula>
    </cfRule>
  </conditionalFormatting>
  <conditionalFormatting sqref="BR144">
    <cfRule type="cellIs" dxfId="661" priority="541" operator="lessThan">
      <formula>0</formula>
    </cfRule>
  </conditionalFormatting>
  <conditionalFormatting sqref="BT144">
    <cfRule type="cellIs" dxfId="660" priority="540" operator="lessThan">
      <formula>0</formula>
    </cfRule>
  </conditionalFormatting>
  <conditionalFormatting sqref="BV144">
    <cfRule type="cellIs" dxfId="659" priority="539" operator="lessThan">
      <formula>0</formula>
    </cfRule>
  </conditionalFormatting>
  <conditionalFormatting sqref="BX144">
    <cfRule type="cellIs" dxfId="658" priority="538" operator="lessThan">
      <formula>0</formula>
    </cfRule>
  </conditionalFormatting>
  <conditionalFormatting sqref="BZ144">
    <cfRule type="cellIs" dxfId="657" priority="537" operator="lessThan">
      <formula>0</formula>
    </cfRule>
  </conditionalFormatting>
  <conditionalFormatting sqref="CB144">
    <cfRule type="cellIs" dxfId="656" priority="536" operator="lessThan">
      <formula>0</formula>
    </cfRule>
  </conditionalFormatting>
  <conditionalFormatting sqref="CD144">
    <cfRule type="cellIs" dxfId="655" priority="535" operator="lessThan">
      <formula>0</formula>
    </cfRule>
  </conditionalFormatting>
  <conditionalFormatting sqref="CF144">
    <cfRule type="cellIs" dxfId="654" priority="534" operator="lessThan">
      <formula>0</formula>
    </cfRule>
  </conditionalFormatting>
  <conditionalFormatting sqref="CH144">
    <cfRule type="cellIs" dxfId="653" priority="533" operator="lessThan">
      <formula>0</formula>
    </cfRule>
  </conditionalFormatting>
  <conditionalFormatting sqref="CJ144">
    <cfRule type="cellIs" dxfId="652" priority="532" operator="lessThan">
      <formula>0</formula>
    </cfRule>
  </conditionalFormatting>
  <conditionalFormatting sqref="CL144">
    <cfRule type="cellIs" dxfId="651" priority="531" operator="lessThan">
      <formula>0</formula>
    </cfRule>
  </conditionalFormatting>
  <conditionalFormatting sqref="AJ144">
    <cfRule type="cellIs" dxfId="650" priority="530" operator="lessThan">
      <formula>0</formula>
    </cfRule>
  </conditionalFormatting>
  <conditionalFormatting sqref="AH145">
    <cfRule type="cellIs" dxfId="649" priority="529" operator="lessThan">
      <formula>0</formula>
    </cfRule>
  </conditionalFormatting>
  <conditionalFormatting sqref="AL145">
    <cfRule type="cellIs" dxfId="648" priority="528" operator="lessThan">
      <formula>0</formula>
    </cfRule>
  </conditionalFormatting>
  <conditionalFormatting sqref="AN145">
    <cfRule type="cellIs" dxfId="647" priority="527" operator="lessThan">
      <formula>0</formula>
    </cfRule>
  </conditionalFormatting>
  <conditionalFormatting sqref="AP145">
    <cfRule type="cellIs" dxfId="646" priority="526" operator="lessThan">
      <formula>0</formula>
    </cfRule>
  </conditionalFormatting>
  <conditionalFormatting sqref="AR145">
    <cfRule type="cellIs" dxfId="645" priority="525" operator="lessThan">
      <formula>0</formula>
    </cfRule>
  </conditionalFormatting>
  <conditionalFormatting sqref="AT145">
    <cfRule type="cellIs" dxfId="644" priority="524" operator="lessThan">
      <formula>0</formula>
    </cfRule>
  </conditionalFormatting>
  <conditionalFormatting sqref="AV145">
    <cfRule type="cellIs" dxfId="643" priority="523" operator="lessThan">
      <formula>0</formula>
    </cfRule>
  </conditionalFormatting>
  <conditionalFormatting sqref="AX145">
    <cfRule type="cellIs" dxfId="642" priority="522" operator="lessThan">
      <formula>0</formula>
    </cfRule>
  </conditionalFormatting>
  <conditionalFormatting sqref="AZ145">
    <cfRule type="cellIs" dxfId="641" priority="521" operator="lessThan">
      <formula>0</formula>
    </cfRule>
  </conditionalFormatting>
  <conditionalFormatting sqref="BB145">
    <cfRule type="cellIs" dxfId="640" priority="520" operator="lessThan">
      <formula>0</formula>
    </cfRule>
  </conditionalFormatting>
  <conditionalFormatting sqref="BD145">
    <cfRule type="cellIs" dxfId="639" priority="519" operator="lessThan">
      <formula>0</formula>
    </cfRule>
  </conditionalFormatting>
  <conditionalFormatting sqref="BF145">
    <cfRule type="cellIs" dxfId="638" priority="518" operator="lessThan">
      <formula>0</formula>
    </cfRule>
  </conditionalFormatting>
  <conditionalFormatting sqref="BH145">
    <cfRule type="cellIs" dxfId="637" priority="517" operator="lessThan">
      <formula>0</formula>
    </cfRule>
  </conditionalFormatting>
  <conditionalFormatting sqref="BJ145">
    <cfRule type="cellIs" dxfId="636" priority="516" operator="lessThan">
      <formula>0</formula>
    </cfRule>
  </conditionalFormatting>
  <conditionalFormatting sqref="BL145">
    <cfRule type="cellIs" dxfId="635" priority="515" operator="lessThan">
      <formula>0</formula>
    </cfRule>
  </conditionalFormatting>
  <conditionalFormatting sqref="BN145">
    <cfRule type="cellIs" dxfId="634" priority="514" operator="lessThan">
      <formula>0</formula>
    </cfRule>
  </conditionalFormatting>
  <conditionalFormatting sqref="BP145">
    <cfRule type="cellIs" dxfId="633" priority="513" operator="lessThan">
      <formula>0</formula>
    </cfRule>
  </conditionalFormatting>
  <conditionalFormatting sqref="BR145">
    <cfRule type="cellIs" dxfId="632" priority="512" operator="lessThan">
      <formula>0</formula>
    </cfRule>
  </conditionalFormatting>
  <conditionalFormatting sqref="BT145">
    <cfRule type="cellIs" dxfId="631" priority="511" operator="lessThan">
      <formula>0</formula>
    </cfRule>
  </conditionalFormatting>
  <conditionalFormatting sqref="BV145">
    <cfRule type="cellIs" dxfId="630" priority="510" operator="lessThan">
      <formula>0</formula>
    </cfRule>
  </conditionalFormatting>
  <conditionalFormatting sqref="BX145">
    <cfRule type="cellIs" dxfId="629" priority="509" operator="lessThan">
      <formula>0</formula>
    </cfRule>
  </conditionalFormatting>
  <conditionalFormatting sqref="BZ145">
    <cfRule type="cellIs" dxfId="628" priority="508" operator="lessThan">
      <formula>0</formula>
    </cfRule>
  </conditionalFormatting>
  <conditionalFormatting sqref="CB145">
    <cfRule type="cellIs" dxfId="627" priority="507" operator="lessThan">
      <formula>0</formula>
    </cfRule>
  </conditionalFormatting>
  <conditionalFormatting sqref="CD145">
    <cfRule type="cellIs" dxfId="626" priority="506" operator="lessThan">
      <formula>0</formula>
    </cfRule>
  </conditionalFormatting>
  <conditionalFormatting sqref="CF145">
    <cfRule type="cellIs" dxfId="625" priority="505" operator="lessThan">
      <formula>0</formula>
    </cfRule>
  </conditionalFormatting>
  <conditionalFormatting sqref="CH145">
    <cfRule type="cellIs" dxfId="624" priority="504" operator="lessThan">
      <formula>0</formula>
    </cfRule>
  </conditionalFormatting>
  <conditionalFormatting sqref="CJ145">
    <cfRule type="cellIs" dxfId="623" priority="503" operator="lessThan">
      <formula>0</formula>
    </cfRule>
  </conditionalFormatting>
  <conditionalFormatting sqref="CL145">
    <cfRule type="cellIs" dxfId="622" priority="502" operator="lessThan">
      <formula>0</formula>
    </cfRule>
  </conditionalFormatting>
  <conditionalFormatting sqref="AJ145">
    <cfRule type="cellIs" dxfId="621" priority="501" operator="lessThan">
      <formula>0</formula>
    </cfRule>
  </conditionalFormatting>
  <conditionalFormatting sqref="AH146">
    <cfRule type="cellIs" dxfId="620" priority="500" operator="lessThan">
      <formula>0</formula>
    </cfRule>
  </conditionalFormatting>
  <conditionalFormatting sqref="AL146">
    <cfRule type="cellIs" dxfId="619" priority="499" operator="lessThan">
      <formula>0</formula>
    </cfRule>
  </conditionalFormatting>
  <conditionalFormatting sqref="AN146">
    <cfRule type="cellIs" dxfId="618" priority="498" operator="lessThan">
      <formula>0</formula>
    </cfRule>
  </conditionalFormatting>
  <conditionalFormatting sqref="AP146">
    <cfRule type="cellIs" dxfId="617" priority="497" operator="lessThan">
      <formula>0</formula>
    </cfRule>
  </conditionalFormatting>
  <conditionalFormatting sqref="AR146">
    <cfRule type="cellIs" dxfId="616" priority="496" operator="lessThan">
      <formula>0</formula>
    </cfRule>
  </conditionalFormatting>
  <conditionalFormatting sqref="AT146">
    <cfRule type="cellIs" dxfId="615" priority="495" operator="lessThan">
      <formula>0</formula>
    </cfRule>
  </conditionalFormatting>
  <conditionalFormatting sqref="AV146">
    <cfRule type="cellIs" dxfId="614" priority="494" operator="lessThan">
      <formula>0</formula>
    </cfRule>
  </conditionalFormatting>
  <conditionalFormatting sqref="AX146">
    <cfRule type="cellIs" dxfId="613" priority="493" operator="lessThan">
      <formula>0</formula>
    </cfRule>
  </conditionalFormatting>
  <conditionalFormatting sqref="AZ146">
    <cfRule type="cellIs" dxfId="612" priority="492" operator="lessThan">
      <formula>0</formula>
    </cfRule>
  </conditionalFormatting>
  <conditionalFormatting sqref="BB146">
    <cfRule type="cellIs" dxfId="611" priority="491" operator="lessThan">
      <formula>0</formula>
    </cfRule>
  </conditionalFormatting>
  <conditionalFormatting sqref="BD146">
    <cfRule type="cellIs" dxfId="610" priority="490" operator="lessThan">
      <formula>0</formula>
    </cfRule>
  </conditionalFormatting>
  <conditionalFormatting sqref="BF146">
    <cfRule type="cellIs" dxfId="609" priority="489" operator="lessThan">
      <formula>0</formula>
    </cfRule>
  </conditionalFormatting>
  <conditionalFormatting sqref="BH146">
    <cfRule type="cellIs" dxfId="608" priority="488" operator="lessThan">
      <formula>0</formula>
    </cfRule>
  </conditionalFormatting>
  <conditionalFormatting sqref="BJ146">
    <cfRule type="cellIs" dxfId="607" priority="487" operator="lessThan">
      <formula>0</formula>
    </cfRule>
  </conditionalFormatting>
  <conditionalFormatting sqref="BL146">
    <cfRule type="cellIs" dxfId="606" priority="486" operator="lessThan">
      <formula>0</formula>
    </cfRule>
  </conditionalFormatting>
  <conditionalFormatting sqref="BN146">
    <cfRule type="cellIs" dxfId="605" priority="485" operator="lessThan">
      <formula>0</formula>
    </cfRule>
  </conditionalFormatting>
  <conditionalFormatting sqref="BP146">
    <cfRule type="cellIs" dxfId="604" priority="484" operator="lessThan">
      <formula>0</formula>
    </cfRule>
  </conditionalFormatting>
  <conditionalFormatting sqref="BR146">
    <cfRule type="cellIs" dxfId="603" priority="483" operator="lessThan">
      <formula>0</formula>
    </cfRule>
  </conditionalFormatting>
  <conditionalFormatting sqref="BT146">
    <cfRule type="cellIs" dxfId="602" priority="482" operator="lessThan">
      <formula>0</formula>
    </cfRule>
  </conditionalFormatting>
  <conditionalFormatting sqref="BV146">
    <cfRule type="cellIs" dxfId="601" priority="481" operator="lessThan">
      <formula>0</formula>
    </cfRule>
  </conditionalFormatting>
  <conditionalFormatting sqref="BX146">
    <cfRule type="cellIs" dxfId="600" priority="480" operator="lessThan">
      <formula>0</formula>
    </cfRule>
  </conditionalFormatting>
  <conditionalFormatting sqref="BZ146">
    <cfRule type="cellIs" dxfId="599" priority="479" operator="lessThan">
      <formula>0</formula>
    </cfRule>
  </conditionalFormatting>
  <conditionalFormatting sqref="CB146">
    <cfRule type="cellIs" dxfId="598" priority="478" operator="lessThan">
      <formula>0</formula>
    </cfRule>
  </conditionalFormatting>
  <conditionalFormatting sqref="CD146">
    <cfRule type="cellIs" dxfId="597" priority="477" operator="lessThan">
      <formula>0</formula>
    </cfRule>
  </conditionalFormatting>
  <conditionalFormatting sqref="CF146">
    <cfRule type="cellIs" dxfId="596" priority="476" operator="lessThan">
      <formula>0</formula>
    </cfRule>
  </conditionalFormatting>
  <conditionalFormatting sqref="CH146">
    <cfRule type="cellIs" dxfId="595" priority="475" operator="lessThan">
      <formula>0</formula>
    </cfRule>
  </conditionalFormatting>
  <conditionalFormatting sqref="CJ146">
    <cfRule type="cellIs" dxfId="594" priority="474" operator="lessThan">
      <formula>0</formula>
    </cfRule>
  </conditionalFormatting>
  <conditionalFormatting sqref="CL146">
    <cfRule type="cellIs" dxfId="593" priority="473" operator="lessThan">
      <formula>0</formula>
    </cfRule>
  </conditionalFormatting>
  <conditionalFormatting sqref="AJ146">
    <cfRule type="cellIs" dxfId="592" priority="472" operator="lessThan">
      <formula>0</formula>
    </cfRule>
  </conditionalFormatting>
  <conditionalFormatting sqref="AH147:AH149">
    <cfRule type="cellIs" dxfId="591" priority="471" operator="lessThan">
      <formula>0</formula>
    </cfRule>
  </conditionalFormatting>
  <conditionalFormatting sqref="AL147:AL149">
    <cfRule type="cellIs" dxfId="590" priority="470" operator="lessThan">
      <formula>0</formula>
    </cfRule>
  </conditionalFormatting>
  <conditionalFormatting sqref="AN147:AN149">
    <cfRule type="cellIs" dxfId="589" priority="469" operator="lessThan">
      <formula>0</formula>
    </cfRule>
  </conditionalFormatting>
  <conditionalFormatting sqref="AP147:AP149">
    <cfRule type="cellIs" dxfId="588" priority="468" operator="lessThan">
      <formula>0</formula>
    </cfRule>
  </conditionalFormatting>
  <conditionalFormatting sqref="AR147:AR149">
    <cfRule type="cellIs" dxfId="587" priority="467" operator="lessThan">
      <formula>0</formula>
    </cfRule>
  </conditionalFormatting>
  <conditionalFormatting sqref="AT147:AT149">
    <cfRule type="cellIs" dxfId="586" priority="466" operator="lessThan">
      <formula>0</formula>
    </cfRule>
  </conditionalFormatting>
  <conditionalFormatting sqref="AV147:AV149">
    <cfRule type="cellIs" dxfId="585" priority="465" operator="lessThan">
      <formula>0</formula>
    </cfRule>
  </conditionalFormatting>
  <conditionalFormatting sqref="AX147:AX149">
    <cfRule type="cellIs" dxfId="584" priority="464" operator="lessThan">
      <formula>0</formula>
    </cfRule>
  </conditionalFormatting>
  <conditionalFormatting sqref="AZ147:AZ149">
    <cfRule type="cellIs" dxfId="583" priority="463" operator="lessThan">
      <formula>0</formula>
    </cfRule>
  </conditionalFormatting>
  <conditionalFormatting sqref="BB147:BB149">
    <cfRule type="cellIs" dxfId="582" priority="462" operator="lessThan">
      <formula>0</formula>
    </cfRule>
  </conditionalFormatting>
  <conditionalFormatting sqref="BD147:BD149">
    <cfRule type="cellIs" dxfId="581" priority="461" operator="lessThan">
      <formula>0</formula>
    </cfRule>
  </conditionalFormatting>
  <conditionalFormatting sqref="BF147:BF149">
    <cfRule type="cellIs" dxfId="580" priority="460" operator="lessThan">
      <formula>0</formula>
    </cfRule>
  </conditionalFormatting>
  <conditionalFormatting sqref="BH147:BH149">
    <cfRule type="cellIs" dxfId="579" priority="459" operator="lessThan">
      <formula>0</formula>
    </cfRule>
  </conditionalFormatting>
  <conditionalFormatting sqref="BJ147:BJ149">
    <cfRule type="cellIs" dxfId="578" priority="458" operator="lessThan">
      <formula>0</formula>
    </cfRule>
  </conditionalFormatting>
  <conditionalFormatting sqref="BL147:BL149">
    <cfRule type="cellIs" dxfId="577" priority="457" operator="lessThan">
      <formula>0</formula>
    </cfRule>
  </conditionalFormatting>
  <conditionalFormatting sqref="BN147:BN149">
    <cfRule type="cellIs" dxfId="576" priority="456" operator="lessThan">
      <formula>0</formula>
    </cfRule>
  </conditionalFormatting>
  <conditionalFormatting sqref="BP147:BP149">
    <cfRule type="cellIs" dxfId="575" priority="455" operator="lessThan">
      <formula>0</formula>
    </cfRule>
  </conditionalFormatting>
  <conditionalFormatting sqref="BR147:BR149">
    <cfRule type="cellIs" dxfId="574" priority="454" operator="lessThan">
      <formula>0</formula>
    </cfRule>
  </conditionalFormatting>
  <conditionalFormatting sqref="BT147:BT149">
    <cfRule type="cellIs" dxfId="573" priority="453" operator="lessThan">
      <formula>0</formula>
    </cfRule>
  </conditionalFormatting>
  <conditionalFormatting sqref="BV147:BV149">
    <cfRule type="cellIs" dxfId="572" priority="452" operator="lessThan">
      <formula>0</formula>
    </cfRule>
  </conditionalFormatting>
  <conditionalFormatting sqref="BX147:BX149">
    <cfRule type="cellIs" dxfId="571" priority="451" operator="lessThan">
      <formula>0</formula>
    </cfRule>
  </conditionalFormatting>
  <conditionalFormatting sqref="BZ147:BZ149">
    <cfRule type="cellIs" dxfId="570" priority="450" operator="lessThan">
      <formula>0</formula>
    </cfRule>
  </conditionalFormatting>
  <conditionalFormatting sqref="CB147:CB149">
    <cfRule type="cellIs" dxfId="569" priority="449" operator="lessThan">
      <formula>0</formula>
    </cfRule>
  </conditionalFormatting>
  <conditionalFormatting sqref="CD147:CD149">
    <cfRule type="cellIs" dxfId="568" priority="448" operator="lessThan">
      <formula>0</formula>
    </cfRule>
  </conditionalFormatting>
  <conditionalFormatting sqref="CF147:CF149">
    <cfRule type="cellIs" dxfId="567" priority="447" operator="lessThan">
      <formula>0</formula>
    </cfRule>
  </conditionalFormatting>
  <conditionalFormatting sqref="CH147:CH149">
    <cfRule type="cellIs" dxfId="566" priority="446" operator="lessThan">
      <formula>0</formula>
    </cfRule>
  </conditionalFormatting>
  <conditionalFormatting sqref="CJ147:CJ149">
    <cfRule type="cellIs" dxfId="565" priority="445" operator="lessThan">
      <formula>0</formula>
    </cfRule>
  </conditionalFormatting>
  <conditionalFormatting sqref="CL147:CL149">
    <cfRule type="cellIs" dxfId="564" priority="444" operator="lessThan">
      <formula>0</formula>
    </cfRule>
  </conditionalFormatting>
  <conditionalFormatting sqref="AJ147:AJ149">
    <cfRule type="cellIs" dxfId="563" priority="443" operator="lessThan">
      <formula>0</formula>
    </cfRule>
  </conditionalFormatting>
  <conditionalFormatting sqref="AH150:AH151">
    <cfRule type="cellIs" dxfId="562" priority="442" operator="lessThan">
      <formula>0</formula>
    </cfRule>
  </conditionalFormatting>
  <conditionalFormatting sqref="AL150:AL151">
    <cfRule type="cellIs" dxfId="561" priority="441" operator="lessThan">
      <formula>0</formula>
    </cfRule>
  </conditionalFormatting>
  <conditionalFormatting sqref="AN150:AN151">
    <cfRule type="cellIs" dxfId="560" priority="440" operator="lessThan">
      <formula>0</formula>
    </cfRule>
  </conditionalFormatting>
  <conditionalFormatting sqref="AP150:AP151">
    <cfRule type="cellIs" dxfId="559" priority="439" operator="lessThan">
      <formula>0</formula>
    </cfRule>
  </conditionalFormatting>
  <conditionalFormatting sqref="AR150:AR151">
    <cfRule type="cellIs" dxfId="558" priority="438" operator="lessThan">
      <formula>0</formula>
    </cfRule>
  </conditionalFormatting>
  <conditionalFormatting sqref="AT150:AT151">
    <cfRule type="cellIs" dxfId="557" priority="437" operator="lessThan">
      <formula>0</formula>
    </cfRule>
  </conditionalFormatting>
  <conditionalFormatting sqref="AV150:AV151">
    <cfRule type="cellIs" dxfId="556" priority="436" operator="lessThan">
      <formula>0</formula>
    </cfRule>
  </conditionalFormatting>
  <conditionalFormatting sqref="AX150:AX151">
    <cfRule type="cellIs" dxfId="555" priority="435" operator="lessThan">
      <formula>0</formula>
    </cfRule>
  </conditionalFormatting>
  <conditionalFormatting sqref="AZ150:AZ151">
    <cfRule type="cellIs" dxfId="554" priority="434" operator="lessThan">
      <formula>0</formula>
    </cfRule>
  </conditionalFormatting>
  <conditionalFormatting sqref="BB150:BB151">
    <cfRule type="cellIs" dxfId="553" priority="433" operator="lessThan">
      <formula>0</formula>
    </cfRule>
  </conditionalFormatting>
  <conditionalFormatting sqref="BD150:BD151">
    <cfRule type="cellIs" dxfId="552" priority="432" operator="lessThan">
      <formula>0</formula>
    </cfRule>
  </conditionalFormatting>
  <conditionalFormatting sqref="BF150:BF151">
    <cfRule type="cellIs" dxfId="551" priority="431" operator="lessThan">
      <formula>0</formula>
    </cfRule>
  </conditionalFormatting>
  <conditionalFormatting sqref="BH150:BH151">
    <cfRule type="cellIs" dxfId="550" priority="430" operator="lessThan">
      <formula>0</formula>
    </cfRule>
  </conditionalFormatting>
  <conditionalFormatting sqref="BJ150:BJ151">
    <cfRule type="cellIs" dxfId="549" priority="429" operator="lessThan">
      <formula>0</formula>
    </cfRule>
  </conditionalFormatting>
  <conditionalFormatting sqref="BL150:BL151">
    <cfRule type="cellIs" dxfId="548" priority="428" operator="lessThan">
      <formula>0</formula>
    </cfRule>
  </conditionalFormatting>
  <conditionalFormatting sqref="BN150:BN151">
    <cfRule type="cellIs" dxfId="547" priority="427" operator="lessThan">
      <formula>0</formula>
    </cfRule>
  </conditionalFormatting>
  <conditionalFormatting sqref="BP150:BP151">
    <cfRule type="cellIs" dxfId="546" priority="426" operator="lessThan">
      <formula>0</formula>
    </cfRule>
  </conditionalFormatting>
  <conditionalFormatting sqref="BR150:BR151">
    <cfRule type="cellIs" dxfId="545" priority="425" operator="lessThan">
      <formula>0</formula>
    </cfRule>
  </conditionalFormatting>
  <conditionalFormatting sqref="BT150:BT151">
    <cfRule type="cellIs" dxfId="544" priority="424" operator="lessThan">
      <formula>0</formula>
    </cfRule>
  </conditionalFormatting>
  <conditionalFormatting sqref="BV150:BV151">
    <cfRule type="cellIs" dxfId="543" priority="423" operator="lessThan">
      <formula>0</formula>
    </cfRule>
  </conditionalFormatting>
  <conditionalFormatting sqref="BX150:BX151">
    <cfRule type="cellIs" dxfId="542" priority="422" operator="lessThan">
      <formula>0</formula>
    </cfRule>
  </conditionalFormatting>
  <conditionalFormatting sqref="BZ150:BZ151">
    <cfRule type="cellIs" dxfId="541" priority="421" operator="lessThan">
      <formula>0</formula>
    </cfRule>
  </conditionalFormatting>
  <conditionalFormatting sqref="CB150:CB151">
    <cfRule type="cellIs" dxfId="540" priority="420" operator="lessThan">
      <formula>0</formula>
    </cfRule>
  </conditionalFormatting>
  <conditionalFormatting sqref="CD150:CD151">
    <cfRule type="cellIs" dxfId="539" priority="419" operator="lessThan">
      <formula>0</formula>
    </cfRule>
  </conditionalFormatting>
  <conditionalFormatting sqref="CF150:CF151">
    <cfRule type="cellIs" dxfId="538" priority="418" operator="lessThan">
      <formula>0</formula>
    </cfRule>
  </conditionalFormatting>
  <conditionalFormatting sqref="CH150:CH151">
    <cfRule type="cellIs" dxfId="537" priority="417" operator="lessThan">
      <formula>0</formula>
    </cfRule>
  </conditionalFormatting>
  <conditionalFormatting sqref="CJ150:CJ151">
    <cfRule type="cellIs" dxfId="536" priority="416" operator="lessThan">
      <formula>0</formula>
    </cfRule>
  </conditionalFormatting>
  <conditionalFormatting sqref="CL150:CL151">
    <cfRule type="cellIs" dxfId="535" priority="415" operator="lessThan">
      <formula>0</formula>
    </cfRule>
  </conditionalFormatting>
  <conditionalFormatting sqref="AJ150:AJ151">
    <cfRule type="cellIs" dxfId="534" priority="414" operator="lessThan">
      <formula>0</formula>
    </cfRule>
  </conditionalFormatting>
  <conditionalFormatting sqref="AH152">
    <cfRule type="cellIs" dxfId="533" priority="413" operator="lessThan">
      <formula>0</formula>
    </cfRule>
  </conditionalFormatting>
  <conditionalFormatting sqref="AL152">
    <cfRule type="cellIs" dxfId="532" priority="412" operator="lessThan">
      <formula>0</formula>
    </cfRule>
  </conditionalFormatting>
  <conditionalFormatting sqref="AN152">
    <cfRule type="cellIs" dxfId="531" priority="411" operator="lessThan">
      <formula>0</formula>
    </cfRule>
  </conditionalFormatting>
  <conditionalFormatting sqref="AP152">
    <cfRule type="cellIs" dxfId="530" priority="410" operator="lessThan">
      <formula>0</formula>
    </cfRule>
  </conditionalFormatting>
  <conditionalFormatting sqref="AR152">
    <cfRule type="cellIs" dxfId="529" priority="409" operator="lessThan">
      <formula>0</formula>
    </cfRule>
  </conditionalFormatting>
  <conditionalFormatting sqref="AT152">
    <cfRule type="cellIs" dxfId="528" priority="408" operator="lessThan">
      <formula>0</formula>
    </cfRule>
  </conditionalFormatting>
  <conditionalFormatting sqref="AV152">
    <cfRule type="cellIs" dxfId="527" priority="407" operator="lessThan">
      <formula>0</formula>
    </cfRule>
  </conditionalFormatting>
  <conditionalFormatting sqref="AX152">
    <cfRule type="cellIs" dxfId="526" priority="406" operator="lessThan">
      <formula>0</formula>
    </cfRule>
  </conditionalFormatting>
  <conditionalFormatting sqref="AZ152">
    <cfRule type="cellIs" dxfId="525" priority="405" operator="lessThan">
      <formula>0</formula>
    </cfRule>
  </conditionalFormatting>
  <conditionalFormatting sqref="BB152">
    <cfRule type="cellIs" dxfId="524" priority="404" operator="lessThan">
      <formula>0</formula>
    </cfRule>
  </conditionalFormatting>
  <conditionalFormatting sqref="BD152">
    <cfRule type="cellIs" dxfId="523" priority="403" operator="lessThan">
      <formula>0</formula>
    </cfRule>
  </conditionalFormatting>
  <conditionalFormatting sqref="BF152">
    <cfRule type="cellIs" dxfId="522" priority="402" operator="lessThan">
      <formula>0</formula>
    </cfRule>
  </conditionalFormatting>
  <conditionalFormatting sqref="BH152">
    <cfRule type="cellIs" dxfId="521" priority="401" operator="lessThan">
      <formula>0</formula>
    </cfRule>
  </conditionalFormatting>
  <conditionalFormatting sqref="BJ152">
    <cfRule type="cellIs" dxfId="520" priority="400" operator="lessThan">
      <formula>0</formula>
    </cfRule>
  </conditionalFormatting>
  <conditionalFormatting sqref="BL152">
    <cfRule type="cellIs" dxfId="519" priority="399" operator="lessThan">
      <formula>0</formula>
    </cfRule>
  </conditionalFormatting>
  <conditionalFormatting sqref="BN152">
    <cfRule type="cellIs" dxfId="518" priority="398" operator="lessThan">
      <formula>0</formula>
    </cfRule>
  </conditionalFormatting>
  <conditionalFormatting sqref="BP152">
    <cfRule type="cellIs" dxfId="517" priority="397" operator="lessThan">
      <formula>0</formula>
    </cfRule>
  </conditionalFormatting>
  <conditionalFormatting sqref="BR152">
    <cfRule type="cellIs" dxfId="516" priority="396" operator="lessThan">
      <formula>0</formula>
    </cfRule>
  </conditionalFormatting>
  <conditionalFormatting sqref="BT152">
    <cfRule type="cellIs" dxfId="515" priority="395" operator="lessThan">
      <formula>0</formula>
    </cfRule>
  </conditionalFormatting>
  <conditionalFormatting sqref="BV152">
    <cfRule type="cellIs" dxfId="514" priority="394" operator="lessThan">
      <formula>0</formula>
    </cfRule>
  </conditionalFormatting>
  <conditionalFormatting sqref="BX152">
    <cfRule type="cellIs" dxfId="513" priority="393" operator="lessThan">
      <formula>0</formula>
    </cfRule>
  </conditionalFormatting>
  <conditionalFormatting sqref="BZ152">
    <cfRule type="cellIs" dxfId="512" priority="392" operator="lessThan">
      <formula>0</formula>
    </cfRule>
  </conditionalFormatting>
  <conditionalFormatting sqref="CB152">
    <cfRule type="cellIs" dxfId="511" priority="391" operator="lessThan">
      <formula>0</formula>
    </cfRule>
  </conditionalFormatting>
  <conditionalFormatting sqref="CD152">
    <cfRule type="cellIs" dxfId="510" priority="390" operator="lessThan">
      <formula>0</formula>
    </cfRule>
  </conditionalFormatting>
  <conditionalFormatting sqref="CF152">
    <cfRule type="cellIs" dxfId="509" priority="389" operator="lessThan">
      <formula>0</formula>
    </cfRule>
  </conditionalFormatting>
  <conditionalFormatting sqref="CH152">
    <cfRule type="cellIs" dxfId="508" priority="388" operator="lessThan">
      <formula>0</formula>
    </cfRule>
  </conditionalFormatting>
  <conditionalFormatting sqref="CJ152">
    <cfRule type="cellIs" dxfId="507" priority="387" operator="lessThan">
      <formula>0</formula>
    </cfRule>
  </conditionalFormatting>
  <conditionalFormatting sqref="CL152">
    <cfRule type="cellIs" dxfId="506" priority="386" operator="lessThan">
      <formula>0</formula>
    </cfRule>
  </conditionalFormatting>
  <conditionalFormatting sqref="AJ152">
    <cfRule type="cellIs" dxfId="505" priority="385" operator="lessThan">
      <formula>0</formula>
    </cfRule>
  </conditionalFormatting>
  <conditionalFormatting sqref="AH153">
    <cfRule type="cellIs" dxfId="504" priority="384" operator="lessThan">
      <formula>0</formula>
    </cfRule>
  </conditionalFormatting>
  <conditionalFormatting sqref="AL153">
    <cfRule type="cellIs" dxfId="503" priority="383" operator="lessThan">
      <formula>0</formula>
    </cfRule>
  </conditionalFormatting>
  <conditionalFormatting sqref="AN153">
    <cfRule type="cellIs" dxfId="502" priority="382" operator="lessThan">
      <formula>0</formula>
    </cfRule>
  </conditionalFormatting>
  <conditionalFormatting sqref="AP153">
    <cfRule type="cellIs" dxfId="501" priority="381" operator="lessThan">
      <formula>0</formula>
    </cfRule>
  </conditionalFormatting>
  <conditionalFormatting sqref="AR153">
    <cfRule type="cellIs" dxfId="500" priority="380" operator="lessThan">
      <formula>0</formula>
    </cfRule>
  </conditionalFormatting>
  <conditionalFormatting sqref="AT153">
    <cfRule type="cellIs" dxfId="499" priority="379" operator="lessThan">
      <formula>0</formula>
    </cfRule>
  </conditionalFormatting>
  <conditionalFormatting sqref="AV153">
    <cfRule type="cellIs" dxfId="498" priority="378" operator="lessThan">
      <formula>0</formula>
    </cfRule>
  </conditionalFormatting>
  <conditionalFormatting sqref="AX153">
    <cfRule type="cellIs" dxfId="497" priority="377" operator="lessThan">
      <formula>0</formula>
    </cfRule>
  </conditionalFormatting>
  <conditionalFormatting sqref="AZ153">
    <cfRule type="cellIs" dxfId="496" priority="376" operator="lessThan">
      <formula>0</formula>
    </cfRule>
  </conditionalFormatting>
  <conditionalFormatting sqref="BB153">
    <cfRule type="cellIs" dxfId="495" priority="375" operator="lessThan">
      <formula>0</formula>
    </cfRule>
  </conditionalFormatting>
  <conditionalFormatting sqref="BD153">
    <cfRule type="cellIs" dxfId="494" priority="374" operator="lessThan">
      <formula>0</formula>
    </cfRule>
  </conditionalFormatting>
  <conditionalFormatting sqref="BF153">
    <cfRule type="cellIs" dxfId="493" priority="373" operator="lessThan">
      <formula>0</formula>
    </cfRule>
  </conditionalFormatting>
  <conditionalFormatting sqref="BH153">
    <cfRule type="cellIs" dxfId="492" priority="372" operator="lessThan">
      <formula>0</formula>
    </cfRule>
  </conditionalFormatting>
  <conditionalFormatting sqref="BJ153">
    <cfRule type="cellIs" dxfId="491" priority="371" operator="lessThan">
      <formula>0</formula>
    </cfRule>
  </conditionalFormatting>
  <conditionalFormatting sqref="BL153">
    <cfRule type="cellIs" dxfId="490" priority="370" operator="lessThan">
      <formula>0</formula>
    </cfRule>
  </conditionalFormatting>
  <conditionalFormatting sqref="BN153">
    <cfRule type="cellIs" dxfId="489" priority="369" operator="lessThan">
      <formula>0</formula>
    </cfRule>
  </conditionalFormatting>
  <conditionalFormatting sqref="BP153">
    <cfRule type="cellIs" dxfId="488" priority="368" operator="lessThan">
      <formula>0</formula>
    </cfRule>
  </conditionalFormatting>
  <conditionalFormatting sqref="BR153">
    <cfRule type="cellIs" dxfId="487" priority="367" operator="lessThan">
      <formula>0</formula>
    </cfRule>
  </conditionalFormatting>
  <conditionalFormatting sqref="BT153">
    <cfRule type="cellIs" dxfId="486" priority="366" operator="lessThan">
      <formula>0</formula>
    </cfRule>
  </conditionalFormatting>
  <conditionalFormatting sqref="BV153">
    <cfRule type="cellIs" dxfId="485" priority="365" operator="lessThan">
      <formula>0</formula>
    </cfRule>
  </conditionalFormatting>
  <conditionalFormatting sqref="BX153">
    <cfRule type="cellIs" dxfId="484" priority="364" operator="lessThan">
      <formula>0</formula>
    </cfRule>
  </conditionalFormatting>
  <conditionalFormatting sqref="BZ153">
    <cfRule type="cellIs" dxfId="483" priority="363" operator="lessThan">
      <formula>0</formula>
    </cfRule>
  </conditionalFormatting>
  <conditionalFormatting sqref="CB153">
    <cfRule type="cellIs" dxfId="482" priority="362" operator="lessThan">
      <formula>0</formula>
    </cfRule>
  </conditionalFormatting>
  <conditionalFormatting sqref="CD153">
    <cfRule type="cellIs" dxfId="481" priority="361" operator="lessThan">
      <formula>0</formula>
    </cfRule>
  </conditionalFormatting>
  <conditionalFormatting sqref="CF153">
    <cfRule type="cellIs" dxfId="480" priority="360" operator="lessThan">
      <formula>0</formula>
    </cfRule>
  </conditionalFormatting>
  <conditionalFormatting sqref="CH153">
    <cfRule type="cellIs" dxfId="479" priority="359" operator="lessThan">
      <formula>0</formula>
    </cfRule>
  </conditionalFormatting>
  <conditionalFormatting sqref="CJ153">
    <cfRule type="cellIs" dxfId="478" priority="358" operator="lessThan">
      <formula>0</formula>
    </cfRule>
  </conditionalFormatting>
  <conditionalFormatting sqref="CL153">
    <cfRule type="cellIs" dxfId="477" priority="357" operator="lessThan">
      <formula>0</formula>
    </cfRule>
  </conditionalFormatting>
  <conditionalFormatting sqref="AJ153">
    <cfRule type="cellIs" dxfId="476" priority="356" operator="lessThan">
      <formula>0</formula>
    </cfRule>
  </conditionalFormatting>
  <conditionalFormatting sqref="AH156">
    <cfRule type="cellIs" dxfId="475" priority="355" operator="lessThan">
      <formula>0</formula>
    </cfRule>
  </conditionalFormatting>
  <conditionalFormatting sqref="AL156">
    <cfRule type="cellIs" dxfId="474" priority="354" operator="lessThan">
      <formula>0</formula>
    </cfRule>
  </conditionalFormatting>
  <conditionalFormatting sqref="AN156">
    <cfRule type="cellIs" dxfId="473" priority="353" operator="lessThan">
      <formula>0</formula>
    </cfRule>
  </conditionalFormatting>
  <conditionalFormatting sqref="AP156">
    <cfRule type="cellIs" dxfId="472" priority="352" operator="lessThan">
      <formula>0</formula>
    </cfRule>
  </conditionalFormatting>
  <conditionalFormatting sqref="AR156">
    <cfRule type="cellIs" dxfId="471" priority="351" operator="lessThan">
      <formula>0</formula>
    </cfRule>
  </conditionalFormatting>
  <conditionalFormatting sqref="AT156">
    <cfRule type="cellIs" dxfId="470" priority="350" operator="lessThan">
      <formula>0</formula>
    </cfRule>
  </conditionalFormatting>
  <conditionalFormatting sqref="AV156">
    <cfRule type="cellIs" dxfId="469" priority="349" operator="lessThan">
      <formula>0</formula>
    </cfRule>
  </conditionalFormatting>
  <conditionalFormatting sqref="AX156">
    <cfRule type="cellIs" dxfId="468" priority="348" operator="lessThan">
      <formula>0</formula>
    </cfRule>
  </conditionalFormatting>
  <conditionalFormatting sqref="AZ156">
    <cfRule type="cellIs" dxfId="467" priority="347" operator="lessThan">
      <formula>0</formula>
    </cfRule>
  </conditionalFormatting>
  <conditionalFormatting sqref="BB156">
    <cfRule type="cellIs" dxfId="466" priority="346" operator="lessThan">
      <formula>0</formula>
    </cfRule>
  </conditionalFormatting>
  <conditionalFormatting sqref="BD156">
    <cfRule type="cellIs" dxfId="465" priority="345" operator="lessThan">
      <formula>0</formula>
    </cfRule>
  </conditionalFormatting>
  <conditionalFormatting sqref="BF156">
    <cfRule type="cellIs" dxfId="464" priority="344" operator="lessThan">
      <formula>0</formula>
    </cfRule>
  </conditionalFormatting>
  <conditionalFormatting sqref="BH156">
    <cfRule type="cellIs" dxfId="463" priority="343" operator="lessThan">
      <formula>0</formula>
    </cfRule>
  </conditionalFormatting>
  <conditionalFormatting sqref="BJ156">
    <cfRule type="cellIs" dxfId="462" priority="342" operator="lessThan">
      <formula>0</formula>
    </cfRule>
  </conditionalFormatting>
  <conditionalFormatting sqref="BL156">
    <cfRule type="cellIs" dxfId="461" priority="341" operator="lessThan">
      <formula>0</formula>
    </cfRule>
  </conditionalFormatting>
  <conditionalFormatting sqref="BN156">
    <cfRule type="cellIs" dxfId="460" priority="340" operator="lessThan">
      <formula>0</formula>
    </cfRule>
  </conditionalFormatting>
  <conditionalFormatting sqref="BP156">
    <cfRule type="cellIs" dxfId="459" priority="339" operator="lessThan">
      <formula>0</formula>
    </cfRule>
  </conditionalFormatting>
  <conditionalFormatting sqref="BR156">
    <cfRule type="cellIs" dxfId="458" priority="338" operator="lessThan">
      <formula>0</formula>
    </cfRule>
  </conditionalFormatting>
  <conditionalFormatting sqref="BT156">
    <cfRule type="cellIs" dxfId="457" priority="337" operator="lessThan">
      <formula>0</formula>
    </cfRule>
  </conditionalFormatting>
  <conditionalFormatting sqref="BV156">
    <cfRule type="cellIs" dxfId="456" priority="336" operator="lessThan">
      <formula>0</formula>
    </cfRule>
  </conditionalFormatting>
  <conditionalFormatting sqref="BX156">
    <cfRule type="cellIs" dxfId="455" priority="335" operator="lessThan">
      <formula>0</formula>
    </cfRule>
  </conditionalFormatting>
  <conditionalFormatting sqref="BZ156">
    <cfRule type="cellIs" dxfId="454" priority="334" operator="lessThan">
      <formula>0</formula>
    </cfRule>
  </conditionalFormatting>
  <conditionalFormatting sqref="CB156">
    <cfRule type="cellIs" dxfId="453" priority="333" operator="lessThan">
      <formula>0</formula>
    </cfRule>
  </conditionalFormatting>
  <conditionalFormatting sqref="CD156">
    <cfRule type="cellIs" dxfId="452" priority="332" operator="lessThan">
      <formula>0</formula>
    </cfRule>
  </conditionalFormatting>
  <conditionalFormatting sqref="CF156">
    <cfRule type="cellIs" dxfId="451" priority="331" operator="lessThan">
      <formula>0</formula>
    </cfRule>
  </conditionalFormatting>
  <conditionalFormatting sqref="CH156">
    <cfRule type="cellIs" dxfId="450" priority="330" operator="lessThan">
      <formula>0</formula>
    </cfRule>
  </conditionalFormatting>
  <conditionalFormatting sqref="CJ156">
    <cfRule type="cellIs" dxfId="449" priority="329" operator="lessThan">
      <formula>0</formula>
    </cfRule>
  </conditionalFormatting>
  <conditionalFormatting sqref="CL156">
    <cfRule type="cellIs" dxfId="448" priority="328" operator="lessThan">
      <formula>0</formula>
    </cfRule>
  </conditionalFormatting>
  <conditionalFormatting sqref="AJ156">
    <cfRule type="cellIs" dxfId="447" priority="327" operator="lessThan">
      <formula>0</formula>
    </cfRule>
  </conditionalFormatting>
  <conditionalFormatting sqref="AH157">
    <cfRule type="cellIs" dxfId="446" priority="326" operator="lessThan">
      <formula>0</formula>
    </cfRule>
  </conditionalFormatting>
  <conditionalFormatting sqref="AL157">
    <cfRule type="cellIs" dxfId="445" priority="325" operator="lessThan">
      <formula>0</formula>
    </cfRule>
  </conditionalFormatting>
  <conditionalFormatting sqref="AN157">
    <cfRule type="cellIs" dxfId="444" priority="324" operator="lessThan">
      <formula>0</formula>
    </cfRule>
  </conditionalFormatting>
  <conditionalFormatting sqref="AP157">
    <cfRule type="cellIs" dxfId="443" priority="323" operator="lessThan">
      <formula>0</formula>
    </cfRule>
  </conditionalFormatting>
  <conditionalFormatting sqref="AR157">
    <cfRule type="cellIs" dxfId="442" priority="322" operator="lessThan">
      <formula>0</formula>
    </cfRule>
  </conditionalFormatting>
  <conditionalFormatting sqref="AT157">
    <cfRule type="cellIs" dxfId="441" priority="321" operator="lessThan">
      <formula>0</formula>
    </cfRule>
  </conditionalFormatting>
  <conditionalFormatting sqref="AV157">
    <cfRule type="cellIs" dxfId="440" priority="320" operator="lessThan">
      <formula>0</formula>
    </cfRule>
  </conditionalFormatting>
  <conditionalFormatting sqref="AX157">
    <cfRule type="cellIs" dxfId="439" priority="319" operator="lessThan">
      <formula>0</formula>
    </cfRule>
  </conditionalFormatting>
  <conditionalFormatting sqref="AZ157">
    <cfRule type="cellIs" dxfId="438" priority="318" operator="lessThan">
      <formula>0</formula>
    </cfRule>
  </conditionalFormatting>
  <conditionalFormatting sqref="BB157">
    <cfRule type="cellIs" dxfId="437" priority="317" operator="lessThan">
      <formula>0</formula>
    </cfRule>
  </conditionalFormatting>
  <conditionalFormatting sqref="BD157">
    <cfRule type="cellIs" dxfId="436" priority="316" operator="lessThan">
      <formula>0</formula>
    </cfRule>
  </conditionalFormatting>
  <conditionalFormatting sqref="BF157">
    <cfRule type="cellIs" dxfId="435" priority="315" operator="lessThan">
      <formula>0</formula>
    </cfRule>
  </conditionalFormatting>
  <conditionalFormatting sqref="BH157">
    <cfRule type="cellIs" dxfId="434" priority="314" operator="lessThan">
      <formula>0</formula>
    </cfRule>
  </conditionalFormatting>
  <conditionalFormatting sqref="BJ157">
    <cfRule type="cellIs" dxfId="433" priority="313" operator="lessThan">
      <formula>0</formula>
    </cfRule>
  </conditionalFormatting>
  <conditionalFormatting sqref="BL157">
    <cfRule type="cellIs" dxfId="432" priority="312" operator="lessThan">
      <formula>0</formula>
    </cfRule>
  </conditionalFormatting>
  <conditionalFormatting sqref="BN157">
    <cfRule type="cellIs" dxfId="431" priority="311" operator="lessThan">
      <formula>0</formula>
    </cfRule>
  </conditionalFormatting>
  <conditionalFormatting sqref="BP157">
    <cfRule type="cellIs" dxfId="430" priority="310" operator="lessThan">
      <formula>0</formula>
    </cfRule>
  </conditionalFormatting>
  <conditionalFormatting sqref="BR157">
    <cfRule type="cellIs" dxfId="429" priority="309" operator="lessThan">
      <formula>0</formula>
    </cfRule>
  </conditionalFormatting>
  <conditionalFormatting sqref="BT157">
    <cfRule type="cellIs" dxfId="428" priority="308" operator="lessThan">
      <formula>0</formula>
    </cfRule>
  </conditionalFormatting>
  <conditionalFormatting sqref="BV157">
    <cfRule type="cellIs" dxfId="427" priority="307" operator="lessThan">
      <formula>0</formula>
    </cfRule>
  </conditionalFormatting>
  <conditionalFormatting sqref="BX157">
    <cfRule type="cellIs" dxfId="426" priority="306" operator="lessThan">
      <formula>0</formula>
    </cfRule>
  </conditionalFormatting>
  <conditionalFormatting sqref="BZ157">
    <cfRule type="cellIs" dxfId="425" priority="305" operator="lessThan">
      <formula>0</formula>
    </cfRule>
  </conditionalFormatting>
  <conditionalFormatting sqref="CB157">
    <cfRule type="cellIs" dxfId="424" priority="304" operator="lessThan">
      <formula>0</formula>
    </cfRule>
  </conditionalFormatting>
  <conditionalFormatting sqref="CD157">
    <cfRule type="cellIs" dxfId="423" priority="303" operator="lessThan">
      <formula>0</formula>
    </cfRule>
  </conditionalFormatting>
  <conditionalFormatting sqref="CF157">
    <cfRule type="cellIs" dxfId="422" priority="302" operator="lessThan">
      <formula>0</formula>
    </cfRule>
  </conditionalFormatting>
  <conditionalFormatting sqref="CH157">
    <cfRule type="cellIs" dxfId="421" priority="301" operator="lessThan">
      <formula>0</formula>
    </cfRule>
  </conditionalFormatting>
  <conditionalFormatting sqref="CJ157">
    <cfRule type="cellIs" dxfId="420" priority="300" operator="lessThan">
      <formula>0</formula>
    </cfRule>
  </conditionalFormatting>
  <conditionalFormatting sqref="CL157">
    <cfRule type="cellIs" dxfId="419" priority="299" operator="lessThan">
      <formula>0</formula>
    </cfRule>
  </conditionalFormatting>
  <conditionalFormatting sqref="AJ157">
    <cfRule type="cellIs" dxfId="418" priority="298" operator="lessThan">
      <formula>0</formula>
    </cfRule>
  </conditionalFormatting>
  <conditionalFormatting sqref="AH158">
    <cfRule type="cellIs" dxfId="417" priority="297" operator="lessThan">
      <formula>0</formula>
    </cfRule>
  </conditionalFormatting>
  <conditionalFormatting sqref="AL158">
    <cfRule type="cellIs" dxfId="416" priority="296" operator="lessThan">
      <formula>0</formula>
    </cfRule>
  </conditionalFormatting>
  <conditionalFormatting sqref="AN158">
    <cfRule type="cellIs" dxfId="415" priority="295" operator="lessThan">
      <formula>0</formula>
    </cfRule>
  </conditionalFormatting>
  <conditionalFormatting sqref="AP158">
    <cfRule type="cellIs" dxfId="414" priority="294" operator="lessThan">
      <formula>0</formula>
    </cfRule>
  </conditionalFormatting>
  <conditionalFormatting sqref="AR158">
    <cfRule type="cellIs" dxfId="413" priority="293" operator="lessThan">
      <formula>0</formula>
    </cfRule>
  </conditionalFormatting>
  <conditionalFormatting sqref="AT158">
    <cfRule type="cellIs" dxfId="412" priority="292" operator="lessThan">
      <formula>0</formula>
    </cfRule>
  </conditionalFormatting>
  <conditionalFormatting sqref="AV158">
    <cfRule type="cellIs" dxfId="411" priority="291" operator="lessThan">
      <formula>0</formula>
    </cfRule>
  </conditionalFormatting>
  <conditionalFormatting sqref="AX158">
    <cfRule type="cellIs" dxfId="410" priority="290" operator="lessThan">
      <formula>0</formula>
    </cfRule>
  </conditionalFormatting>
  <conditionalFormatting sqref="AZ158">
    <cfRule type="cellIs" dxfId="409" priority="289" operator="lessThan">
      <formula>0</formula>
    </cfRule>
  </conditionalFormatting>
  <conditionalFormatting sqref="BB158">
    <cfRule type="cellIs" dxfId="408" priority="288" operator="lessThan">
      <formula>0</formula>
    </cfRule>
  </conditionalFormatting>
  <conditionalFormatting sqref="BD158">
    <cfRule type="cellIs" dxfId="407" priority="287" operator="lessThan">
      <formula>0</formula>
    </cfRule>
  </conditionalFormatting>
  <conditionalFormatting sqref="BF158">
    <cfRule type="cellIs" dxfId="406" priority="286" operator="lessThan">
      <formula>0</formula>
    </cfRule>
  </conditionalFormatting>
  <conditionalFormatting sqref="BH158">
    <cfRule type="cellIs" dxfId="405" priority="285" operator="lessThan">
      <formula>0</formula>
    </cfRule>
  </conditionalFormatting>
  <conditionalFormatting sqref="BJ158">
    <cfRule type="cellIs" dxfId="404" priority="284" operator="lessThan">
      <formula>0</formula>
    </cfRule>
  </conditionalFormatting>
  <conditionalFormatting sqref="BL158">
    <cfRule type="cellIs" dxfId="403" priority="283" operator="lessThan">
      <formula>0</formula>
    </cfRule>
  </conditionalFormatting>
  <conditionalFormatting sqref="BN158">
    <cfRule type="cellIs" dxfId="402" priority="282" operator="lessThan">
      <formula>0</formula>
    </cfRule>
  </conditionalFormatting>
  <conditionalFormatting sqref="BP158">
    <cfRule type="cellIs" dxfId="401" priority="281" operator="lessThan">
      <formula>0</formula>
    </cfRule>
  </conditionalFormatting>
  <conditionalFormatting sqref="BR158">
    <cfRule type="cellIs" dxfId="400" priority="280" operator="lessThan">
      <formula>0</formula>
    </cfRule>
  </conditionalFormatting>
  <conditionalFormatting sqref="BT158">
    <cfRule type="cellIs" dxfId="399" priority="279" operator="lessThan">
      <formula>0</formula>
    </cfRule>
  </conditionalFormatting>
  <conditionalFormatting sqref="BV158">
    <cfRule type="cellIs" dxfId="398" priority="278" operator="lessThan">
      <formula>0</formula>
    </cfRule>
  </conditionalFormatting>
  <conditionalFormatting sqref="BX158">
    <cfRule type="cellIs" dxfId="397" priority="277" operator="lessThan">
      <formula>0</formula>
    </cfRule>
  </conditionalFormatting>
  <conditionalFormatting sqref="BZ158">
    <cfRule type="cellIs" dxfId="396" priority="276" operator="lessThan">
      <formula>0</formula>
    </cfRule>
  </conditionalFormatting>
  <conditionalFormatting sqref="CB158">
    <cfRule type="cellIs" dxfId="395" priority="275" operator="lessThan">
      <formula>0</formula>
    </cfRule>
  </conditionalFormatting>
  <conditionalFormatting sqref="CD158">
    <cfRule type="cellIs" dxfId="394" priority="274" operator="lessThan">
      <formula>0</formula>
    </cfRule>
  </conditionalFormatting>
  <conditionalFormatting sqref="CF158">
    <cfRule type="cellIs" dxfId="393" priority="273" operator="lessThan">
      <formula>0</formula>
    </cfRule>
  </conditionalFormatting>
  <conditionalFormatting sqref="CH158">
    <cfRule type="cellIs" dxfId="392" priority="272" operator="lessThan">
      <formula>0</formula>
    </cfRule>
  </conditionalFormatting>
  <conditionalFormatting sqref="CJ158">
    <cfRule type="cellIs" dxfId="391" priority="271" operator="lessThan">
      <formula>0</formula>
    </cfRule>
  </conditionalFormatting>
  <conditionalFormatting sqref="CL158">
    <cfRule type="cellIs" dxfId="390" priority="270" operator="lessThan">
      <formula>0</formula>
    </cfRule>
  </conditionalFormatting>
  <conditionalFormatting sqref="AJ158">
    <cfRule type="cellIs" dxfId="389" priority="269" operator="lessThan">
      <formula>0</formula>
    </cfRule>
  </conditionalFormatting>
  <conditionalFormatting sqref="AH159">
    <cfRule type="cellIs" dxfId="388" priority="268" operator="lessThan">
      <formula>0</formula>
    </cfRule>
  </conditionalFormatting>
  <conditionalFormatting sqref="AL159">
    <cfRule type="cellIs" dxfId="387" priority="267" operator="lessThan">
      <formula>0</formula>
    </cfRule>
  </conditionalFormatting>
  <conditionalFormatting sqref="AN159">
    <cfRule type="cellIs" dxfId="386" priority="266" operator="lessThan">
      <formula>0</formula>
    </cfRule>
  </conditionalFormatting>
  <conditionalFormatting sqref="AP159">
    <cfRule type="cellIs" dxfId="385" priority="265" operator="lessThan">
      <formula>0</formula>
    </cfRule>
  </conditionalFormatting>
  <conditionalFormatting sqref="AR159">
    <cfRule type="cellIs" dxfId="384" priority="264" operator="lessThan">
      <formula>0</formula>
    </cfRule>
  </conditionalFormatting>
  <conditionalFormatting sqref="AT159">
    <cfRule type="cellIs" dxfId="383" priority="263" operator="lessThan">
      <formula>0</formula>
    </cfRule>
  </conditionalFormatting>
  <conditionalFormatting sqref="AV159">
    <cfRule type="cellIs" dxfId="382" priority="262" operator="lessThan">
      <formula>0</formula>
    </cfRule>
  </conditionalFormatting>
  <conditionalFormatting sqref="AX159">
    <cfRule type="cellIs" dxfId="381" priority="261" operator="lessThan">
      <formula>0</formula>
    </cfRule>
  </conditionalFormatting>
  <conditionalFormatting sqref="AZ159">
    <cfRule type="cellIs" dxfId="380" priority="260" operator="lessThan">
      <formula>0</formula>
    </cfRule>
  </conditionalFormatting>
  <conditionalFormatting sqref="BB159">
    <cfRule type="cellIs" dxfId="379" priority="259" operator="lessThan">
      <formula>0</formula>
    </cfRule>
  </conditionalFormatting>
  <conditionalFormatting sqref="BD159">
    <cfRule type="cellIs" dxfId="378" priority="258" operator="lessThan">
      <formula>0</formula>
    </cfRule>
  </conditionalFormatting>
  <conditionalFormatting sqref="BF159">
    <cfRule type="cellIs" dxfId="377" priority="257" operator="lessThan">
      <formula>0</formula>
    </cfRule>
  </conditionalFormatting>
  <conditionalFormatting sqref="BH159">
    <cfRule type="cellIs" dxfId="376" priority="256" operator="lessThan">
      <formula>0</formula>
    </cfRule>
  </conditionalFormatting>
  <conditionalFormatting sqref="BJ159">
    <cfRule type="cellIs" dxfId="375" priority="255" operator="lessThan">
      <formula>0</formula>
    </cfRule>
  </conditionalFormatting>
  <conditionalFormatting sqref="BL159">
    <cfRule type="cellIs" dxfId="374" priority="254" operator="lessThan">
      <formula>0</formula>
    </cfRule>
  </conditionalFormatting>
  <conditionalFormatting sqref="BN159">
    <cfRule type="cellIs" dxfId="373" priority="253" operator="lessThan">
      <formula>0</formula>
    </cfRule>
  </conditionalFormatting>
  <conditionalFormatting sqref="BP159">
    <cfRule type="cellIs" dxfId="372" priority="252" operator="lessThan">
      <formula>0</formula>
    </cfRule>
  </conditionalFormatting>
  <conditionalFormatting sqref="BR159">
    <cfRule type="cellIs" dxfId="371" priority="251" operator="lessThan">
      <formula>0</formula>
    </cfRule>
  </conditionalFormatting>
  <conditionalFormatting sqref="BT159">
    <cfRule type="cellIs" dxfId="370" priority="250" operator="lessThan">
      <formula>0</formula>
    </cfRule>
  </conditionalFormatting>
  <conditionalFormatting sqref="BV159">
    <cfRule type="cellIs" dxfId="369" priority="249" operator="lessThan">
      <formula>0</formula>
    </cfRule>
  </conditionalFormatting>
  <conditionalFormatting sqref="BX159">
    <cfRule type="cellIs" dxfId="368" priority="248" operator="lessThan">
      <formula>0</formula>
    </cfRule>
  </conditionalFormatting>
  <conditionalFormatting sqref="BZ159">
    <cfRule type="cellIs" dxfId="367" priority="247" operator="lessThan">
      <formula>0</formula>
    </cfRule>
  </conditionalFormatting>
  <conditionalFormatting sqref="CB159">
    <cfRule type="cellIs" dxfId="366" priority="246" operator="lessThan">
      <formula>0</formula>
    </cfRule>
  </conditionalFormatting>
  <conditionalFormatting sqref="CD159">
    <cfRule type="cellIs" dxfId="365" priority="245" operator="lessThan">
      <formula>0</formula>
    </cfRule>
  </conditionalFormatting>
  <conditionalFormatting sqref="CF159">
    <cfRule type="cellIs" dxfId="364" priority="244" operator="lessThan">
      <formula>0</formula>
    </cfRule>
  </conditionalFormatting>
  <conditionalFormatting sqref="CH159">
    <cfRule type="cellIs" dxfId="363" priority="243" operator="lessThan">
      <formula>0</formula>
    </cfRule>
  </conditionalFormatting>
  <conditionalFormatting sqref="CJ159">
    <cfRule type="cellIs" dxfId="362" priority="242" operator="lessThan">
      <formula>0</formula>
    </cfRule>
  </conditionalFormatting>
  <conditionalFormatting sqref="CL159">
    <cfRule type="cellIs" dxfId="361" priority="241" operator="lessThan">
      <formula>0</formula>
    </cfRule>
  </conditionalFormatting>
  <conditionalFormatting sqref="AJ159">
    <cfRule type="cellIs" dxfId="360" priority="240" operator="lessThan">
      <formula>0</formula>
    </cfRule>
  </conditionalFormatting>
  <conditionalFormatting sqref="AH160">
    <cfRule type="cellIs" dxfId="359" priority="239" operator="lessThan">
      <formula>0</formula>
    </cfRule>
  </conditionalFormatting>
  <conditionalFormatting sqref="AL160">
    <cfRule type="cellIs" dxfId="358" priority="238" operator="lessThan">
      <formula>0</formula>
    </cfRule>
  </conditionalFormatting>
  <conditionalFormatting sqref="AN160">
    <cfRule type="cellIs" dxfId="357" priority="237" operator="lessThan">
      <formula>0</formula>
    </cfRule>
  </conditionalFormatting>
  <conditionalFormatting sqref="AP160">
    <cfRule type="cellIs" dxfId="356" priority="236" operator="lessThan">
      <formula>0</formula>
    </cfRule>
  </conditionalFormatting>
  <conditionalFormatting sqref="AR160">
    <cfRule type="cellIs" dxfId="355" priority="235" operator="lessThan">
      <formula>0</formula>
    </cfRule>
  </conditionalFormatting>
  <conditionalFormatting sqref="AT160">
    <cfRule type="cellIs" dxfId="354" priority="234" operator="lessThan">
      <formula>0</formula>
    </cfRule>
  </conditionalFormatting>
  <conditionalFormatting sqref="AV160">
    <cfRule type="cellIs" dxfId="353" priority="233" operator="lessThan">
      <formula>0</formula>
    </cfRule>
  </conditionalFormatting>
  <conditionalFormatting sqref="AX160">
    <cfRule type="cellIs" dxfId="352" priority="232" operator="lessThan">
      <formula>0</formula>
    </cfRule>
  </conditionalFormatting>
  <conditionalFormatting sqref="AZ160">
    <cfRule type="cellIs" dxfId="351" priority="231" operator="lessThan">
      <formula>0</formula>
    </cfRule>
  </conditionalFormatting>
  <conditionalFormatting sqref="BB160">
    <cfRule type="cellIs" dxfId="350" priority="230" operator="lessThan">
      <formula>0</formula>
    </cfRule>
  </conditionalFormatting>
  <conditionalFormatting sqref="BD160">
    <cfRule type="cellIs" dxfId="349" priority="229" operator="lessThan">
      <formula>0</formula>
    </cfRule>
  </conditionalFormatting>
  <conditionalFormatting sqref="BF160">
    <cfRule type="cellIs" dxfId="348" priority="228" operator="lessThan">
      <formula>0</formula>
    </cfRule>
  </conditionalFormatting>
  <conditionalFormatting sqref="BH160">
    <cfRule type="cellIs" dxfId="347" priority="227" operator="lessThan">
      <formula>0</formula>
    </cfRule>
  </conditionalFormatting>
  <conditionalFormatting sqref="BJ160">
    <cfRule type="cellIs" dxfId="346" priority="226" operator="lessThan">
      <formula>0</formula>
    </cfRule>
  </conditionalFormatting>
  <conditionalFormatting sqref="BL160">
    <cfRule type="cellIs" dxfId="345" priority="225" operator="lessThan">
      <formula>0</formula>
    </cfRule>
  </conditionalFormatting>
  <conditionalFormatting sqref="BN160">
    <cfRule type="cellIs" dxfId="344" priority="224" operator="lessThan">
      <formula>0</formula>
    </cfRule>
  </conditionalFormatting>
  <conditionalFormatting sqref="BP160">
    <cfRule type="cellIs" dxfId="343" priority="223" operator="lessThan">
      <formula>0</formula>
    </cfRule>
  </conditionalFormatting>
  <conditionalFormatting sqref="BR160">
    <cfRule type="cellIs" dxfId="342" priority="222" operator="lessThan">
      <formula>0</formula>
    </cfRule>
  </conditionalFormatting>
  <conditionalFormatting sqref="BT160">
    <cfRule type="cellIs" dxfId="341" priority="221" operator="lessThan">
      <formula>0</formula>
    </cfRule>
  </conditionalFormatting>
  <conditionalFormatting sqref="BV160">
    <cfRule type="cellIs" dxfId="340" priority="220" operator="lessThan">
      <formula>0</formula>
    </cfRule>
  </conditionalFormatting>
  <conditionalFormatting sqref="BX160">
    <cfRule type="cellIs" dxfId="339" priority="219" operator="lessThan">
      <formula>0</formula>
    </cfRule>
  </conditionalFormatting>
  <conditionalFormatting sqref="BZ160">
    <cfRule type="cellIs" dxfId="338" priority="218" operator="lessThan">
      <formula>0</formula>
    </cfRule>
  </conditionalFormatting>
  <conditionalFormatting sqref="CB160">
    <cfRule type="cellIs" dxfId="337" priority="217" operator="lessThan">
      <formula>0</formula>
    </cfRule>
  </conditionalFormatting>
  <conditionalFormatting sqref="CD160">
    <cfRule type="cellIs" dxfId="336" priority="216" operator="lessThan">
      <formula>0</formula>
    </cfRule>
  </conditionalFormatting>
  <conditionalFormatting sqref="CF160">
    <cfRule type="cellIs" dxfId="335" priority="215" operator="lessThan">
      <formula>0</formula>
    </cfRule>
  </conditionalFormatting>
  <conditionalFormatting sqref="CH160">
    <cfRule type="cellIs" dxfId="334" priority="214" operator="lessThan">
      <formula>0</formula>
    </cfRule>
  </conditionalFormatting>
  <conditionalFormatting sqref="CJ160">
    <cfRule type="cellIs" dxfId="333" priority="213" operator="lessThan">
      <formula>0</formula>
    </cfRule>
  </conditionalFormatting>
  <conditionalFormatting sqref="CL160">
    <cfRule type="cellIs" dxfId="332" priority="212" operator="lessThan">
      <formula>0</formula>
    </cfRule>
  </conditionalFormatting>
  <conditionalFormatting sqref="AJ160">
    <cfRule type="cellIs" dxfId="331" priority="211" operator="lessThan">
      <formula>0</formula>
    </cfRule>
  </conditionalFormatting>
  <conditionalFormatting sqref="AH161">
    <cfRule type="cellIs" dxfId="330" priority="210" operator="lessThan">
      <formula>0</formula>
    </cfRule>
  </conditionalFormatting>
  <conditionalFormatting sqref="AL161">
    <cfRule type="cellIs" dxfId="329" priority="209" operator="lessThan">
      <formula>0</formula>
    </cfRule>
  </conditionalFormatting>
  <conditionalFormatting sqref="AN161">
    <cfRule type="cellIs" dxfId="328" priority="208" operator="lessThan">
      <formula>0</formula>
    </cfRule>
  </conditionalFormatting>
  <conditionalFormatting sqref="AP161">
    <cfRule type="cellIs" dxfId="327" priority="207" operator="lessThan">
      <formula>0</formula>
    </cfRule>
  </conditionalFormatting>
  <conditionalFormatting sqref="AR161">
    <cfRule type="cellIs" dxfId="326" priority="206" operator="lessThan">
      <formula>0</formula>
    </cfRule>
  </conditionalFormatting>
  <conditionalFormatting sqref="AT161">
    <cfRule type="cellIs" dxfId="325" priority="205" operator="lessThan">
      <formula>0</formula>
    </cfRule>
  </conditionalFormatting>
  <conditionalFormatting sqref="AV161">
    <cfRule type="cellIs" dxfId="324" priority="204" operator="lessThan">
      <formula>0</formula>
    </cfRule>
  </conditionalFormatting>
  <conditionalFormatting sqref="AX161">
    <cfRule type="cellIs" dxfId="323" priority="203" operator="lessThan">
      <formula>0</formula>
    </cfRule>
  </conditionalFormatting>
  <conditionalFormatting sqref="AZ161">
    <cfRule type="cellIs" dxfId="322" priority="202" operator="lessThan">
      <formula>0</formula>
    </cfRule>
  </conditionalFormatting>
  <conditionalFormatting sqref="BB161">
    <cfRule type="cellIs" dxfId="321" priority="201" operator="lessThan">
      <formula>0</formula>
    </cfRule>
  </conditionalFormatting>
  <conditionalFormatting sqref="BD161">
    <cfRule type="cellIs" dxfId="320" priority="200" operator="lessThan">
      <formula>0</formula>
    </cfRule>
  </conditionalFormatting>
  <conditionalFormatting sqref="BF161">
    <cfRule type="cellIs" dxfId="319" priority="199" operator="lessThan">
      <formula>0</formula>
    </cfRule>
  </conditionalFormatting>
  <conditionalFormatting sqref="BH161">
    <cfRule type="cellIs" dxfId="318" priority="198" operator="lessThan">
      <formula>0</formula>
    </cfRule>
  </conditionalFormatting>
  <conditionalFormatting sqref="BJ161">
    <cfRule type="cellIs" dxfId="317" priority="197" operator="lessThan">
      <formula>0</formula>
    </cfRule>
  </conditionalFormatting>
  <conditionalFormatting sqref="BL161">
    <cfRule type="cellIs" dxfId="316" priority="196" operator="lessThan">
      <formula>0</formula>
    </cfRule>
  </conditionalFormatting>
  <conditionalFormatting sqref="BN161">
    <cfRule type="cellIs" dxfId="315" priority="195" operator="lessThan">
      <formula>0</formula>
    </cfRule>
  </conditionalFormatting>
  <conditionalFormatting sqref="BP161">
    <cfRule type="cellIs" dxfId="314" priority="194" operator="lessThan">
      <formula>0</formula>
    </cfRule>
  </conditionalFormatting>
  <conditionalFormatting sqref="BR161">
    <cfRule type="cellIs" dxfId="313" priority="193" operator="lessThan">
      <formula>0</formula>
    </cfRule>
  </conditionalFormatting>
  <conditionalFormatting sqref="BT161">
    <cfRule type="cellIs" dxfId="312" priority="192" operator="lessThan">
      <formula>0</formula>
    </cfRule>
  </conditionalFormatting>
  <conditionalFormatting sqref="BV161">
    <cfRule type="cellIs" dxfId="311" priority="191" operator="lessThan">
      <formula>0</formula>
    </cfRule>
  </conditionalFormatting>
  <conditionalFormatting sqref="BX161">
    <cfRule type="cellIs" dxfId="310" priority="190" operator="lessThan">
      <formula>0</formula>
    </cfRule>
  </conditionalFormatting>
  <conditionalFormatting sqref="BZ161">
    <cfRule type="cellIs" dxfId="309" priority="189" operator="lessThan">
      <formula>0</formula>
    </cfRule>
  </conditionalFormatting>
  <conditionalFormatting sqref="CB161">
    <cfRule type="cellIs" dxfId="308" priority="188" operator="lessThan">
      <formula>0</formula>
    </cfRule>
  </conditionalFormatting>
  <conditionalFormatting sqref="CD161">
    <cfRule type="cellIs" dxfId="307" priority="187" operator="lessThan">
      <formula>0</formula>
    </cfRule>
  </conditionalFormatting>
  <conditionalFormatting sqref="CF161">
    <cfRule type="cellIs" dxfId="306" priority="186" operator="lessThan">
      <formula>0</formula>
    </cfRule>
  </conditionalFormatting>
  <conditionalFormatting sqref="CH161">
    <cfRule type="cellIs" dxfId="305" priority="185" operator="lessThan">
      <formula>0</formula>
    </cfRule>
  </conditionalFormatting>
  <conditionalFormatting sqref="CJ161">
    <cfRule type="cellIs" dxfId="304" priority="184" operator="lessThan">
      <formula>0</formula>
    </cfRule>
  </conditionalFormatting>
  <conditionalFormatting sqref="CL161">
    <cfRule type="cellIs" dxfId="303" priority="183" operator="lessThan">
      <formula>0</formula>
    </cfRule>
  </conditionalFormatting>
  <conditionalFormatting sqref="AJ161">
    <cfRule type="cellIs" dxfId="302" priority="182" operator="lessThan">
      <formula>0</formula>
    </cfRule>
  </conditionalFormatting>
  <conditionalFormatting sqref="AH162">
    <cfRule type="cellIs" dxfId="301" priority="181" operator="lessThan">
      <formula>0</formula>
    </cfRule>
  </conditionalFormatting>
  <conditionalFormatting sqref="AL162">
    <cfRule type="cellIs" dxfId="300" priority="180" operator="lessThan">
      <formula>0</formula>
    </cfRule>
  </conditionalFormatting>
  <conditionalFormatting sqref="AN162">
    <cfRule type="cellIs" dxfId="299" priority="179" operator="lessThan">
      <formula>0</formula>
    </cfRule>
  </conditionalFormatting>
  <conditionalFormatting sqref="AP162">
    <cfRule type="cellIs" dxfId="298" priority="178" operator="lessThan">
      <formula>0</formula>
    </cfRule>
  </conditionalFormatting>
  <conditionalFormatting sqref="AR162">
    <cfRule type="cellIs" dxfId="297" priority="177" operator="lessThan">
      <formula>0</formula>
    </cfRule>
  </conditionalFormatting>
  <conditionalFormatting sqref="AT162">
    <cfRule type="cellIs" dxfId="296" priority="176" operator="lessThan">
      <formula>0</formula>
    </cfRule>
  </conditionalFormatting>
  <conditionalFormatting sqref="AV162">
    <cfRule type="cellIs" dxfId="295" priority="175" operator="lessThan">
      <formula>0</formula>
    </cfRule>
  </conditionalFormatting>
  <conditionalFormatting sqref="AX162">
    <cfRule type="cellIs" dxfId="294" priority="174" operator="lessThan">
      <formula>0</formula>
    </cfRule>
  </conditionalFormatting>
  <conditionalFormatting sqref="AZ162">
    <cfRule type="cellIs" dxfId="293" priority="173" operator="lessThan">
      <formula>0</formula>
    </cfRule>
  </conditionalFormatting>
  <conditionalFormatting sqref="BB162">
    <cfRule type="cellIs" dxfId="292" priority="172" operator="lessThan">
      <formula>0</formula>
    </cfRule>
  </conditionalFormatting>
  <conditionalFormatting sqref="BD162">
    <cfRule type="cellIs" dxfId="291" priority="171" operator="lessThan">
      <formula>0</formula>
    </cfRule>
  </conditionalFormatting>
  <conditionalFormatting sqref="BF162">
    <cfRule type="cellIs" dxfId="290" priority="170" operator="lessThan">
      <formula>0</formula>
    </cfRule>
  </conditionalFormatting>
  <conditionalFormatting sqref="BH162">
    <cfRule type="cellIs" dxfId="289" priority="169" operator="lessThan">
      <formula>0</formula>
    </cfRule>
  </conditionalFormatting>
  <conditionalFormatting sqref="BJ162">
    <cfRule type="cellIs" dxfId="288" priority="168" operator="lessThan">
      <formula>0</formula>
    </cfRule>
  </conditionalFormatting>
  <conditionalFormatting sqref="BL162">
    <cfRule type="cellIs" dxfId="287" priority="167" operator="lessThan">
      <formula>0</formula>
    </cfRule>
  </conditionalFormatting>
  <conditionalFormatting sqref="BN162">
    <cfRule type="cellIs" dxfId="286" priority="166" operator="lessThan">
      <formula>0</formula>
    </cfRule>
  </conditionalFormatting>
  <conditionalFormatting sqref="BP162">
    <cfRule type="cellIs" dxfId="285" priority="165" operator="lessThan">
      <formula>0</formula>
    </cfRule>
  </conditionalFormatting>
  <conditionalFormatting sqref="BR162">
    <cfRule type="cellIs" dxfId="284" priority="164" operator="lessThan">
      <formula>0</formula>
    </cfRule>
  </conditionalFormatting>
  <conditionalFormatting sqref="BT162">
    <cfRule type="cellIs" dxfId="283" priority="163" operator="lessThan">
      <formula>0</formula>
    </cfRule>
  </conditionalFormatting>
  <conditionalFormatting sqref="BV162">
    <cfRule type="cellIs" dxfId="282" priority="162" operator="lessThan">
      <formula>0</formula>
    </cfRule>
  </conditionalFormatting>
  <conditionalFormatting sqref="BX162">
    <cfRule type="cellIs" dxfId="281" priority="161" operator="lessThan">
      <formula>0</formula>
    </cfRule>
  </conditionalFormatting>
  <conditionalFormatting sqref="BZ162">
    <cfRule type="cellIs" dxfId="280" priority="160" operator="lessThan">
      <formula>0</formula>
    </cfRule>
  </conditionalFormatting>
  <conditionalFormatting sqref="CB162">
    <cfRule type="cellIs" dxfId="279" priority="159" operator="lessThan">
      <formula>0</formula>
    </cfRule>
  </conditionalFormatting>
  <conditionalFormatting sqref="CD162">
    <cfRule type="cellIs" dxfId="278" priority="158" operator="lessThan">
      <formula>0</formula>
    </cfRule>
  </conditionalFormatting>
  <conditionalFormatting sqref="CF162">
    <cfRule type="cellIs" dxfId="277" priority="157" operator="lessThan">
      <formula>0</formula>
    </cfRule>
  </conditionalFormatting>
  <conditionalFormatting sqref="CH162">
    <cfRule type="cellIs" dxfId="276" priority="156" operator="lessThan">
      <formula>0</formula>
    </cfRule>
  </conditionalFormatting>
  <conditionalFormatting sqref="CJ162">
    <cfRule type="cellIs" dxfId="275" priority="155" operator="lessThan">
      <formula>0</formula>
    </cfRule>
  </conditionalFormatting>
  <conditionalFormatting sqref="CL162">
    <cfRule type="cellIs" dxfId="274" priority="154" operator="lessThan">
      <formula>0</formula>
    </cfRule>
  </conditionalFormatting>
  <conditionalFormatting sqref="AJ162">
    <cfRule type="cellIs" dxfId="273" priority="153" operator="lessThan">
      <formula>0</formula>
    </cfRule>
  </conditionalFormatting>
  <conditionalFormatting sqref="AH163">
    <cfRule type="cellIs" dxfId="272" priority="152" operator="lessThan">
      <formula>0</formula>
    </cfRule>
  </conditionalFormatting>
  <conditionalFormatting sqref="AL163">
    <cfRule type="cellIs" dxfId="271" priority="151" operator="lessThan">
      <formula>0</formula>
    </cfRule>
  </conditionalFormatting>
  <conditionalFormatting sqref="AN163">
    <cfRule type="cellIs" dxfId="270" priority="150" operator="lessThan">
      <formula>0</formula>
    </cfRule>
  </conditionalFormatting>
  <conditionalFormatting sqref="AP163">
    <cfRule type="cellIs" dxfId="269" priority="149" operator="lessThan">
      <formula>0</formula>
    </cfRule>
  </conditionalFormatting>
  <conditionalFormatting sqref="AR163">
    <cfRule type="cellIs" dxfId="268" priority="148" operator="lessThan">
      <formula>0</formula>
    </cfRule>
  </conditionalFormatting>
  <conditionalFormatting sqref="AT163">
    <cfRule type="cellIs" dxfId="267" priority="147" operator="lessThan">
      <formula>0</formula>
    </cfRule>
  </conditionalFormatting>
  <conditionalFormatting sqref="AV163">
    <cfRule type="cellIs" dxfId="266" priority="146" operator="lessThan">
      <formula>0</formula>
    </cfRule>
  </conditionalFormatting>
  <conditionalFormatting sqref="AX163">
    <cfRule type="cellIs" dxfId="265" priority="145" operator="lessThan">
      <formula>0</formula>
    </cfRule>
  </conditionalFormatting>
  <conditionalFormatting sqref="AZ163">
    <cfRule type="cellIs" dxfId="264" priority="144" operator="lessThan">
      <formula>0</formula>
    </cfRule>
  </conditionalFormatting>
  <conditionalFormatting sqref="BB163">
    <cfRule type="cellIs" dxfId="263" priority="143" operator="lessThan">
      <formula>0</formula>
    </cfRule>
  </conditionalFormatting>
  <conditionalFormatting sqref="BD163">
    <cfRule type="cellIs" dxfId="262" priority="142" operator="lessThan">
      <formula>0</formula>
    </cfRule>
  </conditionalFormatting>
  <conditionalFormatting sqref="BF163">
    <cfRule type="cellIs" dxfId="261" priority="141" operator="lessThan">
      <formula>0</formula>
    </cfRule>
  </conditionalFormatting>
  <conditionalFormatting sqref="BH163">
    <cfRule type="cellIs" dxfId="260" priority="140" operator="lessThan">
      <formula>0</formula>
    </cfRule>
  </conditionalFormatting>
  <conditionalFormatting sqref="BJ163">
    <cfRule type="cellIs" dxfId="259" priority="139" operator="lessThan">
      <formula>0</formula>
    </cfRule>
  </conditionalFormatting>
  <conditionalFormatting sqref="BL163">
    <cfRule type="cellIs" dxfId="258" priority="138" operator="lessThan">
      <formula>0</formula>
    </cfRule>
  </conditionalFormatting>
  <conditionalFormatting sqref="BN163">
    <cfRule type="cellIs" dxfId="257" priority="137" operator="lessThan">
      <formula>0</formula>
    </cfRule>
  </conditionalFormatting>
  <conditionalFormatting sqref="BP163">
    <cfRule type="cellIs" dxfId="256" priority="136" operator="lessThan">
      <formula>0</formula>
    </cfRule>
  </conditionalFormatting>
  <conditionalFormatting sqref="BR163">
    <cfRule type="cellIs" dxfId="255" priority="135" operator="lessThan">
      <formula>0</formula>
    </cfRule>
  </conditionalFormatting>
  <conditionalFormatting sqref="BT163">
    <cfRule type="cellIs" dxfId="254" priority="134" operator="lessThan">
      <formula>0</formula>
    </cfRule>
  </conditionalFormatting>
  <conditionalFormatting sqref="BV163">
    <cfRule type="cellIs" dxfId="253" priority="133" operator="lessThan">
      <formula>0</formula>
    </cfRule>
  </conditionalFormatting>
  <conditionalFormatting sqref="BX163">
    <cfRule type="cellIs" dxfId="252" priority="132" operator="lessThan">
      <formula>0</formula>
    </cfRule>
  </conditionalFormatting>
  <conditionalFormatting sqref="BZ163">
    <cfRule type="cellIs" dxfId="251" priority="131" operator="lessThan">
      <formula>0</formula>
    </cfRule>
  </conditionalFormatting>
  <conditionalFormatting sqref="CB163">
    <cfRule type="cellIs" dxfId="250" priority="130" operator="lessThan">
      <formula>0</formula>
    </cfRule>
  </conditionalFormatting>
  <conditionalFormatting sqref="CD163">
    <cfRule type="cellIs" dxfId="249" priority="129" operator="lessThan">
      <formula>0</formula>
    </cfRule>
  </conditionalFormatting>
  <conditionalFormatting sqref="CF163">
    <cfRule type="cellIs" dxfId="248" priority="128" operator="lessThan">
      <formula>0</formula>
    </cfRule>
  </conditionalFormatting>
  <conditionalFormatting sqref="CH163">
    <cfRule type="cellIs" dxfId="247" priority="127" operator="lessThan">
      <formula>0</formula>
    </cfRule>
  </conditionalFormatting>
  <conditionalFormatting sqref="CJ163">
    <cfRule type="cellIs" dxfId="246" priority="126" operator="lessThan">
      <formula>0</formula>
    </cfRule>
  </conditionalFormatting>
  <conditionalFormatting sqref="CL163">
    <cfRule type="cellIs" dxfId="245" priority="125" operator="lessThan">
      <formula>0</formula>
    </cfRule>
  </conditionalFormatting>
  <conditionalFormatting sqref="AJ163">
    <cfRule type="cellIs" dxfId="244" priority="124" operator="lessThan">
      <formula>0</formula>
    </cfRule>
  </conditionalFormatting>
  <conditionalFormatting sqref="AH164:AH168">
    <cfRule type="cellIs" dxfId="243" priority="123" operator="lessThan">
      <formula>0</formula>
    </cfRule>
  </conditionalFormatting>
  <conditionalFormatting sqref="AL164:AL168">
    <cfRule type="cellIs" dxfId="242" priority="122" operator="lessThan">
      <formula>0</formula>
    </cfRule>
  </conditionalFormatting>
  <conditionalFormatting sqref="AN164:AN168">
    <cfRule type="cellIs" dxfId="241" priority="121" operator="lessThan">
      <formula>0</formula>
    </cfRule>
  </conditionalFormatting>
  <conditionalFormatting sqref="AP164:AP168">
    <cfRule type="cellIs" dxfId="240" priority="120" operator="lessThan">
      <formula>0</formula>
    </cfRule>
  </conditionalFormatting>
  <conditionalFormatting sqref="AR164:AR168">
    <cfRule type="cellIs" dxfId="239" priority="119" operator="lessThan">
      <formula>0</formula>
    </cfRule>
  </conditionalFormatting>
  <conditionalFormatting sqref="AT164:AT168">
    <cfRule type="cellIs" dxfId="238" priority="118" operator="lessThan">
      <formula>0</formula>
    </cfRule>
  </conditionalFormatting>
  <conditionalFormatting sqref="AV164:AV168">
    <cfRule type="cellIs" dxfId="237" priority="117" operator="lessThan">
      <formula>0</formula>
    </cfRule>
  </conditionalFormatting>
  <conditionalFormatting sqref="AX164:AX168">
    <cfRule type="cellIs" dxfId="236" priority="116" operator="lessThan">
      <formula>0</formula>
    </cfRule>
  </conditionalFormatting>
  <conditionalFormatting sqref="AZ164:AZ168">
    <cfRule type="cellIs" dxfId="235" priority="115" operator="lessThan">
      <formula>0</formula>
    </cfRule>
  </conditionalFormatting>
  <conditionalFormatting sqref="BB164:BB168">
    <cfRule type="cellIs" dxfId="234" priority="114" operator="lessThan">
      <formula>0</formula>
    </cfRule>
  </conditionalFormatting>
  <conditionalFormatting sqref="BD164:BD168">
    <cfRule type="cellIs" dxfId="233" priority="113" operator="lessThan">
      <formula>0</formula>
    </cfRule>
  </conditionalFormatting>
  <conditionalFormatting sqref="BF164:BF168">
    <cfRule type="cellIs" dxfId="232" priority="112" operator="lessThan">
      <formula>0</formula>
    </cfRule>
  </conditionalFormatting>
  <conditionalFormatting sqref="BH164:BH168">
    <cfRule type="cellIs" dxfId="231" priority="111" operator="lessThan">
      <formula>0</formula>
    </cfRule>
  </conditionalFormatting>
  <conditionalFormatting sqref="BJ164:BJ168">
    <cfRule type="cellIs" dxfId="230" priority="110" operator="lessThan">
      <formula>0</formula>
    </cfRule>
  </conditionalFormatting>
  <conditionalFormatting sqref="BL164:BL168">
    <cfRule type="cellIs" dxfId="229" priority="109" operator="lessThan">
      <formula>0</formula>
    </cfRule>
  </conditionalFormatting>
  <conditionalFormatting sqref="BN164:BN168">
    <cfRule type="cellIs" dxfId="228" priority="108" operator="lessThan">
      <formula>0</formula>
    </cfRule>
  </conditionalFormatting>
  <conditionalFormatting sqref="BP164:BP168">
    <cfRule type="cellIs" dxfId="227" priority="107" operator="lessThan">
      <formula>0</formula>
    </cfRule>
  </conditionalFormatting>
  <conditionalFormatting sqref="BR164:BR168">
    <cfRule type="cellIs" dxfId="226" priority="106" operator="lessThan">
      <formula>0</formula>
    </cfRule>
  </conditionalFormatting>
  <conditionalFormatting sqref="BT164:BT168">
    <cfRule type="cellIs" dxfId="225" priority="105" operator="lessThan">
      <formula>0</formula>
    </cfRule>
  </conditionalFormatting>
  <conditionalFormatting sqref="BV164:BV168">
    <cfRule type="cellIs" dxfId="224" priority="104" operator="lessThan">
      <formula>0</formula>
    </cfRule>
  </conditionalFormatting>
  <conditionalFormatting sqref="BX164:BX168">
    <cfRule type="cellIs" dxfId="223" priority="103" operator="lessThan">
      <formula>0</formula>
    </cfRule>
  </conditionalFormatting>
  <conditionalFormatting sqref="BZ164:BZ168">
    <cfRule type="cellIs" dxfId="222" priority="102" operator="lessThan">
      <formula>0</formula>
    </cfRule>
  </conditionalFormatting>
  <conditionalFormatting sqref="CB164:CB168">
    <cfRule type="cellIs" dxfId="221" priority="101" operator="lessThan">
      <formula>0</formula>
    </cfRule>
  </conditionalFormatting>
  <conditionalFormatting sqref="CD164:CD168">
    <cfRule type="cellIs" dxfId="220" priority="100" operator="lessThan">
      <formula>0</formula>
    </cfRule>
  </conditionalFormatting>
  <conditionalFormatting sqref="CF164:CF168">
    <cfRule type="cellIs" dxfId="219" priority="99" operator="lessThan">
      <formula>0</formula>
    </cfRule>
  </conditionalFormatting>
  <conditionalFormatting sqref="CH164:CH168">
    <cfRule type="cellIs" dxfId="218" priority="98" operator="lessThan">
      <formula>0</formula>
    </cfRule>
  </conditionalFormatting>
  <conditionalFormatting sqref="CJ164:CJ168">
    <cfRule type="cellIs" dxfId="217" priority="97" operator="lessThan">
      <formula>0</formula>
    </cfRule>
  </conditionalFormatting>
  <conditionalFormatting sqref="CL164:CL168">
    <cfRule type="cellIs" dxfId="216" priority="96" operator="lessThan">
      <formula>0</formula>
    </cfRule>
  </conditionalFormatting>
  <conditionalFormatting sqref="AJ164:AJ168">
    <cfRule type="cellIs" dxfId="215" priority="95" operator="lessThan">
      <formula>0</formula>
    </cfRule>
  </conditionalFormatting>
  <conditionalFormatting sqref="AH169">
    <cfRule type="cellIs" dxfId="214" priority="94" operator="lessThan">
      <formula>0</formula>
    </cfRule>
  </conditionalFormatting>
  <conditionalFormatting sqref="AL169">
    <cfRule type="cellIs" dxfId="213" priority="93" operator="lessThan">
      <formula>0</formula>
    </cfRule>
  </conditionalFormatting>
  <conditionalFormatting sqref="AN169">
    <cfRule type="cellIs" dxfId="212" priority="92" operator="lessThan">
      <formula>0</formula>
    </cfRule>
  </conditionalFormatting>
  <conditionalFormatting sqref="AP169">
    <cfRule type="cellIs" dxfId="211" priority="91" operator="lessThan">
      <formula>0</formula>
    </cfRule>
  </conditionalFormatting>
  <conditionalFormatting sqref="AR169">
    <cfRule type="cellIs" dxfId="210" priority="90" operator="lessThan">
      <formula>0</formula>
    </cfRule>
  </conditionalFormatting>
  <conditionalFormatting sqref="AT169">
    <cfRule type="cellIs" dxfId="209" priority="89" operator="lessThan">
      <formula>0</formula>
    </cfRule>
  </conditionalFormatting>
  <conditionalFormatting sqref="AV169">
    <cfRule type="cellIs" dxfId="208" priority="88" operator="lessThan">
      <formula>0</formula>
    </cfRule>
  </conditionalFormatting>
  <conditionalFormatting sqref="AX169">
    <cfRule type="cellIs" dxfId="207" priority="87" operator="lessThan">
      <formula>0</formula>
    </cfRule>
  </conditionalFormatting>
  <conditionalFormatting sqref="AZ169">
    <cfRule type="cellIs" dxfId="206" priority="86" operator="lessThan">
      <formula>0</formula>
    </cfRule>
  </conditionalFormatting>
  <conditionalFormatting sqref="BB169">
    <cfRule type="cellIs" dxfId="205" priority="85" operator="lessThan">
      <formula>0</formula>
    </cfRule>
  </conditionalFormatting>
  <conditionalFormatting sqref="BD169">
    <cfRule type="cellIs" dxfId="204" priority="84" operator="lessThan">
      <formula>0</formula>
    </cfRule>
  </conditionalFormatting>
  <conditionalFormatting sqref="BF169">
    <cfRule type="cellIs" dxfId="203" priority="83" operator="lessThan">
      <formula>0</formula>
    </cfRule>
  </conditionalFormatting>
  <conditionalFormatting sqref="BH169">
    <cfRule type="cellIs" dxfId="202" priority="82" operator="lessThan">
      <formula>0</formula>
    </cfRule>
  </conditionalFormatting>
  <conditionalFormatting sqref="BJ169">
    <cfRule type="cellIs" dxfId="201" priority="81" operator="lessThan">
      <formula>0</formula>
    </cfRule>
  </conditionalFormatting>
  <conditionalFormatting sqref="BL169">
    <cfRule type="cellIs" dxfId="200" priority="80" operator="lessThan">
      <formula>0</formula>
    </cfRule>
  </conditionalFormatting>
  <conditionalFormatting sqref="BN169">
    <cfRule type="cellIs" dxfId="199" priority="79" operator="lessThan">
      <formula>0</formula>
    </cfRule>
  </conditionalFormatting>
  <conditionalFormatting sqref="BP169">
    <cfRule type="cellIs" dxfId="198" priority="78" operator="lessThan">
      <formula>0</formula>
    </cfRule>
  </conditionalFormatting>
  <conditionalFormatting sqref="BR169">
    <cfRule type="cellIs" dxfId="197" priority="77" operator="lessThan">
      <formula>0</formula>
    </cfRule>
  </conditionalFormatting>
  <conditionalFormatting sqref="BT169">
    <cfRule type="cellIs" dxfId="196" priority="76" operator="lessThan">
      <formula>0</formula>
    </cfRule>
  </conditionalFormatting>
  <conditionalFormatting sqref="BV169">
    <cfRule type="cellIs" dxfId="195" priority="75" operator="lessThan">
      <formula>0</formula>
    </cfRule>
  </conditionalFormatting>
  <conditionalFormatting sqref="BX169">
    <cfRule type="cellIs" dxfId="194" priority="74" operator="lessThan">
      <formula>0</formula>
    </cfRule>
  </conditionalFormatting>
  <conditionalFormatting sqref="BZ169">
    <cfRule type="cellIs" dxfId="193" priority="73" operator="lessThan">
      <formula>0</formula>
    </cfRule>
  </conditionalFormatting>
  <conditionalFormatting sqref="CB169">
    <cfRule type="cellIs" dxfId="192" priority="72" operator="lessThan">
      <formula>0</formula>
    </cfRule>
  </conditionalFormatting>
  <conditionalFormatting sqref="CD169">
    <cfRule type="cellIs" dxfId="191" priority="71" operator="lessThan">
      <formula>0</formula>
    </cfRule>
  </conditionalFormatting>
  <conditionalFormatting sqref="CF169">
    <cfRule type="cellIs" dxfId="190" priority="70" operator="lessThan">
      <formula>0</formula>
    </cfRule>
  </conditionalFormatting>
  <conditionalFormatting sqref="CH169">
    <cfRule type="cellIs" dxfId="189" priority="69" operator="lessThan">
      <formula>0</formula>
    </cfRule>
  </conditionalFormatting>
  <conditionalFormatting sqref="CJ169">
    <cfRule type="cellIs" dxfId="188" priority="68" operator="lessThan">
      <formula>0</formula>
    </cfRule>
  </conditionalFormatting>
  <conditionalFormatting sqref="CL169">
    <cfRule type="cellIs" dxfId="187" priority="67" operator="lessThan">
      <formula>0</formula>
    </cfRule>
  </conditionalFormatting>
  <conditionalFormatting sqref="AJ169">
    <cfRule type="cellIs" dxfId="186" priority="66" operator="lessThan">
      <formula>0</formula>
    </cfRule>
  </conditionalFormatting>
  <conditionalFormatting sqref="AF170:CM170">
    <cfRule type="cellIs" dxfId="185" priority="65" operator="lessThan">
      <formula>0</formula>
    </cfRule>
  </conditionalFormatting>
  <conditionalFormatting sqref="J83">
    <cfRule type="cellIs" dxfId="184" priority="63" operator="greaterThan">
      <formula>0</formula>
    </cfRule>
    <cfRule type="cellIs" dxfId="183" priority="64" operator="lessThan">
      <formula>0</formula>
    </cfRule>
  </conditionalFormatting>
  <conditionalFormatting sqref="J96">
    <cfRule type="cellIs" dxfId="182" priority="61" operator="greaterThan">
      <formula>0</formula>
    </cfRule>
    <cfRule type="cellIs" dxfId="181" priority="62" operator="lessThan">
      <formula>0</formula>
    </cfRule>
  </conditionalFormatting>
  <conditionalFormatting sqref="J137">
    <cfRule type="cellIs" dxfId="180" priority="59" operator="greaterThan">
      <formula>0</formula>
    </cfRule>
    <cfRule type="cellIs" dxfId="179" priority="60" operator="lessThan">
      <formula>0</formula>
    </cfRule>
  </conditionalFormatting>
  <conditionalFormatting sqref="J167">
    <cfRule type="cellIs" dxfId="178" priority="57" operator="greaterThan">
      <formula>0</formula>
    </cfRule>
    <cfRule type="cellIs" dxfId="177" priority="58" operator="lessThan">
      <formula>0</formula>
    </cfRule>
  </conditionalFormatting>
  <conditionalFormatting sqref="J52:J53">
    <cfRule type="cellIs" dxfId="176" priority="55" operator="greaterThan">
      <formula>0</formula>
    </cfRule>
    <cfRule type="cellIs" dxfId="175" priority="56" operator="lessThan">
      <formula>0</formula>
    </cfRule>
  </conditionalFormatting>
  <conditionalFormatting sqref="J50:J51">
    <cfRule type="cellIs" dxfId="174" priority="53" operator="greaterThan">
      <formula>0</formula>
    </cfRule>
    <cfRule type="cellIs" dxfId="173" priority="54" operator="lessThan">
      <formula>0</formula>
    </cfRule>
  </conditionalFormatting>
  <conditionalFormatting sqref="J75:J76">
    <cfRule type="cellIs" dxfId="172" priority="51" operator="greaterThan">
      <formula>0</formula>
    </cfRule>
    <cfRule type="cellIs" dxfId="171" priority="52" operator="lessThan">
      <formula>0</formula>
    </cfRule>
  </conditionalFormatting>
  <conditionalFormatting sqref="J77:J78">
    <cfRule type="cellIs" dxfId="170" priority="49" operator="greaterThan">
      <formula>0</formula>
    </cfRule>
    <cfRule type="cellIs" dxfId="169" priority="50" operator="lessThan">
      <formula>0</formula>
    </cfRule>
  </conditionalFormatting>
  <conditionalFormatting sqref="J79:J80">
    <cfRule type="cellIs" dxfId="168" priority="47" operator="greaterThan">
      <formula>0</formula>
    </cfRule>
    <cfRule type="cellIs" dxfId="167" priority="48" operator="lessThan">
      <formula>0</formula>
    </cfRule>
  </conditionalFormatting>
  <conditionalFormatting sqref="J89">
    <cfRule type="cellIs" dxfId="166" priority="45" operator="greaterThan">
      <formula>0</formula>
    </cfRule>
    <cfRule type="cellIs" dxfId="165" priority="46" operator="lessThan">
      <formula>0</formula>
    </cfRule>
  </conditionalFormatting>
  <conditionalFormatting sqref="J90">
    <cfRule type="cellIs" dxfId="164" priority="43" operator="greaterThan">
      <formula>0</formula>
    </cfRule>
    <cfRule type="cellIs" dxfId="163" priority="44" operator="lessThan">
      <formula>0</formula>
    </cfRule>
  </conditionalFormatting>
  <conditionalFormatting sqref="J93">
    <cfRule type="cellIs" dxfId="162" priority="41" operator="greaterThan">
      <formula>0</formula>
    </cfRule>
    <cfRule type="cellIs" dxfId="161" priority="42" operator="lessThan">
      <formula>0</formula>
    </cfRule>
  </conditionalFormatting>
  <conditionalFormatting sqref="J94">
    <cfRule type="cellIs" dxfId="160" priority="39" operator="greaterThan">
      <formula>0</formula>
    </cfRule>
    <cfRule type="cellIs" dxfId="159" priority="40" operator="lessThan">
      <formula>0</formula>
    </cfRule>
  </conditionalFormatting>
  <conditionalFormatting sqref="J102:J103">
    <cfRule type="cellIs" dxfId="158" priority="37" operator="greaterThan">
      <formula>0</formula>
    </cfRule>
    <cfRule type="cellIs" dxfId="157" priority="38" operator="lessThan">
      <formula>0</formula>
    </cfRule>
  </conditionalFormatting>
  <conditionalFormatting sqref="J104:J105">
    <cfRule type="cellIs" dxfId="156" priority="35" operator="greaterThan">
      <formula>0</formula>
    </cfRule>
    <cfRule type="cellIs" dxfId="155" priority="36" operator="lessThan">
      <formula>0</formula>
    </cfRule>
  </conditionalFormatting>
  <conditionalFormatting sqref="J106:J107">
    <cfRule type="cellIs" dxfId="154" priority="33" operator="greaterThan">
      <formula>0</formula>
    </cfRule>
    <cfRule type="cellIs" dxfId="153" priority="34" operator="lessThan">
      <formula>0</formula>
    </cfRule>
  </conditionalFormatting>
  <conditionalFormatting sqref="J130">
    <cfRule type="cellIs" dxfId="152" priority="31" operator="greaterThan">
      <formula>0</formula>
    </cfRule>
    <cfRule type="cellIs" dxfId="151" priority="32" operator="lessThan">
      <formula>0</formula>
    </cfRule>
  </conditionalFormatting>
  <conditionalFormatting sqref="J131">
    <cfRule type="cellIs" dxfId="150" priority="29" operator="greaterThan">
      <formula>0</formula>
    </cfRule>
    <cfRule type="cellIs" dxfId="149" priority="30" operator="lessThan">
      <formula>0</formula>
    </cfRule>
  </conditionalFormatting>
  <conditionalFormatting sqref="J132">
    <cfRule type="cellIs" dxfId="148" priority="27" operator="greaterThan">
      <formula>0</formula>
    </cfRule>
    <cfRule type="cellIs" dxfId="147" priority="28" operator="lessThan">
      <formula>0</formula>
    </cfRule>
  </conditionalFormatting>
  <conditionalFormatting sqref="J133">
    <cfRule type="cellIs" dxfId="146" priority="25" operator="greaterThan">
      <formula>0</formula>
    </cfRule>
    <cfRule type="cellIs" dxfId="145" priority="26" operator="lessThan">
      <formula>0</formula>
    </cfRule>
  </conditionalFormatting>
  <conditionalFormatting sqref="J134">
    <cfRule type="cellIs" dxfId="144" priority="23" operator="greaterThan">
      <formula>0</formula>
    </cfRule>
    <cfRule type="cellIs" dxfId="143" priority="24" operator="lessThan">
      <formula>0</formula>
    </cfRule>
  </conditionalFormatting>
  <conditionalFormatting sqref="J135">
    <cfRule type="cellIs" dxfId="142" priority="21" operator="greaterThan">
      <formula>0</formula>
    </cfRule>
    <cfRule type="cellIs" dxfId="141" priority="22" operator="lessThan">
      <formula>0</formula>
    </cfRule>
  </conditionalFormatting>
  <conditionalFormatting sqref="J148:J149">
    <cfRule type="cellIs" dxfId="140" priority="19" operator="greaterThan">
      <formula>0</formula>
    </cfRule>
    <cfRule type="cellIs" dxfId="139" priority="20" operator="lessThan">
      <formula>0</formula>
    </cfRule>
  </conditionalFormatting>
  <conditionalFormatting sqref="J109">
    <cfRule type="cellIs" dxfId="138" priority="17" operator="greaterThan">
      <formula>0</formula>
    </cfRule>
    <cfRule type="cellIs" dxfId="137" priority="18" operator="lessThan">
      <formula>0</formula>
    </cfRule>
  </conditionalFormatting>
  <conditionalFormatting sqref="J138">
    <cfRule type="cellIs" dxfId="136" priority="15" operator="greaterThan">
      <formula>0</formula>
    </cfRule>
    <cfRule type="cellIs" dxfId="135" priority="16" operator="lessThan">
      <formula>0</formula>
    </cfRule>
  </conditionalFormatting>
  <conditionalFormatting sqref="J151">
    <cfRule type="cellIs" dxfId="134" priority="13" operator="greaterThan">
      <formula>0</formula>
    </cfRule>
    <cfRule type="cellIs" dxfId="133" priority="14" operator="lessThan">
      <formula>0</formula>
    </cfRule>
  </conditionalFormatting>
  <conditionalFormatting sqref="J166">
    <cfRule type="cellIs" dxfId="132" priority="11" operator="greaterThan">
      <formula>0</formula>
    </cfRule>
    <cfRule type="cellIs" dxfId="131" priority="12" operator="lessThan">
      <formula>0</formula>
    </cfRule>
  </conditionalFormatting>
  <conditionalFormatting sqref="J165">
    <cfRule type="cellIs" dxfId="130" priority="9" operator="greaterThan">
      <formula>0</formula>
    </cfRule>
    <cfRule type="cellIs" dxfId="129" priority="10" operator="lessThan">
      <formula>0</formula>
    </cfRule>
  </conditionalFormatting>
  <conditionalFormatting sqref="J91">
    <cfRule type="cellIs" dxfId="128" priority="7" operator="greaterThan">
      <formula>0</formula>
    </cfRule>
    <cfRule type="cellIs" dxfId="127" priority="8" operator="lessThan">
      <formula>0</formula>
    </cfRule>
  </conditionalFormatting>
  <conditionalFormatting sqref="J92">
    <cfRule type="cellIs" dxfId="126" priority="5" operator="greaterThan">
      <formula>0</formula>
    </cfRule>
    <cfRule type="cellIs" dxfId="125" priority="6" operator="lessThan">
      <formula>0</formula>
    </cfRule>
  </conditionalFormatting>
  <conditionalFormatting sqref="J54:J55">
    <cfRule type="cellIs" dxfId="124" priority="3" operator="greaterThan">
      <formula>0</formula>
    </cfRule>
    <cfRule type="cellIs" dxfId="123" priority="4" operator="lessThan">
      <formula>0</formula>
    </cfRule>
  </conditionalFormatting>
  <conditionalFormatting sqref="C6:G6">
    <cfRule type="expression" dxfId="122" priority="2">
      <formula>$C$6&gt;""</formula>
    </cfRule>
  </conditionalFormatting>
  <conditionalFormatting sqref="D13:K13">
    <cfRule type="expression" dxfId="121"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tabColor rgb="FFD7BDE2"/>
  </sheetPr>
  <dimension ref="A1:BT86"/>
  <sheetViews>
    <sheetView showGridLines="0" showRowColHeaders="0" zoomScale="110" zoomScaleNormal="125" workbookViewId="0">
      <pane xSplit="11" ySplit="8" topLeftCell="L9" activePane="bottomRight" state="frozen"/>
      <selection pane="topRight" activeCell="L1" sqref="L1"/>
      <selection pane="bottomLeft" activeCell="A9" sqref="A9"/>
      <selection pane="bottomRight" activeCell="AD14" sqref="AD14"/>
    </sheetView>
  </sheetViews>
  <sheetFormatPr baseColWidth="10" defaultRowHeight="16"/>
  <cols>
    <col min="1" max="1" width="5.7109375" style="602" customWidth="1"/>
    <col min="2" max="2" width="1.7109375" style="602" customWidth="1"/>
    <col min="3" max="3" width="19.140625" style="602" customWidth="1"/>
    <col min="4" max="4" width="11.140625" style="602" customWidth="1"/>
    <col min="5" max="5" width="2.28515625" style="602" customWidth="1"/>
    <col min="6" max="6" width="3.85546875" style="603" customWidth="1"/>
    <col min="7" max="9" width="6.28515625" style="603" customWidth="1"/>
    <col min="10" max="10" width="1.7109375" style="603" customWidth="1"/>
    <col min="11" max="11" width="10.28515625" style="603" customWidth="1"/>
    <col min="12" max="12" width="8.7109375" style="603" customWidth="1"/>
    <col min="13" max="13" width="9.5703125" style="602" customWidth="1"/>
    <col min="14" max="14" width="1.7109375" style="602" customWidth="1"/>
    <col min="15" max="15" width="9.5703125" style="602" customWidth="1"/>
    <col min="16" max="16" width="10.28515625" style="603" customWidth="1"/>
    <col min="17" max="17" width="7.28515625" style="602" customWidth="1"/>
    <col min="18" max="18" width="8.7109375" style="602" customWidth="1"/>
    <col min="19" max="19" width="11.140625" style="602" customWidth="1"/>
    <col min="20" max="20" width="1.7109375" style="602" customWidth="1"/>
    <col min="21" max="21" width="12.28515625" style="602" customWidth="1"/>
    <col min="22" max="22" width="1.7109375" style="602" customWidth="1"/>
    <col min="23" max="23" width="10" style="602" customWidth="1"/>
    <col min="24" max="24" width="10.5703125" style="602" customWidth="1"/>
    <col min="25" max="25" width="10.28515625" style="602" customWidth="1"/>
    <col min="26" max="26" width="1.85546875" style="602" customWidth="1"/>
    <col min="27" max="27" width="10.5703125" style="602" customWidth="1"/>
    <col min="28" max="28" width="11.28515625" style="602" customWidth="1"/>
    <col min="29" max="29" width="5.7109375" style="602" customWidth="1"/>
    <col min="30" max="30" width="48.28515625" style="602" customWidth="1"/>
    <col min="31" max="31" width="1.7109375" style="602" customWidth="1"/>
    <col min="32" max="32" width="11.28515625" style="602" hidden="1" customWidth="1"/>
    <col min="33" max="33" width="10.140625" style="602" hidden="1" customWidth="1"/>
    <col min="34" max="35" width="9.85546875" style="602" hidden="1" customWidth="1"/>
    <col min="36" max="37" width="9.42578125" style="602" hidden="1" customWidth="1"/>
    <col min="38" max="38" width="9.85546875" style="602" hidden="1" customWidth="1"/>
    <col min="39" max="39" width="8.85546875" style="602" hidden="1" customWidth="1"/>
    <col min="40" max="40" width="8.28515625" style="602" hidden="1" customWidth="1"/>
    <col min="41" max="41" width="9.5703125" style="602" hidden="1" customWidth="1"/>
    <col min="42" max="42" width="1.7109375" style="602" hidden="1" customWidth="1"/>
    <col min="43" max="44" width="10.85546875" style="602" hidden="1" customWidth="1"/>
    <col min="45" max="45" width="10.85546875" style="603" hidden="1" customWidth="1"/>
    <col min="46" max="46" width="1.7109375" hidden="1" customWidth="1"/>
    <col min="47" max="47" width="9.85546875" style="602" hidden="1" customWidth="1"/>
    <col min="48" max="48" width="11.42578125" style="602" hidden="1" customWidth="1"/>
    <col min="49" max="49" width="1.7109375" style="602" hidden="1" customWidth="1"/>
    <col min="50" max="50" width="11.85546875" style="602" hidden="1" customWidth="1"/>
    <col min="51" max="51" width="10.7109375" hidden="1" customWidth="1"/>
    <col min="52" max="53" width="11.85546875" style="602" hidden="1" customWidth="1"/>
    <col min="54" max="55" width="10.7109375" style="602" hidden="1" customWidth="1"/>
    <col min="56" max="56" width="11.7109375" style="602" hidden="1" customWidth="1"/>
    <col min="57" max="57" width="1.7109375" style="602" hidden="1" customWidth="1"/>
    <col min="58" max="58" width="12.28515625" style="602" hidden="1" customWidth="1"/>
    <col min="59" max="59" width="11" style="602" hidden="1" customWidth="1"/>
    <col min="60" max="61" width="10.140625" style="603" hidden="1" customWidth="1"/>
    <col min="62" max="62" width="1.7109375" style="603" hidden="1" customWidth="1"/>
    <col min="63" max="63" width="8.42578125" style="602" hidden="1" customWidth="1"/>
    <col min="64" max="66" width="9.7109375" style="602" hidden="1" customWidth="1"/>
    <col min="67" max="67" width="9.85546875" style="602" hidden="1" customWidth="1"/>
    <col min="68" max="68" width="14.85546875" style="602" hidden="1" customWidth="1"/>
    <col min="69" max="69" width="2.7109375" style="602" hidden="1" customWidth="1"/>
    <col min="70" max="70" width="12.42578125" style="602" hidden="1" customWidth="1"/>
    <col min="71" max="71" width="11.85546875" style="602" hidden="1" customWidth="1"/>
    <col min="72" max="72" width="10.7109375" style="602" hidden="1" customWidth="1"/>
    <col min="73" max="16384" width="10.7109375" style="602"/>
  </cols>
  <sheetData>
    <row r="1" spans="1:72" s="653" customFormat="1" ht="8" customHeight="1">
      <c r="A1" s="259"/>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59"/>
      <c r="AB1" s="259"/>
      <c r="AC1" s="259"/>
      <c r="AD1" s="259"/>
      <c r="AE1" s="259"/>
      <c r="AF1" s="259"/>
      <c r="AG1" s="259"/>
      <c r="AH1" s="259"/>
      <c r="AI1" s="259"/>
      <c r="AJ1" s="259"/>
      <c r="AK1" s="259"/>
      <c r="AL1" s="259"/>
      <c r="AM1" s="259"/>
      <c r="AN1" s="259"/>
      <c r="AO1" s="259"/>
      <c r="AP1" s="259"/>
      <c r="AQ1" s="259"/>
      <c r="AR1" s="259"/>
      <c r="AS1" s="259"/>
      <c r="AT1" s="259"/>
      <c r="AU1" s="259"/>
      <c r="AV1" s="259"/>
      <c r="AW1" s="259"/>
      <c r="AX1" s="259"/>
      <c r="AY1" s="259"/>
      <c r="AZ1" s="259"/>
      <c r="BA1" s="259"/>
      <c r="BB1" s="259"/>
      <c r="BC1" s="259"/>
      <c r="BD1" s="259"/>
      <c r="BE1" s="259"/>
      <c r="BF1" s="259"/>
      <c r="BG1" s="259"/>
      <c r="BH1" s="259"/>
      <c r="BI1" s="259"/>
      <c r="BJ1" s="259"/>
      <c r="BK1" s="259"/>
      <c r="BL1" s="259"/>
      <c r="BM1" s="259"/>
      <c r="BN1" s="259"/>
      <c r="BO1" s="259"/>
      <c r="BP1" s="259"/>
    </row>
    <row r="2" spans="1:72" s="653" customFormat="1" ht="40" customHeight="1">
      <c r="A2" s="652"/>
      <c r="B2" s="652"/>
      <c r="C2" s="2435" t="s">
        <v>1365</v>
      </c>
      <c r="D2" s="2435"/>
      <c r="E2" s="2435"/>
      <c r="F2" s="2435"/>
      <c r="G2" s="2435"/>
      <c r="H2" s="2435"/>
      <c r="I2" s="654"/>
      <c r="J2" s="654"/>
      <c r="K2" s="654"/>
      <c r="L2" s="654"/>
      <c r="M2" s="654"/>
      <c r="N2" s="654"/>
      <c r="O2" s="654"/>
      <c r="P2" s="654"/>
      <c r="Q2" s="654"/>
      <c r="R2" s="654"/>
      <c r="S2" s="654"/>
      <c r="T2" s="654"/>
      <c r="U2" s="2432" t="str">
        <f>IF(U49&gt;0,"One or more years has income exceeding budget needs.","")</f>
        <v/>
      </c>
      <c r="V2" s="655"/>
      <c r="W2" s="657"/>
      <c r="X2" s="657"/>
      <c r="Y2" s="657"/>
      <c r="Z2" s="657"/>
      <c r="AA2" s="657"/>
      <c r="AB2" s="657"/>
      <c r="AC2" s="657"/>
      <c r="AQ2" s="659"/>
      <c r="BC2" s="727"/>
      <c r="BD2" s="1233"/>
      <c r="BE2" s="1233"/>
      <c r="BF2" s="665"/>
      <c r="BG2" s="665"/>
      <c r="BH2" s="654"/>
      <c r="BI2" s="1147"/>
      <c r="BJ2" s="1147"/>
    </row>
    <row r="3" spans="1:72" s="653" customFormat="1" ht="17" customHeight="1">
      <c r="A3" s="781" t="s">
        <v>1310</v>
      </c>
      <c r="C3" s="2436" t="s">
        <v>2566</v>
      </c>
      <c r="D3" s="2437"/>
      <c r="E3" s="2437"/>
      <c r="F3" s="2437"/>
      <c r="G3" s="2437"/>
      <c r="H3" s="2437"/>
      <c r="I3" s="2437"/>
      <c r="J3" s="675"/>
      <c r="K3" s="654"/>
      <c r="L3" s="654"/>
      <c r="M3" s="654"/>
      <c r="N3" s="654"/>
      <c r="P3" s="654"/>
      <c r="Q3" s="655"/>
      <c r="R3" s="655"/>
      <c r="T3" s="655"/>
      <c r="U3" s="2432"/>
      <c r="V3" s="655"/>
      <c r="W3" s="655"/>
      <c r="AA3" s="2454"/>
      <c r="AB3" s="2454"/>
      <c r="AD3" s="722"/>
      <c r="AE3" s="654"/>
      <c r="AF3" s="729"/>
      <c r="AG3" s="722"/>
      <c r="BD3" s="655"/>
      <c r="BE3" s="655"/>
      <c r="BF3" s="655"/>
      <c r="BG3" s="656"/>
      <c r="BH3" s="654"/>
      <c r="BI3" s="1147"/>
      <c r="BJ3" s="1147"/>
    </row>
    <row r="4" spans="1:72" s="653" customFormat="1" ht="17" customHeight="1">
      <c r="C4" s="662"/>
      <c r="D4" s="662"/>
      <c r="F4" s="654"/>
      <c r="G4" s="654"/>
      <c r="H4" s="654"/>
      <c r="I4" s="654"/>
      <c r="J4" s="654"/>
      <c r="K4" s="654"/>
      <c r="L4" s="719"/>
      <c r="M4" s="654"/>
      <c r="N4" s="654"/>
      <c r="P4" s="654"/>
      <c r="Q4" s="655"/>
      <c r="R4" s="655"/>
      <c r="T4" s="655"/>
      <c r="U4" s="2432"/>
      <c r="V4" s="655"/>
      <c r="W4" s="655"/>
      <c r="AA4" s="654"/>
      <c r="AB4" s="654"/>
      <c r="AD4" s="654"/>
      <c r="AE4" s="654"/>
      <c r="AF4" s="729"/>
      <c r="AG4" s="722"/>
      <c r="AH4" s="654"/>
      <c r="AI4" s="722"/>
      <c r="AJ4" s="722"/>
      <c r="AK4" s="722"/>
      <c r="AL4" s="722"/>
      <c r="AM4" s="722"/>
      <c r="AN4" s="722"/>
      <c r="AO4" s="729"/>
      <c r="AP4" s="1147"/>
      <c r="AR4" s="652"/>
      <c r="AS4" s="654"/>
      <c r="BI4" s="1147"/>
      <c r="BJ4" s="1147"/>
    </row>
    <row r="5" spans="1:72" s="653" customFormat="1" ht="17" customHeight="1">
      <c r="C5" s="2444"/>
      <c r="D5" s="2444"/>
      <c r="E5" s="2444"/>
      <c r="F5" s="2444"/>
      <c r="G5" s="2444"/>
      <c r="H5" s="2444"/>
      <c r="I5" s="2444"/>
      <c r="J5" s="2444"/>
      <c r="K5" s="2444"/>
      <c r="L5" s="654"/>
      <c r="M5" s="654"/>
      <c r="N5" s="654"/>
      <c r="P5" s="654"/>
      <c r="Q5" s="655"/>
      <c r="R5" s="655"/>
      <c r="T5" s="655"/>
      <c r="U5" s="655"/>
      <c r="V5" s="655"/>
      <c r="W5" s="726"/>
      <c r="AA5" s="654"/>
      <c r="AB5" s="654"/>
      <c r="AD5" s="770"/>
      <c r="AE5" s="654"/>
      <c r="AF5" s="2460" t="s">
        <v>2141</v>
      </c>
      <c r="AG5" s="2461"/>
      <c r="AH5" s="2461"/>
      <c r="AI5" s="2461"/>
      <c r="AJ5" s="2461"/>
      <c r="AK5" s="2461"/>
      <c r="AL5" s="2461"/>
      <c r="AM5" s="2461"/>
      <c r="AN5" s="2461"/>
      <c r="AO5" s="2461"/>
      <c r="AP5" s="1147"/>
      <c r="AQ5" s="2463" t="s">
        <v>2122</v>
      </c>
      <c r="AR5" s="2463"/>
      <c r="AS5" s="2463"/>
      <c r="AU5" s="2464" t="s">
        <v>2132</v>
      </c>
      <c r="AV5" s="2464"/>
      <c r="AX5" s="2465" t="s">
        <v>2567</v>
      </c>
      <c r="AY5" s="2466"/>
      <c r="AZ5" s="2466"/>
      <c r="BA5" s="2466"/>
      <c r="BB5" s="2466"/>
      <c r="BC5" s="2466"/>
      <c r="BD5" s="2467"/>
      <c r="BE5" s="1147"/>
      <c r="BF5" s="2418" t="s">
        <v>2568</v>
      </c>
      <c r="BG5" s="2419"/>
      <c r="BH5" s="2419"/>
      <c r="BI5" s="2420"/>
      <c r="BJ5" s="1229"/>
      <c r="BK5" s="2421" t="s">
        <v>2282</v>
      </c>
      <c r="BL5" s="2421"/>
      <c r="BM5" s="2421"/>
      <c r="BN5" s="2421"/>
      <c r="BO5" s="2421"/>
      <c r="BP5" s="2421"/>
      <c r="BQ5" s="1384"/>
      <c r="BR5" s="2458" t="s">
        <v>1357</v>
      </c>
      <c r="BS5" s="2458"/>
    </row>
    <row r="6" spans="1:72" s="653" customFormat="1" ht="17" customHeight="1">
      <c r="C6" s="2444"/>
      <c r="D6" s="2444"/>
      <c r="E6" s="2444"/>
      <c r="F6" s="2444"/>
      <c r="G6" s="2444"/>
      <c r="H6" s="2444"/>
      <c r="I6" s="2444"/>
      <c r="J6" s="2444"/>
      <c r="K6" s="2444"/>
      <c r="L6" s="654"/>
      <c r="M6" s="654"/>
      <c r="N6" s="654"/>
      <c r="P6" s="654"/>
      <c r="Q6" s="655"/>
      <c r="R6" s="655"/>
      <c r="T6" s="655"/>
      <c r="U6" s="655"/>
      <c r="V6" s="655"/>
      <c r="W6" s="655"/>
      <c r="AA6" s="1632">
        <f>SUM(AA9:AA48)</f>
        <v>0</v>
      </c>
      <c r="AB6" s="1632">
        <f>SUM(AB9:AB48)</f>
        <v>0</v>
      </c>
      <c r="AC6" s="411"/>
      <c r="AD6" s="1632">
        <f>SUM(AA6:AB6)</f>
        <v>0</v>
      </c>
      <c r="AE6" s="654"/>
      <c r="AF6" s="2461"/>
      <c r="AG6" s="2461"/>
      <c r="AH6" s="2461"/>
      <c r="AI6" s="2461"/>
      <c r="AJ6" s="2461"/>
      <c r="AK6" s="2461"/>
      <c r="AL6" s="2461"/>
      <c r="AM6" s="2461"/>
      <c r="AN6" s="2461"/>
      <c r="AO6" s="2461"/>
      <c r="AP6" s="1234"/>
      <c r="AQ6" s="2463"/>
      <c r="AR6" s="2463"/>
      <c r="AS6" s="2463"/>
      <c r="AU6" s="2464"/>
      <c r="AV6" s="2464"/>
      <c r="AW6" s="1226"/>
      <c r="AX6" s="1239"/>
      <c r="AY6" s="1237"/>
      <c r="AZ6" s="1237"/>
      <c r="BA6" s="1237"/>
      <c r="BB6" s="1238" t="s">
        <v>2131</v>
      </c>
      <c r="BC6" s="1238" t="s">
        <v>2129</v>
      </c>
      <c r="BD6" s="1240" t="s">
        <v>497</v>
      </c>
      <c r="BE6" s="658"/>
      <c r="BF6" s="1242" t="s">
        <v>498</v>
      </c>
      <c r="BG6" s="1241" t="s">
        <v>2130</v>
      </c>
      <c r="BH6" s="1241" t="s">
        <v>2131</v>
      </c>
      <c r="BI6" s="1243"/>
      <c r="BK6" s="2421"/>
      <c r="BL6" s="2421"/>
      <c r="BM6" s="2421"/>
      <c r="BN6" s="2421"/>
      <c r="BO6" s="2421"/>
      <c r="BP6" s="2421"/>
      <c r="BQ6" s="1384"/>
      <c r="BR6" s="2458"/>
      <c r="BS6" s="2458"/>
      <c r="BT6" s="1226"/>
    </row>
    <row r="7" spans="1:72" s="653" customFormat="1" ht="25" customHeight="1">
      <c r="C7" s="2443" t="str">
        <f>IF(Config!Q12="SHOW","Press calculator to update","")</f>
        <v/>
      </c>
      <c r="F7" s="2440" t="s">
        <v>2422</v>
      </c>
      <c r="G7" s="2438" t="s">
        <v>6</v>
      </c>
      <c r="H7" s="2438" t="s">
        <v>65</v>
      </c>
      <c r="I7" s="2429"/>
      <c r="J7" s="662"/>
      <c r="K7" s="2442" t="s">
        <v>1392</v>
      </c>
      <c r="L7" s="2445" t="s">
        <v>2127</v>
      </c>
      <c r="M7" s="2429" t="s">
        <v>483</v>
      </c>
      <c r="N7" s="662"/>
      <c r="O7" s="2447" t="s">
        <v>1367</v>
      </c>
      <c r="P7" s="2438" t="s">
        <v>482</v>
      </c>
      <c r="Q7" s="2429" t="s">
        <v>479</v>
      </c>
      <c r="R7" s="2438" t="s">
        <v>1368</v>
      </c>
      <c r="S7" s="2438" t="s">
        <v>1366</v>
      </c>
      <c r="T7" s="676"/>
      <c r="U7" s="2448" t="s">
        <v>1370</v>
      </c>
      <c r="V7" s="662"/>
      <c r="W7" s="2452" t="s">
        <v>1381</v>
      </c>
      <c r="X7" s="2438" t="s">
        <v>1369</v>
      </c>
      <c r="Y7" s="2446" t="s">
        <v>1391</v>
      </c>
      <c r="Z7" s="662"/>
      <c r="AA7" s="2451" t="s">
        <v>2284</v>
      </c>
      <c r="AB7" s="2450" t="s">
        <v>2285</v>
      </c>
      <c r="AC7" s="2433" t="s">
        <v>2565</v>
      </c>
      <c r="AD7" s="2455" t="s">
        <v>7</v>
      </c>
      <c r="AE7" s="654"/>
      <c r="AF7" s="2453" t="s">
        <v>1383</v>
      </c>
      <c r="AG7" s="2425" t="s">
        <v>1382</v>
      </c>
      <c r="AH7" s="2425" t="s">
        <v>1376</v>
      </c>
      <c r="AI7" s="2425" t="s">
        <v>1378</v>
      </c>
      <c r="AJ7" s="2425" t="s">
        <v>1377</v>
      </c>
      <c r="AK7" s="2425" t="s">
        <v>1379</v>
      </c>
      <c r="AL7" s="2425" t="s">
        <v>1380</v>
      </c>
      <c r="AM7" s="2431" t="s">
        <v>2120</v>
      </c>
      <c r="AN7" s="2453" t="s">
        <v>1384</v>
      </c>
      <c r="AO7" s="2431" t="s">
        <v>2121</v>
      </c>
      <c r="AP7" s="1228"/>
      <c r="AQ7" s="2424" t="s">
        <v>492</v>
      </c>
      <c r="AR7" s="2424" t="s">
        <v>493</v>
      </c>
      <c r="AS7" s="2424" t="s">
        <v>494</v>
      </c>
      <c r="AU7" s="2462" t="s">
        <v>501</v>
      </c>
      <c r="AV7" s="2462" t="s">
        <v>2128</v>
      </c>
      <c r="AW7" s="1228"/>
      <c r="AX7" s="2427" t="s">
        <v>2138</v>
      </c>
      <c r="AY7" s="2427" t="s">
        <v>2136</v>
      </c>
      <c r="AZ7" s="2427" t="s">
        <v>2137</v>
      </c>
      <c r="BA7" s="2427" t="s">
        <v>2135</v>
      </c>
      <c r="BB7" s="1385">
        <f ca="1">BD7*$D$15</f>
        <v>6205.288827479244</v>
      </c>
      <c r="BC7" s="1386">
        <f ca="1">BD7/D10</f>
        <v>0.14217326935824631</v>
      </c>
      <c r="BD7" s="1387">
        <f ca="1">VLOOKUP(D12,Investments!BW7:BY67,3)</f>
        <v>155132.22068698111</v>
      </c>
      <c r="BE7" s="1366"/>
      <c r="BF7" s="1388">
        <f ca="1">VLOOKUP(D12,Investments!BW7:BY67,2)</f>
        <v>936016.41587572265</v>
      </c>
      <c r="BG7" s="1389"/>
      <c r="BH7" s="1390">
        <f ca="1">BF7*$D$15</f>
        <v>37440.656635028907</v>
      </c>
      <c r="BI7" s="1244"/>
      <c r="BJ7" s="1228"/>
      <c r="BK7" s="2422" t="s">
        <v>76</v>
      </c>
      <c r="BL7" s="2422" t="s">
        <v>69</v>
      </c>
      <c r="BM7" s="2423" t="s">
        <v>2140</v>
      </c>
      <c r="BN7" s="2422" t="s">
        <v>2283</v>
      </c>
      <c r="BO7" s="2422" t="s">
        <v>2423</v>
      </c>
      <c r="BP7" s="2422" t="s">
        <v>2147</v>
      </c>
      <c r="BR7" s="2457" t="s">
        <v>2607</v>
      </c>
      <c r="BS7" s="2457" t="s">
        <v>2606</v>
      </c>
      <c r="BT7" s="1226"/>
    </row>
    <row r="8" spans="1:72" s="653" customFormat="1" ht="44" customHeight="1">
      <c r="A8" s="704" t="s">
        <v>1390</v>
      </c>
      <c r="B8" s="652"/>
      <c r="C8" s="2443"/>
      <c r="D8" s="663"/>
      <c r="E8" s="663"/>
      <c r="F8" s="2441"/>
      <c r="G8" s="2439"/>
      <c r="H8" s="677" t="s">
        <v>424</v>
      </c>
      <c r="I8" s="678" t="s">
        <v>425</v>
      </c>
      <c r="J8" s="662"/>
      <c r="K8" s="2441"/>
      <c r="L8" s="2439"/>
      <c r="M8" s="2430"/>
      <c r="N8" s="662"/>
      <c r="O8" s="2441"/>
      <c r="P8" s="2439"/>
      <c r="Q8" s="2430"/>
      <c r="R8" s="2439"/>
      <c r="S8" s="2439"/>
      <c r="T8" s="676"/>
      <c r="U8" s="2449"/>
      <c r="V8" s="662"/>
      <c r="W8" s="2441"/>
      <c r="X8" s="2439"/>
      <c r="Y8" s="2430"/>
      <c r="Z8" s="662"/>
      <c r="AA8" s="2441"/>
      <c r="AB8" s="2430"/>
      <c r="AC8" s="2434"/>
      <c r="AD8" s="2456"/>
      <c r="AE8" s="654"/>
      <c r="AF8" s="2426"/>
      <c r="AG8" s="2426"/>
      <c r="AH8" s="2426"/>
      <c r="AI8" s="2425"/>
      <c r="AJ8" s="2425"/>
      <c r="AK8" s="2425"/>
      <c r="AL8" s="2426"/>
      <c r="AM8" s="2425"/>
      <c r="AN8" s="2453"/>
      <c r="AO8" s="2431"/>
      <c r="AP8" s="1228"/>
      <c r="AQ8" s="2424"/>
      <c r="AR8" s="2424"/>
      <c r="AS8" s="2424"/>
      <c r="AU8" s="2462"/>
      <c r="AV8" s="2462"/>
      <c r="AW8" s="1228"/>
      <c r="AX8" s="2428"/>
      <c r="AY8" s="2428"/>
      <c r="AZ8" s="2428"/>
      <c r="BA8" s="2428"/>
      <c r="BB8" s="1236" t="s">
        <v>2133</v>
      </c>
      <c r="BC8" s="1236" t="s">
        <v>2134</v>
      </c>
      <c r="BD8" s="1973" t="s">
        <v>2605</v>
      </c>
      <c r="BE8" s="1231"/>
      <c r="BF8" s="1245" t="s">
        <v>2091</v>
      </c>
      <c r="BG8" s="1245" t="s">
        <v>2134</v>
      </c>
      <c r="BH8" s="1245" t="s">
        <v>2139</v>
      </c>
      <c r="BI8" s="1246" t="s">
        <v>2135</v>
      </c>
      <c r="BJ8" s="1231"/>
      <c r="BK8" s="2422"/>
      <c r="BL8" s="2422"/>
      <c r="BM8" s="2423"/>
      <c r="BN8" s="2422"/>
      <c r="BO8" s="2422"/>
      <c r="BP8" s="2422"/>
      <c r="BR8" s="2457"/>
      <c r="BS8" s="2457"/>
      <c r="BT8" s="1226"/>
    </row>
    <row r="9" spans="1:72" s="653" customFormat="1" ht="18" customHeight="1">
      <c r="E9" s="663"/>
      <c r="F9" s="696">
        <v>1</v>
      </c>
      <c r="G9" s="679">
        <f>D12</f>
        <v>2034</v>
      </c>
      <c r="H9" s="680">
        <f>IF(Individuals!$E$10&gt;0,G9-YEAR(Individuals!$E$10),0)</f>
        <v>66</v>
      </c>
      <c r="I9" s="680">
        <f>IF(Individuals!$E$15&gt;0,G9-YEAR(Individuals!$E$15),0)</f>
        <v>64</v>
      </c>
      <c r="J9" s="680"/>
      <c r="K9" s="681">
        <f ca="1">ROUND(D10,0)</f>
        <v>1091149</v>
      </c>
      <c r="L9" s="681">
        <f ca="1">ROUND(AU9,0)</f>
        <v>44392</v>
      </c>
      <c r="M9" s="682">
        <f t="shared" ref="M9:M48" si="0">AX9</f>
        <v>0</v>
      </c>
      <c r="N9" s="682"/>
      <c r="O9" s="681">
        <f ca="1">Income!Q28+U9</f>
        <v>196928.32227800437</v>
      </c>
      <c r="P9" s="682">
        <f ca="1">TaxRates!M47</f>
        <v>45170</v>
      </c>
      <c r="Q9" s="1502">
        <f t="shared" ref="Q9:Q48" ca="1" si="1">IF(O9&lt;&gt;0,P9/O9,0)</f>
        <v>0.22937279654590953</v>
      </c>
      <c r="R9" s="1505">
        <f t="shared" ref="R9:R48" ca="1" si="2">ROUND(S9/12,0)</f>
        <v>12647</v>
      </c>
      <c r="S9" s="681">
        <f t="shared" ref="S9:S15" ca="1" si="3">O9-P9</f>
        <v>151758.32227800437</v>
      </c>
      <c r="T9" s="683"/>
      <c r="U9" s="1506">
        <v>18777.11</v>
      </c>
      <c r="V9" s="1506"/>
      <c r="W9" s="682">
        <f ca="1">X9*12</f>
        <v>151764</v>
      </c>
      <c r="X9" s="683">
        <f ca="1">ROUND(AG9,0)</f>
        <v>12647</v>
      </c>
      <c r="Y9" s="682">
        <f t="shared" ref="Y9:Y48" ca="1" si="4">ROUND(R9-X9,0)</f>
        <v>0</v>
      </c>
      <c r="Z9" s="673"/>
      <c r="AA9" s="672">
        <v>0</v>
      </c>
      <c r="AB9" s="672">
        <v>0</v>
      </c>
      <c r="AC9" s="1607" t="str">
        <f>IF(AO9&gt;0,"Y","")</f>
        <v/>
      </c>
      <c r="AD9" s="1776"/>
      <c r="AE9" s="767"/>
      <c r="AF9" s="1974">
        <f ca="1">AG9*12</f>
        <v>151765</v>
      </c>
      <c r="AG9" s="1974">
        <f ca="1">SUM(AH9:AO9)/12</f>
        <v>12647.083333333334</v>
      </c>
      <c r="AH9" s="1975">
        <f>VLOOKUP(G9,Budget!$U$10:$V$134,2)</f>
        <v>106595</v>
      </c>
      <c r="AI9" s="1975">
        <f>AA9*12</f>
        <v>0</v>
      </c>
      <c r="AJ9" s="1975">
        <f>AB9*12</f>
        <v>0</v>
      </c>
      <c r="AK9" s="1975">
        <f>IF(G9&gt;=Housing!$I$43,    IF( Housing!$I$43 &lt;&gt; "",  VLOOKUP(G9,Budget!U10:W134,3)*-1,0), 0)</f>
        <v>0</v>
      </c>
      <c r="AL9" s="1975">
        <f>IF(G9&lt;Housing!$I$43,  0,  VLOOKUP(G9,Housing!E81:I205,5)*12)</f>
        <v>0</v>
      </c>
      <c r="AM9" s="1975">
        <f ca="1">RMD!V7</f>
        <v>0</v>
      </c>
      <c r="AN9" s="1975">
        <f t="shared" ref="AN9:AN48" ca="1" si="5">P9</f>
        <v>45170</v>
      </c>
      <c r="AO9" s="1975"/>
      <c r="AP9" s="1976"/>
      <c r="AQ9" s="1977">
        <f ca="1">W9/12+AB9</f>
        <v>12647</v>
      </c>
      <c r="AR9" s="1977">
        <f ca="1">Budget!K21</f>
        <v>1060.2418580506558</v>
      </c>
      <c r="AS9" s="1977">
        <f ca="1">AQ9-AR9</f>
        <v>11586.758141949344</v>
      </c>
      <c r="AT9" s="1978"/>
      <c r="AU9" s="1975">
        <f t="shared" ref="AU9:AU48" ca="1" si="6">IF(AV9 &gt; 0, AV9*$D$15, 0)</f>
        <v>44392.487327909301</v>
      </c>
      <c r="AV9" s="1975">
        <f ca="1">BD9+BF9</f>
        <v>1109812.1831977325</v>
      </c>
      <c r="AW9" s="1976"/>
      <c r="AX9" s="1975">
        <f>IF(G9=Housing!$I$43,Housing!$I$48,0)</f>
        <v>0</v>
      </c>
      <c r="AY9" s="1979">
        <v>0</v>
      </c>
      <c r="AZ9" s="1979"/>
      <c r="BA9" s="1975">
        <f ca="1">BD9*$D$15</f>
        <v>6205.288827479244</v>
      </c>
      <c r="BB9" s="1979"/>
      <c r="BC9" s="1980">
        <f ca="1">BC7</f>
        <v>0.14217326935824631</v>
      </c>
      <c r="BD9" s="1979">
        <f ca="1">IF((AX9+AZ9+BD7+AY9+BR9+BS9)-BB9&gt;0, (AX9+AZ9+BD7+AY9+BR9+BS9)-BB9, 0)</f>
        <v>155132.22068698111</v>
      </c>
      <c r="BE9" s="1981"/>
      <c r="BF9" s="1982">
        <f ca="1">(BF7+BH7)-BH9</f>
        <v>954679.96251075156</v>
      </c>
      <c r="BG9" s="1983">
        <f t="shared" ref="BG9:BG36" ca="1" si="7">IF(AV9&gt;0,BF9/AV9,0)</f>
        <v>0.86021759083596083</v>
      </c>
      <c r="BH9" s="1982">
        <v>18777.11</v>
      </c>
      <c r="BI9" s="1982">
        <f ca="1">IF(BF9&gt;0,BF9*$D$15,0)</f>
        <v>38187.198500430066</v>
      </c>
      <c r="BJ9" s="1981"/>
      <c r="BK9" s="1984" cm="1">
        <f t="array" aca="1" ref="BK9:BK48" ca="1">Income!Q28:Q67</f>
        <v>178151.21227800436</v>
      </c>
      <c r="BL9" s="1984" cm="1">
        <f t="array" ref="BL9:BL48">U9:U48</f>
        <v>18777.11</v>
      </c>
      <c r="BM9" s="1985">
        <f ca="1">SUM(BK9:BL9)</f>
        <v>196928.32227800437</v>
      </c>
      <c r="BN9" s="1984">
        <f t="shared" ref="BN9:BN48" ca="1" si="8">BI9+BA9</f>
        <v>44392.487327909308</v>
      </c>
      <c r="BO9" s="1984">
        <f t="shared" ref="BO9:BO48" ca="1" si="9">BN9-BL9</f>
        <v>25615.377327909307</v>
      </c>
      <c r="BP9" s="1247" t="str">
        <f ca="1">IF(BO9&lt;0,"Investments down","Investments Up")</f>
        <v>Investments Up</v>
      </c>
      <c r="BR9" s="1984">
        <f ca="1">LOOKUP(G9,Rental!$C$37:$C$161,Rental!$Y$37:$Y$161)</f>
        <v>0</v>
      </c>
      <c r="BS9" s="1984">
        <f ca="1">LOOKUP(G9,Rental!$C$37:$C$161,Rental!$AD$37:$AD$161)</f>
        <v>0</v>
      </c>
      <c r="BT9" s="1226"/>
    </row>
    <row r="10" spans="1:72" s="653" customFormat="1" ht="18" customHeight="1">
      <c r="C10" s="884" t="s">
        <v>503</v>
      </c>
      <c r="D10" s="885">
        <f ca="1">VLOOKUP(D12,Investments!E7:F67,2)</f>
        <v>1091149</v>
      </c>
      <c r="E10" s="667"/>
      <c r="F10" s="697">
        <f>F9+1</f>
        <v>2</v>
      </c>
      <c r="G10" s="684">
        <f>G9+1</f>
        <v>2035</v>
      </c>
      <c r="H10" s="685">
        <f t="shared" ref="H10:I25" si="10">H9+1</f>
        <v>67</v>
      </c>
      <c r="I10" s="685">
        <f t="shared" si="10"/>
        <v>65</v>
      </c>
      <c r="J10" s="680"/>
      <c r="K10" s="686">
        <f ca="1">ROUND(AV10,0)</f>
        <v>1135428</v>
      </c>
      <c r="L10" s="686">
        <f t="shared" ref="L10:L48" ca="1" si="11">ROUND(AU10,0)</f>
        <v>45417</v>
      </c>
      <c r="M10" s="687">
        <f t="shared" si="0"/>
        <v>0</v>
      </c>
      <c r="N10" s="682"/>
      <c r="O10" s="686">
        <f ca="1">IF(U10&gt;0,Income!Q29+U10,Income!Q29)</f>
        <v>206981.44652356446</v>
      </c>
      <c r="P10" s="687">
        <f ca="1">TaxRates!M48</f>
        <v>48597</v>
      </c>
      <c r="Q10" s="1503">
        <f t="shared" ca="1" si="1"/>
        <v>0.23478916016980933</v>
      </c>
      <c r="R10" s="688">
        <f t="shared" ca="1" si="2"/>
        <v>13199</v>
      </c>
      <c r="S10" s="686">
        <f t="shared" ca="1" si="3"/>
        <v>158384.44652356446</v>
      </c>
      <c r="T10" s="683"/>
      <c r="U10" s="1507">
        <v>25532.17</v>
      </c>
      <c r="V10" s="1506"/>
      <c r="W10" s="687">
        <f t="shared" ref="W10:W48" ca="1" si="12">X10*12</f>
        <v>158388</v>
      </c>
      <c r="X10" s="688">
        <f t="shared" ref="X10:X48" ca="1" si="13">ROUND(AG10,0)</f>
        <v>13199</v>
      </c>
      <c r="Y10" s="687">
        <f t="shared" ca="1" si="4"/>
        <v>0</v>
      </c>
      <c r="Z10" s="673"/>
      <c r="AA10" s="672">
        <v>0</v>
      </c>
      <c r="AB10" s="672">
        <v>0</v>
      </c>
      <c r="AC10" s="1607" t="str">
        <f t="shared" ref="AC10:AC48" si="14">IF(AO10&gt;0,"Y","")</f>
        <v/>
      </c>
      <c r="AD10" s="1590"/>
      <c r="AE10" s="767"/>
      <c r="AF10" s="1986">
        <f t="shared" ref="AF10:AF47" ca="1" si="15">AG10*12</f>
        <v>158389.85</v>
      </c>
      <c r="AG10" s="1986">
        <f t="shared" ref="AG10:AG47" ca="1" si="16">SUM(AH10:AO10)/12</f>
        <v>13199.154166666667</v>
      </c>
      <c r="AH10" s="1987">
        <f>VLOOKUP(G10,Budget!$U$10:$V$134,2)</f>
        <v>109792.85</v>
      </c>
      <c r="AI10" s="1987">
        <f t="shared" ref="AI10:AI48" si="17">AA10*12</f>
        <v>0</v>
      </c>
      <c r="AJ10" s="1987">
        <f>(AB10+(AJ9))*12</f>
        <v>0</v>
      </c>
      <c r="AK10" s="1987">
        <f>IF(G10&gt;=Housing!$I$43,    IF( Housing!$I$43 &lt;&gt; "",  VLOOKUP(G10,Budget!U11:W135,3)*-1,0), 0)</f>
        <v>0</v>
      </c>
      <c r="AL10" s="1987">
        <f>IF(G10&lt;Housing!$I$43,  0,  VLOOKUP(G10,Housing!E82:I206,5)*12)</f>
        <v>0</v>
      </c>
      <c r="AM10" s="1987">
        <f ca="1">RMD!V8</f>
        <v>0</v>
      </c>
      <c r="AN10" s="1987">
        <f t="shared" ca="1" si="5"/>
        <v>48597</v>
      </c>
      <c r="AO10" s="1987"/>
      <c r="AP10" s="1976"/>
      <c r="AQ10" s="1988">
        <f t="shared" ref="AQ10:AQ48" ca="1" si="18">AQ9+(AQ9*$D$18)+AB10</f>
        <v>13026.41</v>
      </c>
      <c r="AR10" s="1988">
        <f t="shared" ref="AR10:AR48" ca="1" si="19">AR9+(AR9*$D$18)</f>
        <v>1092.0491137921754</v>
      </c>
      <c r="AS10" s="1988">
        <f t="shared" ref="AS10:AS48" ca="1" si="20">AQ10-AR10</f>
        <v>11934.360886207825</v>
      </c>
      <c r="AT10" s="1978"/>
      <c r="AU10" s="1987">
        <f t="shared" ca="1" si="6"/>
        <v>45417.10242102568</v>
      </c>
      <c r="AV10" s="1987">
        <f t="shared" ref="AV10:AV48" ca="1" si="21">BD10+BF10</f>
        <v>1135427.560525642</v>
      </c>
      <c r="AW10" s="1976"/>
      <c r="AX10" s="1987">
        <f>IF(G10=Housing!$I$43,Housing!$I$48,0)</f>
        <v>0</v>
      </c>
      <c r="AY10" s="1989">
        <v>0</v>
      </c>
      <c r="AZ10" s="1989"/>
      <c r="BA10" s="1987">
        <f t="shared" ref="BA10:BA48" ca="1" si="22">BD10*$D$15</f>
        <v>6453.5003805784136</v>
      </c>
      <c r="BB10" s="1989"/>
      <c r="BC10" s="1990">
        <f t="shared" ref="BC10:BC48" ca="1" si="23">IF(AV10&gt;0,BD10/AV10,0)</f>
        <v>0.14209405788932034</v>
      </c>
      <c r="BD10" s="1989">
        <f ca="1">IF((BD9+AX10+AY9+AZ9+BA9+BR10+BS10)-BB9&gt;0, (BD9+AX10+AY9+AZ9+BA9+BR10+BS10)-BB9, 0)</f>
        <v>161337.50951446034</v>
      </c>
      <c r="BE10" s="1981"/>
      <c r="BF10" s="1989">
        <f t="shared" ref="BF10:BF28" ca="1" si="24">IF((BF9+BI9)-BH9 &gt; 0, (BF9+BI9)-BH9, 0)</f>
        <v>974090.05101118167</v>
      </c>
      <c r="BG10" s="1991">
        <f t="shared" ca="1" si="7"/>
        <v>0.85790594211067972</v>
      </c>
      <c r="BH10" s="1989">
        <v>25532.17</v>
      </c>
      <c r="BI10" s="1989">
        <f ca="1">IF(BF10&gt;0,BF10*$D$15,0)</f>
        <v>38963.602040447266</v>
      </c>
      <c r="BJ10" s="1981"/>
      <c r="BK10" s="1992">
        <f ca="1"/>
        <v>181449.27652356445</v>
      </c>
      <c r="BL10" s="1992">
        <v>25532.17</v>
      </c>
      <c r="BM10" s="1993">
        <f t="shared" ref="BM10:BM48" ca="1" si="25">SUM(BK10:BL10)</f>
        <v>206981.44652356446</v>
      </c>
      <c r="BN10" s="1992">
        <f t="shared" ca="1" si="8"/>
        <v>45417.10242102568</v>
      </c>
      <c r="BO10" s="1992">
        <f t="shared" ca="1" si="9"/>
        <v>19884.932421025682</v>
      </c>
      <c r="BP10" s="1247" t="str">
        <f t="shared" ref="BP10:BP48" ca="1" si="26">IF(BO10&lt;0,"Investments down","Investments Up")</f>
        <v>Investments Up</v>
      </c>
      <c r="BR10" s="1992">
        <f ca="1">LOOKUP(G10,Rental!$C$37:$C$161,Rental!$Y$37:$Y$161)</f>
        <v>0</v>
      </c>
      <c r="BS10" s="1992">
        <f ca="1">LOOKUP(G10,Rental!$C$37:$C$161,Rental!$AD$37:$AD$161)</f>
        <v>0</v>
      </c>
      <c r="BT10" s="1226"/>
    </row>
    <row r="11" spans="1:72" s="653" customFormat="1" ht="18" customHeight="1">
      <c r="C11" s="886" t="s">
        <v>502</v>
      </c>
      <c r="D11" s="887">
        <f ca="1">Budget!L5</f>
        <v>119796.15210033416</v>
      </c>
      <c r="E11" s="660"/>
      <c r="F11" s="679">
        <f t="shared" ref="F11:F48" si="27">F10+1</f>
        <v>3</v>
      </c>
      <c r="G11" s="689">
        <f t="shared" ref="G11:G48" si="28">G10+1</f>
        <v>2036</v>
      </c>
      <c r="H11" s="680">
        <f t="shared" si="10"/>
        <v>68</v>
      </c>
      <c r="I11" s="680">
        <f t="shared" si="10"/>
        <v>66</v>
      </c>
      <c r="J11" s="680"/>
      <c r="K11" s="681">
        <f t="shared" ref="K11:K48" ca="1" si="29">ROUND(AV11,0)</f>
        <v>1155312</v>
      </c>
      <c r="L11" s="681">
        <f t="shared" ca="1" si="11"/>
        <v>46212</v>
      </c>
      <c r="M11" s="682">
        <f t="shared" si="0"/>
        <v>0</v>
      </c>
      <c r="N11" s="682"/>
      <c r="O11" s="681">
        <f ca="1">IF(U11&gt;0,Income!Q30+U11,Income!Q30)</f>
        <v>186509.86982399999</v>
      </c>
      <c r="P11" s="682">
        <f ca="1">TaxRates!M49</f>
        <v>36715</v>
      </c>
      <c r="Q11" s="1502">
        <f t="shared" ca="1" si="1"/>
        <v>0.19685285306695086</v>
      </c>
      <c r="R11" s="683">
        <f t="shared" ca="1" si="2"/>
        <v>12483</v>
      </c>
      <c r="S11" s="681">
        <f t="shared" ca="1" si="3"/>
        <v>149794.86982399999</v>
      </c>
      <c r="T11" s="683"/>
      <c r="U11" s="1506">
        <v>92370</v>
      </c>
      <c r="V11" s="1506"/>
      <c r="W11" s="682">
        <f t="shared" ca="1" si="12"/>
        <v>149796</v>
      </c>
      <c r="X11" s="683">
        <f t="shared" ca="1" si="13"/>
        <v>12483</v>
      </c>
      <c r="Y11" s="682">
        <f t="shared" ca="1" si="4"/>
        <v>0</v>
      </c>
      <c r="Z11" s="673"/>
      <c r="AA11" s="672">
        <v>0</v>
      </c>
      <c r="AB11" s="672">
        <v>0</v>
      </c>
      <c r="AC11" s="1607" t="str">
        <f t="shared" si="14"/>
        <v/>
      </c>
      <c r="AD11" s="1590"/>
      <c r="AE11" s="767"/>
      <c r="AF11" s="1974">
        <f t="shared" ca="1" si="15"/>
        <v>149801.6355</v>
      </c>
      <c r="AG11" s="1974">
        <f t="shared" ca="1" si="16"/>
        <v>12483.469625</v>
      </c>
      <c r="AH11" s="1975">
        <f>VLOOKUP(G11,Budget!$U$10:$V$134,2)</f>
        <v>113086.6355</v>
      </c>
      <c r="AI11" s="1975">
        <f t="shared" si="17"/>
        <v>0</v>
      </c>
      <c r="AJ11" s="1975">
        <f>(AB11+SUM($AB$9:AB10))*12</f>
        <v>0</v>
      </c>
      <c r="AK11" s="1975">
        <f>IF(G11&gt;=Housing!$I$43,    IF( Housing!$I$43 &lt;&gt; "",  VLOOKUP(G11,Budget!U12:W136,3)*-1,0), 0)</f>
        <v>0</v>
      </c>
      <c r="AL11" s="1975">
        <f>IF(G11&lt;Housing!$I$43,  0,  VLOOKUP(G11,Housing!E83:I207,5)*12)</f>
        <v>0</v>
      </c>
      <c r="AM11" s="1975">
        <f ca="1">RMD!V9</f>
        <v>0</v>
      </c>
      <c r="AN11" s="1975">
        <f t="shared" ca="1" si="5"/>
        <v>36715</v>
      </c>
      <c r="AO11" s="1975"/>
      <c r="AP11" s="1976"/>
      <c r="AQ11" s="1977">
        <f t="shared" ca="1" si="18"/>
        <v>13417.202299999999</v>
      </c>
      <c r="AR11" s="1977">
        <f t="shared" ca="1" si="19"/>
        <v>1124.8105872059407</v>
      </c>
      <c r="AS11" s="1977">
        <f t="shared" ca="1" si="20"/>
        <v>12292.391712794059</v>
      </c>
      <c r="AT11" s="1978"/>
      <c r="AU11" s="1975">
        <f t="shared" ca="1" si="6"/>
        <v>46212.499717866704</v>
      </c>
      <c r="AV11" s="1975">
        <f t="shared" ca="1" si="21"/>
        <v>1155312.4929466676</v>
      </c>
      <c r="AW11" s="1976"/>
      <c r="AX11" s="1975">
        <f>IF(G11=Housing!$I$43,Housing!$I$48,0)</f>
        <v>0</v>
      </c>
      <c r="AY11" s="1979">
        <v>0</v>
      </c>
      <c r="AZ11" s="1979"/>
      <c r="BA11" s="1975">
        <f t="shared" ca="1" si="22"/>
        <v>6711.6403958015508</v>
      </c>
      <c r="BB11" s="1979"/>
      <c r="BC11" s="1994">
        <f t="shared" ca="1" si="23"/>
        <v>0.14523430753101399</v>
      </c>
      <c r="BD11" s="1979">
        <f t="shared" ref="BD11:BD48" ca="1" si="30">IF((BD10+AX11+AY10+AZ10+BA10+BR11+BS11)-BB10&gt;0, (BD10+AX11+AY10+AZ10+BA10+BR11+BS11)-BB10, 0)</f>
        <v>167791.00989503876</v>
      </c>
      <c r="BE11" s="1981"/>
      <c r="BF11" s="1979">
        <f t="shared" ca="1" si="24"/>
        <v>987521.48305162892</v>
      </c>
      <c r="BG11" s="1980">
        <f t="shared" ca="1" si="7"/>
        <v>0.85476569246898604</v>
      </c>
      <c r="BH11" s="1979">
        <v>92370</v>
      </c>
      <c r="BI11" s="1979">
        <f t="shared" ref="BI11:BI48" ca="1" si="31">IF(BF11&gt;0,BF11*$D$15,0)</f>
        <v>39500.85932206516</v>
      </c>
      <c r="BJ11" s="1981"/>
      <c r="BK11" s="1984">
        <f ca="1"/>
        <v>94139.869824000009</v>
      </c>
      <c r="BL11" s="1984">
        <v>92370</v>
      </c>
      <c r="BM11" s="1985">
        <f t="shared" ca="1" si="25"/>
        <v>186509.86982399999</v>
      </c>
      <c r="BN11" s="1984">
        <f t="shared" ca="1" si="8"/>
        <v>46212.499717866711</v>
      </c>
      <c r="BO11" s="1984">
        <f t="shared" ca="1" si="9"/>
        <v>-46157.500282133289</v>
      </c>
      <c r="BP11" s="1247" t="str">
        <f t="shared" ca="1" si="26"/>
        <v>Investments down</v>
      </c>
      <c r="BR11" s="1984">
        <f ca="1">LOOKUP(G11,Rental!$C$37:$C$161,Rental!$Y$37:$Y$161)</f>
        <v>0</v>
      </c>
      <c r="BS11" s="1984">
        <f ca="1">LOOKUP(G11,Rental!$C$37:$C$161,Rental!$AD$37:$AD$161)</f>
        <v>0</v>
      </c>
      <c r="BT11" s="1226"/>
    </row>
    <row r="12" spans="1:72" s="653" customFormat="1" ht="18" customHeight="1">
      <c r="C12" s="888" t="s">
        <v>1361</v>
      </c>
      <c r="D12" s="889">
        <f>Individuals!G20</f>
        <v>2034</v>
      </c>
      <c r="E12" s="668"/>
      <c r="F12" s="697">
        <f t="shared" ref="F12:I18" si="32">F11+1</f>
        <v>4</v>
      </c>
      <c r="G12" s="684">
        <f t="shared" si="32"/>
        <v>2037</v>
      </c>
      <c r="H12" s="685">
        <f t="shared" si="32"/>
        <v>69</v>
      </c>
      <c r="I12" s="685">
        <f t="shared" si="32"/>
        <v>67</v>
      </c>
      <c r="J12" s="680"/>
      <c r="K12" s="686">
        <f t="shared" ca="1" si="29"/>
        <v>1109155</v>
      </c>
      <c r="L12" s="686">
        <f t="shared" ca="1" si="11"/>
        <v>44366</v>
      </c>
      <c r="M12" s="687">
        <f t="shared" si="0"/>
        <v>0</v>
      </c>
      <c r="N12" s="682"/>
      <c r="O12" s="686">
        <f ca="1">IF(U12&gt;0,Income!Q31+U12,Income!Q31)</f>
        <v>192090.3197986944</v>
      </c>
      <c r="P12" s="687">
        <f ca="1">TaxRates!M50</f>
        <v>37810</v>
      </c>
      <c r="Q12" s="1503">
        <f t="shared" ca="1" si="1"/>
        <v>0.19683448931535896</v>
      </c>
      <c r="R12" s="688">
        <f t="shared" ca="1" si="2"/>
        <v>12857</v>
      </c>
      <c r="S12" s="686">
        <f t="shared" ca="1" si="3"/>
        <v>154280.3197986944</v>
      </c>
      <c r="T12" s="683"/>
      <c r="U12" s="1507">
        <v>96588</v>
      </c>
      <c r="V12" s="1506"/>
      <c r="W12" s="687">
        <f t="shared" ca="1" si="12"/>
        <v>154284</v>
      </c>
      <c r="X12" s="688">
        <f t="shared" ca="1" si="13"/>
        <v>12857</v>
      </c>
      <c r="Y12" s="687">
        <f t="shared" ca="1" si="4"/>
        <v>0</v>
      </c>
      <c r="Z12" s="673"/>
      <c r="AA12" s="672">
        <v>0</v>
      </c>
      <c r="AB12" s="672">
        <v>0</v>
      </c>
      <c r="AC12" s="1607" t="str">
        <f t="shared" si="14"/>
        <v/>
      </c>
      <c r="AD12" s="2563"/>
      <c r="AE12" s="767"/>
      <c r="AF12" s="1986">
        <f t="shared" ca="1" si="15"/>
        <v>154289.23456499999</v>
      </c>
      <c r="AG12" s="1986">
        <f t="shared" ca="1" si="16"/>
        <v>12857.436213749999</v>
      </c>
      <c r="AH12" s="1987">
        <f>VLOOKUP(G12,Budget!$U$10:$V$134,2)</f>
        <v>116479.23456500001</v>
      </c>
      <c r="AI12" s="1987">
        <f t="shared" si="17"/>
        <v>0</v>
      </c>
      <c r="AJ12" s="1987">
        <f>(AB12+SUM($AB$9:AB11))*12</f>
        <v>0</v>
      </c>
      <c r="AK12" s="1987">
        <f>IF(G12&gt;=Housing!$I$43,    IF( Housing!$I$43 &lt;&gt; "",  VLOOKUP(G12,Budget!U13:W137,3)*-1,0), 0)</f>
        <v>0</v>
      </c>
      <c r="AL12" s="1987">
        <f>IF(G12&lt;Housing!$I$43,  0,  VLOOKUP(G12,Housing!E84:I208,5)*12)</f>
        <v>0</v>
      </c>
      <c r="AM12" s="1987">
        <f ca="1">RMD!V10</f>
        <v>0</v>
      </c>
      <c r="AN12" s="1987">
        <f t="shared" ca="1" si="5"/>
        <v>37810</v>
      </c>
      <c r="AO12" s="1987"/>
      <c r="AP12" s="1976"/>
      <c r="AQ12" s="1988">
        <f t="shared" ca="1" si="18"/>
        <v>13819.718368999998</v>
      </c>
      <c r="AR12" s="1988">
        <f t="shared" ca="1" si="19"/>
        <v>1158.5549048221189</v>
      </c>
      <c r="AS12" s="1988">
        <f t="shared" ca="1" si="20"/>
        <v>12661.16346417788</v>
      </c>
      <c r="AT12" s="1978"/>
      <c r="AU12" s="1987">
        <f t="shared" ca="1" si="6"/>
        <v>44366.199706581378</v>
      </c>
      <c r="AV12" s="1987">
        <f t="shared" ca="1" si="21"/>
        <v>1109154.9926645344</v>
      </c>
      <c r="AW12" s="1976"/>
      <c r="AX12" s="1987">
        <f>IF(G12=Housing!$I$43,Housing!$I$48,0)</f>
        <v>0</v>
      </c>
      <c r="AY12" s="1989">
        <v>0</v>
      </c>
      <c r="AZ12" s="1989"/>
      <c r="BA12" s="1987">
        <f t="shared" ca="1" si="22"/>
        <v>6980.1060116336121</v>
      </c>
      <c r="BB12" s="1989"/>
      <c r="BC12" s="1990">
        <f t="shared" ca="1" si="23"/>
        <v>0.15732936464689287</v>
      </c>
      <c r="BD12" s="1989">
        <f t="shared" ca="1" si="30"/>
        <v>174502.65029084031</v>
      </c>
      <c r="BE12" s="1981"/>
      <c r="BF12" s="1989">
        <f t="shared" ca="1" si="24"/>
        <v>934652.34237369406</v>
      </c>
      <c r="BG12" s="1991">
        <f t="shared" ca="1" si="7"/>
        <v>0.84267063535310716</v>
      </c>
      <c r="BH12" s="1989">
        <v>96588</v>
      </c>
      <c r="BI12" s="1989">
        <f t="shared" ca="1" si="31"/>
        <v>37386.093694947762</v>
      </c>
      <c r="BJ12" s="1981"/>
      <c r="BK12" s="1992">
        <f ca="1"/>
        <v>95502.3197986944</v>
      </c>
      <c r="BL12" s="1992">
        <v>96588</v>
      </c>
      <c r="BM12" s="1993">
        <f t="shared" ca="1" si="25"/>
        <v>192090.3197986944</v>
      </c>
      <c r="BN12" s="1992">
        <f t="shared" ca="1" si="8"/>
        <v>44366.199706581378</v>
      </c>
      <c r="BO12" s="1992">
        <f t="shared" ca="1" si="9"/>
        <v>-52221.800293418622</v>
      </c>
      <c r="BP12" s="1247" t="str">
        <f t="shared" ca="1" si="26"/>
        <v>Investments down</v>
      </c>
      <c r="BR12" s="1992">
        <f ca="1">LOOKUP(G12,Rental!$C$37:$C$161,Rental!$Y$37:$Y$161)</f>
        <v>0</v>
      </c>
      <c r="BS12" s="1992">
        <f ca="1">LOOKUP(G12,Rental!$C$37:$C$161,Rental!$AD$37:$AD$161)</f>
        <v>0</v>
      </c>
      <c r="BT12" s="1226"/>
    </row>
    <row r="13" spans="1:72" s="653" customFormat="1" ht="18" customHeight="1">
      <c r="F13" s="679">
        <f t="shared" si="32"/>
        <v>5</v>
      </c>
      <c r="G13" s="689">
        <f t="shared" si="32"/>
        <v>2038</v>
      </c>
      <c r="H13" s="680">
        <f t="shared" si="32"/>
        <v>70</v>
      </c>
      <c r="I13" s="680">
        <f t="shared" si="32"/>
        <v>68</v>
      </c>
      <c r="J13" s="680"/>
      <c r="K13" s="681">
        <f t="shared" ca="1" si="29"/>
        <v>1056933</v>
      </c>
      <c r="L13" s="681">
        <f t="shared" ca="1" si="11"/>
        <v>42277</v>
      </c>
      <c r="M13" s="682">
        <f t="shared" si="0"/>
        <v>0</v>
      </c>
      <c r="N13" s="682"/>
      <c r="O13" s="681">
        <f ca="1">IF(U13&gt;0,Income!Q32+U13,Income!Q32)</f>
        <v>197493.2022216573</v>
      </c>
      <c r="P13" s="682">
        <f ca="1">TaxRates!M51</f>
        <v>38762</v>
      </c>
      <c r="Q13" s="1502">
        <f t="shared" ca="1" si="1"/>
        <v>0.19627004658365563</v>
      </c>
      <c r="R13" s="683">
        <f t="shared" ca="1" si="2"/>
        <v>13228</v>
      </c>
      <c r="S13" s="681">
        <f t="shared" ca="1" si="3"/>
        <v>158731.2022216573</v>
      </c>
      <c r="T13" s="683"/>
      <c r="U13" s="1506">
        <v>100608</v>
      </c>
      <c r="V13" s="1506"/>
      <c r="W13" s="682">
        <f t="shared" ca="1" si="12"/>
        <v>158736</v>
      </c>
      <c r="X13" s="683">
        <f t="shared" ca="1" si="13"/>
        <v>13228</v>
      </c>
      <c r="Y13" s="682">
        <f t="shared" ca="1" si="4"/>
        <v>0</v>
      </c>
      <c r="Z13" s="673"/>
      <c r="AA13" s="672">
        <v>0</v>
      </c>
      <c r="AB13" s="672">
        <v>0</v>
      </c>
      <c r="AC13" s="1607" t="str">
        <f t="shared" si="14"/>
        <v/>
      </c>
      <c r="AD13" s="2563"/>
      <c r="AE13" s="768"/>
      <c r="AF13" s="1974">
        <f t="shared" ca="1" si="15"/>
        <v>158735.61160195002</v>
      </c>
      <c r="AG13" s="1974">
        <f t="shared" ca="1" si="16"/>
        <v>13227.967633495835</v>
      </c>
      <c r="AH13" s="1975">
        <f>VLOOKUP(G13,Budget!$U$10:$V$134,2)</f>
        <v>119973.61160195</v>
      </c>
      <c r="AI13" s="1975">
        <f t="shared" si="17"/>
        <v>0</v>
      </c>
      <c r="AJ13" s="1975">
        <f>(AB13+SUM($AB$9:AB12))*12</f>
        <v>0</v>
      </c>
      <c r="AK13" s="1975">
        <f>IF(G13&gt;=Housing!$I$43,    IF( Housing!$I$43 &lt;&gt; "",  VLOOKUP(G13,Budget!U14:W138,3)*-1,0), 0)</f>
        <v>0</v>
      </c>
      <c r="AL13" s="1975">
        <f>IF(G13&lt;Housing!$I$43,  0,  VLOOKUP(G13,Housing!E85:I209,5)*12)</f>
        <v>0</v>
      </c>
      <c r="AM13" s="1975">
        <f ca="1">RMD!V11</f>
        <v>0</v>
      </c>
      <c r="AN13" s="1975">
        <f t="shared" ca="1" si="5"/>
        <v>38762</v>
      </c>
      <c r="AO13" s="1975"/>
      <c r="AP13" s="1976"/>
      <c r="AQ13" s="1977">
        <f t="shared" ca="1" si="18"/>
        <v>14234.309920069998</v>
      </c>
      <c r="AR13" s="1977">
        <f t="shared" ca="1" si="19"/>
        <v>1193.3115519667824</v>
      </c>
      <c r="AS13" s="1977">
        <f t="shared" ca="1" si="20"/>
        <v>13040.998368103215</v>
      </c>
      <c r="AT13" s="1978"/>
      <c r="AU13" s="1975">
        <f t="shared" ca="1" si="6"/>
        <v>42277.327694844629</v>
      </c>
      <c r="AV13" s="1975">
        <f t="shared" ca="1" si="21"/>
        <v>1056933.1923711158</v>
      </c>
      <c r="AW13" s="1976"/>
      <c r="AX13" s="1975">
        <f>IF(G13=Housing!$I$43,Housing!$I$48,0)</f>
        <v>0</v>
      </c>
      <c r="AY13" s="1979">
        <v>0</v>
      </c>
      <c r="AZ13" s="1979"/>
      <c r="BA13" s="1975">
        <f t="shared" ca="1" si="22"/>
        <v>7259.3102520989569</v>
      </c>
      <c r="BB13" s="1979"/>
      <c r="BC13" s="1994">
        <f t="shared" ca="1" si="23"/>
        <v>0.17170693248391311</v>
      </c>
      <c r="BD13" s="1979">
        <f t="shared" ca="1" si="30"/>
        <v>181482.75630247392</v>
      </c>
      <c r="BE13" s="1981"/>
      <c r="BF13" s="1979">
        <f t="shared" ca="1" si="24"/>
        <v>875450.43606864184</v>
      </c>
      <c r="BG13" s="1980">
        <f t="shared" ca="1" si="7"/>
        <v>0.82829306751608689</v>
      </c>
      <c r="BH13" s="1979">
        <v>100608</v>
      </c>
      <c r="BI13" s="1979">
        <f t="shared" ca="1" si="31"/>
        <v>35018.017442745673</v>
      </c>
      <c r="BJ13" s="1981"/>
      <c r="BK13" s="1984">
        <f ca="1"/>
        <v>96885.202221657295</v>
      </c>
      <c r="BL13" s="1984">
        <v>100608</v>
      </c>
      <c r="BM13" s="1985">
        <f t="shared" ca="1" si="25"/>
        <v>197493.2022216573</v>
      </c>
      <c r="BN13" s="1984">
        <f t="shared" ca="1" si="8"/>
        <v>42277.327694844629</v>
      </c>
      <c r="BO13" s="1984">
        <f t="shared" ca="1" si="9"/>
        <v>-58330.672305155371</v>
      </c>
      <c r="BP13" s="1247" t="str">
        <f t="shared" ca="1" si="26"/>
        <v>Investments down</v>
      </c>
      <c r="BR13" s="1984">
        <f ca="1">LOOKUP(G13,Rental!$C$37:$C$161,Rental!$Y$37:$Y$161)</f>
        <v>0</v>
      </c>
      <c r="BS13" s="1984">
        <f ca="1">LOOKUP(G13,Rental!$C$37:$C$161,Rental!$AD$37:$AD$161)</f>
        <v>0</v>
      </c>
      <c r="BT13" s="1226"/>
    </row>
    <row r="14" spans="1:72" s="653" customFormat="1" ht="18" customHeight="1">
      <c r="F14" s="697">
        <f t="shared" si="32"/>
        <v>6</v>
      </c>
      <c r="G14" s="684">
        <f t="shared" si="32"/>
        <v>2039</v>
      </c>
      <c r="H14" s="685">
        <f t="shared" si="32"/>
        <v>71</v>
      </c>
      <c r="I14" s="685">
        <f t="shared" si="32"/>
        <v>69</v>
      </c>
      <c r="J14" s="680"/>
      <c r="K14" s="686">
        <f t="shared" ca="1" si="29"/>
        <v>998603</v>
      </c>
      <c r="L14" s="686">
        <f t="shared" ca="1" si="11"/>
        <v>39944</v>
      </c>
      <c r="M14" s="687">
        <f t="shared" si="0"/>
        <v>0</v>
      </c>
      <c r="N14" s="682"/>
      <c r="O14" s="686">
        <f ca="1">IF(U14&gt;0,Income!Q33+U14,Income!Q33)</f>
        <v>202604.83644503303</v>
      </c>
      <c r="P14" s="687">
        <f ca="1">TaxRates!M52</f>
        <v>39518</v>
      </c>
      <c r="Q14" s="1503">
        <f t="shared" ca="1" si="1"/>
        <v>0.1950496379720989</v>
      </c>
      <c r="R14" s="688">
        <f t="shared" ca="1" si="2"/>
        <v>13591</v>
      </c>
      <c r="S14" s="686">
        <f t="shared" ca="1" si="3"/>
        <v>163086.83644503303</v>
      </c>
      <c r="T14" s="683"/>
      <c r="U14" s="1507">
        <v>104316</v>
      </c>
      <c r="V14" s="1506"/>
      <c r="W14" s="687">
        <f t="shared" ca="1" si="12"/>
        <v>163092</v>
      </c>
      <c r="X14" s="688">
        <f t="shared" ca="1" si="13"/>
        <v>13591</v>
      </c>
      <c r="Y14" s="687">
        <f t="shared" ca="1" si="4"/>
        <v>0</v>
      </c>
      <c r="Z14" s="673"/>
      <c r="AA14" s="672">
        <v>0</v>
      </c>
      <c r="AB14" s="672">
        <v>0</v>
      </c>
      <c r="AC14" s="1607" t="str">
        <f t="shared" si="14"/>
        <v/>
      </c>
      <c r="AD14" s="2563"/>
      <c r="AE14" s="767"/>
      <c r="AF14" s="1986">
        <f t="shared" ca="1" si="15"/>
        <v>163090.8199500085</v>
      </c>
      <c r="AG14" s="1986">
        <f t="shared" ca="1" si="16"/>
        <v>13590.901662500708</v>
      </c>
      <c r="AH14" s="1987">
        <f>VLOOKUP(G14,Budget!$U$10:$V$134,2)</f>
        <v>123572.8199500085</v>
      </c>
      <c r="AI14" s="1987">
        <f t="shared" si="17"/>
        <v>0</v>
      </c>
      <c r="AJ14" s="1987">
        <f>(AB14+SUM($AB$9:AB13))*12</f>
        <v>0</v>
      </c>
      <c r="AK14" s="1987">
        <f>IF(G14&gt;=Housing!$I$43,    IF( Housing!$I$43 &lt;&gt; "",  VLOOKUP(G14,Budget!U15:W139,3)*-1,0), 0)</f>
        <v>0</v>
      </c>
      <c r="AL14" s="1987">
        <f>IF(G14&lt;Housing!$I$43,  0,  VLOOKUP(G14,Housing!E86:I210,5)*12)</f>
        <v>0</v>
      </c>
      <c r="AM14" s="1987">
        <f ca="1">RMD!V12</f>
        <v>0</v>
      </c>
      <c r="AN14" s="1987">
        <f t="shared" ca="1" si="5"/>
        <v>39518</v>
      </c>
      <c r="AO14" s="1987"/>
      <c r="AP14" s="1976"/>
      <c r="AQ14" s="1988">
        <f t="shared" ca="1" si="18"/>
        <v>14661.339217672097</v>
      </c>
      <c r="AR14" s="1988">
        <f t="shared" ca="1" si="19"/>
        <v>1229.1108985257858</v>
      </c>
      <c r="AS14" s="1988">
        <f t="shared" ca="1" si="20"/>
        <v>13432.228319146312</v>
      </c>
      <c r="AT14" s="1978"/>
      <c r="AU14" s="1987">
        <f t="shared" ca="1" si="6"/>
        <v>39944.100802638415</v>
      </c>
      <c r="AV14" s="1987">
        <f t="shared" ca="1" si="21"/>
        <v>998602.52006596036</v>
      </c>
      <c r="AW14" s="1976"/>
      <c r="AX14" s="1987">
        <f>IF(G14=Housing!$I$43,Housing!$I$48,0)</f>
        <v>0</v>
      </c>
      <c r="AY14" s="1989">
        <v>0</v>
      </c>
      <c r="AZ14" s="1989"/>
      <c r="BA14" s="1987">
        <f t="shared" ca="1" si="22"/>
        <v>7549.682662182915</v>
      </c>
      <c r="BB14" s="1989"/>
      <c r="BC14" s="1990">
        <f t="shared" ca="1" si="23"/>
        <v>0.18900619892497963</v>
      </c>
      <c r="BD14" s="1989">
        <f t="shared" ca="1" si="30"/>
        <v>188742.06655457287</v>
      </c>
      <c r="BE14" s="1981"/>
      <c r="BF14" s="1989">
        <f t="shared" ca="1" si="24"/>
        <v>809860.45351138746</v>
      </c>
      <c r="BG14" s="1991">
        <f t="shared" ca="1" si="7"/>
        <v>0.81099380107502028</v>
      </c>
      <c r="BH14" s="1989">
        <v>104316</v>
      </c>
      <c r="BI14" s="1989">
        <f t="shared" ca="1" si="31"/>
        <v>32394.418140455498</v>
      </c>
      <c r="BJ14" s="1981"/>
      <c r="BK14" s="1992">
        <f ca="1"/>
        <v>98288.836445033012</v>
      </c>
      <c r="BL14" s="1992">
        <v>104316</v>
      </c>
      <c r="BM14" s="1993">
        <f t="shared" ca="1" si="25"/>
        <v>202604.83644503303</v>
      </c>
      <c r="BN14" s="1992">
        <f t="shared" ca="1" si="8"/>
        <v>39944.100802638415</v>
      </c>
      <c r="BO14" s="1992">
        <f t="shared" ca="1" si="9"/>
        <v>-64371.899197361585</v>
      </c>
      <c r="BP14" s="1247" t="str">
        <f t="shared" ca="1" si="26"/>
        <v>Investments down</v>
      </c>
      <c r="BR14" s="1992">
        <f ca="1">LOOKUP(G14,Rental!$C$37:$C$161,Rental!$Y$37:$Y$161)</f>
        <v>0</v>
      </c>
      <c r="BS14" s="1992">
        <f ca="1">LOOKUP(G14,Rental!$C$37:$C$161,Rental!$AD$37:$AD$161)</f>
        <v>0</v>
      </c>
      <c r="BT14" s="1226"/>
    </row>
    <row r="15" spans="1:72" s="653" customFormat="1" ht="18" customHeight="1">
      <c r="C15" s="882" t="s">
        <v>463</v>
      </c>
      <c r="D15" s="1601">
        <v>0.04</v>
      </c>
      <c r="F15" s="679">
        <f t="shared" si="32"/>
        <v>7</v>
      </c>
      <c r="G15" s="689">
        <f t="shared" si="32"/>
        <v>2040</v>
      </c>
      <c r="H15" s="680">
        <f t="shared" si="32"/>
        <v>72</v>
      </c>
      <c r="I15" s="680">
        <f t="shared" si="32"/>
        <v>70</v>
      </c>
      <c r="J15" s="680"/>
      <c r="K15" s="681">
        <f t="shared" ca="1" si="29"/>
        <v>934231</v>
      </c>
      <c r="L15" s="681">
        <f t="shared" ca="1" si="11"/>
        <v>37369</v>
      </c>
      <c r="M15" s="682">
        <f t="shared" si="0"/>
        <v>0</v>
      </c>
      <c r="N15" s="682"/>
      <c r="O15" s="681">
        <f ca="1">IF(U15&gt;0,Income!Q34+U15,Income!Q34)</f>
        <v>207305.54703822039</v>
      </c>
      <c r="P15" s="682">
        <f ca="1">TaxRates!M53</f>
        <v>40015</v>
      </c>
      <c r="Q15" s="1502">
        <f t="shared" ca="1" si="1"/>
        <v>0.1930242609119501</v>
      </c>
      <c r="R15" s="683">
        <f t="shared" ca="1" si="2"/>
        <v>13941</v>
      </c>
      <c r="S15" s="681">
        <f t="shared" ca="1" si="3"/>
        <v>167290.54703822039</v>
      </c>
      <c r="T15" s="683"/>
      <c r="U15" s="1506">
        <v>107592</v>
      </c>
      <c r="V15" s="1506"/>
      <c r="W15" s="682">
        <f t="shared" ca="1" si="12"/>
        <v>167292</v>
      </c>
      <c r="X15" s="683">
        <f t="shared" ca="1" si="13"/>
        <v>13941</v>
      </c>
      <c r="Y15" s="682">
        <f t="shared" ca="1" si="4"/>
        <v>0</v>
      </c>
      <c r="Z15" s="673"/>
      <c r="AA15" s="672">
        <v>0</v>
      </c>
      <c r="AB15" s="672">
        <v>0</v>
      </c>
      <c r="AC15" s="1607" t="str">
        <f t="shared" si="14"/>
        <v/>
      </c>
      <c r="AD15" s="2563"/>
      <c r="AE15" s="767"/>
      <c r="AF15" s="1974">
        <f t="shared" ca="1" si="15"/>
        <v>167295.00454850876</v>
      </c>
      <c r="AG15" s="1974">
        <f t="shared" ca="1" si="16"/>
        <v>13941.250379042396</v>
      </c>
      <c r="AH15" s="1975">
        <f>VLOOKUP(G15,Budget!$U$10:$V$134,2)</f>
        <v>127280.00454850876</v>
      </c>
      <c r="AI15" s="1975">
        <f t="shared" si="17"/>
        <v>0</v>
      </c>
      <c r="AJ15" s="1975">
        <f>(AB15+SUM($AB$9:AB14))*12</f>
        <v>0</v>
      </c>
      <c r="AK15" s="1975">
        <f>IF(G15&gt;=Housing!$I$43,    IF( Housing!$I$43 &lt;&gt; "",  VLOOKUP(G15,Budget!U16:W140,3)*-1,0), 0)</f>
        <v>0</v>
      </c>
      <c r="AL15" s="1975">
        <f>IF(G15&lt;Housing!$I$43,  0,  VLOOKUP(G15,Housing!E87:I211,5)*12)</f>
        <v>0</v>
      </c>
      <c r="AM15" s="1975">
        <f ca="1">RMD!V13</f>
        <v>0</v>
      </c>
      <c r="AN15" s="1975">
        <f t="shared" ca="1" si="5"/>
        <v>40015</v>
      </c>
      <c r="AO15" s="1975"/>
      <c r="AP15" s="1976"/>
      <c r="AQ15" s="1977">
        <f t="shared" ca="1" si="18"/>
        <v>15101.17939420226</v>
      </c>
      <c r="AR15" s="1977">
        <f t="shared" ca="1" si="19"/>
        <v>1265.9842254815594</v>
      </c>
      <c r="AS15" s="1977">
        <f t="shared" ca="1" si="20"/>
        <v>13835.1951687207</v>
      </c>
      <c r="AT15" s="1978"/>
      <c r="AU15" s="1975">
        <f t="shared" ca="1" si="6"/>
        <v>37369.224834743953</v>
      </c>
      <c r="AV15" s="1975">
        <f t="shared" ca="1" si="21"/>
        <v>934230.62086859881</v>
      </c>
      <c r="AW15" s="1976"/>
      <c r="AX15" s="1975">
        <f>IF(G15=Housing!$I$43,Housing!$I$48,0)</f>
        <v>0</v>
      </c>
      <c r="AY15" s="1979">
        <v>0</v>
      </c>
      <c r="AZ15" s="1979"/>
      <c r="BA15" s="1975">
        <f t="shared" ca="1" si="22"/>
        <v>7851.6699686702323</v>
      </c>
      <c r="BB15" s="1979"/>
      <c r="BC15" s="1994">
        <f t="shared" ca="1" si="23"/>
        <v>0.21011059242979424</v>
      </c>
      <c r="BD15" s="1979">
        <f t="shared" ca="1" si="30"/>
        <v>196291.74921675579</v>
      </c>
      <c r="BE15" s="1981"/>
      <c r="BF15" s="1979">
        <f t="shared" ca="1" si="24"/>
        <v>737938.87165184296</v>
      </c>
      <c r="BG15" s="1980">
        <f t="shared" ca="1" si="7"/>
        <v>0.78988940757020565</v>
      </c>
      <c r="BH15" s="1979">
        <v>107592</v>
      </c>
      <c r="BI15" s="1979">
        <f t="shared" ca="1" si="31"/>
        <v>29517.554866073719</v>
      </c>
      <c r="BJ15" s="1981"/>
      <c r="BK15" s="1984">
        <f ca="1"/>
        <v>99713.547038220378</v>
      </c>
      <c r="BL15" s="1984">
        <v>107592</v>
      </c>
      <c r="BM15" s="1985">
        <f t="shared" ca="1" si="25"/>
        <v>207305.54703822039</v>
      </c>
      <c r="BN15" s="1984">
        <f t="shared" ca="1" si="8"/>
        <v>37369.224834743953</v>
      </c>
      <c r="BO15" s="1984">
        <f t="shared" ca="1" si="9"/>
        <v>-70222.775165256055</v>
      </c>
      <c r="BP15" s="1247" t="str">
        <f t="shared" ca="1" si="26"/>
        <v>Investments down</v>
      </c>
      <c r="BR15" s="1984">
        <f ca="1">LOOKUP(G15,Rental!$C$37:$C$161,Rental!$Y$37:$Y$161)</f>
        <v>0</v>
      </c>
      <c r="BS15" s="1984">
        <f ca="1">LOOKUP(G15,Rental!$C$37:$C$161,Rental!$AD$37:$AD$161)</f>
        <v>0</v>
      </c>
      <c r="BT15" s="1226"/>
    </row>
    <row r="16" spans="1:72" s="653" customFormat="1" ht="18" customHeight="1">
      <c r="F16" s="697">
        <f t="shared" si="32"/>
        <v>8</v>
      </c>
      <c r="G16" s="684">
        <f t="shared" si="32"/>
        <v>2041</v>
      </c>
      <c r="H16" s="685">
        <f t="shared" si="32"/>
        <v>73</v>
      </c>
      <c r="I16" s="685">
        <f t="shared" si="32"/>
        <v>71</v>
      </c>
      <c r="J16" s="680"/>
      <c r="K16" s="686">
        <f t="shared" ca="1" si="29"/>
        <v>864008</v>
      </c>
      <c r="L16" s="686">
        <f t="shared" ca="1" si="11"/>
        <v>34560</v>
      </c>
      <c r="M16" s="687">
        <f t="shared" si="0"/>
        <v>0</v>
      </c>
      <c r="N16" s="682"/>
      <c r="O16" s="686">
        <f ca="1">IF(U16&gt;0,Income!Q35+U16,Income!Q35)</f>
        <v>211433.66387689367</v>
      </c>
      <c r="P16" s="687">
        <f ca="1">TaxRates!M54</f>
        <v>40171</v>
      </c>
      <c r="Q16" s="1503">
        <f t="shared" ca="1" si="1"/>
        <v>0.18999339681021368</v>
      </c>
      <c r="R16" s="688">
        <f t="shared" ca="1" si="2"/>
        <v>14272</v>
      </c>
      <c r="S16" s="686">
        <f t="shared" ref="S16:S48" ca="1" si="33">O16-P16</f>
        <v>171262.66387689367</v>
      </c>
      <c r="T16" s="683"/>
      <c r="U16" s="1507">
        <v>110274</v>
      </c>
      <c r="V16" s="1506"/>
      <c r="W16" s="687">
        <f t="shared" ca="1" si="12"/>
        <v>171264</v>
      </c>
      <c r="X16" s="688">
        <f t="shared" ca="1" si="13"/>
        <v>14272</v>
      </c>
      <c r="Y16" s="687">
        <f t="shared" ca="1" si="4"/>
        <v>0</v>
      </c>
      <c r="Z16" s="673"/>
      <c r="AA16" s="672">
        <v>0</v>
      </c>
      <c r="AB16" s="672">
        <v>0</v>
      </c>
      <c r="AC16" s="1607" t="str">
        <f t="shared" si="14"/>
        <v/>
      </c>
      <c r="AD16" s="875"/>
      <c r="AE16" s="767"/>
      <c r="AF16" s="1986">
        <f t="shared" ca="1" si="15"/>
        <v>171269.40468496401</v>
      </c>
      <c r="AG16" s="1986">
        <f t="shared" ca="1" si="16"/>
        <v>14272.450390413667</v>
      </c>
      <c r="AH16" s="1987">
        <f>VLOOKUP(G16,Budget!$U$10:$V$134,2)</f>
        <v>131098.40468496401</v>
      </c>
      <c r="AI16" s="1987">
        <f t="shared" si="17"/>
        <v>0</v>
      </c>
      <c r="AJ16" s="1987">
        <f>(AB16+SUM($AB$9:AB15))*12</f>
        <v>0</v>
      </c>
      <c r="AK16" s="1987">
        <f>IF(G16&gt;=Housing!$I$43,    IF( Housing!$I$43 &lt;&gt; "",  VLOOKUP(G16,Budget!U17:W141,3)*-1,0), 0)</f>
        <v>0</v>
      </c>
      <c r="AL16" s="1987">
        <f>IF(G16&lt;Housing!$I$43,  0,  VLOOKUP(G16,Housing!E88:I212,5)*12)</f>
        <v>0</v>
      </c>
      <c r="AM16" s="1987">
        <f ca="1">RMD!V14</f>
        <v>0</v>
      </c>
      <c r="AN16" s="1987">
        <f t="shared" ca="1" si="5"/>
        <v>40171</v>
      </c>
      <c r="AO16" s="1987"/>
      <c r="AP16" s="1976"/>
      <c r="AQ16" s="1988">
        <f t="shared" ca="1" si="18"/>
        <v>15554.214776028328</v>
      </c>
      <c r="AR16" s="1988">
        <f t="shared" ca="1" si="19"/>
        <v>1303.9637522460062</v>
      </c>
      <c r="AS16" s="1988">
        <f t="shared" ca="1" si="20"/>
        <v>14250.251023782323</v>
      </c>
      <c r="AT16" s="1978"/>
      <c r="AU16" s="1987">
        <f t="shared" ca="1" si="6"/>
        <v>34560.313828133709</v>
      </c>
      <c r="AV16" s="1987">
        <f t="shared" ca="1" si="21"/>
        <v>864007.8457033427</v>
      </c>
      <c r="AW16" s="1976"/>
      <c r="AX16" s="1987">
        <f>IF(G16=Housing!$I$43,Housing!$I$48,0)</f>
        <v>0</v>
      </c>
      <c r="AY16" s="1989">
        <v>0</v>
      </c>
      <c r="AZ16" s="1989"/>
      <c r="BA16" s="1987">
        <f t="shared" ca="1" si="22"/>
        <v>8165.7367674170409</v>
      </c>
      <c r="BB16" s="1989"/>
      <c r="BC16" s="1990">
        <f t="shared" ca="1" si="23"/>
        <v>0.2362749600025261</v>
      </c>
      <c r="BD16" s="1989">
        <f t="shared" ca="1" si="30"/>
        <v>204143.41918542603</v>
      </c>
      <c r="BE16" s="1981"/>
      <c r="BF16" s="1989">
        <f t="shared" ca="1" si="24"/>
        <v>659864.42651791673</v>
      </c>
      <c r="BG16" s="1991">
        <f t="shared" ca="1" si="7"/>
        <v>0.76372503999747399</v>
      </c>
      <c r="BH16" s="1989">
        <v>110274</v>
      </c>
      <c r="BI16" s="1989">
        <f t="shared" ca="1" si="31"/>
        <v>26394.577060716671</v>
      </c>
      <c r="BJ16" s="1981"/>
      <c r="BK16" s="1992">
        <f ca="1"/>
        <v>101159.66387689367</v>
      </c>
      <c r="BL16" s="1992">
        <v>110274</v>
      </c>
      <c r="BM16" s="1993">
        <f t="shared" ca="1" si="25"/>
        <v>211433.66387689367</v>
      </c>
      <c r="BN16" s="1992">
        <f t="shared" ca="1" si="8"/>
        <v>34560.313828133709</v>
      </c>
      <c r="BO16" s="1992">
        <f t="shared" ca="1" si="9"/>
        <v>-75713.686171866284</v>
      </c>
      <c r="BP16" s="1247" t="str">
        <f t="shared" ca="1" si="26"/>
        <v>Investments down</v>
      </c>
      <c r="BR16" s="1992">
        <f ca="1">LOOKUP(G16,Rental!$C$37:$C$161,Rental!$Y$37:$Y$161)</f>
        <v>0</v>
      </c>
      <c r="BS16" s="1992">
        <f ca="1">LOOKUP(G16,Rental!$C$37:$C$161,Rental!$AD$37:$AD$161)</f>
        <v>0</v>
      </c>
      <c r="BT16" s="1226"/>
    </row>
    <row r="17" spans="1:72" s="653" customFormat="1" ht="18" customHeight="1">
      <c r="F17" s="679">
        <f t="shared" si="32"/>
        <v>9</v>
      </c>
      <c r="G17" s="689">
        <f t="shared" si="32"/>
        <v>2042</v>
      </c>
      <c r="H17" s="680">
        <f t="shared" si="32"/>
        <v>74</v>
      </c>
      <c r="I17" s="680">
        <f t="shared" si="32"/>
        <v>72</v>
      </c>
      <c r="J17" s="680"/>
      <c r="K17" s="681">
        <f t="shared" ca="1" si="29"/>
        <v>788294</v>
      </c>
      <c r="L17" s="681">
        <f t="shared" ca="1" si="11"/>
        <v>31532</v>
      </c>
      <c r="M17" s="682">
        <f t="shared" si="0"/>
        <v>0</v>
      </c>
      <c r="N17" s="682"/>
      <c r="O17" s="681">
        <f ca="1">IF(U17&gt;0,Income!Q36+U17,Income!Q36)</f>
        <v>214809.522233603</v>
      </c>
      <c r="P17" s="682">
        <f ca="1">TaxRates!M55</f>
        <v>39890</v>
      </c>
      <c r="Q17" s="1502">
        <f t="shared" ca="1" si="1"/>
        <v>0.18569940282544858</v>
      </c>
      <c r="R17" s="683">
        <f t="shared" ca="1" si="2"/>
        <v>14577</v>
      </c>
      <c r="S17" s="681">
        <f t="shared" ca="1" si="33"/>
        <v>174919.522233603</v>
      </c>
      <c r="T17" s="683"/>
      <c r="U17" s="1506">
        <v>112182</v>
      </c>
      <c r="V17" s="1506"/>
      <c r="W17" s="682">
        <f t="shared" ca="1" si="12"/>
        <v>174924</v>
      </c>
      <c r="X17" s="683">
        <f t="shared" ca="1" si="13"/>
        <v>14577</v>
      </c>
      <c r="Y17" s="682">
        <f t="shared" ca="1" si="4"/>
        <v>0</v>
      </c>
      <c r="Z17" s="673"/>
      <c r="AA17" s="672">
        <v>0</v>
      </c>
      <c r="AB17" s="672">
        <v>0</v>
      </c>
      <c r="AC17" s="1607" t="str">
        <f t="shared" si="14"/>
        <v/>
      </c>
      <c r="AD17" s="875"/>
      <c r="AE17" s="767"/>
      <c r="AF17" s="1974">
        <f t="shared" ca="1" si="15"/>
        <v>174921.35682551292</v>
      </c>
      <c r="AG17" s="1974">
        <f t="shared" ca="1" si="16"/>
        <v>14576.779735459409</v>
      </c>
      <c r="AH17" s="1975">
        <f>VLOOKUP(G17,Budget!$U$10:$V$134,2)</f>
        <v>135031.35682551292</v>
      </c>
      <c r="AI17" s="1975">
        <f t="shared" si="17"/>
        <v>0</v>
      </c>
      <c r="AJ17" s="1975">
        <f>(AB17+SUM($AB$9:AB16))*12</f>
        <v>0</v>
      </c>
      <c r="AK17" s="1975">
        <f>IF(G17&gt;=Housing!$I$43,    IF( Housing!$I$43 &lt;&gt; "",  VLOOKUP(G17,Budget!U18:W142,3)*-1,0), 0)</f>
        <v>0</v>
      </c>
      <c r="AL17" s="1975">
        <f>IF(G17&lt;Housing!$I$43,  0,  VLOOKUP(G17,Housing!E89:I213,5)*12)</f>
        <v>0</v>
      </c>
      <c r="AM17" s="1975">
        <f ca="1">RMD!V15</f>
        <v>0</v>
      </c>
      <c r="AN17" s="1975">
        <f t="shared" ca="1" si="5"/>
        <v>39890</v>
      </c>
      <c r="AO17" s="1975"/>
      <c r="AP17" s="1976"/>
      <c r="AQ17" s="1977">
        <f t="shared" ca="1" si="18"/>
        <v>16020.841219309177</v>
      </c>
      <c r="AR17" s="1977">
        <f t="shared" ca="1" si="19"/>
        <v>1343.0826648133864</v>
      </c>
      <c r="AS17" s="1977">
        <f t="shared" ca="1" si="20"/>
        <v>14677.758554495791</v>
      </c>
      <c r="AT17" s="1978"/>
      <c r="AU17" s="1975">
        <f t="shared" ca="1" si="6"/>
        <v>31531.766381259058</v>
      </c>
      <c r="AV17" s="1975">
        <f t="shared" ca="1" si="21"/>
        <v>788294.15953147644</v>
      </c>
      <c r="AW17" s="1976"/>
      <c r="AX17" s="1975">
        <f>IF(G17=Housing!$I$43,Housing!$I$48,0)</f>
        <v>0</v>
      </c>
      <c r="AY17" s="1979">
        <v>0</v>
      </c>
      <c r="AZ17" s="1979"/>
      <c r="BA17" s="1975">
        <f t="shared" ca="1" si="22"/>
        <v>8492.3662381137237</v>
      </c>
      <c r="BB17" s="1979"/>
      <c r="BC17" s="1994">
        <f t="shared" ca="1" si="23"/>
        <v>0.26932732329138309</v>
      </c>
      <c r="BD17" s="1979">
        <f t="shared" ca="1" si="30"/>
        <v>212309.15595284308</v>
      </c>
      <c r="BE17" s="1981"/>
      <c r="BF17" s="1979">
        <f t="shared" ca="1" si="24"/>
        <v>575985.00357863342</v>
      </c>
      <c r="BG17" s="1980">
        <f t="shared" ca="1" si="7"/>
        <v>0.73067267670861702</v>
      </c>
      <c r="BH17" s="1979">
        <v>112182</v>
      </c>
      <c r="BI17" s="1979">
        <f t="shared" ca="1" si="31"/>
        <v>23039.400143145336</v>
      </c>
      <c r="BJ17" s="1981"/>
      <c r="BK17" s="1984">
        <f ca="1"/>
        <v>102627.522233603</v>
      </c>
      <c r="BL17" s="1984">
        <v>112182</v>
      </c>
      <c r="BM17" s="1985">
        <f t="shared" ca="1" si="25"/>
        <v>214809.522233603</v>
      </c>
      <c r="BN17" s="1984">
        <f t="shared" ca="1" si="8"/>
        <v>31531.766381259062</v>
      </c>
      <c r="BO17" s="1984">
        <f t="shared" ca="1" si="9"/>
        <v>-80650.233618740938</v>
      </c>
      <c r="BP17" s="1247" t="str">
        <f t="shared" ca="1" si="26"/>
        <v>Investments down</v>
      </c>
      <c r="BR17" s="1984">
        <f ca="1">LOOKUP(G17,Rental!$C$37:$C$161,Rental!$Y$37:$Y$161)</f>
        <v>0</v>
      </c>
      <c r="BS17" s="1984">
        <f ca="1">LOOKUP(G17,Rental!$C$37:$C$161,Rental!$AD$37:$AD$161)</f>
        <v>0</v>
      </c>
      <c r="BT17" s="1226"/>
    </row>
    <row r="18" spans="1:72" s="653" customFormat="1" ht="18" customHeight="1">
      <c r="C18" s="882" t="s">
        <v>462</v>
      </c>
      <c r="D18" s="883">
        <v>0.03</v>
      </c>
      <c r="F18" s="697">
        <f t="shared" si="32"/>
        <v>10</v>
      </c>
      <c r="G18" s="684">
        <f t="shared" si="32"/>
        <v>2043</v>
      </c>
      <c r="H18" s="685">
        <f t="shared" si="32"/>
        <v>75</v>
      </c>
      <c r="I18" s="685">
        <f t="shared" si="32"/>
        <v>73</v>
      </c>
      <c r="J18" s="680"/>
      <c r="K18" s="686">
        <f t="shared" ca="1" si="29"/>
        <v>707644</v>
      </c>
      <c r="L18" s="686">
        <f t="shared" ca="1" si="11"/>
        <v>28306</v>
      </c>
      <c r="M18" s="687">
        <f t="shared" si="0"/>
        <v>0</v>
      </c>
      <c r="N18" s="682"/>
      <c r="O18" s="686">
        <f ca="1">IF(U18&gt;0,Income!Q37+U18,Income!Q37)</f>
        <v>217121.46286998369</v>
      </c>
      <c r="P18" s="687">
        <f ca="1">TaxRates!M56</f>
        <v>39021</v>
      </c>
      <c r="Q18" s="1503">
        <f t="shared" ca="1" si="1"/>
        <v>0.179719680791606</v>
      </c>
      <c r="R18" s="688">
        <f t="shared" ca="1" si="2"/>
        <v>14842</v>
      </c>
      <c r="S18" s="686">
        <f t="shared" ca="1" si="33"/>
        <v>178100.46286998369</v>
      </c>
      <c r="T18" s="683"/>
      <c r="U18" s="1507">
        <v>113004</v>
      </c>
      <c r="V18" s="1506"/>
      <c r="W18" s="687">
        <f t="shared" ca="1" si="12"/>
        <v>178104</v>
      </c>
      <c r="X18" s="688">
        <f t="shared" ca="1" si="13"/>
        <v>14842</v>
      </c>
      <c r="Y18" s="687">
        <f t="shared" ca="1" si="4"/>
        <v>0</v>
      </c>
      <c r="Z18" s="673"/>
      <c r="AA18" s="672">
        <v>0</v>
      </c>
      <c r="AB18" s="672">
        <v>0</v>
      </c>
      <c r="AC18" s="1607" t="str">
        <f t="shared" si="14"/>
        <v/>
      </c>
      <c r="AD18" s="2563"/>
      <c r="AE18" s="767"/>
      <c r="AF18" s="1986">
        <f t="shared" ca="1" si="15"/>
        <v>178103.2975302783</v>
      </c>
      <c r="AG18" s="1986">
        <f t="shared" ca="1" si="16"/>
        <v>14841.941460856526</v>
      </c>
      <c r="AH18" s="1987">
        <f>VLOOKUP(G18,Budget!$U$10:$V$134,2)</f>
        <v>139082.2975302783</v>
      </c>
      <c r="AI18" s="1987">
        <f t="shared" si="17"/>
        <v>0</v>
      </c>
      <c r="AJ18" s="1987">
        <f>(AB18+SUM($AB$9:AB17))*12</f>
        <v>0</v>
      </c>
      <c r="AK18" s="1987">
        <f>IF(G18&gt;=Housing!$I$43,    IF( Housing!$I$43 &lt;&gt; "",  VLOOKUP(G18,Budget!U19:W143,3)*-1,0), 0)</f>
        <v>0</v>
      </c>
      <c r="AL18" s="1987">
        <f>IF(G18&lt;Housing!$I$43,  0,  VLOOKUP(G18,Housing!E90:I214,5)*12)</f>
        <v>0</v>
      </c>
      <c r="AM18" s="1987">
        <f ca="1">RMD!V16</f>
        <v>0</v>
      </c>
      <c r="AN18" s="1987">
        <f t="shared" ca="1" si="5"/>
        <v>39021</v>
      </c>
      <c r="AO18" s="1987"/>
      <c r="AP18" s="1976"/>
      <c r="AQ18" s="1988">
        <f t="shared" ca="1" si="18"/>
        <v>16501.466455888454</v>
      </c>
      <c r="AR18" s="1988">
        <f t="shared" ca="1" si="19"/>
        <v>1383.3751447577879</v>
      </c>
      <c r="AS18" s="1988">
        <f t="shared" ca="1" si="20"/>
        <v>15118.091311130665</v>
      </c>
      <c r="AT18" s="1978"/>
      <c r="AU18" s="1987">
        <f t="shared" ca="1" si="6"/>
        <v>28305.757036509422</v>
      </c>
      <c r="AV18" s="1987">
        <f t="shared" ca="1" si="21"/>
        <v>707643.92591273552</v>
      </c>
      <c r="AW18" s="1976"/>
      <c r="AX18" s="1987">
        <f>IF(G18=Housing!$I$43,Housing!$I$48,0)</f>
        <v>0</v>
      </c>
      <c r="AY18" s="1989">
        <v>0</v>
      </c>
      <c r="AZ18" s="1989"/>
      <c r="BA18" s="1987">
        <f t="shared" ca="1" si="22"/>
        <v>8832.0608876382721</v>
      </c>
      <c r="BB18" s="1989"/>
      <c r="BC18" s="1990">
        <f t="shared" ca="1" si="23"/>
        <v>0.3120234825815284</v>
      </c>
      <c r="BD18" s="1989">
        <f t="shared" ca="1" si="30"/>
        <v>220801.52219095681</v>
      </c>
      <c r="BE18" s="1981"/>
      <c r="BF18" s="1989">
        <f t="shared" ca="1" si="24"/>
        <v>486842.40372177877</v>
      </c>
      <c r="BG18" s="1991">
        <f t="shared" ca="1" si="7"/>
        <v>0.68797651741847166</v>
      </c>
      <c r="BH18" s="1989">
        <v>113004</v>
      </c>
      <c r="BI18" s="1989">
        <f t="shared" ca="1" si="31"/>
        <v>19473.696148871149</v>
      </c>
      <c r="BJ18" s="1981"/>
      <c r="BK18" s="1992">
        <f ca="1"/>
        <v>104117.46286998369</v>
      </c>
      <c r="BL18" s="1992">
        <v>113004</v>
      </c>
      <c r="BM18" s="1993">
        <f t="shared" ca="1" si="25"/>
        <v>217121.46286998369</v>
      </c>
      <c r="BN18" s="1992">
        <f t="shared" ca="1" si="8"/>
        <v>28305.757036509422</v>
      </c>
      <c r="BO18" s="1992">
        <f t="shared" ca="1" si="9"/>
        <v>-84698.242963490571</v>
      </c>
      <c r="BP18" s="1247" t="str">
        <f t="shared" ca="1" si="26"/>
        <v>Investments down</v>
      </c>
      <c r="BR18" s="1992">
        <f ca="1">LOOKUP(G18,Rental!$C$37:$C$161,Rental!$Y$37:$Y$161)</f>
        <v>0</v>
      </c>
      <c r="BS18" s="1992">
        <f ca="1">LOOKUP(G18,Rental!$C$37:$C$161,Rental!$AD$37:$AD$161)</f>
        <v>0</v>
      </c>
      <c r="BT18" s="1226"/>
    </row>
    <row r="19" spans="1:72" s="653" customFormat="1" ht="18" customHeight="1">
      <c r="A19" s="669"/>
      <c r="B19" s="669"/>
      <c r="C19" s="670"/>
      <c r="F19" s="679">
        <f t="shared" si="27"/>
        <v>11</v>
      </c>
      <c r="G19" s="689">
        <f t="shared" si="28"/>
        <v>2044</v>
      </c>
      <c r="H19" s="680">
        <f t="shared" si="10"/>
        <v>76</v>
      </c>
      <c r="I19" s="680">
        <f t="shared" si="10"/>
        <v>74</v>
      </c>
      <c r="J19" s="680"/>
      <c r="K19" s="681">
        <f t="shared" ca="1" si="29"/>
        <v>622946</v>
      </c>
      <c r="L19" s="681">
        <f t="shared" ca="1" si="11"/>
        <v>24918</v>
      </c>
      <c r="M19" s="682">
        <f t="shared" si="0"/>
        <v>0</v>
      </c>
      <c r="N19" s="682"/>
      <c r="O19" s="681">
        <f ca="1">IF(U19&gt;0,Income!Q38+U19,Income!Q38)</f>
        <v>218039.83213060338</v>
      </c>
      <c r="P19" s="682">
        <f ca="1">TaxRates!M57</f>
        <v>37395</v>
      </c>
      <c r="Q19" s="1502">
        <f t="shared" ca="1" si="1"/>
        <v>0.17150536044075113</v>
      </c>
      <c r="R19" s="683">
        <f t="shared" ca="1" si="2"/>
        <v>15054</v>
      </c>
      <c r="S19" s="681">
        <f t="shared" ca="1" si="33"/>
        <v>180644.83213060338</v>
      </c>
      <c r="T19" s="683"/>
      <c r="U19" s="1506">
        <v>112410</v>
      </c>
      <c r="V19" s="1506"/>
      <c r="W19" s="682">
        <f t="shared" ca="1" si="12"/>
        <v>180648</v>
      </c>
      <c r="X19" s="683">
        <f t="shared" ca="1" si="13"/>
        <v>15054</v>
      </c>
      <c r="Y19" s="682">
        <f t="shared" ca="1" si="4"/>
        <v>0</v>
      </c>
      <c r="Z19" s="673"/>
      <c r="AA19" s="672">
        <v>0</v>
      </c>
      <c r="AB19" s="672">
        <v>0</v>
      </c>
      <c r="AC19" s="1607" t="str">
        <f t="shared" si="14"/>
        <v/>
      </c>
      <c r="AD19" s="875"/>
      <c r="AE19" s="767"/>
      <c r="AF19" s="1974">
        <f t="shared" ca="1" si="15"/>
        <v>180649.76645618665</v>
      </c>
      <c r="AG19" s="1974">
        <f t="shared" ca="1" si="16"/>
        <v>15054.147204682222</v>
      </c>
      <c r="AH19" s="1975">
        <f>VLOOKUP(G19,Budget!$U$10:$V$134,2)</f>
        <v>143254.76645618665</v>
      </c>
      <c r="AI19" s="1975">
        <f t="shared" si="17"/>
        <v>0</v>
      </c>
      <c r="AJ19" s="1975">
        <f>(AB19+SUM($AB$9:AB18))*12</f>
        <v>0</v>
      </c>
      <c r="AK19" s="1975">
        <f>IF(G19&gt;=Housing!$I$43,    IF( Housing!$I$43 &lt;&gt; "",  VLOOKUP(G19,Budget!U20:W144,3)*-1,0), 0)</f>
        <v>0</v>
      </c>
      <c r="AL19" s="1975">
        <f>IF(G19&lt;Housing!$I$43,  0,  VLOOKUP(G19,Housing!E91:I214,5)*12)</f>
        <v>0</v>
      </c>
      <c r="AM19" s="1975">
        <f ca="1">RMD!V17</f>
        <v>0</v>
      </c>
      <c r="AN19" s="1975">
        <f t="shared" ca="1" si="5"/>
        <v>37395</v>
      </c>
      <c r="AO19" s="1975"/>
      <c r="AP19" s="1976"/>
      <c r="AQ19" s="1977">
        <f t="shared" ca="1" si="18"/>
        <v>16996.510449565107</v>
      </c>
      <c r="AR19" s="1977">
        <f t="shared" ca="1" si="19"/>
        <v>1424.8763991005214</v>
      </c>
      <c r="AS19" s="1977">
        <f t="shared" ca="1" si="20"/>
        <v>15571.634050464585</v>
      </c>
      <c r="AT19" s="1978"/>
      <c r="AU19" s="1975">
        <f t="shared" ca="1" si="6"/>
        <v>24917.827317969801</v>
      </c>
      <c r="AV19" s="1975">
        <f t="shared" ca="1" si="21"/>
        <v>622945.68294924498</v>
      </c>
      <c r="AW19" s="1976"/>
      <c r="AX19" s="1975">
        <f>IF(G19=Housing!$I$43,Housing!$I$48,0)</f>
        <v>0</v>
      </c>
      <c r="AY19" s="1979">
        <v>0</v>
      </c>
      <c r="AZ19" s="1979"/>
      <c r="BA19" s="1975">
        <f t="shared" ca="1" si="22"/>
        <v>9185.343323143803</v>
      </c>
      <c r="BB19" s="1979"/>
      <c r="BC19" s="1994">
        <f t="shared" ca="1" si="23"/>
        <v>0.36862537033955922</v>
      </c>
      <c r="BD19" s="1979">
        <f t="shared" ca="1" si="30"/>
        <v>229633.58307859508</v>
      </c>
      <c r="BE19" s="1981"/>
      <c r="BF19" s="1979">
        <f t="shared" ca="1" si="24"/>
        <v>393312.09987064992</v>
      </c>
      <c r="BG19" s="1980">
        <f t="shared" ca="1" si="7"/>
        <v>0.63137462966044078</v>
      </c>
      <c r="BH19" s="1979">
        <v>112410</v>
      </c>
      <c r="BI19" s="1979">
        <f t="shared" ca="1" si="31"/>
        <v>15732.483994825998</v>
      </c>
      <c r="BJ19" s="1981"/>
      <c r="BK19" s="1984">
        <f ca="1"/>
        <v>105629.83213060338</v>
      </c>
      <c r="BL19" s="1984">
        <v>112410</v>
      </c>
      <c r="BM19" s="1985">
        <f t="shared" ca="1" si="25"/>
        <v>218039.83213060338</v>
      </c>
      <c r="BN19" s="1984">
        <f t="shared" ca="1" si="8"/>
        <v>24917.827317969801</v>
      </c>
      <c r="BO19" s="1984">
        <f t="shared" ca="1" si="9"/>
        <v>-87492.172682030199</v>
      </c>
      <c r="BP19" s="1247" t="str">
        <f t="shared" ca="1" si="26"/>
        <v>Investments down</v>
      </c>
      <c r="BR19" s="1984">
        <f ca="1">LOOKUP(G19,Rental!$C$37:$C$161,Rental!$Y$37:$Y$161)</f>
        <v>0</v>
      </c>
      <c r="BS19" s="1984">
        <f ca="1">LOOKUP(G19,Rental!$C$37:$C$161,Rental!$AD$37:$AD$161)</f>
        <v>0</v>
      </c>
      <c r="BT19" s="1226"/>
    </row>
    <row r="20" spans="1:72" s="653" customFormat="1" ht="18" customHeight="1">
      <c r="A20" s="653" t="s">
        <v>0</v>
      </c>
      <c r="F20" s="697">
        <f t="shared" si="27"/>
        <v>12</v>
      </c>
      <c r="G20" s="684">
        <f t="shared" si="28"/>
        <v>2045</v>
      </c>
      <c r="H20" s="685">
        <f t="shared" si="10"/>
        <v>77</v>
      </c>
      <c r="I20" s="685">
        <f t="shared" si="10"/>
        <v>75</v>
      </c>
      <c r="J20" s="680"/>
      <c r="K20" s="686">
        <f t="shared" ca="1" si="29"/>
        <v>535454</v>
      </c>
      <c r="L20" s="686">
        <f t="shared" ca="1" si="11"/>
        <v>21418</v>
      </c>
      <c r="M20" s="687">
        <f t="shared" si="0"/>
        <v>0</v>
      </c>
      <c r="N20" s="682"/>
      <c r="O20" s="686">
        <f ca="1">IF(U20&gt;0,Income!Q39+U20,Income!Q39)</f>
        <v>217126.98203847764</v>
      </c>
      <c r="P20" s="687">
        <f ca="1">TaxRates!M58</f>
        <v>34789</v>
      </c>
      <c r="Q20" s="1503">
        <f t="shared" ca="1" si="1"/>
        <v>0.16022421383738916</v>
      </c>
      <c r="R20" s="688">
        <f t="shared" ca="1" si="2"/>
        <v>15195</v>
      </c>
      <c r="S20" s="686">
        <f t="shared" ca="1" si="33"/>
        <v>182337.98203847764</v>
      </c>
      <c r="T20" s="683"/>
      <c r="U20" s="1507">
        <v>109962</v>
      </c>
      <c r="V20" s="1506"/>
      <c r="W20" s="687">
        <f t="shared" ca="1" si="12"/>
        <v>182340</v>
      </c>
      <c r="X20" s="688">
        <f t="shared" ca="1" si="13"/>
        <v>15195</v>
      </c>
      <c r="Y20" s="687">
        <f t="shared" ca="1" si="4"/>
        <v>0</v>
      </c>
      <c r="Z20" s="673"/>
      <c r="AA20" s="672">
        <v>0</v>
      </c>
      <c r="AB20" s="672">
        <v>0</v>
      </c>
      <c r="AC20" s="1607" t="str">
        <f t="shared" si="14"/>
        <v/>
      </c>
      <c r="AD20" s="875"/>
      <c r="AE20" s="767"/>
      <c r="AF20" s="1986">
        <f t="shared" ca="1" si="15"/>
        <v>182341.40944987224</v>
      </c>
      <c r="AG20" s="1986">
        <f t="shared" ca="1" si="16"/>
        <v>15195.117454156019</v>
      </c>
      <c r="AH20" s="1987">
        <f>VLOOKUP(G20,Budget!$U$10:$V$134,2)</f>
        <v>147552.40944987224</v>
      </c>
      <c r="AI20" s="1987">
        <f t="shared" si="17"/>
        <v>0</v>
      </c>
      <c r="AJ20" s="1987">
        <f>(AB20+SUM($AB$9:AB19))*12</f>
        <v>0</v>
      </c>
      <c r="AK20" s="1987">
        <f>IF(G20&gt;=Housing!$I$43,    IF( Housing!$I$43 &lt;&gt; "",  VLOOKUP(G20,Budget!U21:W145,3)*-1,0), 0)</f>
        <v>0</v>
      </c>
      <c r="AL20" s="1987">
        <f>IF(G20&lt;Housing!$I$43,  0,  VLOOKUP(G20,Housing!E92:I219,5)*12)</f>
        <v>0</v>
      </c>
      <c r="AM20" s="1987">
        <f ca="1">RMD!V18</f>
        <v>0</v>
      </c>
      <c r="AN20" s="1987">
        <f t="shared" ca="1" si="5"/>
        <v>34789</v>
      </c>
      <c r="AO20" s="1987"/>
      <c r="AP20" s="1976"/>
      <c r="AQ20" s="1988">
        <f t="shared" ca="1" si="18"/>
        <v>17506.405763052058</v>
      </c>
      <c r="AR20" s="1988">
        <f t="shared" ca="1" si="19"/>
        <v>1467.622691073537</v>
      </c>
      <c r="AS20" s="1988">
        <f t="shared" ca="1" si="20"/>
        <v>16038.783071978522</v>
      </c>
      <c r="AT20" s="1978"/>
      <c r="AU20" s="1987">
        <f t="shared" ca="1" si="6"/>
        <v>21418.140410688593</v>
      </c>
      <c r="AV20" s="1987">
        <f t="shared" ca="1" si="21"/>
        <v>535453.51026721485</v>
      </c>
      <c r="AW20" s="1976"/>
      <c r="AX20" s="1987">
        <f>IF(G20=Housing!$I$43,Housing!$I$48,0)</f>
        <v>0</v>
      </c>
      <c r="AY20" s="1989">
        <v>0</v>
      </c>
      <c r="AZ20" s="1989"/>
      <c r="BA20" s="1987">
        <f t="shared" ca="1" si="22"/>
        <v>9552.7570560695567</v>
      </c>
      <c r="BB20" s="1989"/>
      <c r="BC20" s="1990">
        <f t="shared" ca="1" si="23"/>
        <v>0.44601243959080172</v>
      </c>
      <c r="BD20" s="1989">
        <f t="shared" ca="1" si="30"/>
        <v>238818.92640173889</v>
      </c>
      <c r="BE20" s="1981"/>
      <c r="BF20" s="1989">
        <f t="shared" ca="1" si="24"/>
        <v>296634.5838654759</v>
      </c>
      <c r="BG20" s="1991">
        <f t="shared" ca="1" si="7"/>
        <v>0.55398756040919817</v>
      </c>
      <c r="BH20" s="1989">
        <v>109962</v>
      </c>
      <c r="BI20" s="1989">
        <f t="shared" ca="1" si="31"/>
        <v>11865.383354619036</v>
      </c>
      <c r="BJ20" s="1981"/>
      <c r="BK20" s="1992">
        <f ca="1"/>
        <v>107164.98203847764</v>
      </c>
      <c r="BL20" s="1992">
        <v>109962</v>
      </c>
      <c r="BM20" s="1993">
        <f t="shared" ca="1" si="25"/>
        <v>217126.98203847764</v>
      </c>
      <c r="BN20" s="1992">
        <f t="shared" ca="1" si="8"/>
        <v>21418.140410688593</v>
      </c>
      <c r="BO20" s="1992">
        <f t="shared" ca="1" si="9"/>
        <v>-88543.859589311411</v>
      </c>
      <c r="BP20" s="1247" t="str">
        <f t="shared" ca="1" si="26"/>
        <v>Investments down</v>
      </c>
      <c r="BR20" s="1992">
        <f ca="1">LOOKUP(G20,Rental!$C$37:$C$161,Rental!$Y$37:$Y$161)</f>
        <v>0</v>
      </c>
      <c r="BS20" s="1992">
        <f ca="1">LOOKUP(G20,Rental!$C$37:$C$161,Rental!$AD$37:$AD$161)</f>
        <v>0</v>
      </c>
      <c r="BT20" s="1226"/>
    </row>
    <row r="21" spans="1:72" s="653" customFormat="1" ht="18" customHeight="1">
      <c r="C21" s="655"/>
      <c r="D21" s="655"/>
      <c r="F21" s="679">
        <f t="shared" si="27"/>
        <v>13</v>
      </c>
      <c r="G21" s="689">
        <f t="shared" si="28"/>
        <v>2046</v>
      </c>
      <c r="H21" s="680">
        <f t="shared" si="10"/>
        <v>78</v>
      </c>
      <c r="I21" s="680">
        <f t="shared" si="10"/>
        <v>76</v>
      </c>
      <c r="J21" s="680"/>
      <c r="K21" s="681">
        <f t="shared" ca="1" si="29"/>
        <v>446910</v>
      </c>
      <c r="L21" s="681">
        <f t="shared" ca="1" si="11"/>
        <v>17876</v>
      </c>
      <c r="M21" s="682">
        <f t="shared" si="0"/>
        <v>0</v>
      </c>
      <c r="N21" s="682"/>
      <c r="O21" s="681">
        <f ca="1">IF(U21&gt;0,Income!Q40+U21,Income!Q40)</f>
        <v>213855.27039228432</v>
      </c>
      <c r="P21" s="682">
        <f ca="1">TaxRates!M59</f>
        <v>30943</v>
      </c>
      <c r="Q21" s="1502">
        <f t="shared" ca="1" si="1"/>
        <v>0.14469131363112944</v>
      </c>
      <c r="R21" s="683">
        <f t="shared" ca="1" si="2"/>
        <v>15243</v>
      </c>
      <c r="S21" s="681">
        <f t="shared" ca="1" si="33"/>
        <v>182912.27039228432</v>
      </c>
      <c r="T21" s="683"/>
      <c r="U21" s="1506">
        <v>105132</v>
      </c>
      <c r="V21" s="1506"/>
      <c r="W21" s="682">
        <f t="shared" ca="1" si="12"/>
        <v>182916</v>
      </c>
      <c r="X21" s="683">
        <f t="shared" ca="1" si="13"/>
        <v>15243</v>
      </c>
      <c r="Y21" s="682">
        <f t="shared" ca="1" si="4"/>
        <v>0</v>
      </c>
      <c r="Z21" s="673"/>
      <c r="AA21" s="672">
        <v>0</v>
      </c>
      <c r="AB21" s="672">
        <v>0</v>
      </c>
      <c r="AC21" s="1607" t="str">
        <f t="shared" si="14"/>
        <v/>
      </c>
      <c r="AD21" s="875"/>
      <c r="AE21" s="767"/>
      <c r="AF21" s="1974">
        <f t="shared" ca="1" si="15"/>
        <v>182921.98173336842</v>
      </c>
      <c r="AG21" s="1974">
        <f t="shared" ca="1" si="16"/>
        <v>15243.498477780702</v>
      </c>
      <c r="AH21" s="1975">
        <f>VLOOKUP(G21,Budget!$U$10:$V$134,2)</f>
        <v>151978.98173336842</v>
      </c>
      <c r="AI21" s="1975">
        <f t="shared" si="17"/>
        <v>0</v>
      </c>
      <c r="AJ21" s="1975">
        <f>(AB21+SUM($AB$9:AB20))*12</f>
        <v>0</v>
      </c>
      <c r="AK21" s="1975">
        <f>IF(G21&gt;=Housing!$I$43,    IF( Housing!$I$43 &lt;&gt; "",  VLOOKUP(G21,Budget!U22:W146,3)*-1,0), 0)</f>
        <v>0</v>
      </c>
      <c r="AL21" s="1975">
        <f>IF(G21&lt;Housing!$I$43,  0,  VLOOKUP(G21,Housing!E93:I220,5)*12)</f>
        <v>0</v>
      </c>
      <c r="AM21" s="1975">
        <f ca="1">RMD!V19</f>
        <v>0</v>
      </c>
      <c r="AN21" s="1975">
        <f t="shared" ca="1" si="5"/>
        <v>30943</v>
      </c>
      <c r="AO21" s="1975"/>
      <c r="AP21" s="1976"/>
      <c r="AQ21" s="1977">
        <f t="shared" ca="1" si="18"/>
        <v>18031.597935943621</v>
      </c>
      <c r="AR21" s="1977">
        <f t="shared" ca="1" si="19"/>
        <v>1511.6513718057431</v>
      </c>
      <c r="AS21" s="1977">
        <f t="shared" ca="1" si="20"/>
        <v>16519.946564137877</v>
      </c>
      <c r="AT21" s="1978"/>
      <c r="AU21" s="1975">
        <f t="shared" ca="1" si="6"/>
        <v>17876.386027116136</v>
      </c>
      <c r="AV21" s="1975">
        <f t="shared" ca="1" si="21"/>
        <v>446909.65067790338</v>
      </c>
      <c r="AW21" s="1976"/>
      <c r="AX21" s="1975">
        <f>IF(G21=Housing!$I$43,Housing!$I$48,0)</f>
        <v>0</v>
      </c>
      <c r="AY21" s="1979">
        <v>0</v>
      </c>
      <c r="AZ21" s="1979"/>
      <c r="BA21" s="1975">
        <f t="shared" ca="1" si="22"/>
        <v>9934.8673383123387</v>
      </c>
      <c r="BB21" s="1979"/>
      <c r="BC21" s="1994">
        <f t="shared" ca="1" si="23"/>
        <v>0.5557536810428263</v>
      </c>
      <c r="BD21" s="1979">
        <f t="shared" ca="1" si="30"/>
        <v>248371.68345780845</v>
      </c>
      <c r="BE21" s="1981"/>
      <c r="BF21" s="1979">
        <f t="shared" ca="1" si="24"/>
        <v>198537.96722009493</v>
      </c>
      <c r="BG21" s="1980">
        <f t="shared" ca="1" si="7"/>
        <v>0.44424631895717365</v>
      </c>
      <c r="BH21" s="1979">
        <v>105132</v>
      </c>
      <c r="BI21" s="1979">
        <f t="shared" ca="1" si="31"/>
        <v>7941.518688803797</v>
      </c>
      <c r="BJ21" s="1981"/>
      <c r="BK21" s="1984">
        <f ca="1"/>
        <v>108723.27039228432</v>
      </c>
      <c r="BL21" s="1984">
        <v>105132</v>
      </c>
      <c r="BM21" s="1985">
        <f t="shared" ca="1" si="25"/>
        <v>213855.27039228432</v>
      </c>
      <c r="BN21" s="1984">
        <f t="shared" ca="1" si="8"/>
        <v>17876.386027116136</v>
      </c>
      <c r="BO21" s="1984">
        <f t="shared" ca="1" si="9"/>
        <v>-87255.613972883861</v>
      </c>
      <c r="BP21" s="1247" t="str">
        <f t="shared" ca="1" si="26"/>
        <v>Investments down</v>
      </c>
      <c r="BR21" s="1984">
        <f ca="1">LOOKUP(G21,Rental!$C$37:$C$161,Rental!$Y$37:$Y$161)</f>
        <v>0</v>
      </c>
      <c r="BS21" s="1984">
        <f ca="1">LOOKUP(G21,Rental!$C$37:$C$161,Rental!$AD$37:$AD$161)</f>
        <v>0</v>
      </c>
      <c r="BT21" s="1226"/>
    </row>
    <row r="22" spans="1:72" s="653" customFormat="1" ht="18" customHeight="1">
      <c r="F22" s="697">
        <f t="shared" si="27"/>
        <v>14</v>
      </c>
      <c r="G22" s="684">
        <f t="shared" si="28"/>
        <v>2047</v>
      </c>
      <c r="H22" s="685">
        <f t="shared" si="10"/>
        <v>79</v>
      </c>
      <c r="I22" s="685">
        <f t="shared" si="10"/>
        <v>77</v>
      </c>
      <c r="J22" s="680"/>
      <c r="K22" s="686">
        <f t="shared" ca="1" si="29"/>
        <v>359654</v>
      </c>
      <c r="L22" s="686">
        <f t="shared" ca="1" si="11"/>
        <v>14386</v>
      </c>
      <c r="M22" s="687">
        <f t="shared" si="0"/>
        <v>0</v>
      </c>
      <c r="N22" s="682"/>
      <c r="O22" s="686">
        <f ca="1">IF(U22&gt;0,Income!Q41+U22,Income!Q41)</f>
        <v>207709.0608653079</v>
      </c>
      <c r="P22" s="687">
        <f ca="1">TaxRates!M60</f>
        <v>25590</v>
      </c>
      <c r="Q22" s="1503">
        <f t="shared" ca="1" si="1"/>
        <v>0.12320117328244157</v>
      </c>
      <c r="R22" s="688">
        <f t="shared" ca="1" si="2"/>
        <v>15177</v>
      </c>
      <c r="S22" s="686">
        <f t="shared" ca="1" si="33"/>
        <v>182119.0608653079</v>
      </c>
      <c r="T22" s="683"/>
      <c r="U22" s="1507">
        <v>97404</v>
      </c>
      <c r="V22" s="1506"/>
      <c r="W22" s="687">
        <f t="shared" ca="1" si="12"/>
        <v>182124</v>
      </c>
      <c r="X22" s="688">
        <f t="shared" ca="1" si="13"/>
        <v>15177</v>
      </c>
      <c r="Y22" s="687">
        <f t="shared" ca="1" si="4"/>
        <v>0</v>
      </c>
      <c r="Z22" s="673"/>
      <c r="AA22" s="672">
        <v>0</v>
      </c>
      <c r="AB22" s="672">
        <v>0</v>
      </c>
      <c r="AC22" s="1607" t="str">
        <f t="shared" si="14"/>
        <v/>
      </c>
      <c r="AD22" s="875"/>
      <c r="AE22" s="767"/>
      <c r="AF22" s="1986">
        <f t="shared" ca="1" si="15"/>
        <v>182128.35118536948</v>
      </c>
      <c r="AG22" s="1986">
        <f t="shared" ca="1" si="16"/>
        <v>15177.36259878079</v>
      </c>
      <c r="AH22" s="1987">
        <f>VLOOKUP(G22,Budget!$U$10:$V$134,2)</f>
        <v>156538.35118536948</v>
      </c>
      <c r="AI22" s="1987">
        <f t="shared" si="17"/>
        <v>0</v>
      </c>
      <c r="AJ22" s="1987">
        <f>(AB22+SUM($AB$9:AB21))*12</f>
        <v>0</v>
      </c>
      <c r="AK22" s="1987">
        <f>IF(G22&gt;=Housing!$I$43,    IF( Housing!$I$43 &lt;&gt; "",  VLOOKUP(G22,Budget!U23:W147,3)*-1,0), 0)</f>
        <v>0</v>
      </c>
      <c r="AL22" s="1987">
        <f>IF(G22&lt;Housing!$I$43,  0,  VLOOKUP(G22,Housing!E94:I221,5)*12)</f>
        <v>0</v>
      </c>
      <c r="AM22" s="1987">
        <f ca="1">RMD!V20</f>
        <v>0</v>
      </c>
      <c r="AN22" s="1987">
        <f t="shared" ca="1" si="5"/>
        <v>25590</v>
      </c>
      <c r="AO22" s="1987"/>
      <c r="AP22" s="1976"/>
      <c r="AQ22" s="1988">
        <f t="shared" ca="1" si="18"/>
        <v>18572.545874021929</v>
      </c>
      <c r="AR22" s="1988">
        <f t="shared" ca="1" si="19"/>
        <v>1557.0009129599155</v>
      </c>
      <c r="AS22" s="1988">
        <f t="shared" ca="1" si="20"/>
        <v>17015.544961062013</v>
      </c>
      <c r="AT22" s="1978"/>
      <c r="AU22" s="1987">
        <f t="shared" ca="1" si="6"/>
        <v>14386.161468200782</v>
      </c>
      <c r="AV22" s="1987">
        <f t="shared" ca="1" si="21"/>
        <v>359654.03670501953</v>
      </c>
      <c r="AW22" s="1976"/>
      <c r="AX22" s="1987">
        <f>IF(G22=Housing!$I$43,Housing!$I$48,0)</f>
        <v>0</v>
      </c>
      <c r="AY22" s="1989">
        <v>0</v>
      </c>
      <c r="AZ22" s="1989"/>
      <c r="BA22" s="1987">
        <f t="shared" ca="1" si="22"/>
        <v>10332.262031844832</v>
      </c>
      <c r="BB22" s="1989"/>
      <c r="BC22" s="1990">
        <f t="shared" ca="1" si="23"/>
        <v>0.71820840150329868</v>
      </c>
      <c r="BD22" s="1989">
        <f t="shared" ca="1" si="30"/>
        <v>258306.55079612078</v>
      </c>
      <c r="BE22" s="1981"/>
      <c r="BF22" s="1989">
        <f t="shared" ca="1" si="24"/>
        <v>101347.48590889873</v>
      </c>
      <c r="BG22" s="1991">
        <f t="shared" ca="1" si="7"/>
        <v>0.28179159849670127</v>
      </c>
      <c r="BH22" s="1989">
        <v>97404</v>
      </c>
      <c r="BI22" s="1989">
        <f t="shared" ca="1" si="31"/>
        <v>4053.8994363559491</v>
      </c>
      <c r="BJ22" s="1981"/>
      <c r="BK22" s="1992">
        <f ca="1"/>
        <v>110305.0608653079</v>
      </c>
      <c r="BL22" s="1992">
        <v>97404</v>
      </c>
      <c r="BM22" s="1993">
        <f t="shared" ca="1" si="25"/>
        <v>207709.0608653079</v>
      </c>
      <c r="BN22" s="1992">
        <f t="shared" ca="1" si="8"/>
        <v>14386.16146820078</v>
      </c>
      <c r="BO22" s="1992">
        <f t="shared" ca="1" si="9"/>
        <v>-83017.838531799222</v>
      </c>
      <c r="BP22" s="1247" t="str">
        <f t="shared" ca="1" si="26"/>
        <v>Investments down</v>
      </c>
      <c r="BR22" s="1992">
        <f ca="1">LOOKUP(G22,Rental!$C$37:$C$161,Rental!$Y$37:$Y$161)</f>
        <v>0</v>
      </c>
      <c r="BS22" s="1992">
        <f ca="1">LOOKUP(G22,Rental!$C$37:$C$161,Rental!$AD$37:$AD$161)</f>
        <v>0</v>
      </c>
      <c r="BT22" s="1226"/>
    </row>
    <row r="23" spans="1:72" s="653" customFormat="1" ht="19" customHeight="1">
      <c r="F23" s="679">
        <f t="shared" si="27"/>
        <v>15</v>
      </c>
      <c r="G23" s="689">
        <f t="shared" si="28"/>
        <v>2048</v>
      </c>
      <c r="H23" s="680">
        <f t="shared" si="10"/>
        <v>80</v>
      </c>
      <c r="I23" s="680">
        <f t="shared" si="10"/>
        <v>78</v>
      </c>
      <c r="J23" s="680"/>
      <c r="K23" s="681">
        <f t="shared" ca="1" si="29"/>
        <v>276636</v>
      </c>
      <c r="L23" s="681">
        <f t="shared" ca="1" si="11"/>
        <v>11065</v>
      </c>
      <c r="M23" s="682">
        <f t="shared" si="0"/>
        <v>0</v>
      </c>
      <c r="N23" s="682"/>
      <c r="O23" s="681">
        <f ca="1">IF(U23&gt;0,Income!Q42+U23,Income!Q42)</f>
        <v>198334.7231061458</v>
      </c>
      <c r="P23" s="682">
        <f ca="1">TaxRates!M61</f>
        <v>18552</v>
      </c>
      <c r="Q23" s="1502">
        <f t="shared" ca="1" si="1"/>
        <v>9.3538840347543409E-2</v>
      </c>
      <c r="R23" s="683">
        <f t="shared" ca="1" si="2"/>
        <v>14982</v>
      </c>
      <c r="S23" s="681">
        <f t="shared" ca="1" si="33"/>
        <v>179782.7231061458</v>
      </c>
      <c r="T23" s="683"/>
      <c r="U23" s="1506">
        <v>86424</v>
      </c>
      <c r="V23" s="1506"/>
      <c r="W23" s="682">
        <f t="shared" ca="1" si="12"/>
        <v>179784</v>
      </c>
      <c r="X23" s="683">
        <f t="shared" ca="1" si="13"/>
        <v>14982</v>
      </c>
      <c r="Y23" s="682">
        <f t="shared" ca="1" si="4"/>
        <v>0</v>
      </c>
      <c r="Z23" s="673"/>
      <c r="AA23" s="672">
        <v>0</v>
      </c>
      <c r="AB23" s="672">
        <v>0</v>
      </c>
      <c r="AC23" s="1607" t="str">
        <f t="shared" si="14"/>
        <v/>
      </c>
      <c r="AD23" s="875"/>
      <c r="AE23" s="767"/>
      <c r="AF23" s="1974">
        <f t="shared" ca="1" si="15"/>
        <v>179786.50172093057</v>
      </c>
      <c r="AG23" s="1974">
        <f t="shared" ca="1" si="16"/>
        <v>14982.208476744214</v>
      </c>
      <c r="AH23" s="1975">
        <f>VLOOKUP(G23,Budget!$U$10:$V$134,2)</f>
        <v>161234.50172093057</v>
      </c>
      <c r="AI23" s="1975">
        <f t="shared" si="17"/>
        <v>0</v>
      </c>
      <c r="AJ23" s="1975">
        <f>(AB23+SUM($AB$9:AB22))*12</f>
        <v>0</v>
      </c>
      <c r="AK23" s="1975">
        <f>IF(G23&gt;=Housing!$I$43,    IF( Housing!$I$43 &lt;&gt; "",  VLOOKUP(G23,Budget!U24:W148,3)*-1,0), 0)</f>
        <v>0</v>
      </c>
      <c r="AL23" s="1975">
        <f>IF(G23&lt;Housing!$I$43,  0,  VLOOKUP(G23,Housing!E95:I222,5)*12)</f>
        <v>0</v>
      </c>
      <c r="AM23" s="1975">
        <f ca="1">RMD!V21</f>
        <v>0</v>
      </c>
      <c r="AN23" s="1975">
        <f t="shared" ca="1" si="5"/>
        <v>18552</v>
      </c>
      <c r="AO23" s="1975"/>
      <c r="AP23" s="1976"/>
      <c r="AQ23" s="1977">
        <f t="shared" ca="1" si="18"/>
        <v>19129.722250242587</v>
      </c>
      <c r="AR23" s="1977">
        <f t="shared" ca="1" si="19"/>
        <v>1603.7109403487129</v>
      </c>
      <c r="AS23" s="1977">
        <f t="shared" ca="1" si="20"/>
        <v>17526.011309893875</v>
      </c>
      <c r="AT23" s="1978"/>
      <c r="AU23" s="1975">
        <f t="shared" ca="1" si="6"/>
        <v>11065.447926928811</v>
      </c>
      <c r="AV23" s="1975">
        <f t="shared" ca="1" si="21"/>
        <v>276636.19817322027</v>
      </c>
      <c r="AW23" s="1976"/>
      <c r="AX23" s="1975">
        <f>IF(G23=Housing!$I$43,Housing!$I$48,0)</f>
        <v>0</v>
      </c>
      <c r="AY23" s="1979">
        <v>0</v>
      </c>
      <c r="AZ23" s="1979"/>
      <c r="BA23" s="1975">
        <f t="shared" ca="1" si="22"/>
        <v>10745.552513118624</v>
      </c>
      <c r="BB23" s="1979">
        <v>78426.61</v>
      </c>
      <c r="BC23" s="1994">
        <f t="shared" ca="1" si="23"/>
        <v>0.97109060420123694</v>
      </c>
      <c r="BD23" s="1979">
        <f t="shared" ca="1" si="30"/>
        <v>268638.81282796559</v>
      </c>
      <c r="BE23" s="1981"/>
      <c r="BF23" s="1979">
        <f t="shared" ca="1" si="24"/>
        <v>7997.3853452546755</v>
      </c>
      <c r="BG23" s="1980">
        <f t="shared" ca="1" si="7"/>
        <v>2.8909395798763046E-2</v>
      </c>
      <c r="BH23" s="1979">
        <v>7997.3852999999999</v>
      </c>
      <c r="BI23" s="1979">
        <f t="shared" ca="1" si="31"/>
        <v>319.89541381018705</v>
      </c>
      <c r="BJ23" s="1981"/>
      <c r="BK23" s="1984">
        <f ca="1"/>
        <v>111910.72310614579</v>
      </c>
      <c r="BL23" s="1984">
        <v>86424</v>
      </c>
      <c r="BM23" s="1985">
        <f t="shared" ca="1" si="25"/>
        <v>198334.7231061458</v>
      </c>
      <c r="BN23" s="1984">
        <f t="shared" ca="1" si="8"/>
        <v>11065.447926928811</v>
      </c>
      <c r="BO23" s="1984">
        <f t="shared" ca="1" si="9"/>
        <v>-75358.552073071187</v>
      </c>
      <c r="BP23" s="1247" t="str">
        <f t="shared" ca="1" si="26"/>
        <v>Investments down</v>
      </c>
      <c r="BR23" s="1984">
        <f ca="1">LOOKUP(G23,Rental!$C$37:$C$161,Rental!$Y$37:$Y$161)</f>
        <v>0</v>
      </c>
      <c r="BS23" s="1984">
        <f ca="1">LOOKUP(G23,Rental!$C$37:$C$161,Rental!$AD$37:$AD$161)</f>
        <v>0</v>
      </c>
      <c r="BT23" s="1226"/>
    </row>
    <row r="24" spans="1:72" s="653" customFormat="1" ht="18" customHeight="1">
      <c r="C24" s="657"/>
      <c r="D24" s="661"/>
      <c r="F24" s="697">
        <f t="shared" si="27"/>
        <v>16</v>
      </c>
      <c r="G24" s="684">
        <f t="shared" si="28"/>
        <v>2049</v>
      </c>
      <c r="H24" s="685">
        <f t="shared" si="10"/>
        <v>81</v>
      </c>
      <c r="I24" s="685">
        <f t="shared" si="10"/>
        <v>79</v>
      </c>
      <c r="J24" s="680"/>
      <c r="K24" s="686">
        <f t="shared" ca="1" si="29"/>
        <v>201278</v>
      </c>
      <c r="L24" s="686">
        <f t="shared" ca="1" si="11"/>
        <v>8051</v>
      </c>
      <c r="M24" s="687">
        <f t="shared" si="0"/>
        <v>0</v>
      </c>
      <c r="N24" s="682"/>
      <c r="O24" s="686">
        <f ca="1">IF(U24&gt;0,Income!Q43+U24,Income!Q43)</f>
        <v>202664.63284120872</v>
      </c>
      <c r="P24" s="687">
        <f ca="1">TaxRates!M62</f>
        <v>18300</v>
      </c>
      <c r="Q24" s="1503">
        <f t="shared" ca="1" si="1"/>
        <v>9.0296958790724816E-2</v>
      </c>
      <c r="R24" s="688">
        <f t="shared" ca="1" si="2"/>
        <v>15364</v>
      </c>
      <c r="S24" s="686">
        <f t="shared" ca="1" si="33"/>
        <v>184364.63284120872</v>
      </c>
      <c r="T24" s="683"/>
      <c r="U24" s="1507">
        <v>89124</v>
      </c>
      <c r="V24" s="1506"/>
      <c r="W24" s="687">
        <f t="shared" ca="1" si="12"/>
        <v>184368</v>
      </c>
      <c r="X24" s="688">
        <f t="shared" ca="1" si="13"/>
        <v>15364</v>
      </c>
      <c r="Y24" s="687">
        <f t="shared" ca="1" si="4"/>
        <v>0</v>
      </c>
      <c r="Z24" s="673"/>
      <c r="AA24" s="672">
        <v>0</v>
      </c>
      <c r="AB24" s="672">
        <v>0</v>
      </c>
      <c r="AC24" s="1607" t="str">
        <f t="shared" si="14"/>
        <v/>
      </c>
      <c r="AD24" s="875"/>
      <c r="AE24" s="767"/>
      <c r="AF24" s="1986">
        <f t="shared" ca="1" si="15"/>
        <v>184371.53677255849</v>
      </c>
      <c r="AG24" s="1986">
        <f t="shared" ca="1" si="16"/>
        <v>15364.294731046541</v>
      </c>
      <c r="AH24" s="1987">
        <f>VLOOKUP(G24,Budget!$U$10:$V$134,2)</f>
        <v>166071.53677255849</v>
      </c>
      <c r="AI24" s="1987">
        <f t="shared" si="17"/>
        <v>0</v>
      </c>
      <c r="AJ24" s="1987">
        <f>(AB24+SUM($AB$9:AB23))*12</f>
        <v>0</v>
      </c>
      <c r="AK24" s="1987">
        <f>IF(G24&gt;=Housing!$I$43,    IF( Housing!$I$43 &lt;&gt; "",  VLOOKUP(G24,Budget!U25:W149,3)*-1,0), 0)</f>
        <v>0</v>
      </c>
      <c r="AL24" s="1987">
        <f>IF(G24&lt;Housing!$I$43,  0,  VLOOKUP(G24,Housing!E96:I223,5)*12)</f>
        <v>0</v>
      </c>
      <c r="AM24" s="1987">
        <f ca="1">RMD!V22</f>
        <v>0</v>
      </c>
      <c r="AN24" s="1987">
        <f t="shared" ca="1" si="5"/>
        <v>18300</v>
      </c>
      <c r="AO24" s="1987"/>
      <c r="AP24" s="1976"/>
      <c r="AQ24" s="1988">
        <f t="shared" ca="1" si="18"/>
        <v>19703.613917749863</v>
      </c>
      <c r="AR24" s="1988">
        <f t="shared" ca="1" si="19"/>
        <v>1651.8222685591743</v>
      </c>
      <c r="AS24" s="1988">
        <f t="shared" ca="1" si="20"/>
        <v>18051.791649190687</v>
      </c>
      <c r="AT24" s="1978"/>
      <c r="AU24" s="1987">
        <f t="shared" ca="1" si="6"/>
        <v>8051.1060320059632</v>
      </c>
      <c r="AV24" s="1987">
        <f t="shared" ca="1" si="21"/>
        <v>201277.65080014907</v>
      </c>
      <c r="AW24" s="1976"/>
      <c r="AX24" s="1987">
        <f>IF(G24=Housing!$I$43,Housing!$I$48,0)</f>
        <v>0</v>
      </c>
      <c r="AY24" s="1989">
        <v>0</v>
      </c>
      <c r="AZ24" s="1989"/>
      <c r="BA24" s="1987">
        <f t="shared" ca="1" si="22"/>
        <v>8038.3102136433681</v>
      </c>
      <c r="BB24" s="1989">
        <v>88804.1</v>
      </c>
      <c r="BC24" s="1990">
        <f t="shared" ca="1" si="23"/>
        <v>0.99841067571191755</v>
      </c>
      <c r="BD24" s="1989">
        <f t="shared" ca="1" si="30"/>
        <v>200957.75534108421</v>
      </c>
      <c r="BE24" s="1981"/>
      <c r="BF24" s="1989">
        <f t="shared" ca="1" si="24"/>
        <v>319.89545906486273</v>
      </c>
      <c r="BG24" s="1991">
        <f t="shared" ca="1" si="7"/>
        <v>1.5893242880824889E-3</v>
      </c>
      <c r="BH24" s="1989">
        <v>319.89550000000003</v>
      </c>
      <c r="BI24" s="1989">
        <f t="shared" ca="1" si="31"/>
        <v>12.79581836259451</v>
      </c>
      <c r="BJ24" s="1981"/>
      <c r="BK24" s="1992">
        <f ca="1"/>
        <v>113540.63284120872</v>
      </c>
      <c r="BL24" s="1992">
        <v>89124</v>
      </c>
      <c r="BM24" s="1993">
        <f t="shared" ca="1" si="25"/>
        <v>202664.63284120872</v>
      </c>
      <c r="BN24" s="1992">
        <f t="shared" ca="1" si="8"/>
        <v>8051.1060320059623</v>
      </c>
      <c r="BO24" s="1992">
        <f t="shared" ca="1" si="9"/>
        <v>-81072.893967994038</v>
      </c>
      <c r="BP24" s="1247" t="str">
        <f t="shared" ca="1" si="26"/>
        <v>Investments down</v>
      </c>
      <c r="BR24" s="1992">
        <f ca="1">LOOKUP(G24,Rental!$C$37:$C$161,Rental!$Y$37:$Y$161)</f>
        <v>0</v>
      </c>
      <c r="BS24" s="1992">
        <f ca="1">LOOKUP(G24,Rental!$C$37:$C$161,Rental!$AD$37:$AD$161)</f>
        <v>0</v>
      </c>
      <c r="BT24" s="1226"/>
    </row>
    <row r="25" spans="1:72" s="653" customFormat="1" ht="18" customHeight="1">
      <c r="C25" s="876" t="s">
        <v>78</v>
      </c>
      <c r="D25" s="877"/>
      <c r="F25" s="679">
        <f t="shared" si="27"/>
        <v>17</v>
      </c>
      <c r="G25" s="689">
        <f t="shared" si="28"/>
        <v>2050</v>
      </c>
      <c r="H25" s="680">
        <f t="shared" si="10"/>
        <v>82</v>
      </c>
      <c r="I25" s="680">
        <f t="shared" si="10"/>
        <v>80</v>
      </c>
      <c r="J25" s="680"/>
      <c r="K25" s="681">
        <f t="shared" ca="1" si="29"/>
        <v>826882</v>
      </c>
      <c r="L25" s="681">
        <f t="shared" ca="1" si="11"/>
        <v>33075</v>
      </c>
      <c r="M25" s="682">
        <f t="shared" ca="1" si="0"/>
        <v>706676.83760804846</v>
      </c>
      <c r="N25" s="682"/>
      <c r="O25" s="681">
        <f ca="1">IF(U25&gt;0,Income!Q44+U25,Income!Q44)</f>
        <v>218203.17197904841</v>
      </c>
      <c r="P25" s="682">
        <f ca="1">TaxRates!M63</f>
        <v>18675</v>
      </c>
      <c r="Q25" s="1502">
        <f t="shared" ca="1" si="1"/>
        <v>8.5585373625059635E-2</v>
      </c>
      <c r="R25" s="683">
        <f t="shared" ca="1" si="2"/>
        <v>16627</v>
      </c>
      <c r="S25" s="681">
        <f t="shared" ca="1" si="33"/>
        <v>199528.17197904841</v>
      </c>
      <c r="T25" s="683"/>
      <c r="U25" s="1506">
        <v>103008</v>
      </c>
      <c r="V25" s="1506"/>
      <c r="W25" s="682">
        <f t="shared" ca="1" si="12"/>
        <v>199524</v>
      </c>
      <c r="X25" s="683">
        <f t="shared" ca="1" si="13"/>
        <v>16627</v>
      </c>
      <c r="Y25" s="682">
        <f t="shared" ca="1" si="4"/>
        <v>0</v>
      </c>
      <c r="Z25" s="673"/>
      <c r="AA25" s="672">
        <v>0</v>
      </c>
      <c r="AB25" s="672">
        <v>0</v>
      </c>
      <c r="AC25" s="1607" t="str">
        <f t="shared" si="14"/>
        <v/>
      </c>
      <c r="AD25" s="875"/>
      <c r="AE25" s="767"/>
      <c r="AF25" s="1974">
        <f t="shared" ca="1" si="15"/>
        <v>199529.60996653594</v>
      </c>
      <c r="AG25" s="1974">
        <f t="shared" ca="1" si="16"/>
        <v>16627.467497211328</v>
      </c>
      <c r="AH25" s="1975">
        <f>VLOOKUP(G25,Budget!$U$10:$V$134,2)</f>
        <v>171053.68287573525</v>
      </c>
      <c r="AI25" s="1975">
        <f t="shared" si="17"/>
        <v>0</v>
      </c>
      <c r="AJ25" s="1975">
        <f>(AB25+SUM($AB$9:AB24))*12</f>
        <v>0</v>
      </c>
      <c r="AK25" s="1975">
        <f>IF(G25&gt;=Housing!$I$43,    IF( Housing!$I$43 &lt;&gt; "",  VLOOKUP(G25,Budget!U26:W150,3)*-1,0), 0)</f>
        <v>-40599.07290919932</v>
      </c>
      <c r="AL25" s="1975">
        <f ca="1">IF(G25&lt;Housing!$I$43,  0,  VLOOKUP(G25,Housing!E97:I224,5)*12)</f>
        <v>50400</v>
      </c>
      <c r="AM25" s="1975">
        <f ca="1">RMD!V23</f>
        <v>0</v>
      </c>
      <c r="AN25" s="1975">
        <f t="shared" ca="1" si="5"/>
        <v>18675</v>
      </c>
      <c r="AO25" s="1975"/>
      <c r="AP25" s="1976"/>
      <c r="AQ25" s="1977">
        <f t="shared" ca="1" si="18"/>
        <v>20294.722335282357</v>
      </c>
      <c r="AR25" s="1977">
        <f t="shared" ca="1" si="19"/>
        <v>1701.3769366159495</v>
      </c>
      <c r="AS25" s="1977">
        <f t="shared" ca="1" si="20"/>
        <v>18593.345398666406</v>
      </c>
      <c r="AT25" s="1978"/>
      <c r="AU25" s="1975">
        <f t="shared" ca="1" si="6"/>
        <v>33075.263957608142</v>
      </c>
      <c r="AV25" s="1975">
        <f t="shared" ca="1" si="21"/>
        <v>826881.59894020355</v>
      </c>
      <c r="AW25" s="1976"/>
      <c r="AX25" s="1975">
        <f ca="1">IF(G25=Housing!$I$43,Housing!$I$48,0)</f>
        <v>706676.83760804846</v>
      </c>
      <c r="AY25" s="1979">
        <v>0</v>
      </c>
      <c r="AZ25" s="1979"/>
      <c r="BA25" s="1975">
        <f t="shared" ca="1" si="22"/>
        <v>33074.752126511041</v>
      </c>
      <c r="BB25" s="1979">
        <v>102995.2</v>
      </c>
      <c r="BC25" s="1994">
        <f t="shared" ca="1" si="23"/>
        <v>0.99998452526039527</v>
      </c>
      <c r="BD25" s="1979">
        <f t="shared" ca="1" si="30"/>
        <v>826868.80316277605</v>
      </c>
      <c r="BE25" s="1981"/>
      <c r="BF25" s="1979">
        <f t="shared" ca="1" si="24"/>
        <v>12.79577742745721</v>
      </c>
      <c r="BG25" s="1980">
        <f t="shared" ca="1" si="7"/>
        <v>1.547473960462693E-5</v>
      </c>
      <c r="BH25" s="1979">
        <v>12.7958</v>
      </c>
      <c r="BI25" s="1979">
        <f t="shared" ca="1" si="31"/>
        <v>0.51183109709828845</v>
      </c>
      <c r="BJ25" s="1981"/>
      <c r="BK25" s="1984">
        <f ca="1"/>
        <v>115195.17197904839</v>
      </c>
      <c r="BL25" s="1984">
        <v>103008</v>
      </c>
      <c r="BM25" s="1985">
        <f t="shared" ca="1" si="25"/>
        <v>218203.17197904841</v>
      </c>
      <c r="BN25" s="1984">
        <f t="shared" ca="1" si="8"/>
        <v>33075.263957608142</v>
      </c>
      <c r="BO25" s="1984">
        <f t="shared" ca="1" si="9"/>
        <v>-69932.736042391858</v>
      </c>
      <c r="BP25" s="1247" t="str">
        <f t="shared" ca="1" si="26"/>
        <v>Investments down</v>
      </c>
      <c r="BR25" s="1984">
        <f ca="1">LOOKUP(G25,Rental!$C$37:$C$161,Rental!$Y$37:$Y$161)</f>
        <v>0</v>
      </c>
      <c r="BS25" s="1984">
        <f ca="1">LOOKUP(G25,Rental!$C$37:$C$161,Rental!$AD$37:$AD$161)</f>
        <v>0</v>
      </c>
      <c r="BT25" s="1226"/>
    </row>
    <row r="26" spans="1:72" s="653" customFormat="1" ht="18" customHeight="1">
      <c r="C26" s="878" t="str">
        <f>Individuals!D10</f>
        <v>Jon</v>
      </c>
      <c r="D26" s="879" t="s">
        <v>200</v>
      </c>
      <c r="F26" s="697">
        <f t="shared" si="27"/>
        <v>18</v>
      </c>
      <c r="G26" s="684">
        <f t="shared" si="28"/>
        <v>2051</v>
      </c>
      <c r="H26" s="685">
        <f t="shared" ref="H26:H48" si="34">H25+1</f>
        <v>83</v>
      </c>
      <c r="I26" s="685">
        <f t="shared" ref="I26:I48" si="35">I25+1</f>
        <v>81</v>
      </c>
      <c r="J26" s="680"/>
      <c r="K26" s="686">
        <f t="shared" ca="1" si="29"/>
        <v>756949</v>
      </c>
      <c r="L26" s="686">
        <f t="shared" ca="1" si="11"/>
        <v>30278</v>
      </c>
      <c r="M26" s="687">
        <f t="shared" si="0"/>
        <v>0</v>
      </c>
      <c r="N26" s="682"/>
      <c r="O26" s="686">
        <f ca="1">IF(U26&gt;0,Income!Q45+U26,Income!Q45)</f>
        <v>224514.72871654617</v>
      </c>
      <c r="P26" s="687">
        <f ca="1">TaxRates!M64</f>
        <v>19117</v>
      </c>
      <c r="Q26" s="1503">
        <f t="shared" ca="1" si="1"/>
        <v>8.5148088543159903E-2</v>
      </c>
      <c r="R26" s="688">
        <f t="shared" ca="1" si="2"/>
        <v>17116</v>
      </c>
      <c r="S26" s="686">
        <f t="shared" ca="1" si="33"/>
        <v>205397.72871654617</v>
      </c>
      <c r="T26" s="683"/>
      <c r="U26" s="1507">
        <v>107640</v>
      </c>
      <c r="V26" s="1506"/>
      <c r="W26" s="687">
        <f t="shared" ca="1" si="12"/>
        <v>205392</v>
      </c>
      <c r="X26" s="688">
        <f t="shared" ca="1" si="13"/>
        <v>17116</v>
      </c>
      <c r="Y26" s="687">
        <f t="shared" ca="1" si="4"/>
        <v>0</v>
      </c>
      <c r="Z26" s="673"/>
      <c r="AA26" s="672">
        <v>0</v>
      </c>
      <c r="AB26" s="672">
        <v>0</v>
      </c>
      <c r="AC26" s="1607" t="str">
        <f t="shared" si="14"/>
        <v/>
      </c>
      <c r="AD26" s="875"/>
      <c r="AE26" s="767"/>
      <c r="AF26" s="1986">
        <f t="shared" ca="1" si="15"/>
        <v>205397.24826553202</v>
      </c>
      <c r="AG26" s="1986">
        <f t="shared" ca="1" si="16"/>
        <v>17116.437355461003</v>
      </c>
      <c r="AH26" s="1987">
        <f>VLOOKUP(G26,Budget!$U$10:$V$134,2)</f>
        <v>176185.2933620073</v>
      </c>
      <c r="AI26" s="1987">
        <f t="shared" si="17"/>
        <v>0</v>
      </c>
      <c r="AJ26" s="1987">
        <f>(AB26+SUM($AB$9:AB25))*12</f>
        <v>0</v>
      </c>
      <c r="AK26" s="1987">
        <f>IF(G26&gt;=Housing!$I$43,    IF( Housing!$I$43 &lt;&gt; "",  VLOOKUP(G26,Budget!U27:W151,3)*-1,0), 0)</f>
        <v>-41817.045096475296</v>
      </c>
      <c r="AL26" s="1987">
        <f ca="1">IF(G26&lt;Housing!$I$43,  0,  VLOOKUP(G26,Housing!E98:I225,5)*12)</f>
        <v>51912</v>
      </c>
      <c r="AM26" s="1987">
        <f ca="1">RMD!V24</f>
        <v>0</v>
      </c>
      <c r="AN26" s="1987">
        <f t="shared" ca="1" si="5"/>
        <v>19117</v>
      </c>
      <c r="AO26" s="1987"/>
      <c r="AP26" s="1976"/>
      <c r="AQ26" s="1988">
        <f t="shared" ca="1" si="18"/>
        <v>20903.564005340828</v>
      </c>
      <c r="AR26" s="1988">
        <f t="shared" ca="1" si="19"/>
        <v>1752.4182447144281</v>
      </c>
      <c r="AS26" s="1988">
        <f t="shared" ca="1" si="20"/>
        <v>19151.145760626401</v>
      </c>
      <c r="AT26" s="1978"/>
      <c r="AU26" s="1987">
        <f t="shared" ca="1" si="6"/>
        <v>30277.954683912471</v>
      </c>
      <c r="AV26" s="1987">
        <f t="shared" ca="1" si="21"/>
        <v>756948.86709781177</v>
      </c>
      <c r="AW26" s="1976"/>
      <c r="AX26" s="1987">
        <f>IF(G26=Housing!$I$43,Housing!$I$48,0)</f>
        <v>0</v>
      </c>
      <c r="AY26" s="1989">
        <v>0</v>
      </c>
      <c r="AZ26" s="1989"/>
      <c r="BA26" s="1987">
        <f t="shared" ca="1" si="22"/>
        <v>30277.934211571486</v>
      </c>
      <c r="BB26" s="1989">
        <v>107639.49</v>
      </c>
      <c r="BC26" s="1990">
        <f t="shared" ca="1" si="23"/>
        <v>0.9999993238532392</v>
      </c>
      <c r="BD26" s="1989">
        <f t="shared" ca="1" si="30"/>
        <v>756948.35528928717</v>
      </c>
      <c r="BE26" s="1981"/>
      <c r="BF26" s="1989">
        <f t="shared" ca="1" si="24"/>
        <v>0.51180852455549797</v>
      </c>
      <c r="BG26" s="1991">
        <f t="shared" ca="1" si="7"/>
        <v>6.7614676076840317E-7</v>
      </c>
      <c r="BH26" s="1989">
        <v>0.51180000000000003</v>
      </c>
      <c r="BI26" s="1989">
        <f t="shared" ca="1" si="31"/>
        <v>2.0472340982219919E-2</v>
      </c>
      <c r="BJ26" s="1981"/>
      <c r="BK26" s="1992">
        <f ca="1"/>
        <v>116874.72871654617</v>
      </c>
      <c r="BL26" s="1992">
        <v>107640</v>
      </c>
      <c r="BM26" s="1993">
        <f t="shared" ca="1" si="25"/>
        <v>224514.72871654617</v>
      </c>
      <c r="BN26" s="1992">
        <f t="shared" ca="1" si="8"/>
        <v>30277.954683912467</v>
      </c>
      <c r="BO26" s="1992">
        <f t="shared" ca="1" si="9"/>
        <v>-77362.045316087533</v>
      </c>
      <c r="BP26" s="1247" t="str">
        <f t="shared" ca="1" si="26"/>
        <v>Investments down</v>
      </c>
      <c r="BR26" s="1992">
        <f ca="1">LOOKUP(G26,Rental!$C$37:$C$161,Rental!$Y$37:$Y$161)</f>
        <v>0</v>
      </c>
      <c r="BS26" s="1992">
        <f ca="1">LOOKUP(G26,Rental!$C$37:$C$161,Rental!$AD$37:$AD$161)</f>
        <v>0</v>
      </c>
      <c r="BT26" s="1226"/>
    </row>
    <row r="27" spans="1:72" s="653" customFormat="1" ht="18" customHeight="1">
      <c r="C27" s="880" t="str">
        <f>IF(Individuals!D15&gt;"",Individuals!D15,"")</f>
        <v>Sally</v>
      </c>
      <c r="D27" s="881" t="s">
        <v>201</v>
      </c>
      <c r="F27" s="679">
        <f t="shared" si="27"/>
        <v>19</v>
      </c>
      <c r="G27" s="689">
        <f t="shared" si="28"/>
        <v>2052</v>
      </c>
      <c r="H27" s="680">
        <f t="shared" si="34"/>
        <v>84</v>
      </c>
      <c r="I27" s="680">
        <f t="shared" si="35"/>
        <v>82</v>
      </c>
      <c r="J27" s="680"/>
      <c r="K27" s="681">
        <f t="shared" ca="1" si="29"/>
        <v>679587</v>
      </c>
      <c r="L27" s="681">
        <f t="shared" ca="1" si="11"/>
        <v>27183</v>
      </c>
      <c r="M27" s="682">
        <f t="shared" si="0"/>
        <v>0</v>
      </c>
      <c r="N27" s="682"/>
      <c r="O27" s="681">
        <f ca="1">IF(U27&gt;0,Income!Q46+U27,Income!Q46)</f>
        <v>231019.69764699665</v>
      </c>
      <c r="P27" s="682">
        <f ca="1">TaxRates!M65</f>
        <v>19575</v>
      </c>
      <c r="Q27" s="1502">
        <f t="shared" ca="1" si="1"/>
        <v>8.4733034452806902E-2</v>
      </c>
      <c r="R27" s="683">
        <f t="shared" ca="1" si="2"/>
        <v>17620</v>
      </c>
      <c r="S27" s="681">
        <f t="shared" ca="1" si="33"/>
        <v>211444.69764699665</v>
      </c>
      <c r="T27" s="683"/>
      <c r="U27" s="1506">
        <v>112440</v>
      </c>
      <c r="V27" s="1506"/>
      <c r="W27" s="682">
        <f t="shared" ca="1" si="12"/>
        <v>211440</v>
      </c>
      <c r="X27" s="683">
        <f t="shared" ca="1" si="13"/>
        <v>17620</v>
      </c>
      <c r="Y27" s="682">
        <f t="shared" ca="1" si="4"/>
        <v>0</v>
      </c>
      <c r="Z27" s="673"/>
      <c r="AA27" s="672">
        <v>0</v>
      </c>
      <c r="AB27" s="672">
        <v>0</v>
      </c>
      <c r="AC27" s="1607" t="str">
        <f t="shared" si="14"/>
        <v/>
      </c>
      <c r="AD27" s="875"/>
      <c r="AE27" s="767"/>
      <c r="AF27" s="1974">
        <f t="shared" ca="1" si="15"/>
        <v>211443.65571349795</v>
      </c>
      <c r="AG27" s="1974">
        <f t="shared" ca="1" si="16"/>
        <v>17620.304642791496</v>
      </c>
      <c r="AH27" s="1975">
        <f>VLOOKUP(G27,Budget!$U$10:$V$134,2)</f>
        <v>181470.85216286752</v>
      </c>
      <c r="AI27" s="1975">
        <f t="shared" si="17"/>
        <v>0</v>
      </c>
      <c r="AJ27" s="1975">
        <f>(AB27+SUM($AB$9:AB26))*12</f>
        <v>0</v>
      </c>
      <c r="AK27" s="1975">
        <f>IF(G27&gt;=Housing!$I$43,    IF( Housing!$I$43 &lt;&gt; "",  VLOOKUP(G27,Budget!U28:W152,3)*-1,0), 0)</f>
        <v>-43071.556449369557</v>
      </c>
      <c r="AL27" s="1975">
        <f ca="1">IF(G27&lt;Housing!$I$43,  0,  VLOOKUP(G27,Housing!E99:I226,5)*12)</f>
        <v>53469.36</v>
      </c>
      <c r="AM27" s="1975">
        <f ca="1">RMD!V25</f>
        <v>0</v>
      </c>
      <c r="AN27" s="1975">
        <f t="shared" ca="1" si="5"/>
        <v>19575</v>
      </c>
      <c r="AO27" s="1975"/>
      <c r="AP27" s="1976"/>
      <c r="AQ27" s="1977">
        <f t="shared" ca="1" si="18"/>
        <v>21530.670925501054</v>
      </c>
      <c r="AR27" s="1977">
        <f t="shared" ca="1" si="19"/>
        <v>1804.990792055861</v>
      </c>
      <c r="AS27" s="1977">
        <f t="shared" ca="1" si="20"/>
        <v>19725.680133445192</v>
      </c>
      <c r="AT27" s="1978"/>
      <c r="AU27" s="1975">
        <f t="shared" ca="1" si="6"/>
        <v>27183.472799268966</v>
      </c>
      <c r="AV27" s="1975">
        <f t="shared" ca="1" si="21"/>
        <v>679586.81998172414</v>
      </c>
      <c r="AW27" s="1976"/>
      <c r="AX27" s="1975">
        <f>IF(G27=Housing!$I$43,Housing!$I$48,0)</f>
        <v>0</v>
      </c>
      <c r="AY27" s="1979">
        <v>0</v>
      </c>
      <c r="AZ27" s="1979"/>
      <c r="BA27" s="1975">
        <f t="shared" ca="1" si="22"/>
        <v>27183.471980034345</v>
      </c>
      <c r="BB27" s="1979">
        <v>112439.98</v>
      </c>
      <c r="BC27" s="1994">
        <f t="shared" ca="1" si="23"/>
        <v>0.99999996986276829</v>
      </c>
      <c r="BD27" s="1979">
        <f t="shared" ca="1" si="30"/>
        <v>679586.79950085864</v>
      </c>
      <c r="BE27" s="1981"/>
      <c r="BF27" s="1979">
        <f t="shared" ca="1" si="24"/>
        <v>2.0480865537717885E-2</v>
      </c>
      <c r="BG27" s="1980">
        <f t="shared" ca="1" si="7"/>
        <v>3.0137231823107851E-8</v>
      </c>
      <c r="BH27" s="1979">
        <v>2.0500000000000001E-2</v>
      </c>
      <c r="BI27" s="1979">
        <f t="shared" ca="1" si="31"/>
        <v>8.1923462150871543E-4</v>
      </c>
      <c r="BJ27" s="1981"/>
      <c r="BK27" s="1984">
        <f ca="1"/>
        <v>118579.69764699665</v>
      </c>
      <c r="BL27" s="1984">
        <v>112440</v>
      </c>
      <c r="BM27" s="1985">
        <f t="shared" ca="1" si="25"/>
        <v>231019.69764699665</v>
      </c>
      <c r="BN27" s="1984">
        <f t="shared" ca="1" si="8"/>
        <v>27183.472799268966</v>
      </c>
      <c r="BO27" s="1984">
        <f t="shared" ca="1" si="9"/>
        <v>-85256.527200731041</v>
      </c>
      <c r="BP27" s="1247" t="str">
        <f t="shared" ca="1" si="26"/>
        <v>Investments down</v>
      </c>
      <c r="BR27" s="1984">
        <f ca="1">LOOKUP(G27,Rental!$C$37:$C$161,Rental!$Y$37:$Y$161)</f>
        <v>0</v>
      </c>
      <c r="BS27" s="1984">
        <f ca="1">LOOKUP(G27,Rental!$C$37:$C$161,Rental!$AD$37:$AD$161)</f>
        <v>0</v>
      </c>
      <c r="BT27" s="1226"/>
    </row>
    <row r="28" spans="1:72" s="653" customFormat="1" ht="19" customHeight="1">
      <c r="A28" s="411"/>
      <c r="B28" s="411"/>
      <c r="C28" s="1215" t="s">
        <v>2608</v>
      </c>
      <c r="D28" s="411"/>
      <c r="F28" s="697">
        <f t="shared" si="27"/>
        <v>20</v>
      </c>
      <c r="G28" s="684">
        <f t="shared" si="28"/>
        <v>2053</v>
      </c>
      <c r="H28" s="685">
        <f t="shared" si="34"/>
        <v>85</v>
      </c>
      <c r="I28" s="685">
        <f t="shared" si="35"/>
        <v>83</v>
      </c>
      <c r="J28" s="680"/>
      <c r="K28" s="686">
        <f t="shared" ca="1" si="29"/>
        <v>594330</v>
      </c>
      <c r="L28" s="686">
        <f t="shared" ca="1" si="11"/>
        <v>23773</v>
      </c>
      <c r="M28" s="687">
        <f t="shared" si="0"/>
        <v>0</v>
      </c>
      <c r="N28" s="682"/>
      <c r="O28" s="686">
        <f ca="1">IF(U28&gt;0,Income!Q47+U28,Income!Q47)</f>
        <v>237706.47987012129</v>
      </c>
      <c r="P28" s="687">
        <f ca="1">TaxRates!M66</f>
        <v>20039</v>
      </c>
      <c r="Q28" s="1503">
        <f t="shared" ca="1" si="1"/>
        <v>8.4301446098351898E-2</v>
      </c>
      <c r="R28" s="688">
        <f t="shared" ca="1" si="2"/>
        <v>18139</v>
      </c>
      <c r="S28" s="686">
        <f t="shared" ca="1" si="33"/>
        <v>217667.47987012129</v>
      </c>
      <c r="T28" s="683"/>
      <c r="U28" s="1507">
        <v>117396</v>
      </c>
      <c r="V28" s="1506"/>
      <c r="W28" s="687">
        <f t="shared" ca="1" si="12"/>
        <v>217668</v>
      </c>
      <c r="X28" s="688">
        <f t="shared" ca="1" si="13"/>
        <v>18139</v>
      </c>
      <c r="Y28" s="687">
        <f t="shared" ca="1" si="4"/>
        <v>0</v>
      </c>
      <c r="Z28" s="673"/>
      <c r="AA28" s="672">
        <v>0</v>
      </c>
      <c r="AB28" s="672">
        <v>0</v>
      </c>
      <c r="AC28" s="1607" t="str">
        <f t="shared" si="14"/>
        <v/>
      </c>
      <c r="AD28" s="875"/>
      <c r="AE28" s="767"/>
      <c r="AF28" s="1986">
        <f t="shared" ca="1" si="15"/>
        <v>217663.7153849029</v>
      </c>
      <c r="AG28" s="1986">
        <f t="shared" ca="1" si="16"/>
        <v>18138.642948741908</v>
      </c>
      <c r="AH28" s="1987">
        <f>VLOOKUP(G28,Budget!$U$10:$V$134,2)</f>
        <v>186914.97772775355</v>
      </c>
      <c r="AI28" s="1987">
        <f t="shared" si="17"/>
        <v>0</v>
      </c>
      <c r="AJ28" s="1987">
        <f>(AB28+SUM($AB$9:AB27))*12</f>
        <v>0</v>
      </c>
      <c r="AK28" s="1987">
        <f>IF(G28&gt;=Housing!$I$43,    IF( Housing!$I$43 &lt;&gt; "",  VLOOKUP(G28,Budget!U29:W153,3)*-1,0), 0)</f>
        <v>-44363.703142850645</v>
      </c>
      <c r="AL28" s="1987">
        <f ca="1">IF(G28&lt;Housing!$I$43,  0,  VLOOKUP(G28,Housing!E100:I227,5)*12)</f>
        <v>55073.440799999997</v>
      </c>
      <c r="AM28" s="1987">
        <f ca="1">RMD!V26</f>
        <v>0</v>
      </c>
      <c r="AN28" s="1987">
        <f t="shared" ca="1" si="5"/>
        <v>20039</v>
      </c>
      <c r="AO28" s="1987"/>
      <c r="AP28" s="1976"/>
      <c r="AQ28" s="1988">
        <f t="shared" ca="1" si="18"/>
        <v>22176.591053266086</v>
      </c>
      <c r="AR28" s="1988">
        <f t="shared" ca="1" si="19"/>
        <v>1859.1405158175369</v>
      </c>
      <c r="AS28" s="1988">
        <f t="shared" ca="1" si="20"/>
        <v>20317.450537448549</v>
      </c>
      <c r="AT28" s="1978"/>
      <c r="AU28" s="1987">
        <f t="shared" ca="1" si="6"/>
        <v>23773.211691239729</v>
      </c>
      <c r="AV28" s="1987">
        <f t="shared" ca="1" si="21"/>
        <v>594330.29228099319</v>
      </c>
      <c r="AW28" s="1976"/>
      <c r="AX28" s="1987">
        <f>IF(G28=Housing!$I$43,Housing!$I$48,0)</f>
        <v>0</v>
      </c>
      <c r="AY28" s="1989">
        <v>0</v>
      </c>
      <c r="AZ28" s="1989"/>
      <c r="BA28" s="1987">
        <f t="shared" ca="1" si="22"/>
        <v>23773.211659235723</v>
      </c>
      <c r="BB28" s="1989">
        <v>117396</v>
      </c>
      <c r="BC28" s="1990">
        <f t="shared" ca="1" si="23"/>
        <v>0.99999999865377864</v>
      </c>
      <c r="BD28" s="1989">
        <f t="shared" ca="1" si="30"/>
        <v>594330.29148089304</v>
      </c>
      <c r="BE28" s="1981"/>
      <c r="BF28" s="1989">
        <f t="shared" ca="1" si="24"/>
        <v>8.0010015922659869E-4</v>
      </c>
      <c r="BG28" s="1991">
        <f t="shared" ca="1" si="7"/>
        <v>1.3462214018334433E-9</v>
      </c>
      <c r="BH28" s="1989">
        <v>8.0000000000000004E-4</v>
      </c>
      <c r="BI28" s="1989">
        <f t="shared" ca="1" si="31"/>
        <v>3.2004006369063948E-5</v>
      </c>
      <c r="BJ28" s="1981"/>
      <c r="BK28" s="1992">
        <f ca="1"/>
        <v>120310.47987012127</v>
      </c>
      <c r="BL28" s="1992">
        <v>117396</v>
      </c>
      <c r="BM28" s="1993">
        <f t="shared" ca="1" si="25"/>
        <v>237706.47987012129</v>
      </c>
      <c r="BN28" s="1992">
        <f t="shared" ca="1" si="8"/>
        <v>23773.211691239729</v>
      </c>
      <c r="BO28" s="1992">
        <f t="shared" ca="1" si="9"/>
        <v>-93622.788308760268</v>
      </c>
      <c r="BP28" s="1247" t="str">
        <f t="shared" ca="1" si="26"/>
        <v>Investments down</v>
      </c>
      <c r="BR28" s="1992">
        <f ca="1">LOOKUP(G28,Rental!$C$37:$C$161,Rental!$Y$37:$Y$161)</f>
        <v>0</v>
      </c>
      <c r="BS28" s="1992">
        <f ca="1">LOOKUP(G28,Rental!$C$37:$C$161,Rental!$AD$37:$AD$161)</f>
        <v>0</v>
      </c>
      <c r="BT28" s="1226"/>
    </row>
    <row r="29" spans="1:72" s="653" customFormat="1" ht="18" customHeight="1">
      <c r="A29" s="1638"/>
      <c r="B29" s="1638"/>
      <c r="C29" s="1639"/>
      <c r="D29" s="1638"/>
      <c r="E29" s="1638"/>
      <c r="F29" s="679">
        <f t="shared" si="27"/>
        <v>21</v>
      </c>
      <c r="G29" s="689">
        <f t="shared" si="28"/>
        <v>2054</v>
      </c>
      <c r="H29" s="680">
        <f t="shared" si="34"/>
        <v>86</v>
      </c>
      <c r="I29" s="680">
        <f t="shared" si="35"/>
        <v>84</v>
      </c>
      <c r="J29" s="680"/>
      <c r="K29" s="681">
        <f t="shared" ca="1" si="29"/>
        <v>500708</v>
      </c>
      <c r="L29" s="681">
        <f t="shared" ca="1" si="11"/>
        <v>20028</v>
      </c>
      <c r="M29" s="682">
        <f t="shared" si="0"/>
        <v>0</v>
      </c>
      <c r="N29" s="682"/>
      <c r="O29" s="681">
        <f ca="1">IF(U29&gt;0,Income!Q48+U29,Income!Q48)</f>
        <v>244575.48310404783</v>
      </c>
      <c r="P29" s="682">
        <f ca="1">TaxRates!M67</f>
        <v>20511</v>
      </c>
      <c r="Q29" s="1502">
        <f t="shared" ca="1" si="1"/>
        <v>8.3863679791952681E-2</v>
      </c>
      <c r="R29" s="683">
        <f t="shared" ca="1" si="2"/>
        <v>18672</v>
      </c>
      <c r="S29" s="681">
        <f t="shared" ca="1" si="33"/>
        <v>224064.48310404783</v>
      </c>
      <c r="T29" s="683"/>
      <c r="U29" s="1506">
        <v>122508</v>
      </c>
      <c r="V29" s="1506"/>
      <c r="W29" s="682">
        <f t="shared" ca="1" si="12"/>
        <v>224064</v>
      </c>
      <c r="X29" s="683">
        <f t="shared" ca="1" si="13"/>
        <v>18672</v>
      </c>
      <c r="Y29" s="682">
        <f t="shared" ca="1" si="4"/>
        <v>0</v>
      </c>
      <c r="Z29" s="673"/>
      <c r="AA29" s="672">
        <v>0</v>
      </c>
      <c r="AB29" s="672">
        <v>0</v>
      </c>
      <c r="AC29" s="1607" t="str">
        <f t="shared" si="14"/>
        <v/>
      </c>
      <c r="AD29" s="1683"/>
      <c r="AE29" s="767"/>
      <c r="AF29" s="1974">
        <f t="shared" ca="1" si="15"/>
        <v>224064.45684644999</v>
      </c>
      <c r="AG29" s="1974">
        <f t="shared" ca="1" si="16"/>
        <v>18672.038070537499</v>
      </c>
      <c r="AH29" s="1975">
        <f>VLOOKUP(G29,Budget!$U$10:$V$134,2)</f>
        <v>192522.42705958616</v>
      </c>
      <c r="AI29" s="1975">
        <f t="shared" si="17"/>
        <v>0</v>
      </c>
      <c r="AJ29" s="1975">
        <f>(AB29+SUM($AB$9:AB28))*12</f>
        <v>0</v>
      </c>
      <c r="AK29" s="1975">
        <f>IF(G29&gt;=Housing!$I$43,    IF( Housing!$I$43 &lt;&gt; "",  VLOOKUP(G29,Budget!U30:W154,3)*-1,0), 0)</f>
        <v>-45694.614237136164</v>
      </c>
      <c r="AL29" s="1975">
        <f ca="1">IF(G29&lt;Housing!$I$43,  0,  VLOOKUP(G29,Housing!E101:I228,5)*12)</f>
        <v>56725.644023999994</v>
      </c>
      <c r="AM29" s="1975">
        <f ca="1">RMD!V27</f>
        <v>0</v>
      </c>
      <c r="AN29" s="1975">
        <f t="shared" ca="1" si="5"/>
        <v>20511</v>
      </c>
      <c r="AO29" s="1975"/>
      <c r="AP29" s="1976"/>
      <c r="AQ29" s="1977">
        <f t="shared" ca="1" si="18"/>
        <v>22841.88878486407</v>
      </c>
      <c r="AR29" s="1977">
        <f t="shared" ca="1" si="19"/>
        <v>1914.9147312920629</v>
      </c>
      <c r="AS29" s="1977">
        <f t="shared" ca="1" si="20"/>
        <v>20926.974053572008</v>
      </c>
      <c r="AT29" s="1978"/>
      <c r="AU29" s="1975">
        <f t="shared" ca="1" si="6"/>
        <v>20028.300126889317</v>
      </c>
      <c r="AV29" s="1975">
        <f t="shared" ca="1" si="21"/>
        <v>500707.50317223294</v>
      </c>
      <c r="AW29" s="1976"/>
      <c r="AX29" s="1975">
        <f>IF(G29=Housing!$I$43,Housing!$I$48,0)</f>
        <v>0</v>
      </c>
      <c r="AY29" s="1979">
        <v>0</v>
      </c>
      <c r="AZ29" s="1979"/>
      <c r="BA29" s="1975">
        <f t="shared" ca="1" si="22"/>
        <v>20028.300125605154</v>
      </c>
      <c r="BB29" s="1979">
        <v>122508</v>
      </c>
      <c r="BC29" s="1994">
        <f t="shared" ca="1" si="23"/>
        <v>0.9999999999358824</v>
      </c>
      <c r="BD29" s="1979">
        <f t="shared" ca="1" si="30"/>
        <v>500707.5031401288</v>
      </c>
      <c r="BE29" s="1981"/>
      <c r="BF29" s="1979">
        <f ca="1">IF((BF28+BI28)-BH28 &gt; 0, (BF28+BI28)-BH28, 0)</f>
        <v>3.2104165595662646E-5</v>
      </c>
      <c r="BG29" s="1980">
        <f t="shared" ca="1" si="7"/>
        <v>6.4117604374343643E-11</v>
      </c>
      <c r="BH29" s="1979"/>
      <c r="BI29" s="1979">
        <f t="shared" ca="1" si="31"/>
        <v>1.2841666238265058E-6</v>
      </c>
      <c r="BJ29" s="1981"/>
      <c r="BK29" s="1984">
        <f ca="1"/>
        <v>122067.48310404782</v>
      </c>
      <c r="BL29" s="1984">
        <v>122508</v>
      </c>
      <c r="BM29" s="1985">
        <f t="shared" ca="1" si="25"/>
        <v>244575.48310404783</v>
      </c>
      <c r="BN29" s="1984">
        <f t="shared" ca="1" si="8"/>
        <v>20028.30012688932</v>
      </c>
      <c r="BO29" s="1984">
        <f t="shared" ca="1" si="9"/>
        <v>-102479.69987311069</v>
      </c>
      <c r="BP29" s="1247" t="str">
        <f t="shared" ca="1" si="26"/>
        <v>Investments down</v>
      </c>
      <c r="BR29" s="1984">
        <f ca="1">LOOKUP(G29,Rental!$C$37:$C$161,Rental!$Y$37:$Y$161)</f>
        <v>0</v>
      </c>
      <c r="BS29" s="1984">
        <f ca="1">LOOKUP(G29,Rental!$C$37:$C$161,Rental!$AD$37:$AD$161)</f>
        <v>0</v>
      </c>
      <c r="BT29" s="1226"/>
    </row>
    <row r="30" spans="1:72" s="653" customFormat="1" ht="18" customHeight="1">
      <c r="A30" s="1638"/>
      <c r="B30" s="1638"/>
      <c r="C30" s="1639"/>
      <c r="D30" s="1638"/>
      <c r="E30" s="1638"/>
      <c r="F30" s="697">
        <f t="shared" si="27"/>
        <v>22</v>
      </c>
      <c r="G30" s="684">
        <f t="shared" si="28"/>
        <v>2055</v>
      </c>
      <c r="H30" s="685">
        <f t="shared" si="34"/>
        <v>87</v>
      </c>
      <c r="I30" s="685">
        <f t="shared" si="35"/>
        <v>85</v>
      </c>
      <c r="J30" s="680"/>
      <c r="K30" s="686">
        <f t="shared" ca="1" si="29"/>
        <v>398228</v>
      </c>
      <c r="L30" s="686">
        <f t="shared" ca="1" si="11"/>
        <v>15929</v>
      </c>
      <c r="M30" s="687">
        <f t="shared" si="0"/>
        <v>0</v>
      </c>
      <c r="N30" s="682"/>
      <c r="O30" s="686">
        <f ca="1">IF(U30&gt;0,Income!Q49+U30,Income!Q49)</f>
        <v>251639.12179929137</v>
      </c>
      <c r="P30" s="687">
        <f ca="1">TaxRates!M68</f>
        <v>20990</v>
      </c>
      <c r="Q30" s="1503">
        <f t="shared" ca="1" si="1"/>
        <v>8.3413103057726173E-2</v>
      </c>
      <c r="R30" s="688">
        <f t="shared" ca="1" si="2"/>
        <v>19221</v>
      </c>
      <c r="S30" s="686">
        <f t="shared" ca="1" si="33"/>
        <v>230649.12179929137</v>
      </c>
      <c r="T30" s="683"/>
      <c r="U30" s="1507">
        <v>127788</v>
      </c>
      <c r="V30" s="1506"/>
      <c r="W30" s="687">
        <f t="shared" ca="1" si="12"/>
        <v>230652</v>
      </c>
      <c r="X30" s="688">
        <f t="shared" ca="1" si="13"/>
        <v>19221</v>
      </c>
      <c r="Y30" s="687">
        <f t="shared" ca="1" si="4"/>
        <v>0</v>
      </c>
      <c r="Z30" s="673"/>
      <c r="AA30" s="672">
        <v>0</v>
      </c>
      <c r="AB30" s="672">
        <v>0</v>
      </c>
      <c r="AC30" s="1607" t="str">
        <f t="shared" si="14"/>
        <v/>
      </c>
      <c r="AD30" s="875"/>
      <c r="AE30" s="767"/>
      <c r="AF30" s="1986">
        <f t="shared" ca="1" si="15"/>
        <v>230650.06055184349</v>
      </c>
      <c r="AG30" s="1986">
        <f t="shared" ca="1" si="16"/>
        <v>19220.838379320292</v>
      </c>
      <c r="AH30" s="1987">
        <f>VLOOKUP(G30,Budget!$U$10:$V$134,2)</f>
        <v>198298.09987137374</v>
      </c>
      <c r="AI30" s="1987">
        <f t="shared" si="17"/>
        <v>0</v>
      </c>
      <c r="AJ30" s="1987">
        <f>(AB30+SUM($AB$9:AB29))*12</f>
        <v>0</v>
      </c>
      <c r="AK30" s="1987">
        <f>IF(G30&gt;=Housing!$I$43,    IF( Housing!$I$43 &lt;&gt; "",  VLOOKUP(G30,Budget!U31:W155,3)*-1,0), 0)</f>
        <v>-47065.452664250246</v>
      </c>
      <c r="AL30" s="1987">
        <f ca="1">IF(G30&lt;Housing!$I$43,  0,  VLOOKUP(G30,Housing!E102:I229,5)*12)</f>
        <v>58427.413344719986</v>
      </c>
      <c r="AM30" s="1987">
        <f ca="1">RMD!V28</f>
        <v>0</v>
      </c>
      <c r="AN30" s="1987">
        <f t="shared" ca="1" si="5"/>
        <v>20990</v>
      </c>
      <c r="AO30" s="1987"/>
      <c r="AP30" s="1976"/>
      <c r="AQ30" s="1988">
        <f t="shared" ca="1" si="18"/>
        <v>23527.145448409992</v>
      </c>
      <c r="AR30" s="1988">
        <f t="shared" ca="1" si="19"/>
        <v>1972.3621732308247</v>
      </c>
      <c r="AS30" s="1988">
        <f t="shared" ca="1" si="20"/>
        <v>21554.783275179168</v>
      </c>
      <c r="AT30" s="1978"/>
      <c r="AU30" s="1987">
        <f t="shared" ca="1" si="6"/>
        <v>15929.11213196489</v>
      </c>
      <c r="AV30" s="1987">
        <f t="shared" ca="1" si="21"/>
        <v>398227.80329912226</v>
      </c>
      <c r="AW30" s="1976"/>
      <c r="AX30" s="1987">
        <f>IF(G30=Housing!$I$43,Housing!$I$48,0)</f>
        <v>0</v>
      </c>
      <c r="AY30" s="1989">
        <v>0</v>
      </c>
      <c r="AZ30" s="1989"/>
      <c r="BA30" s="1987">
        <f t="shared" ca="1" si="22"/>
        <v>15929.112130629357</v>
      </c>
      <c r="BB30" s="1989">
        <v>127788</v>
      </c>
      <c r="BC30" s="1990">
        <f t="shared" ca="1" si="23"/>
        <v>0.99999999991615773</v>
      </c>
      <c r="BD30" s="1989">
        <f t="shared" ca="1" si="30"/>
        <v>398227.80326573394</v>
      </c>
      <c r="BE30" s="1981"/>
      <c r="BF30" s="1989">
        <f t="shared" ref="BF30:BF48" ca="1" si="36">IF((BF29+BI29)-BH29 &gt; 0, (BF29+BI29)-BH29, 0)</f>
        <v>3.3388332219489155E-5</v>
      </c>
      <c r="BG30" s="1991">
        <f t="shared" ca="1" si="7"/>
        <v>8.3842293136951205E-11</v>
      </c>
      <c r="BH30" s="1989"/>
      <c r="BI30" s="1989">
        <f t="shared" ca="1" si="31"/>
        <v>1.3355332887795661E-6</v>
      </c>
      <c r="BJ30" s="1981"/>
      <c r="BK30" s="1992">
        <f ca="1"/>
        <v>123851.12179929137</v>
      </c>
      <c r="BL30" s="1992">
        <v>127788</v>
      </c>
      <c r="BM30" s="1993">
        <f t="shared" ca="1" si="25"/>
        <v>251639.12179929137</v>
      </c>
      <c r="BN30" s="1992">
        <f t="shared" ca="1" si="8"/>
        <v>15929.11213196489</v>
      </c>
      <c r="BO30" s="1992">
        <f t="shared" ca="1" si="9"/>
        <v>-111858.8878680351</v>
      </c>
      <c r="BP30" s="1247" t="str">
        <f t="shared" ca="1" si="26"/>
        <v>Investments down</v>
      </c>
      <c r="BR30" s="1992">
        <f ca="1">LOOKUP(G30,Rental!$C$37:$C$161,Rental!$Y$37:$Y$161)</f>
        <v>0</v>
      </c>
      <c r="BS30" s="1992">
        <f ca="1">LOOKUP(G30,Rental!$C$37:$C$161,Rental!$AD$37:$AD$161)</f>
        <v>0</v>
      </c>
      <c r="BT30" s="1226"/>
    </row>
    <row r="31" spans="1:72" s="653" customFormat="1" ht="18" customHeight="1">
      <c r="A31" s="1638"/>
      <c r="B31" s="1638"/>
      <c r="C31" s="1639"/>
      <c r="D31" s="1638"/>
      <c r="E31" s="1638"/>
      <c r="F31" s="679">
        <f t="shared" si="27"/>
        <v>23</v>
      </c>
      <c r="G31" s="689">
        <f t="shared" si="28"/>
        <v>2056</v>
      </c>
      <c r="H31" s="680">
        <f t="shared" si="34"/>
        <v>88</v>
      </c>
      <c r="I31" s="680">
        <f t="shared" si="35"/>
        <v>86</v>
      </c>
      <c r="J31" s="680"/>
      <c r="K31" s="681">
        <f t="shared" ca="1" si="29"/>
        <v>286369</v>
      </c>
      <c r="L31" s="681">
        <f t="shared" ca="1" si="11"/>
        <v>11455</v>
      </c>
      <c r="M31" s="682">
        <f t="shared" si="0"/>
        <v>0</v>
      </c>
      <c r="N31" s="682"/>
      <c r="O31" s="681">
        <f ca="1">IF(U31&gt;0,Income!Q50+U31,Income!Q50)</f>
        <v>258897.81725477421</v>
      </c>
      <c r="P31" s="682">
        <f ca="1">TaxRates!M69</f>
        <v>21476</v>
      </c>
      <c r="Q31" s="1502">
        <f t="shared" ca="1" si="1"/>
        <v>8.2951645663609672E-2</v>
      </c>
      <c r="R31" s="683">
        <f t="shared" ca="1" si="2"/>
        <v>19785</v>
      </c>
      <c r="S31" s="681">
        <f t="shared" ca="1" si="33"/>
        <v>237421.81725477421</v>
      </c>
      <c r="T31" s="683"/>
      <c r="U31" s="1506">
        <v>133236</v>
      </c>
      <c r="V31" s="1506"/>
      <c r="W31" s="682">
        <f t="shared" ca="1" si="12"/>
        <v>237420</v>
      </c>
      <c r="X31" s="683">
        <f t="shared" ca="1" si="13"/>
        <v>19785</v>
      </c>
      <c r="Y31" s="682">
        <f t="shared" ca="1" si="4"/>
        <v>0</v>
      </c>
      <c r="Z31" s="673"/>
      <c r="AA31" s="672">
        <v>0</v>
      </c>
      <c r="AB31" s="672">
        <v>0</v>
      </c>
      <c r="AC31" s="1607" t="str">
        <f t="shared" si="14"/>
        <v/>
      </c>
      <c r="AD31" s="875"/>
      <c r="AE31" s="767"/>
      <c r="AF31" s="1974">
        <f t="shared" ca="1" si="15"/>
        <v>237425.86236839878</v>
      </c>
      <c r="AG31" s="1974">
        <f t="shared" ca="1" si="16"/>
        <v>19785.488530699899</v>
      </c>
      <c r="AH31" s="1975">
        <f>VLOOKUP(G31,Budget!$U$10:$V$134,2)</f>
        <v>204247.04286751495</v>
      </c>
      <c r="AI31" s="1975">
        <f t="shared" si="17"/>
        <v>0</v>
      </c>
      <c r="AJ31" s="1975">
        <f>(AB31+SUM($AB$9:AB30))*12</f>
        <v>0</v>
      </c>
      <c r="AK31" s="1975">
        <f>IF(G31&gt;=Housing!$I$43,    IF( Housing!$I$43 &lt;&gt; "",  VLOOKUP(G31,Budget!U32:W156,3)*-1,0), 0)</f>
        <v>-48477.416244177752</v>
      </c>
      <c r="AL31" s="1975">
        <f ca="1">IF(G31&lt;Housing!$I$43,  0,  VLOOKUP(G31,Housing!E103:I230,5)*12)</f>
        <v>60180.235745061596</v>
      </c>
      <c r="AM31" s="1975">
        <f ca="1">RMD!V29</f>
        <v>0</v>
      </c>
      <c r="AN31" s="1975">
        <f t="shared" ca="1" si="5"/>
        <v>21476</v>
      </c>
      <c r="AO31" s="1975"/>
      <c r="AP31" s="1976"/>
      <c r="AQ31" s="1977">
        <f t="shared" ca="1" si="18"/>
        <v>24232.959811862293</v>
      </c>
      <c r="AR31" s="1977">
        <f t="shared" ca="1" si="19"/>
        <v>2031.5330384277495</v>
      </c>
      <c r="AS31" s="1977">
        <f t="shared" ca="1" si="20"/>
        <v>22201.426773434541</v>
      </c>
      <c r="AT31" s="1978"/>
      <c r="AU31" s="1975">
        <f t="shared" ca="1" si="6"/>
        <v>11454.756617243485</v>
      </c>
      <c r="AV31" s="1975">
        <f t="shared" ca="1" si="21"/>
        <v>286368.91543108714</v>
      </c>
      <c r="AW31" s="1976"/>
      <c r="AX31" s="1975">
        <f>IF(G31=Housing!$I$43,Housing!$I$48,0)</f>
        <v>0</v>
      </c>
      <c r="AY31" s="1979">
        <v>0</v>
      </c>
      <c r="AZ31" s="1979"/>
      <c r="BA31" s="1975">
        <f t="shared" ca="1" si="22"/>
        <v>11454.756615854532</v>
      </c>
      <c r="BB31" s="1979">
        <v>133236</v>
      </c>
      <c r="BC31" s="1994">
        <f t="shared" ca="1" si="23"/>
        <v>0.99999999987874444</v>
      </c>
      <c r="BD31" s="1979">
        <f t="shared" ca="1" si="30"/>
        <v>286368.9153963633</v>
      </c>
      <c r="BE31" s="1981"/>
      <c r="BF31" s="1979">
        <f t="shared" ca="1" si="36"/>
        <v>3.4723865508268719E-5</v>
      </c>
      <c r="BG31" s="1980">
        <f t="shared" ca="1" si="7"/>
        <v>1.2125570771533265E-10</v>
      </c>
      <c r="BH31" s="1979"/>
      <c r="BI31" s="1979">
        <f t="shared" ca="1" si="31"/>
        <v>1.3889546203307489E-6</v>
      </c>
      <c r="BJ31" s="1981"/>
      <c r="BK31" s="1984">
        <f ca="1"/>
        <v>125661.8172547742</v>
      </c>
      <c r="BL31" s="1984">
        <v>133236</v>
      </c>
      <c r="BM31" s="1985">
        <f t="shared" ca="1" si="25"/>
        <v>258897.81725477421</v>
      </c>
      <c r="BN31" s="1984">
        <f t="shared" ca="1" si="8"/>
        <v>11454.756617243487</v>
      </c>
      <c r="BO31" s="1984">
        <f t="shared" ca="1" si="9"/>
        <v>-121781.24338275651</v>
      </c>
      <c r="BP31" s="1247" t="str">
        <f t="shared" ca="1" si="26"/>
        <v>Investments down</v>
      </c>
      <c r="BR31" s="1984">
        <f ca="1">LOOKUP(G31,Rental!$C$37:$C$161,Rental!$Y$37:$Y$161)</f>
        <v>0</v>
      </c>
      <c r="BS31" s="1984">
        <f ca="1">LOOKUP(G31,Rental!$C$37:$C$161,Rental!$AD$37:$AD$161)</f>
        <v>0</v>
      </c>
      <c r="BT31" s="1226"/>
    </row>
    <row r="32" spans="1:72" s="653" customFormat="1" ht="18" customHeight="1">
      <c r="A32" s="1638"/>
      <c r="B32" s="1638"/>
      <c r="C32" s="1638"/>
      <c r="D32" s="1638"/>
      <c r="E32" s="1638"/>
      <c r="F32" s="697">
        <f t="shared" si="27"/>
        <v>24</v>
      </c>
      <c r="G32" s="684">
        <f t="shared" si="28"/>
        <v>2057</v>
      </c>
      <c r="H32" s="685">
        <f t="shared" si="34"/>
        <v>89</v>
      </c>
      <c r="I32" s="685">
        <f t="shared" si="35"/>
        <v>87</v>
      </c>
      <c r="J32" s="680"/>
      <c r="K32" s="686">
        <f t="shared" ca="1" si="29"/>
        <v>164588</v>
      </c>
      <c r="L32" s="686">
        <f t="shared" ca="1" si="11"/>
        <v>6584</v>
      </c>
      <c r="M32" s="687">
        <f t="shared" si="0"/>
        <v>0</v>
      </c>
      <c r="N32" s="682"/>
      <c r="O32" s="686">
        <f ca="1">IF(U32&gt;0,Income!Q51+U32,Income!Q51)</f>
        <v>266375.99773592211</v>
      </c>
      <c r="P32" s="687">
        <f ca="1">TaxRates!M70</f>
        <v>21970</v>
      </c>
      <c r="Q32" s="1503">
        <f t="shared" ca="1" si="1"/>
        <v>8.2477401067420714E-2</v>
      </c>
      <c r="R32" s="688">
        <f t="shared" ca="1" si="2"/>
        <v>20367</v>
      </c>
      <c r="S32" s="686">
        <f t="shared" ca="1" si="33"/>
        <v>244405.99773592211</v>
      </c>
      <c r="T32" s="683"/>
      <c r="U32" s="1507">
        <v>138876</v>
      </c>
      <c r="V32" s="1506"/>
      <c r="W32" s="687">
        <f t="shared" ca="1" si="12"/>
        <v>244404</v>
      </c>
      <c r="X32" s="688">
        <f t="shared" ca="1" si="13"/>
        <v>20367</v>
      </c>
      <c r="Y32" s="687">
        <f t="shared" ca="1" si="4"/>
        <v>0</v>
      </c>
      <c r="Z32" s="673"/>
      <c r="AA32" s="672">
        <v>0</v>
      </c>
      <c r="AB32" s="672">
        <v>0</v>
      </c>
      <c r="AC32" s="1607" t="str">
        <f t="shared" si="14"/>
        <v/>
      </c>
      <c r="AD32" s="875"/>
      <c r="AE32" s="767"/>
      <c r="AF32" s="1986">
        <f t="shared" ca="1" si="15"/>
        <v>244398.35823945078</v>
      </c>
      <c r="AG32" s="1986">
        <f t="shared" ca="1" si="16"/>
        <v>20366.529853287564</v>
      </c>
      <c r="AH32" s="1987">
        <f>VLOOKUP(G32,Budget!$U$10:$V$134,2)</f>
        <v>210374.4541535404</v>
      </c>
      <c r="AI32" s="1987">
        <f t="shared" si="17"/>
        <v>0</v>
      </c>
      <c r="AJ32" s="1987">
        <f>(AB32+SUM($AB$9:AB31))*12</f>
        <v>0</v>
      </c>
      <c r="AK32" s="1987">
        <f>IF(G32&gt;=Housing!$I$43,    IF( Housing!$I$43 &lt;&gt; "",  VLOOKUP(G32,Budget!U33:W157,3)*-1,0), 0)</f>
        <v>-49931.738731503086</v>
      </c>
      <c r="AL32" s="1987">
        <f ca="1">IF(G32&lt;Housing!$I$43,  0,  VLOOKUP(G32,Housing!E104:I231,5)*12)</f>
        <v>61985.642817413434</v>
      </c>
      <c r="AM32" s="1987">
        <f ca="1">RMD!V30</f>
        <v>0</v>
      </c>
      <c r="AN32" s="1987">
        <f t="shared" ca="1" si="5"/>
        <v>21970</v>
      </c>
      <c r="AO32" s="1987"/>
      <c r="AP32" s="1976"/>
      <c r="AQ32" s="1988">
        <f t="shared" ca="1" si="18"/>
        <v>24959.94860621816</v>
      </c>
      <c r="AR32" s="1988">
        <f t="shared" ca="1" si="19"/>
        <v>2092.4790295805819</v>
      </c>
      <c r="AS32" s="1988">
        <f t="shared" ca="1" si="20"/>
        <v>22867.469576637577</v>
      </c>
      <c r="AT32" s="1978"/>
      <c r="AU32" s="1987">
        <f t="shared" ca="1" si="6"/>
        <v>6583.5068819332255</v>
      </c>
      <c r="AV32" s="1987">
        <f t="shared" ca="1" si="21"/>
        <v>164587.67204833063</v>
      </c>
      <c r="AW32" s="1976"/>
      <c r="AX32" s="1987">
        <f>IF(G32=Housing!$I$43,Housing!$I$48,0)</f>
        <v>0</v>
      </c>
      <c r="AY32" s="1989">
        <v>0</v>
      </c>
      <c r="AZ32" s="1989"/>
      <c r="BA32" s="1987">
        <f t="shared" ca="1" si="22"/>
        <v>6583.5068804887123</v>
      </c>
      <c r="BB32" s="1989">
        <v>138876</v>
      </c>
      <c r="BC32" s="1990">
        <f t="shared" ca="1" si="23"/>
        <v>0.99999999978058618</v>
      </c>
      <c r="BD32" s="1989">
        <f t="shared" ca="1" si="30"/>
        <v>164587.67201221781</v>
      </c>
      <c r="BE32" s="1981"/>
      <c r="BF32" s="1989">
        <f t="shared" ca="1" si="36"/>
        <v>3.6112820128599468E-5</v>
      </c>
      <c r="BG32" s="1991">
        <f t="shared" ca="1" si="7"/>
        <v>2.1941388245648833E-10</v>
      </c>
      <c r="BH32" s="1989"/>
      <c r="BI32" s="1989">
        <f t="shared" ca="1" si="31"/>
        <v>1.4445128051439787E-6</v>
      </c>
      <c r="BJ32" s="1981"/>
      <c r="BK32" s="1992">
        <f ca="1"/>
        <v>127499.99773592209</v>
      </c>
      <c r="BL32" s="1992">
        <v>138876</v>
      </c>
      <c r="BM32" s="1993">
        <f t="shared" ca="1" si="25"/>
        <v>266375.99773592211</v>
      </c>
      <c r="BN32" s="1992">
        <f t="shared" ca="1" si="8"/>
        <v>6583.5068819332255</v>
      </c>
      <c r="BO32" s="1992">
        <f t="shared" ca="1" si="9"/>
        <v>-132292.49311806678</v>
      </c>
      <c r="BP32" s="1247" t="str">
        <f t="shared" ca="1" si="26"/>
        <v>Investments down</v>
      </c>
      <c r="BR32" s="1992">
        <f ca="1">LOOKUP(G32,Rental!$C$37:$C$161,Rental!$Y$37:$Y$161)</f>
        <v>0</v>
      </c>
      <c r="BS32" s="1992">
        <f ca="1">LOOKUP(G32,Rental!$C$37:$C$161,Rental!$AD$37:$AD$161)</f>
        <v>0</v>
      </c>
      <c r="BT32" s="1226"/>
    </row>
    <row r="33" spans="1:72" s="653" customFormat="1" ht="18" customHeight="1">
      <c r="A33" s="1638"/>
      <c r="B33" s="1638"/>
      <c r="C33" s="1638"/>
      <c r="D33" s="1638"/>
      <c r="E33" s="1638"/>
      <c r="F33" s="679">
        <f t="shared" si="27"/>
        <v>25</v>
      </c>
      <c r="G33" s="689">
        <f t="shared" si="28"/>
        <v>2058</v>
      </c>
      <c r="H33" s="680">
        <f t="shared" si="34"/>
        <v>90</v>
      </c>
      <c r="I33" s="680">
        <f t="shared" si="35"/>
        <v>88</v>
      </c>
      <c r="J33" s="680"/>
      <c r="K33" s="681">
        <f t="shared" ca="1" si="29"/>
        <v>32295</v>
      </c>
      <c r="L33" s="681">
        <f t="shared" ca="1" si="11"/>
        <v>1292</v>
      </c>
      <c r="M33" s="682">
        <f t="shared" si="0"/>
        <v>0</v>
      </c>
      <c r="N33" s="682"/>
      <c r="O33" s="681">
        <f ca="1">IF(U33&gt;0,Income!Q52+U33,Income!Q52)</f>
        <v>274038.09859487525</v>
      </c>
      <c r="P33" s="682">
        <f ca="1">TaxRates!M71</f>
        <v>22471</v>
      </c>
      <c r="Q33" s="1502">
        <f t="shared" ca="1" si="1"/>
        <v>8.199954719880044E-2</v>
      </c>
      <c r="R33" s="683">
        <f t="shared" ca="1" si="2"/>
        <v>20964</v>
      </c>
      <c r="S33" s="681">
        <f t="shared" ca="1" si="33"/>
        <v>251567.09859487525</v>
      </c>
      <c r="T33" s="683"/>
      <c r="U33" s="1506">
        <v>144672</v>
      </c>
      <c r="V33" s="1506"/>
      <c r="W33" s="682">
        <f t="shared" ca="1" si="12"/>
        <v>251568</v>
      </c>
      <c r="X33" s="683">
        <f t="shared" ca="1" si="13"/>
        <v>20964</v>
      </c>
      <c r="Y33" s="682">
        <f t="shared" ca="1" si="4"/>
        <v>0</v>
      </c>
      <c r="Z33" s="673"/>
      <c r="AA33" s="672">
        <v>0</v>
      </c>
      <c r="AB33" s="672">
        <v>0</v>
      </c>
      <c r="AC33" s="1607" t="str">
        <f t="shared" si="14"/>
        <v/>
      </c>
      <c r="AD33" s="875"/>
      <c r="AE33" s="767"/>
      <c r="AF33" s="1974">
        <f t="shared" ca="1" si="15"/>
        <v>251572.20898663427</v>
      </c>
      <c r="AG33" s="1974">
        <f t="shared" ca="1" si="16"/>
        <v>20964.350748886191</v>
      </c>
      <c r="AH33" s="1975">
        <f>VLOOKUP(G33,Budget!$U$10:$V$134,2)</f>
        <v>216685.68777814662</v>
      </c>
      <c r="AI33" s="1975">
        <f t="shared" si="17"/>
        <v>0</v>
      </c>
      <c r="AJ33" s="1975">
        <f>(AB33+SUM($AB$9:AB32))*12</f>
        <v>0</v>
      </c>
      <c r="AK33" s="1975">
        <f>IF(G33&gt;=Housing!$I$43,    IF( Housing!$I$43 &lt;&gt; "",  VLOOKUP(G33,Budget!U34:W158,3)*-1,0), 0)</f>
        <v>-51429.690893448176</v>
      </c>
      <c r="AL33" s="1975">
        <f ca="1">IF(G33&lt;Housing!$I$43,  0,  VLOOKUP(G33,Housing!E105:I232,5)*12)</f>
        <v>63845.212101935846</v>
      </c>
      <c r="AM33" s="1975">
        <f ca="1">RMD!V31</f>
        <v>0</v>
      </c>
      <c r="AN33" s="1975">
        <f t="shared" ca="1" si="5"/>
        <v>22471</v>
      </c>
      <c r="AO33" s="1975"/>
      <c r="AP33" s="1976"/>
      <c r="AQ33" s="1977">
        <f t="shared" ca="1" si="18"/>
        <v>25708.747064404706</v>
      </c>
      <c r="AR33" s="1977">
        <f t="shared" ca="1" si="19"/>
        <v>2155.2534004679992</v>
      </c>
      <c r="AS33" s="1977">
        <f t="shared" ca="1" si="20"/>
        <v>23553.493663936708</v>
      </c>
      <c r="AT33" s="1978"/>
      <c r="AU33" s="1975">
        <f t="shared" ca="1" si="6"/>
        <v>1291.8071572105541</v>
      </c>
      <c r="AV33" s="1975">
        <f t="shared" ca="1" si="21"/>
        <v>32295.178930263854</v>
      </c>
      <c r="AW33" s="1976"/>
      <c r="AX33" s="1975">
        <f>IF(G33=Housing!$I$43,Housing!$I$48,0)</f>
        <v>0</v>
      </c>
      <c r="AY33" s="1979">
        <v>0</v>
      </c>
      <c r="AZ33" s="1979"/>
      <c r="BA33" s="1975">
        <f t="shared" ca="1" si="22"/>
        <v>1291.8071557082608</v>
      </c>
      <c r="BB33" s="1979"/>
      <c r="BC33" s="1994">
        <f t="shared" ca="1" si="23"/>
        <v>0.9999999988370607</v>
      </c>
      <c r="BD33" s="1979">
        <f t="shared" ca="1" si="30"/>
        <v>32295.178892706521</v>
      </c>
      <c r="BE33" s="1981"/>
      <c r="BF33" s="1979">
        <f t="shared" ca="1" si="36"/>
        <v>3.7557332933743447E-5</v>
      </c>
      <c r="BG33" s="1980">
        <f t="shared" ca="1" si="7"/>
        <v>1.1629393048059079E-9</v>
      </c>
      <c r="BH33" s="1979"/>
      <c r="BI33" s="1979">
        <f t="shared" ca="1" si="31"/>
        <v>1.502293317349738E-6</v>
      </c>
      <c r="BJ33" s="1981"/>
      <c r="BK33" s="1984">
        <f ca="1"/>
        <v>129366.09859487526</v>
      </c>
      <c r="BL33" s="1984">
        <v>144672</v>
      </c>
      <c r="BM33" s="1985">
        <f t="shared" ca="1" si="25"/>
        <v>274038.09859487525</v>
      </c>
      <c r="BN33" s="1984">
        <f t="shared" ca="1" si="8"/>
        <v>1291.8071572105541</v>
      </c>
      <c r="BO33" s="1984">
        <f t="shared" ca="1" si="9"/>
        <v>-143380.19284278946</v>
      </c>
      <c r="BP33" s="1247" t="str">
        <f t="shared" ca="1" si="26"/>
        <v>Investments down</v>
      </c>
      <c r="BR33" s="1984">
        <f ca="1">LOOKUP(G33,Rental!$C$37:$C$161,Rental!$Y$37:$Y$161)</f>
        <v>0</v>
      </c>
      <c r="BS33" s="1984">
        <f ca="1">LOOKUP(G33,Rental!$C$37:$C$161,Rental!$AD$37:$AD$161)</f>
        <v>0</v>
      </c>
      <c r="BT33" s="1226"/>
    </row>
    <row r="34" spans="1:72" s="653" customFormat="1" ht="18" customHeight="1">
      <c r="A34" s="1638"/>
      <c r="B34" s="1638"/>
      <c r="C34" s="1638"/>
      <c r="D34" s="1638"/>
      <c r="E34" s="1638"/>
      <c r="F34" s="697">
        <f t="shared" si="27"/>
        <v>26</v>
      </c>
      <c r="G34" s="684">
        <f t="shared" si="28"/>
        <v>2059</v>
      </c>
      <c r="H34" s="685">
        <f t="shared" si="34"/>
        <v>91</v>
      </c>
      <c r="I34" s="685">
        <f t="shared" si="35"/>
        <v>89</v>
      </c>
      <c r="J34" s="680"/>
      <c r="K34" s="686">
        <f t="shared" ca="1" si="29"/>
        <v>33587</v>
      </c>
      <c r="L34" s="686">
        <f t="shared" ca="1" si="11"/>
        <v>1343</v>
      </c>
      <c r="M34" s="687">
        <f t="shared" si="0"/>
        <v>0</v>
      </c>
      <c r="N34" s="682"/>
      <c r="O34" s="686">
        <f ca="1">IF(U34&gt;0,Income!Q53+U34,Income!Q53)</f>
        <v>131260.56239285294</v>
      </c>
      <c r="P34" s="687">
        <f ca="1">TaxRates!M72</f>
        <v>22980</v>
      </c>
      <c r="Q34" s="1503">
        <f t="shared" ca="1" si="1"/>
        <v>0.17507162533116838</v>
      </c>
      <c r="R34" s="688">
        <f t="shared" ca="1" si="2"/>
        <v>9023</v>
      </c>
      <c r="S34" s="686">
        <f t="shared" ca="1" si="33"/>
        <v>108280.56239285294</v>
      </c>
      <c r="T34" s="683"/>
      <c r="U34" s="1507"/>
      <c r="V34" s="1506"/>
      <c r="W34" s="687">
        <f t="shared" ca="1" si="12"/>
        <v>258960</v>
      </c>
      <c r="X34" s="688">
        <f t="shared" ca="1" si="13"/>
        <v>21580</v>
      </c>
      <c r="Y34" s="687">
        <f t="shared" ca="1" si="4"/>
        <v>-12557</v>
      </c>
      <c r="Z34" s="673"/>
      <c r="AA34" s="672">
        <v>0</v>
      </c>
      <c r="AB34" s="672">
        <v>0</v>
      </c>
      <c r="AC34" s="1607" t="str">
        <f t="shared" si="14"/>
        <v/>
      </c>
      <c r="AD34" s="875"/>
      <c r="AE34" s="767"/>
      <c r="AF34" s="1986">
        <f t="shared" ca="1" si="15"/>
        <v>258954.24525623332</v>
      </c>
      <c r="AG34" s="1986">
        <f t="shared" ca="1" si="16"/>
        <v>21579.520438019445</v>
      </c>
      <c r="AH34" s="1987">
        <f>VLOOKUP(G34,Budget!$U$10:$V$134,2)</f>
        <v>223186.25841149103</v>
      </c>
      <c r="AI34" s="1987">
        <f t="shared" si="17"/>
        <v>0</v>
      </c>
      <c r="AJ34" s="1987">
        <f>(AB34+SUM($AB$9:AB33))*12</f>
        <v>0</v>
      </c>
      <c r="AK34" s="1987">
        <f>IF(G34&gt;=Housing!$I$43,    IF( Housing!$I$43 &lt;&gt; "",  VLOOKUP(G34,Budget!U35:W159,3)*-1,0), 0)</f>
        <v>-52972.581620251622</v>
      </c>
      <c r="AL34" s="1987">
        <f ca="1">IF(G34&lt;Housing!$I$43,  0,  VLOOKUP(G34,Housing!E106:I233,5)*12)</f>
        <v>65760.568464993921</v>
      </c>
      <c r="AM34" s="1987">
        <f ca="1">RMD!V32</f>
        <v>0</v>
      </c>
      <c r="AN34" s="1987">
        <f t="shared" ca="1" si="5"/>
        <v>22980</v>
      </c>
      <c r="AO34" s="1987"/>
      <c r="AP34" s="1976"/>
      <c r="AQ34" s="1988">
        <f t="shared" ca="1" si="18"/>
        <v>26480.009476336847</v>
      </c>
      <c r="AR34" s="1988">
        <f t="shared" ca="1" si="19"/>
        <v>2219.9110024820393</v>
      </c>
      <c r="AS34" s="1988">
        <f t="shared" ca="1" si="20"/>
        <v>24260.098473854807</v>
      </c>
      <c r="AT34" s="1978"/>
      <c r="AU34" s="1987">
        <f t="shared" ca="1" si="6"/>
        <v>1343.4794434989763</v>
      </c>
      <c r="AV34" s="1987">
        <f t="shared" ca="1" si="21"/>
        <v>33586.986087474404</v>
      </c>
      <c r="AW34" s="1976"/>
      <c r="AX34" s="1987">
        <f>IF(G34=Housing!$I$43,Housing!$I$48,0)</f>
        <v>0</v>
      </c>
      <c r="AY34" s="1989">
        <v>0</v>
      </c>
      <c r="AZ34" s="1989"/>
      <c r="BA34" s="1987">
        <f t="shared" ca="1" si="22"/>
        <v>1343.4794419365912</v>
      </c>
      <c r="BB34" s="1989"/>
      <c r="BC34" s="1990">
        <f t="shared" ca="1" si="23"/>
        <v>0.9999999988370607</v>
      </c>
      <c r="BD34" s="1989">
        <f t="shared" ca="1" si="30"/>
        <v>33586.986048414779</v>
      </c>
      <c r="BE34" s="1981"/>
      <c r="BF34" s="1989">
        <f t="shared" ca="1" si="36"/>
        <v>3.9059626251093185E-5</v>
      </c>
      <c r="BG34" s="1991">
        <f t="shared" ca="1" si="7"/>
        <v>1.1629393048059079E-9</v>
      </c>
      <c r="BH34" s="1989"/>
      <c r="BI34" s="1989">
        <f t="shared" ca="1" si="31"/>
        <v>1.5623850500437275E-6</v>
      </c>
      <c r="BJ34" s="1981"/>
      <c r="BK34" s="1992">
        <f ca="1"/>
        <v>131260.56239285294</v>
      </c>
      <c r="BL34" s="1992">
        <v>0</v>
      </c>
      <c r="BM34" s="1993">
        <f t="shared" ca="1" si="25"/>
        <v>131260.56239285294</v>
      </c>
      <c r="BN34" s="1992">
        <f t="shared" ca="1" si="8"/>
        <v>1343.4794434989763</v>
      </c>
      <c r="BO34" s="1992">
        <f t="shared" ca="1" si="9"/>
        <v>1343.4794434989763</v>
      </c>
      <c r="BP34" s="1247" t="str">
        <f t="shared" ca="1" si="26"/>
        <v>Investments Up</v>
      </c>
      <c r="BR34" s="1992">
        <f ca="1">LOOKUP(G34,Rental!$C$37:$C$161,Rental!$Y$37:$Y$161)</f>
        <v>0</v>
      </c>
      <c r="BS34" s="1992">
        <f ca="1">LOOKUP(G34,Rental!$C$37:$C$161,Rental!$AD$37:$AD$161)</f>
        <v>0</v>
      </c>
      <c r="BT34" s="1226"/>
    </row>
    <row r="35" spans="1:72" s="653" customFormat="1" ht="18" customHeight="1">
      <c r="A35" s="1638"/>
      <c r="B35" s="1638"/>
      <c r="C35" s="1638"/>
      <c r="D35" s="1638"/>
      <c r="E35" s="1638"/>
      <c r="F35" s="679">
        <f t="shared" si="27"/>
        <v>27</v>
      </c>
      <c r="G35" s="689">
        <f t="shared" si="28"/>
        <v>2060</v>
      </c>
      <c r="H35" s="680">
        <f t="shared" si="34"/>
        <v>92</v>
      </c>
      <c r="I35" s="680">
        <f t="shared" si="35"/>
        <v>90</v>
      </c>
      <c r="J35" s="680"/>
      <c r="K35" s="681">
        <f t="shared" ca="1" si="29"/>
        <v>34930</v>
      </c>
      <c r="L35" s="681">
        <f t="shared" ca="1" si="11"/>
        <v>1397</v>
      </c>
      <c r="M35" s="682">
        <f t="shared" si="0"/>
        <v>0</v>
      </c>
      <c r="N35" s="682"/>
      <c r="O35" s="681">
        <f ca="1">IF(U35&gt;0,Income!Q54+U35,Income!Q54)</f>
        <v>133183.83902471184</v>
      </c>
      <c r="P35" s="682">
        <f ca="1">TaxRates!M73</f>
        <v>23497</v>
      </c>
      <c r="Q35" s="1502">
        <f t="shared" ca="1" si="1"/>
        <v>0.17642530934733161</v>
      </c>
      <c r="R35" s="683">
        <f t="shared" ca="1" si="2"/>
        <v>9141</v>
      </c>
      <c r="S35" s="681">
        <f t="shared" ca="1" si="33"/>
        <v>109686.83902471184</v>
      </c>
      <c r="T35" s="683"/>
      <c r="U35" s="1506"/>
      <c r="V35" s="1506"/>
      <c r="W35" s="682">
        <f t="shared" ca="1" si="12"/>
        <v>266556</v>
      </c>
      <c r="X35" s="683">
        <f t="shared" ca="1" si="13"/>
        <v>22213</v>
      </c>
      <c r="Y35" s="682">
        <f t="shared" ca="1" si="4"/>
        <v>-13072</v>
      </c>
      <c r="Z35" s="673"/>
      <c r="AA35" s="672">
        <v>0</v>
      </c>
      <c r="AB35" s="672">
        <v>0</v>
      </c>
      <c r="AC35" s="1607" t="str">
        <f t="shared" si="14"/>
        <v/>
      </c>
      <c r="AD35" s="875"/>
      <c r="AE35" s="767"/>
      <c r="AF35" s="1974">
        <f t="shared" ca="1" si="15"/>
        <v>266550.47261392028</v>
      </c>
      <c r="AG35" s="1974">
        <f t="shared" ca="1" si="16"/>
        <v>22212.539384493357</v>
      </c>
      <c r="AH35" s="1975">
        <f>VLOOKUP(G35,Budget!$U$10:$V$134,2)</f>
        <v>229881.84616383575</v>
      </c>
      <c r="AI35" s="1975">
        <f t="shared" si="17"/>
        <v>0</v>
      </c>
      <c r="AJ35" s="1975">
        <f>(AB35+SUM($AB$9:AB34))*12</f>
        <v>0</v>
      </c>
      <c r="AK35" s="1975">
        <f>IF(G35&gt;=Housing!$I$43,    IF( Housing!$I$43 &lt;&gt; "",  VLOOKUP(G35,Budget!U36:W160,3)*-1,0), 0)</f>
        <v>-54561.759068859174</v>
      </c>
      <c r="AL35" s="1975">
        <f ca="1">IF(G35&lt;Housing!$I$43,  0,  VLOOKUP(G35,Housing!E107:I234,5)*12)</f>
        <v>67733.385518943731</v>
      </c>
      <c r="AM35" s="1975">
        <f ca="1">RMD!V33</f>
        <v>0</v>
      </c>
      <c r="AN35" s="1975">
        <f t="shared" ca="1" si="5"/>
        <v>23497</v>
      </c>
      <c r="AO35" s="1975"/>
      <c r="AP35" s="1976"/>
      <c r="AQ35" s="1977">
        <f t="shared" ca="1" si="18"/>
        <v>27274.409760626953</v>
      </c>
      <c r="AR35" s="1977">
        <f t="shared" ca="1" si="19"/>
        <v>2286.5083325565006</v>
      </c>
      <c r="AS35" s="1977">
        <f t="shared" ca="1" si="20"/>
        <v>24987.901428070454</v>
      </c>
      <c r="AT35" s="1978"/>
      <c r="AU35" s="1975">
        <f t="shared" ca="1" si="6"/>
        <v>1397.2186212389354</v>
      </c>
      <c r="AV35" s="1975">
        <f t="shared" ca="1" si="21"/>
        <v>34930.465530973386</v>
      </c>
      <c r="AW35" s="1976"/>
      <c r="AX35" s="1975">
        <f>IF(G35=Housing!$I$43,Housing!$I$48,0)</f>
        <v>0</v>
      </c>
      <c r="AY35" s="1979">
        <v>0</v>
      </c>
      <c r="AZ35" s="1979"/>
      <c r="BA35" s="1975">
        <f t="shared" ca="1" si="22"/>
        <v>1397.2186196140549</v>
      </c>
      <c r="BB35" s="1979"/>
      <c r="BC35" s="1994">
        <f t="shared" ca="1" si="23"/>
        <v>0.99999999883706059</v>
      </c>
      <c r="BD35" s="1979">
        <f t="shared" ca="1" si="30"/>
        <v>34930.465490351373</v>
      </c>
      <c r="BE35" s="1981"/>
      <c r="BF35" s="1979">
        <f t="shared" ca="1" si="36"/>
        <v>4.0622011301136911E-5</v>
      </c>
      <c r="BG35" s="1980">
        <f t="shared" ca="1" si="7"/>
        <v>1.1629393048059077E-9</v>
      </c>
      <c r="BH35" s="1979"/>
      <c r="BI35" s="1979">
        <f t="shared" ca="1" si="31"/>
        <v>1.6248804520454765E-6</v>
      </c>
      <c r="BJ35" s="1981"/>
      <c r="BK35" s="1984">
        <f ca="1"/>
        <v>133183.83902471184</v>
      </c>
      <c r="BL35" s="1984">
        <v>0</v>
      </c>
      <c r="BM35" s="1985">
        <f t="shared" ca="1" si="25"/>
        <v>133183.83902471184</v>
      </c>
      <c r="BN35" s="1984">
        <f t="shared" ca="1" si="8"/>
        <v>1397.2186212389354</v>
      </c>
      <c r="BO35" s="1984">
        <f t="shared" ca="1" si="9"/>
        <v>1397.2186212389354</v>
      </c>
      <c r="BP35" s="1247" t="str">
        <f t="shared" ca="1" si="26"/>
        <v>Investments Up</v>
      </c>
      <c r="BR35" s="1984">
        <f ca="1">LOOKUP(G35,Rental!$C$37:$C$161,Rental!$Y$37:$Y$161)</f>
        <v>0</v>
      </c>
      <c r="BS35" s="1984">
        <f ca="1">LOOKUP(G35,Rental!$C$37:$C$161,Rental!$AD$37:$AD$161)</f>
        <v>0</v>
      </c>
      <c r="BT35" s="1226"/>
    </row>
    <row r="36" spans="1:72" s="653" customFormat="1" ht="18" customHeight="1">
      <c r="A36" s="2459"/>
      <c r="B36" s="1640"/>
      <c r="C36" s="1640"/>
      <c r="D36" s="1640"/>
      <c r="E36" s="1638"/>
      <c r="F36" s="697">
        <f t="shared" si="27"/>
        <v>28</v>
      </c>
      <c r="G36" s="684">
        <f t="shared" si="28"/>
        <v>2061</v>
      </c>
      <c r="H36" s="685">
        <f t="shared" si="34"/>
        <v>93</v>
      </c>
      <c r="I36" s="685">
        <f t="shared" si="35"/>
        <v>91</v>
      </c>
      <c r="J36" s="680"/>
      <c r="K36" s="686">
        <f t="shared" ca="1" si="29"/>
        <v>36328</v>
      </c>
      <c r="L36" s="686">
        <f t="shared" ca="1" si="11"/>
        <v>1453</v>
      </c>
      <c r="M36" s="687">
        <f t="shared" si="0"/>
        <v>0</v>
      </c>
      <c r="N36" s="682"/>
      <c r="O36" s="686">
        <f ca="1">IF(U36&gt;0,Income!Q55+U36,Income!Q55)</f>
        <v>135136.38584573835</v>
      </c>
      <c r="P36" s="687">
        <f ca="1">TaxRates!M74</f>
        <v>24023</v>
      </c>
      <c r="Q36" s="1503">
        <f t="shared" ca="1" si="1"/>
        <v>0.17776855470607947</v>
      </c>
      <c r="R36" s="688">
        <f t="shared" ca="1" si="2"/>
        <v>9259</v>
      </c>
      <c r="S36" s="686">
        <f t="shared" ca="1" si="33"/>
        <v>111113.38584573835</v>
      </c>
      <c r="T36" s="683"/>
      <c r="U36" s="1507"/>
      <c r="V36" s="1506"/>
      <c r="W36" s="687">
        <f t="shared" ca="1" si="12"/>
        <v>274368</v>
      </c>
      <c r="X36" s="688">
        <f t="shared" ca="1" si="13"/>
        <v>22864</v>
      </c>
      <c r="Y36" s="687">
        <f t="shared" ca="1" si="4"/>
        <v>-13605</v>
      </c>
      <c r="Z36" s="673"/>
      <c r="AA36" s="672">
        <v>0</v>
      </c>
      <c r="AB36" s="672">
        <v>0</v>
      </c>
      <c r="AC36" s="1607" t="str">
        <f t="shared" si="14"/>
        <v/>
      </c>
      <c r="AD36" s="875"/>
      <c r="AE36" s="767"/>
      <c r="AF36" s="1986">
        <f t="shared" ca="1" si="15"/>
        <v>274368.07679233793</v>
      </c>
      <c r="AG36" s="1986">
        <f t="shared" ca="1" si="16"/>
        <v>22864.006399361493</v>
      </c>
      <c r="AH36" s="1987">
        <f>VLOOKUP(G36,Budget!$U$10:$V$134,2)</f>
        <v>236778.30154875084</v>
      </c>
      <c r="AI36" s="1987">
        <f t="shared" si="17"/>
        <v>0</v>
      </c>
      <c r="AJ36" s="1987">
        <f>(AB36+SUM($AB$9:AB35))*12</f>
        <v>0</v>
      </c>
      <c r="AK36" s="1987">
        <f>IF(G36&gt;=Housing!$I$43,    IF( Housing!$I$43 &lt;&gt; "",  VLOOKUP(G36,Budget!U37:W161,3)*-1,0), 0)</f>
        <v>-56198.611840924947</v>
      </c>
      <c r="AL36" s="1987">
        <f ca="1">IF(G36&lt;Housing!$I$43,  0,  VLOOKUP(G36,Housing!E108:I235,5)*12)</f>
        <v>69765.38708451204</v>
      </c>
      <c r="AM36" s="1987">
        <f ca="1">RMD!V34</f>
        <v>0</v>
      </c>
      <c r="AN36" s="1987">
        <f t="shared" ca="1" si="5"/>
        <v>24023</v>
      </c>
      <c r="AO36" s="1987"/>
      <c r="AP36" s="1976"/>
      <c r="AQ36" s="1988">
        <f t="shared" ca="1" si="18"/>
        <v>28092.642053445761</v>
      </c>
      <c r="AR36" s="1988">
        <f t="shared" ca="1" si="19"/>
        <v>2355.1035825331955</v>
      </c>
      <c r="AS36" s="1988">
        <f t="shared" ca="1" si="20"/>
        <v>25737.538470912565</v>
      </c>
      <c r="AT36" s="1978"/>
      <c r="AU36" s="1987">
        <f t="shared" ca="1" si="6"/>
        <v>1453.1073660884929</v>
      </c>
      <c r="AV36" s="1987">
        <f t="shared" ca="1" si="21"/>
        <v>36327.684152212321</v>
      </c>
      <c r="AW36" s="1976"/>
      <c r="AX36" s="1987">
        <f>IF(G36=Housing!$I$43,Housing!$I$48,0)</f>
        <v>0</v>
      </c>
      <c r="AY36" s="1989">
        <v>0</v>
      </c>
      <c r="AZ36" s="1989"/>
      <c r="BA36" s="1987">
        <f t="shared" ca="1" si="22"/>
        <v>1453.1073643986172</v>
      </c>
      <c r="BB36" s="1989"/>
      <c r="BC36" s="1990">
        <f t="shared" ca="1" si="23"/>
        <v>0.99999999883706059</v>
      </c>
      <c r="BD36" s="1989">
        <f t="shared" ca="1" si="30"/>
        <v>36327.684109965427</v>
      </c>
      <c r="BE36" s="1981"/>
      <c r="BF36" s="1989">
        <f t="shared" ca="1" si="36"/>
        <v>4.2246891753182387E-5</v>
      </c>
      <c r="BG36" s="1991">
        <f t="shared" ca="1" si="7"/>
        <v>1.1629393048059077E-9</v>
      </c>
      <c r="BH36" s="1989"/>
      <c r="BI36" s="1989">
        <f t="shared" ca="1" si="31"/>
        <v>1.6898756701272955E-6</v>
      </c>
      <c r="BJ36" s="1981"/>
      <c r="BK36" s="1992">
        <f ca="1"/>
        <v>135136.38584573835</v>
      </c>
      <c r="BL36" s="1992">
        <v>0</v>
      </c>
      <c r="BM36" s="1993">
        <f t="shared" ca="1" si="25"/>
        <v>135136.38584573835</v>
      </c>
      <c r="BN36" s="1992">
        <f t="shared" ca="1" si="8"/>
        <v>1453.1073660884929</v>
      </c>
      <c r="BO36" s="1992">
        <f t="shared" ca="1" si="9"/>
        <v>1453.1073660884929</v>
      </c>
      <c r="BP36" s="1247" t="str">
        <f t="shared" ca="1" si="26"/>
        <v>Investments Up</v>
      </c>
      <c r="BR36" s="1992">
        <f ca="1">LOOKUP(G36,Rental!$C$37:$C$161,Rental!$Y$37:$Y$161)</f>
        <v>0</v>
      </c>
      <c r="BS36" s="1992">
        <f ca="1">LOOKUP(G36,Rental!$C$37:$C$161,Rental!$AD$37:$AD$161)</f>
        <v>0</v>
      </c>
      <c r="BT36" s="1226"/>
    </row>
    <row r="37" spans="1:72" s="653" customFormat="1" ht="18" customHeight="1">
      <c r="A37" s="2459"/>
      <c r="F37" s="679">
        <f t="shared" si="27"/>
        <v>29</v>
      </c>
      <c r="G37" s="689">
        <f t="shared" si="28"/>
        <v>2062</v>
      </c>
      <c r="H37" s="680">
        <f t="shared" si="34"/>
        <v>94</v>
      </c>
      <c r="I37" s="680">
        <f t="shared" si="35"/>
        <v>92</v>
      </c>
      <c r="J37" s="680"/>
      <c r="K37" s="681">
        <f t="shared" ca="1" si="29"/>
        <v>37781</v>
      </c>
      <c r="L37" s="681">
        <f t="shared" ca="1" si="11"/>
        <v>1511</v>
      </c>
      <c r="M37" s="682">
        <f t="shared" si="0"/>
        <v>0</v>
      </c>
      <c r="N37" s="682"/>
      <c r="O37" s="681">
        <f ca="1">IF(U37&gt;0,Income!Q56+U37,Income!Q56)</f>
        <v>137118.66780071636</v>
      </c>
      <c r="P37" s="682">
        <f ca="1">TaxRates!M75</f>
        <v>24555</v>
      </c>
      <c r="Q37" s="1502">
        <f t="shared" ca="1" si="1"/>
        <v>0.17907846096993452</v>
      </c>
      <c r="R37" s="683">
        <f t="shared" ca="1" si="2"/>
        <v>9380</v>
      </c>
      <c r="S37" s="681">
        <f t="shared" ca="1" si="33"/>
        <v>112563.66780071636</v>
      </c>
      <c r="T37" s="683"/>
      <c r="U37" s="1506"/>
      <c r="V37" s="1506"/>
      <c r="W37" s="682">
        <f t="shared" ca="1" si="12"/>
        <v>282408</v>
      </c>
      <c r="X37" s="683">
        <f t="shared" ca="1" si="13"/>
        <v>23534</v>
      </c>
      <c r="Y37" s="682">
        <f t="shared" ca="1" si="4"/>
        <v>-14154</v>
      </c>
      <c r="Z37" s="673"/>
      <c r="AA37" s="672">
        <v>0</v>
      </c>
      <c r="AB37" s="672">
        <v>0</v>
      </c>
      <c r="AC37" s="1607" t="str">
        <f t="shared" si="14"/>
        <v/>
      </c>
      <c r="AD37" s="875"/>
      <c r="AE37" s="767"/>
      <c r="AF37" s="1974">
        <f t="shared" ca="1" si="15"/>
        <v>282410.42909610807</v>
      </c>
      <c r="AG37" s="1974">
        <f t="shared" ca="1" si="16"/>
        <v>23534.202424675674</v>
      </c>
      <c r="AH37" s="1975">
        <f>VLOOKUP(G37,Budget!$U$10:$V$134,2)</f>
        <v>243881.65059521337</v>
      </c>
      <c r="AI37" s="1975">
        <f t="shared" si="17"/>
        <v>0</v>
      </c>
      <c r="AJ37" s="1975">
        <f>(AB37+SUM($AB$9:AB36))*12</f>
        <v>0</v>
      </c>
      <c r="AK37" s="1975">
        <f>IF(G37&gt;=Housing!$I$43,    IF( Housing!$I$43 &lt;&gt; "",  VLOOKUP(G37,Budget!U38:W162,3)*-1,0), 0)</f>
        <v>-57884.570196152694</v>
      </c>
      <c r="AL37" s="1975">
        <f ca="1">IF(G37&lt;Housing!$I$43,  0,  VLOOKUP(G37,Housing!E109:I236,5)*12)</f>
        <v>71858.348697047404</v>
      </c>
      <c r="AM37" s="1975">
        <f ca="1">RMD!V35</f>
        <v>0</v>
      </c>
      <c r="AN37" s="1975">
        <f t="shared" ca="1" si="5"/>
        <v>24555</v>
      </c>
      <c r="AO37" s="1975"/>
      <c r="AP37" s="1976"/>
      <c r="AQ37" s="1977">
        <f t="shared" ca="1" si="18"/>
        <v>28935.421315049134</v>
      </c>
      <c r="AR37" s="1977">
        <f t="shared" ca="1" si="19"/>
        <v>2425.7566900091915</v>
      </c>
      <c r="AS37" s="1977">
        <f t="shared" ca="1" si="20"/>
        <v>26509.664625039943</v>
      </c>
      <c r="AT37" s="1978"/>
      <c r="AU37" s="1975">
        <f t="shared" ca="1" si="6"/>
        <v>1511.2316607320324</v>
      </c>
      <c r="AV37" s="1975">
        <f t="shared" ca="1" si="21"/>
        <v>37780.791518300808</v>
      </c>
      <c r="AW37" s="1976"/>
      <c r="AX37" s="1975">
        <f>IF(G37=Housing!$I$43,Housing!$I$48,0)</f>
        <v>0</v>
      </c>
      <c r="AY37" s="1979">
        <v>0</v>
      </c>
      <c r="AZ37" s="1979"/>
      <c r="BA37" s="1975">
        <f t="shared" ca="1" si="22"/>
        <v>1511.2316589745617</v>
      </c>
      <c r="BB37" s="1979"/>
      <c r="BC37" s="1994">
        <f t="shared" ca="1" si="23"/>
        <v>0.99999999883706081</v>
      </c>
      <c r="BD37" s="1979">
        <f t="shared" ca="1" si="30"/>
        <v>37780.791474364043</v>
      </c>
      <c r="BE37" s="1981"/>
      <c r="BF37" s="1979">
        <f t="shared" ca="1" si="36"/>
        <v>4.3936767423309681E-5</v>
      </c>
      <c r="BG37" s="1980">
        <f ca="1">IF(AV37&gt;0,BF37/AV37,0)</f>
        <v>1.1629393048059079E-9</v>
      </c>
      <c r="BH37" s="1979"/>
      <c r="BI37" s="1979">
        <f t="shared" ca="1" si="31"/>
        <v>1.7574706969323873E-6</v>
      </c>
      <c r="BJ37" s="1981"/>
      <c r="BK37" s="1984">
        <f ca="1"/>
        <v>137118.66780071636</v>
      </c>
      <c r="BL37" s="1984">
        <v>0</v>
      </c>
      <c r="BM37" s="1985">
        <f t="shared" ca="1" si="25"/>
        <v>137118.66780071636</v>
      </c>
      <c r="BN37" s="1984">
        <f t="shared" ca="1" si="8"/>
        <v>1511.2316607320324</v>
      </c>
      <c r="BO37" s="1984">
        <f t="shared" ca="1" si="9"/>
        <v>1511.2316607320324</v>
      </c>
      <c r="BP37" s="1247" t="str">
        <f t="shared" ca="1" si="26"/>
        <v>Investments Up</v>
      </c>
      <c r="BR37" s="1984">
        <f ca="1">LOOKUP(G37,Rental!$C$37:$C$161,Rental!$Y$37:$Y$161)</f>
        <v>0</v>
      </c>
      <c r="BS37" s="1984">
        <f ca="1">LOOKUP(G37,Rental!$C$37:$C$161,Rental!$AD$37:$AD$161)</f>
        <v>0</v>
      </c>
      <c r="BT37" s="1226"/>
    </row>
    <row r="38" spans="1:72" s="653" customFormat="1" ht="18" customHeight="1">
      <c r="A38" s="1719" t="s">
        <v>2125</v>
      </c>
      <c r="F38" s="697">
        <f t="shared" si="27"/>
        <v>30</v>
      </c>
      <c r="G38" s="684">
        <f t="shared" si="28"/>
        <v>2063</v>
      </c>
      <c r="H38" s="685">
        <f t="shared" si="34"/>
        <v>95</v>
      </c>
      <c r="I38" s="685">
        <f t="shared" si="35"/>
        <v>93</v>
      </c>
      <c r="J38" s="680"/>
      <c r="K38" s="686">
        <f t="shared" ca="1" si="29"/>
        <v>39292</v>
      </c>
      <c r="L38" s="686">
        <f t="shared" ca="1" si="11"/>
        <v>1572</v>
      </c>
      <c r="M38" s="687">
        <f t="shared" si="0"/>
        <v>0</v>
      </c>
      <c r="N38" s="682"/>
      <c r="O38" s="686">
        <f ca="1">IF(U38&gt;0,Income!Q57+U38,Income!Q57)</f>
        <v>139131.15755531253</v>
      </c>
      <c r="P38" s="687">
        <f ca="1">TaxRates!M76</f>
        <v>25096</v>
      </c>
      <c r="Q38" s="1503">
        <f t="shared" ca="1" si="1"/>
        <v>0.18037656295659665</v>
      </c>
      <c r="R38" s="688">
        <f t="shared" ca="1" si="2"/>
        <v>9503</v>
      </c>
      <c r="S38" s="686">
        <f t="shared" ca="1" si="33"/>
        <v>114035.15755531253</v>
      </c>
      <c r="T38" s="683"/>
      <c r="U38" s="1507"/>
      <c r="V38" s="1506"/>
      <c r="W38" s="687">
        <f t="shared" ca="1" si="12"/>
        <v>290688</v>
      </c>
      <c r="X38" s="688">
        <f t="shared" ca="1" si="13"/>
        <v>24224</v>
      </c>
      <c r="Y38" s="687">
        <f t="shared" ca="1" si="4"/>
        <v>-14721</v>
      </c>
      <c r="Z38" s="673"/>
      <c r="AA38" s="672">
        <v>0</v>
      </c>
      <c r="AB38" s="672">
        <v>0</v>
      </c>
      <c r="AC38" s="1607" t="str">
        <f t="shared" si="14"/>
        <v/>
      </c>
      <c r="AD38" s="875"/>
      <c r="AE38" s="767"/>
      <c r="AF38" s="1986">
        <f t="shared" ca="1" si="15"/>
        <v>290687.09196899133</v>
      </c>
      <c r="AG38" s="1986">
        <f t="shared" ca="1" si="16"/>
        <v>24223.924330749276</v>
      </c>
      <c r="AH38" s="1987">
        <f>VLOOKUP(G38,Budget!$U$10:$V$134,2)</f>
        <v>251198.10011306978</v>
      </c>
      <c r="AI38" s="1987">
        <f t="shared" si="17"/>
        <v>0</v>
      </c>
      <c r="AJ38" s="1987">
        <f>(AB38+SUM($AB$9:AB37))*12</f>
        <v>0</v>
      </c>
      <c r="AK38" s="1987">
        <f>IF(G38&gt;=Housing!$I$43,    IF( Housing!$I$43 &lt;&gt; "",  VLOOKUP(G38,Budget!U39:W163,3)*-1,0), 0)</f>
        <v>-59621.107302037271</v>
      </c>
      <c r="AL38" s="1987">
        <f ca="1">IF(G38&lt;Housing!$I$43,  0,  VLOOKUP(G38,Housing!E110:I237,5)*12)</f>
        <v>74014.09915795883</v>
      </c>
      <c r="AM38" s="1987">
        <f ca="1">RMD!V36</f>
        <v>0</v>
      </c>
      <c r="AN38" s="1987">
        <f t="shared" ca="1" si="5"/>
        <v>25096</v>
      </c>
      <c r="AO38" s="1987"/>
      <c r="AP38" s="1976"/>
      <c r="AQ38" s="1988">
        <f t="shared" ca="1" si="18"/>
        <v>29803.483954500607</v>
      </c>
      <c r="AR38" s="1988">
        <f t="shared" ca="1" si="19"/>
        <v>2498.5293907094674</v>
      </c>
      <c r="AS38" s="1988">
        <f t="shared" ca="1" si="20"/>
        <v>27304.95456379114</v>
      </c>
      <c r="AT38" s="1978"/>
      <c r="AU38" s="1987">
        <f t="shared" ca="1" si="6"/>
        <v>1571.6809271613135</v>
      </c>
      <c r="AV38" s="1987">
        <f t="shared" ca="1" si="21"/>
        <v>39292.02317903284</v>
      </c>
      <c r="AW38" s="1976"/>
      <c r="AX38" s="1987">
        <f>IF(G38=Housing!$I$43,Housing!$I$48,0)</f>
        <v>0</v>
      </c>
      <c r="AY38" s="1989">
        <v>0</v>
      </c>
      <c r="AZ38" s="1989"/>
      <c r="BA38" s="1987">
        <f t="shared" ca="1" si="22"/>
        <v>1571.6809253335441</v>
      </c>
      <c r="BB38" s="1989"/>
      <c r="BC38" s="1990">
        <f t="shared" ca="1" si="23"/>
        <v>0.9999999988370607</v>
      </c>
      <c r="BD38" s="1989">
        <f t="shared" ca="1" si="30"/>
        <v>39292.023133338604</v>
      </c>
      <c r="BE38" s="1981"/>
      <c r="BF38" s="1989">
        <f t="shared" ca="1" si="36"/>
        <v>4.5694238120242071E-5</v>
      </c>
      <c r="BG38" s="1991">
        <f t="shared" ref="BG38:BG48" ca="1" si="37">IF(AV38&gt;0,BF38/AV38,0)</f>
        <v>1.1629393048059079E-9</v>
      </c>
      <c r="BH38" s="1989"/>
      <c r="BI38" s="1989">
        <f t="shared" ca="1" si="31"/>
        <v>1.8277695248096829E-6</v>
      </c>
      <c r="BJ38" s="1981"/>
      <c r="BK38" s="1992">
        <f ca="1"/>
        <v>139131.15755531253</v>
      </c>
      <c r="BL38" s="1992">
        <v>0</v>
      </c>
      <c r="BM38" s="1993">
        <f t="shared" ca="1" si="25"/>
        <v>139131.15755531253</v>
      </c>
      <c r="BN38" s="1992">
        <f t="shared" ca="1" si="8"/>
        <v>1571.6809271613135</v>
      </c>
      <c r="BO38" s="1992">
        <f t="shared" ca="1" si="9"/>
        <v>1571.6809271613135</v>
      </c>
      <c r="BP38" s="1247" t="str">
        <f t="shared" ca="1" si="26"/>
        <v>Investments Up</v>
      </c>
      <c r="BR38" s="1992">
        <f ca="1">LOOKUP(G38,Rental!$C$37:$C$161,Rental!$Y$37:$Y$161)</f>
        <v>0</v>
      </c>
      <c r="BS38" s="1992">
        <f ca="1">LOOKUP(G38,Rental!$C$37:$C$161,Rental!$AD$37:$AD$161)</f>
        <v>0</v>
      </c>
      <c r="BT38" s="1226"/>
    </row>
    <row r="39" spans="1:72" s="653" customFormat="1" ht="18" customHeight="1">
      <c r="A39" s="1225"/>
      <c r="F39" s="679">
        <f t="shared" si="27"/>
        <v>31</v>
      </c>
      <c r="G39" s="689">
        <f t="shared" si="28"/>
        <v>2064</v>
      </c>
      <c r="H39" s="680">
        <f t="shared" si="34"/>
        <v>96</v>
      </c>
      <c r="I39" s="680">
        <f t="shared" si="35"/>
        <v>94</v>
      </c>
      <c r="J39" s="680"/>
      <c r="K39" s="681">
        <f t="shared" ca="1" si="29"/>
        <v>40864</v>
      </c>
      <c r="L39" s="681">
        <f t="shared" ca="1" si="11"/>
        <v>1635</v>
      </c>
      <c r="M39" s="682">
        <f t="shared" si="0"/>
        <v>0</v>
      </c>
      <c r="N39" s="682"/>
      <c r="O39" s="681">
        <f ca="1">IF(U39&gt;0,Income!Q58+U39,Income!Q58)</f>
        <v>141174.33562982205</v>
      </c>
      <c r="P39" s="682">
        <f ca="1">TaxRates!M77</f>
        <v>25646</v>
      </c>
      <c r="Q39" s="1502">
        <f t="shared" ca="1" si="1"/>
        <v>0.18166191387113897</v>
      </c>
      <c r="R39" s="683">
        <f t="shared" ca="1" si="2"/>
        <v>9627</v>
      </c>
      <c r="S39" s="681">
        <f t="shared" ca="1" si="33"/>
        <v>115528.33562982205</v>
      </c>
      <c r="T39" s="683"/>
      <c r="U39" s="1506"/>
      <c r="V39" s="1506"/>
      <c r="W39" s="682">
        <f t="shared" ca="1" si="12"/>
        <v>299208</v>
      </c>
      <c r="X39" s="683">
        <f t="shared" ca="1" si="13"/>
        <v>24934</v>
      </c>
      <c r="Y39" s="682">
        <f t="shared" ca="1" si="4"/>
        <v>-15307</v>
      </c>
      <c r="Z39" s="673"/>
      <c r="AA39" s="672">
        <v>0</v>
      </c>
      <c r="AB39" s="672">
        <v>0</v>
      </c>
      <c r="AC39" s="1607" t="str">
        <f t="shared" si="14"/>
        <v/>
      </c>
      <c r="AD39" s="875"/>
      <c r="AE39" s="767"/>
      <c r="AF39" s="1974">
        <f t="shared" ca="1" si="15"/>
        <v>299204.82472806104</v>
      </c>
      <c r="AG39" s="1974">
        <f t="shared" ca="1" si="16"/>
        <v>24933.735394005085</v>
      </c>
      <c r="AH39" s="1975">
        <f>VLOOKUP(G39,Budget!$U$10:$V$134,2)</f>
        <v>258734.04311646186</v>
      </c>
      <c r="AI39" s="1975">
        <f t="shared" si="17"/>
        <v>0</v>
      </c>
      <c r="AJ39" s="1975">
        <f>(AB39+SUM($AB$9:AB38))*12</f>
        <v>0</v>
      </c>
      <c r="AK39" s="1975">
        <f>IF(G39&gt;=Housing!$I$43,    IF( Housing!$I$43 &lt;&gt; "",  VLOOKUP(G39,Budget!U40:W164,3)*-1,0), 0)</f>
        <v>-61409.740521098392</v>
      </c>
      <c r="AL39" s="1975">
        <f ca="1">IF(G39&lt;Housing!$I$43,  0,  VLOOKUP(G39,Housing!E111:I238,5)*12)</f>
        <v>76234.522132697588</v>
      </c>
      <c r="AM39" s="1975">
        <f ca="1">RMD!V37</f>
        <v>0</v>
      </c>
      <c r="AN39" s="1975">
        <f t="shared" ca="1" si="5"/>
        <v>25646</v>
      </c>
      <c r="AO39" s="1975"/>
      <c r="AP39" s="1976"/>
      <c r="AQ39" s="1977">
        <f t="shared" ca="1" si="18"/>
        <v>30697.588473135624</v>
      </c>
      <c r="AR39" s="1977">
        <f t="shared" ca="1" si="19"/>
        <v>2573.4852724307516</v>
      </c>
      <c r="AS39" s="1977">
        <f t="shared" ca="1" si="20"/>
        <v>28124.103200704871</v>
      </c>
      <c r="AT39" s="1978"/>
      <c r="AU39" s="1975">
        <f t="shared" ca="1" si="6"/>
        <v>1634.5481642477662</v>
      </c>
      <c r="AV39" s="1975">
        <f t="shared" ca="1" si="21"/>
        <v>40863.704106194156</v>
      </c>
      <c r="AW39" s="1976"/>
      <c r="AX39" s="1975">
        <f>IF(G39=Housing!$I$43,Housing!$I$48,0)</f>
        <v>0</v>
      </c>
      <c r="AY39" s="1979">
        <v>0</v>
      </c>
      <c r="AZ39" s="1979"/>
      <c r="BA39" s="1975">
        <f t="shared" ca="1" si="22"/>
        <v>1634.5481623468859</v>
      </c>
      <c r="BB39" s="1979"/>
      <c r="BC39" s="1994">
        <f t="shared" ca="1" si="23"/>
        <v>0.9999999988370607</v>
      </c>
      <c r="BD39" s="1979">
        <f t="shared" ca="1" si="30"/>
        <v>40863.704058672149</v>
      </c>
      <c r="BE39" s="1981"/>
      <c r="BF39" s="1979">
        <f t="shared" ca="1" si="36"/>
        <v>4.7522007645051757E-5</v>
      </c>
      <c r="BG39" s="1980">
        <f t="shared" ca="1" si="37"/>
        <v>1.1629393048059079E-9</v>
      </c>
      <c r="BH39" s="1979"/>
      <c r="BI39" s="1979">
        <f t="shared" ca="1" si="31"/>
        <v>1.9008803058020702E-6</v>
      </c>
      <c r="BJ39" s="1981"/>
      <c r="BK39" s="1984">
        <f ca="1"/>
        <v>141174.33562982205</v>
      </c>
      <c r="BL39" s="1984">
        <v>0</v>
      </c>
      <c r="BM39" s="1985">
        <f t="shared" ca="1" si="25"/>
        <v>141174.33562982205</v>
      </c>
      <c r="BN39" s="1984">
        <f t="shared" ca="1" si="8"/>
        <v>1634.5481642477662</v>
      </c>
      <c r="BO39" s="1984">
        <f t="shared" ca="1" si="9"/>
        <v>1634.5481642477662</v>
      </c>
      <c r="BP39" s="1247" t="str">
        <f t="shared" ca="1" si="26"/>
        <v>Investments Up</v>
      </c>
      <c r="BR39" s="1984">
        <f ca="1">LOOKUP(G39,Rental!$C$37:$C$161,Rental!$Y$37:$Y$161)</f>
        <v>0</v>
      </c>
      <c r="BS39" s="1984">
        <f ca="1">LOOKUP(G39,Rental!$C$37:$C$161,Rental!$AD$37:$AD$161)</f>
        <v>0</v>
      </c>
      <c r="BT39" s="1226"/>
    </row>
    <row r="40" spans="1:72" s="653" customFormat="1" ht="18" customHeight="1">
      <c r="F40" s="697">
        <f t="shared" si="27"/>
        <v>32</v>
      </c>
      <c r="G40" s="684">
        <f t="shared" si="28"/>
        <v>2065</v>
      </c>
      <c r="H40" s="685">
        <f t="shared" si="34"/>
        <v>97</v>
      </c>
      <c r="I40" s="685">
        <f t="shared" si="35"/>
        <v>95</v>
      </c>
      <c r="J40" s="680"/>
      <c r="K40" s="686">
        <f t="shared" ca="1" si="29"/>
        <v>42498</v>
      </c>
      <c r="L40" s="686">
        <f t="shared" ca="1" si="11"/>
        <v>1700</v>
      </c>
      <c r="M40" s="687">
        <f t="shared" si="0"/>
        <v>0</v>
      </c>
      <c r="N40" s="682"/>
      <c r="O40" s="686">
        <f ca="1">IF(U40&gt;0,Income!Q59+U40,Income!Q59)</f>
        <v>143248.69053531837</v>
      </c>
      <c r="P40" s="687">
        <f ca="1">TaxRates!M78</f>
        <v>26205</v>
      </c>
      <c r="Q40" s="1503">
        <f t="shared" ca="1" si="1"/>
        <v>0.18293360938988187</v>
      </c>
      <c r="R40" s="688">
        <f t="shared" ca="1" si="2"/>
        <v>9754</v>
      </c>
      <c r="S40" s="686">
        <f t="shared" ca="1" si="33"/>
        <v>117043.69053531837</v>
      </c>
      <c r="T40" s="683"/>
      <c r="U40" s="1507"/>
      <c r="V40" s="1506"/>
      <c r="W40" s="687">
        <f t="shared" ca="1" si="12"/>
        <v>307968</v>
      </c>
      <c r="X40" s="688">
        <f t="shared" ca="1" si="13"/>
        <v>25664</v>
      </c>
      <c r="Y40" s="687">
        <f t="shared" ca="1" si="4"/>
        <v>-15910</v>
      </c>
      <c r="Z40" s="673"/>
      <c r="AA40" s="672">
        <v>0</v>
      </c>
      <c r="AB40" s="672">
        <v>0</v>
      </c>
      <c r="AC40" s="1607" t="str">
        <f t="shared" si="14"/>
        <v/>
      </c>
      <c r="AD40" s="875"/>
      <c r="AE40" s="767"/>
      <c r="AF40" s="1986">
        <f t="shared" ca="1" si="15"/>
        <v>307970.58946990286</v>
      </c>
      <c r="AG40" s="1986">
        <f t="shared" ca="1" si="16"/>
        <v>25664.21578915857</v>
      </c>
      <c r="AH40" s="1987">
        <f>VLOOKUP(G40,Budget!$U$10:$V$134,2)</f>
        <v>266496.0644099557</v>
      </c>
      <c r="AI40" s="1987">
        <f t="shared" si="17"/>
        <v>0</v>
      </c>
      <c r="AJ40" s="1987">
        <f>(AB40+SUM($AB$9:AB39))*12</f>
        <v>0</v>
      </c>
      <c r="AK40" s="1987">
        <f>IF(G40&gt;=Housing!$I$43,    IF( Housing!$I$43 &lt;&gt; "",  VLOOKUP(G40,Budget!U41:W165,3)*-1,0), 0)</f>
        <v>-63252.032736731344</v>
      </c>
      <c r="AL40" s="1987">
        <f ca="1">IF(G40&lt;Housing!$I$43,  0,  VLOOKUP(G40,Housing!E112:I239,5)*12)</f>
        <v>78521.55779667852</v>
      </c>
      <c r="AM40" s="1987">
        <f ca="1">RMD!V38</f>
        <v>0</v>
      </c>
      <c r="AN40" s="1987">
        <f t="shared" ca="1" si="5"/>
        <v>26205</v>
      </c>
      <c r="AO40" s="1987"/>
      <c r="AP40" s="1976"/>
      <c r="AQ40" s="1988">
        <f t="shared" ca="1" si="18"/>
        <v>31618.516127329691</v>
      </c>
      <c r="AR40" s="1988">
        <f t="shared" ca="1" si="19"/>
        <v>2650.6898306036742</v>
      </c>
      <c r="AS40" s="1988">
        <f t="shared" ca="1" si="20"/>
        <v>28967.826296726016</v>
      </c>
      <c r="AT40" s="1978"/>
      <c r="AU40" s="1987">
        <f t="shared" ca="1" si="6"/>
        <v>1699.930090817677</v>
      </c>
      <c r="AV40" s="1987">
        <f t="shared" ca="1" si="21"/>
        <v>42498.252270441924</v>
      </c>
      <c r="AW40" s="1976"/>
      <c r="AX40" s="1987">
        <f>IF(G40=Housing!$I$43,Housing!$I$48,0)</f>
        <v>0</v>
      </c>
      <c r="AY40" s="1989">
        <v>0</v>
      </c>
      <c r="AZ40" s="1989"/>
      <c r="BA40" s="1987">
        <f t="shared" ca="1" si="22"/>
        <v>1699.9300888407615</v>
      </c>
      <c r="BB40" s="1989"/>
      <c r="BC40" s="1990">
        <f t="shared" ca="1" si="23"/>
        <v>0.9999999988370607</v>
      </c>
      <c r="BD40" s="1989">
        <f t="shared" ca="1" si="30"/>
        <v>42498.252221019036</v>
      </c>
      <c r="BE40" s="1981"/>
      <c r="BF40" s="1989">
        <f t="shared" ca="1" si="36"/>
        <v>4.9422887950853825E-5</v>
      </c>
      <c r="BG40" s="1991">
        <f t="shared" ca="1" si="37"/>
        <v>1.1629393048059079E-9</v>
      </c>
      <c r="BH40" s="1989"/>
      <c r="BI40" s="1989">
        <f t="shared" ca="1" si="31"/>
        <v>1.976915518034153E-6</v>
      </c>
      <c r="BJ40" s="1981"/>
      <c r="BK40" s="1992">
        <f ca="1"/>
        <v>143248.69053531837</v>
      </c>
      <c r="BL40" s="1992">
        <v>0</v>
      </c>
      <c r="BM40" s="1993">
        <f t="shared" ca="1" si="25"/>
        <v>143248.69053531837</v>
      </c>
      <c r="BN40" s="1992">
        <f t="shared" ca="1" si="8"/>
        <v>1699.930090817677</v>
      </c>
      <c r="BO40" s="1992">
        <f t="shared" ca="1" si="9"/>
        <v>1699.930090817677</v>
      </c>
      <c r="BP40" s="1247" t="str">
        <f t="shared" ca="1" si="26"/>
        <v>Investments Up</v>
      </c>
      <c r="BR40" s="1992">
        <f ca="1">LOOKUP(G40,Rental!$C$37:$C$161,Rental!$Y$37:$Y$161)</f>
        <v>0</v>
      </c>
      <c r="BS40" s="1992">
        <f ca="1">LOOKUP(G40,Rental!$C$37:$C$161,Rental!$AD$37:$AD$161)</f>
        <v>0</v>
      </c>
      <c r="BT40" s="1226"/>
    </row>
    <row r="41" spans="1:72" s="653" customFormat="1" ht="18" customHeight="1">
      <c r="A41" s="2459" t="s">
        <v>2126</v>
      </c>
      <c r="F41" s="679">
        <f t="shared" si="27"/>
        <v>33</v>
      </c>
      <c r="G41" s="689">
        <f t="shared" si="28"/>
        <v>2066</v>
      </c>
      <c r="H41" s="680">
        <f t="shared" si="34"/>
        <v>98</v>
      </c>
      <c r="I41" s="680">
        <f t="shared" si="35"/>
        <v>96</v>
      </c>
      <c r="J41" s="680"/>
      <c r="K41" s="681">
        <f t="shared" ca="1" si="29"/>
        <v>44198</v>
      </c>
      <c r="L41" s="681">
        <f t="shared" ca="1" si="11"/>
        <v>1768</v>
      </c>
      <c r="M41" s="682">
        <f t="shared" si="0"/>
        <v>0</v>
      </c>
      <c r="N41" s="682"/>
      <c r="O41" s="681">
        <f ca="1">IF(U41&gt;0,Income!Q60+U41,Income!Q60)</f>
        <v>145354.71891225158</v>
      </c>
      <c r="P41" s="682">
        <f ca="1">TaxRates!M79</f>
        <v>26772</v>
      </c>
      <c r="Q41" s="1502">
        <f t="shared" ca="1" si="1"/>
        <v>0.18418390679260882</v>
      </c>
      <c r="R41" s="683">
        <f t="shared" ca="1" si="2"/>
        <v>9882</v>
      </c>
      <c r="S41" s="681">
        <f t="shared" ca="1" si="33"/>
        <v>118582.71891225158</v>
      </c>
      <c r="T41" s="683"/>
      <c r="U41" s="1506"/>
      <c r="V41" s="1506"/>
      <c r="W41" s="682">
        <f t="shared" ca="1" si="12"/>
        <v>316992</v>
      </c>
      <c r="X41" s="683">
        <f t="shared" ca="1" si="13"/>
        <v>26416</v>
      </c>
      <c r="Y41" s="682">
        <f t="shared" ca="1" si="4"/>
        <v>-16534</v>
      </c>
      <c r="Z41" s="673"/>
      <c r="AA41" s="672">
        <v>0</v>
      </c>
      <c r="AB41" s="672">
        <v>0</v>
      </c>
      <c r="AC41" s="1607" t="str">
        <f t="shared" si="14"/>
        <v/>
      </c>
      <c r="AD41" s="875"/>
      <c r="AE41" s="767"/>
      <c r="AF41" s="1974">
        <f t="shared" ca="1" si="15"/>
        <v>316990.55715399992</v>
      </c>
      <c r="AG41" s="1974">
        <f t="shared" ca="1" si="16"/>
        <v>26415.879762833327</v>
      </c>
      <c r="AH41" s="1975">
        <f>VLOOKUP(G41,Budget!$U$10:$V$134,2)</f>
        <v>274490.94634225435</v>
      </c>
      <c r="AI41" s="1975">
        <f t="shared" si="17"/>
        <v>0</v>
      </c>
      <c r="AJ41" s="1975">
        <f>(AB41+SUM($AB$9:AB40))*12</f>
        <v>0</v>
      </c>
      <c r="AK41" s="1975">
        <f>IF(G41&gt;=Housing!$I$43,    IF( Housing!$I$43 &lt;&gt; "",  VLOOKUP(G41,Budget!U42:W166,3)*-1,0), 0)</f>
        <v>-65149.593718833283</v>
      </c>
      <c r="AL41" s="1975">
        <f ca="1">IF(G41&lt;Housing!$I$43,  0,  VLOOKUP(G41,Housing!E113:I240,5)*12)</f>
        <v>80877.204530578878</v>
      </c>
      <c r="AM41" s="1975">
        <f ca="1">RMD!V39</f>
        <v>0</v>
      </c>
      <c r="AN41" s="1975">
        <f t="shared" ca="1" si="5"/>
        <v>26772</v>
      </c>
      <c r="AO41" s="1975"/>
      <c r="AP41" s="1976"/>
      <c r="AQ41" s="1977">
        <f t="shared" ca="1" si="18"/>
        <v>32567.071611149582</v>
      </c>
      <c r="AR41" s="1977">
        <f t="shared" ca="1" si="19"/>
        <v>2730.2105255217843</v>
      </c>
      <c r="AS41" s="1977">
        <f t="shared" ca="1" si="20"/>
        <v>29836.861085627799</v>
      </c>
      <c r="AT41" s="1978"/>
      <c r="AU41" s="1975">
        <f t="shared" ca="1" si="6"/>
        <v>1767.9272944503839</v>
      </c>
      <c r="AV41" s="1975">
        <f t="shared" ca="1" si="21"/>
        <v>44198.182361259598</v>
      </c>
      <c r="AW41" s="1976"/>
      <c r="AX41" s="1975">
        <f>IF(G41=Housing!$I$43,Housing!$I$48,0)</f>
        <v>0</v>
      </c>
      <c r="AY41" s="1979">
        <v>0</v>
      </c>
      <c r="AZ41" s="1979"/>
      <c r="BA41" s="1975">
        <f t="shared" ca="1" si="22"/>
        <v>1767.9272923943918</v>
      </c>
      <c r="BB41" s="1979"/>
      <c r="BC41" s="1994">
        <f t="shared" ca="1" si="23"/>
        <v>0.9999999988370607</v>
      </c>
      <c r="BD41" s="1979">
        <f t="shared" ca="1" si="30"/>
        <v>44198.182309859796</v>
      </c>
      <c r="BE41" s="1981"/>
      <c r="BF41" s="1979">
        <f t="shared" ca="1" si="36"/>
        <v>5.139980346888798E-5</v>
      </c>
      <c r="BG41" s="1980">
        <f t="shared" ca="1" si="37"/>
        <v>1.1629393048059079E-9</v>
      </c>
      <c r="BH41" s="1979"/>
      <c r="BI41" s="1979">
        <f t="shared" ca="1" si="31"/>
        <v>2.0559921387555195E-6</v>
      </c>
      <c r="BJ41" s="1981"/>
      <c r="BK41" s="1984">
        <f ca="1"/>
        <v>145354.71891225158</v>
      </c>
      <c r="BL41" s="1984">
        <v>0</v>
      </c>
      <c r="BM41" s="1985">
        <f t="shared" ca="1" si="25"/>
        <v>145354.71891225158</v>
      </c>
      <c r="BN41" s="1984">
        <f t="shared" ca="1" si="8"/>
        <v>1767.9272944503839</v>
      </c>
      <c r="BO41" s="1984">
        <f t="shared" ca="1" si="9"/>
        <v>1767.9272944503839</v>
      </c>
      <c r="BP41" s="1247" t="str">
        <f t="shared" ca="1" si="26"/>
        <v>Investments Up</v>
      </c>
      <c r="BR41" s="1984">
        <f ca="1">LOOKUP(G41,Rental!$C$37:$C$161,Rental!$Y$37:$Y$161)</f>
        <v>0</v>
      </c>
      <c r="BS41" s="1984">
        <f ca="1">LOOKUP(G41,Rental!$C$37:$C$161,Rental!$AD$37:$AD$161)</f>
        <v>0</v>
      </c>
      <c r="BT41" s="1226"/>
    </row>
    <row r="42" spans="1:72" s="653" customFormat="1" ht="18" customHeight="1">
      <c r="A42" s="2459"/>
      <c r="F42" s="697">
        <f t="shared" si="27"/>
        <v>34</v>
      </c>
      <c r="G42" s="684">
        <f t="shared" si="28"/>
        <v>2067</v>
      </c>
      <c r="H42" s="685">
        <f t="shared" si="34"/>
        <v>99</v>
      </c>
      <c r="I42" s="685">
        <f t="shared" si="35"/>
        <v>97</v>
      </c>
      <c r="J42" s="680"/>
      <c r="K42" s="686">
        <f t="shared" ca="1" si="29"/>
        <v>45966</v>
      </c>
      <c r="L42" s="686">
        <f t="shared" ca="1" si="11"/>
        <v>1839</v>
      </c>
      <c r="M42" s="687">
        <f t="shared" si="0"/>
        <v>0</v>
      </c>
      <c r="N42" s="682"/>
      <c r="O42" s="686">
        <f ca="1">IF(U42&gt;0,Income!Q61+U42,Income!Q61)</f>
        <v>147492.92567154104</v>
      </c>
      <c r="P42" s="687">
        <f ca="1">TaxRates!M80</f>
        <v>27348</v>
      </c>
      <c r="Q42" s="1503">
        <f t="shared" ca="1" si="1"/>
        <v>0.18541906247695264</v>
      </c>
      <c r="R42" s="688">
        <f t="shared" ca="1" si="2"/>
        <v>10012</v>
      </c>
      <c r="S42" s="686">
        <f t="shared" ca="1" si="33"/>
        <v>120144.92567154104</v>
      </c>
      <c r="T42" s="683"/>
      <c r="U42" s="1507"/>
      <c r="V42" s="1506"/>
      <c r="W42" s="687">
        <f t="shared" ca="1" si="12"/>
        <v>326268</v>
      </c>
      <c r="X42" s="688">
        <f t="shared" ca="1" si="13"/>
        <v>27189</v>
      </c>
      <c r="Y42" s="687">
        <f t="shared" ca="1" si="4"/>
        <v>-17177</v>
      </c>
      <c r="Z42" s="673"/>
      <c r="AA42" s="672">
        <v>0</v>
      </c>
      <c r="AB42" s="672">
        <v>0</v>
      </c>
      <c r="AC42" s="1607" t="str">
        <f t="shared" si="14"/>
        <v/>
      </c>
      <c r="AD42" s="875"/>
      <c r="AE42" s="767"/>
      <c r="AF42" s="1986">
        <f t="shared" ca="1" si="15"/>
        <v>326273.11386861996</v>
      </c>
      <c r="AG42" s="1986">
        <f t="shared" ca="1" si="16"/>
        <v>27189.426155718331</v>
      </c>
      <c r="AH42" s="1987">
        <f>VLOOKUP(G42,Budget!$U$10:$V$134,2)</f>
        <v>282725.67473252199</v>
      </c>
      <c r="AI42" s="1987">
        <f t="shared" si="17"/>
        <v>0</v>
      </c>
      <c r="AJ42" s="1987">
        <f>(AB42+SUM($AB$9:AB41))*12</f>
        <v>0</v>
      </c>
      <c r="AK42" s="1987">
        <f>IF(G42&gt;=Housing!$I$43,    IF( Housing!$I$43 &lt;&gt; "",  VLOOKUP(G42,Budget!U43:W167,3)*-1,0), 0)</f>
        <v>-67104.081530398282</v>
      </c>
      <c r="AL42" s="1987">
        <f ca="1">IF(G42&lt;Housing!$I$43,  0,  VLOOKUP(G42,Housing!E114:I241,5)*12)</f>
        <v>83303.520666496246</v>
      </c>
      <c r="AM42" s="1987">
        <f ca="1">RMD!V40</f>
        <v>0</v>
      </c>
      <c r="AN42" s="1987">
        <f t="shared" ca="1" si="5"/>
        <v>27348</v>
      </c>
      <c r="AO42" s="1987"/>
      <c r="AP42" s="1976"/>
      <c r="AQ42" s="1988">
        <f t="shared" ca="1" si="18"/>
        <v>33544.08375948407</v>
      </c>
      <c r="AR42" s="1988">
        <f t="shared" ca="1" si="19"/>
        <v>2812.1168412874381</v>
      </c>
      <c r="AS42" s="1988">
        <f t="shared" ca="1" si="20"/>
        <v>30731.966918196631</v>
      </c>
      <c r="AT42" s="1978"/>
      <c r="AU42" s="1987">
        <f t="shared" ca="1" si="6"/>
        <v>1838.6443862283995</v>
      </c>
      <c r="AV42" s="1987">
        <f t="shared" ca="1" si="21"/>
        <v>45966.109655709988</v>
      </c>
      <c r="AW42" s="1976"/>
      <c r="AX42" s="1987">
        <f>IF(G42=Housing!$I$43,Housing!$I$48,0)</f>
        <v>0</v>
      </c>
      <c r="AY42" s="1989">
        <v>0</v>
      </c>
      <c r="AZ42" s="1989"/>
      <c r="BA42" s="1987">
        <f t="shared" ca="1" si="22"/>
        <v>1838.6443840901677</v>
      </c>
      <c r="BB42" s="1989"/>
      <c r="BC42" s="1990">
        <f t="shared" ca="1" si="23"/>
        <v>0.99999999883706059</v>
      </c>
      <c r="BD42" s="1989">
        <f t="shared" ca="1" si="30"/>
        <v>45966.10960225419</v>
      </c>
      <c r="BE42" s="1981"/>
      <c r="BF42" s="1989">
        <f t="shared" ca="1" si="36"/>
        <v>5.3455795607643497E-5</v>
      </c>
      <c r="BG42" s="1991">
        <f t="shared" ca="1" si="37"/>
        <v>1.1629393048059077E-9</v>
      </c>
      <c r="BH42" s="1989"/>
      <c r="BI42" s="1989">
        <f t="shared" ca="1" si="31"/>
        <v>2.1382318243057399E-6</v>
      </c>
      <c r="BJ42" s="1981"/>
      <c r="BK42" s="1992">
        <f ca="1"/>
        <v>147492.92567154104</v>
      </c>
      <c r="BL42" s="1992">
        <v>0</v>
      </c>
      <c r="BM42" s="1993">
        <f t="shared" ca="1" si="25"/>
        <v>147492.92567154104</v>
      </c>
      <c r="BN42" s="1992">
        <f t="shared" ca="1" si="8"/>
        <v>1838.6443862283995</v>
      </c>
      <c r="BO42" s="1992">
        <f t="shared" ca="1" si="9"/>
        <v>1838.6443862283995</v>
      </c>
      <c r="BP42" s="1247" t="str">
        <f t="shared" ca="1" si="26"/>
        <v>Investments Up</v>
      </c>
      <c r="BR42" s="1992">
        <f ca="1">LOOKUP(G42,Rental!$C$37:$C$161,Rental!$Y$37:$Y$161)</f>
        <v>0</v>
      </c>
      <c r="BS42" s="1992">
        <f ca="1">LOOKUP(G42,Rental!$C$37:$C$161,Rental!$AD$37:$AD$161)</f>
        <v>0</v>
      </c>
      <c r="BT42" s="1226"/>
    </row>
    <row r="43" spans="1:72" s="653" customFormat="1" ht="18" customHeight="1">
      <c r="F43" s="679">
        <f t="shared" si="27"/>
        <v>35</v>
      </c>
      <c r="G43" s="689">
        <f t="shared" si="28"/>
        <v>2068</v>
      </c>
      <c r="H43" s="680">
        <f t="shared" si="34"/>
        <v>100</v>
      </c>
      <c r="I43" s="680">
        <f t="shared" si="35"/>
        <v>98</v>
      </c>
      <c r="J43" s="680"/>
      <c r="K43" s="681">
        <f t="shared" ca="1" si="29"/>
        <v>47805</v>
      </c>
      <c r="L43" s="681">
        <f t="shared" ca="1" si="11"/>
        <v>1912</v>
      </c>
      <c r="M43" s="682">
        <f t="shared" si="0"/>
        <v>0</v>
      </c>
      <c r="N43" s="682"/>
      <c r="O43" s="681">
        <f ca="1">IF(U43&gt;0,Income!Q62+U43,Income!Q62)</f>
        <v>149663.82413820797</v>
      </c>
      <c r="P43" s="682">
        <f ca="1">TaxRates!M81</f>
        <v>27932</v>
      </c>
      <c r="Q43" s="1502">
        <f t="shared" ca="1" si="1"/>
        <v>0.18663160694200906</v>
      </c>
      <c r="R43" s="683">
        <f t="shared" ca="1" si="2"/>
        <v>10144</v>
      </c>
      <c r="S43" s="681">
        <f t="shared" ca="1" si="33"/>
        <v>121731.82413820797</v>
      </c>
      <c r="T43" s="683"/>
      <c r="U43" s="1506"/>
      <c r="V43" s="1506"/>
      <c r="W43" s="682">
        <f t="shared" ca="1" si="12"/>
        <v>335820</v>
      </c>
      <c r="X43" s="683">
        <f t="shared" ca="1" si="13"/>
        <v>27985</v>
      </c>
      <c r="Y43" s="682">
        <f t="shared" ca="1" si="4"/>
        <v>-17841</v>
      </c>
      <c r="Z43" s="673"/>
      <c r="AA43" s="672">
        <v>0</v>
      </c>
      <c r="AB43" s="672">
        <v>0</v>
      </c>
      <c r="AC43" s="1607" t="str">
        <f t="shared" si="14"/>
        <v/>
      </c>
      <c r="AD43" s="875"/>
      <c r="AE43" s="767"/>
      <c r="AF43" s="1974">
        <f t="shared" ca="1" si="15"/>
        <v>335824.86728467856</v>
      </c>
      <c r="AG43" s="1974">
        <f t="shared" ca="1" si="16"/>
        <v>27985.405607056546</v>
      </c>
      <c r="AH43" s="1975">
        <f>VLOOKUP(G43,Budget!$U$10:$V$134,2)</f>
        <v>291207.44497449766</v>
      </c>
      <c r="AI43" s="1975">
        <f t="shared" si="17"/>
        <v>0</v>
      </c>
      <c r="AJ43" s="1975">
        <f>(AB43+SUM($AB$9:AB42))*12</f>
        <v>0</v>
      </c>
      <c r="AK43" s="1975">
        <f>IF(G43&gt;=Housing!$I$43,    IF( Housing!$I$43 &lt;&gt; "",  VLOOKUP(G43,Budget!U44:W168,3)*-1,0), 0)</f>
        <v>-69117.203976310237</v>
      </c>
      <c r="AL43" s="1975">
        <f ca="1">IF(G43&lt;Housing!$I$43,  0,  VLOOKUP(G43,Housing!E115:I242,5)*12)</f>
        <v>85802.626286491126</v>
      </c>
      <c r="AM43" s="1975">
        <f ca="1">RMD!V41</f>
        <v>0</v>
      </c>
      <c r="AN43" s="1975">
        <f t="shared" ca="1" si="5"/>
        <v>27932</v>
      </c>
      <c r="AO43" s="1975"/>
      <c r="AP43" s="1976"/>
      <c r="AQ43" s="1977">
        <f t="shared" ca="1" si="18"/>
        <v>34550.406272268592</v>
      </c>
      <c r="AR43" s="1977">
        <f t="shared" ca="1" si="19"/>
        <v>2896.4803465260611</v>
      </c>
      <c r="AS43" s="1977">
        <f t="shared" ca="1" si="20"/>
        <v>31653.925925742529</v>
      </c>
      <c r="AT43" s="1978"/>
      <c r="AU43" s="1975">
        <f t="shared" ca="1" si="6"/>
        <v>1912.1901616775356</v>
      </c>
      <c r="AV43" s="1975">
        <f t="shared" ca="1" si="21"/>
        <v>47804.754041938388</v>
      </c>
      <c r="AW43" s="1976"/>
      <c r="AX43" s="1975">
        <f>IF(G43=Housing!$I$43,Housing!$I$48,0)</f>
        <v>0</v>
      </c>
      <c r="AY43" s="1979">
        <v>0</v>
      </c>
      <c r="AZ43" s="1979"/>
      <c r="BA43" s="1975">
        <f t="shared" ca="1" si="22"/>
        <v>1912.1901594537744</v>
      </c>
      <c r="BB43" s="1979"/>
      <c r="BC43" s="1994">
        <f t="shared" ca="1" si="23"/>
        <v>0.9999999988370607</v>
      </c>
      <c r="BD43" s="1979">
        <f t="shared" ca="1" si="30"/>
        <v>47804.75398634436</v>
      </c>
      <c r="BE43" s="1981"/>
      <c r="BF43" s="1979">
        <f t="shared" ca="1" si="36"/>
        <v>5.5594027431949239E-5</v>
      </c>
      <c r="BG43" s="1980">
        <f t="shared" ca="1" si="37"/>
        <v>1.1629393048059079E-9</v>
      </c>
      <c r="BH43" s="1979"/>
      <c r="BI43" s="1979">
        <f t="shared" ca="1" si="31"/>
        <v>2.2237610972779695E-6</v>
      </c>
      <c r="BJ43" s="1981"/>
      <c r="BK43" s="1984">
        <f ca="1"/>
        <v>149663.82413820797</v>
      </c>
      <c r="BL43" s="1984">
        <v>0</v>
      </c>
      <c r="BM43" s="1985">
        <f t="shared" ca="1" si="25"/>
        <v>149663.82413820797</v>
      </c>
      <c r="BN43" s="1984">
        <f t="shared" ca="1" si="8"/>
        <v>1912.1901616775356</v>
      </c>
      <c r="BO43" s="1984">
        <f t="shared" ca="1" si="9"/>
        <v>1912.1901616775356</v>
      </c>
      <c r="BP43" s="1247" t="str">
        <f t="shared" ca="1" si="26"/>
        <v>Investments Up</v>
      </c>
      <c r="BR43" s="1984">
        <f ca="1">LOOKUP(G43,Rental!$C$37:$C$161,Rental!$Y$37:$Y$161)</f>
        <v>0</v>
      </c>
      <c r="BS43" s="1984">
        <f ca="1">LOOKUP(G43,Rental!$C$37:$C$161,Rental!$AD$37:$AD$161)</f>
        <v>0</v>
      </c>
      <c r="BT43" s="1226"/>
    </row>
    <row r="44" spans="1:72" s="653" customFormat="1" ht="18" customHeight="1">
      <c r="A44" s="1719"/>
      <c r="F44" s="697">
        <f t="shared" si="27"/>
        <v>36</v>
      </c>
      <c r="G44" s="684">
        <f t="shared" si="28"/>
        <v>2069</v>
      </c>
      <c r="H44" s="685">
        <f t="shared" si="34"/>
        <v>101</v>
      </c>
      <c r="I44" s="685">
        <f t="shared" si="35"/>
        <v>99</v>
      </c>
      <c r="J44" s="680"/>
      <c r="K44" s="686">
        <f t="shared" ca="1" si="29"/>
        <v>49717</v>
      </c>
      <c r="L44" s="686">
        <f t="shared" ca="1" si="11"/>
        <v>1989</v>
      </c>
      <c r="M44" s="687">
        <f t="shared" si="0"/>
        <v>0</v>
      </c>
      <c r="N44" s="682"/>
      <c r="O44" s="686">
        <f ca="1">IF(U44&gt;0,Income!Q63+U44,Income!Q63)</f>
        <v>151867.93619759561</v>
      </c>
      <c r="P44" s="687">
        <f ca="1">TaxRates!M82</f>
        <v>28526</v>
      </c>
      <c r="Q44" s="1503">
        <f t="shared" ca="1" si="1"/>
        <v>0.18783425069321266</v>
      </c>
      <c r="R44" s="688">
        <f t="shared" ca="1" si="2"/>
        <v>10278</v>
      </c>
      <c r="S44" s="686">
        <f t="shared" ca="1" si="33"/>
        <v>123341.93619759561</v>
      </c>
      <c r="T44" s="683"/>
      <c r="U44" s="1507"/>
      <c r="V44" s="1506"/>
      <c r="W44" s="687">
        <f t="shared" ca="1" si="12"/>
        <v>345660</v>
      </c>
      <c r="X44" s="688">
        <f t="shared" ca="1" si="13"/>
        <v>28805</v>
      </c>
      <c r="Y44" s="687">
        <f t="shared" ca="1" si="4"/>
        <v>-18527</v>
      </c>
      <c r="Z44" s="673"/>
      <c r="AA44" s="672">
        <v>0</v>
      </c>
      <c r="AB44" s="672">
        <v>0</v>
      </c>
      <c r="AC44" s="1607" t="str">
        <f t="shared" si="14"/>
        <v/>
      </c>
      <c r="AD44" s="875"/>
      <c r="AE44" s="767"/>
      <c r="AF44" s="1986">
        <f t="shared" ca="1" si="15"/>
        <v>345655.65330321889</v>
      </c>
      <c r="AG44" s="1986">
        <f t="shared" ca="1" si="16"/>
        <v>28804.637775268242</v>
      </c>
      <c r="AH44" s="1987">
        <f>VLOOKUP(G44,Budget!$U$10:$V$134,2)</f>
        <v>299943.66832373256</v>
      </c>
      <c r="AI44" s="1987">
        <f t="shared" si="17"/>
        <v>0</v>
      </c>
      <c r="AJ44" s="1987">
        <f>(AB44+SUM($AB$9:AB43))*12</f>
        <v>0</v>
      </c>
      <c r="AK44" s="1987">
        <f>IF(G44&gt;=Housing!$I$43,    IF( Housing!$I$43 &lt;&gt; "",  VLOOKUP(G44,Budget!U45:W169,3)*-1,0), 0)</f>
        <v>-71190.72009559955</v>
      </c>
      <c r="AL44" s="1987">
        <f ca="1">IF(G44&lt;Housing!$I$43,  0,  VLOOKUP(G44,Housing!E116:I243,5)*12)</f>
        <v>88376.705075085862</v>
      </c>
      <c r="AM44" s="1987">
        <f ca="1">RMD!V42</f>
        <v>0</v>
      </c>
      <c r="AN44" s="1987">
        <f t="shared" ca="1" si="5"/>
        <v>28526</v>
      </c>
      <c r="AO44" s="1987"/>
      <c r="AP44" s="1976"/>
      <c r="AQ44" s="1988">
        <f t="shared" ca="1" si="18"/>
        <v>35586.918460436653</v>
      </c>
      <c r="AR44" s="1988">
        <f t="shared" ca="1" si="19"/>
        <v>2983.3747569218431</v>
      </c>
      <c r="AS44" s="1988">
        <f t="shared" ca="1" si="20"/>
        <v>32603.54370351481</v>
      </c>
      <c r="AT44" s="1978"/>
      <c r="AU44" s="1987">
        <f t="shared" ca="1" si="6"/>
        <v>1988.677768144637</v>
      </c>
      <c r="AV44" s="1987">
        <f t="shared" ca="1" si="21"/>
        <v>49716.944203615923</v>
      </c>
      <c r="AW44" s="1976"/>
      <c r="AX44" s="1987">
        <f>IF(G44=Housing!$I$43,Housing!$I$48,0)</f>
        <v>0</v>
      </c>
      <c r="AY44" s="1989">
        <v>0</v>
      </c>
      <c r="AZ44" s="1989"/>
      <c r="BA44" s="1987">
        <f t="shared" ca="1" si="22"/>
        <v>1988.6777658319256</v>
      </c>
      <c r="BB44" s="1989"/>
      <c r="BC44" s="1990">
        <f t="shared" ca="1" si="23"/>
        <v>0.9999999988370607</v>
      </c>
      <c r="BD44" s="1989">
        <f t="shared" ca="1" si="30"/>
        <v>49716.944145798137</v>
      </c>
      <c r="BE44" s="1981"/>
      <c r="BF44" s="1989">
        <f t="shared" ca="1" si="36"/>
        <v>5.781778852922721E-5</v>
      </c>
      <c r="BG44" s="1991">
        <f t="shared" ca="1" si="37"/>
        <v>1.1629393048059079E-9</v>
      </c>
      <c r="BH44" s="1989"/>
      <c r="BI44" s="1989">
        <f t="shared" ca="1" si="31"/>
        <v>2.3127115411690883E-6</v>
      </c>
      <c r="BJ44" s="1981"/>
      <c r="BK44" s="1992">
        <f ca="1"/>
        <v>151867.93619759561</v>
      </c>
      <c r="BL44" s="1992">
        <v>0</v>
      </c>
      <c r="BM44" s="1993">
        <f t="shared" ca="1" si="25"/>
        <v>151867.93619759561</v>
      </c>
      <c r="BN44" s="1992">
        <f t="shared" ca="1" si="8"/>
        <v>1988.6777681446372</v>
      </c>
      <c r="BO44" s="1992">
        <f t="shared" ca="1" si="9"/>
        <v>1988.6777681446372</v>
      </c>
      <c r="BP44" s="1247" t="str">
        <f t="shared" ca="1" si="26"/>
        <v>Investments Up</v>
      </c>
      <c r="BR44" s="1992">
        <f ca="1">LOOKUP(G44,Rental!$C$37:$C$161,Rental!$Y$37:$Y$161)</f>
        <v>0</v>
      </c>
      <c r="BS44" s="1992">
        <f ca="1">LOOKUP(G44,Rental!$C$37:$C$161,Rental!$AD$37:$AD$161)</f>
        <v>0</v>
      </c>
      <c r="BT44" s="1226"/>
    </row>
    <row r="45" spans="1:72" s="653" customFormat="1" ht="18" customHeight="1">
      <c r="F45" s="679">
        <f t="shared" si="27"/>
        <v>37</v>
      </c>
      <c r="G45" s="689">
        <f t="shared" si="28"/>
        <v>2070</v>
      </c>
      <c r="H45" s="680">
        <f t="shared" si="34"/>
        <v>102</v>
      </c>
      <c r="I45" s="680">
        <f t="shared" si="35"/>
        <v>100</v>
      </c>
      <c r="J45" s="680"/>
      <c r="K45" s="681">
        <f t="shared" ca="1" si="29"/>
        <v>51706</v>
      </c>
      <c r="L45" s="681">
        <f t="shared" ca="1" si="11"/>
        <v>2068</v>
      </c>
      <c r="M45" s="682">
        <f t="shared" si="0"/>
        <v>0</v>
      </c>
      <c r="N45" s="682"/>
      <c r="O45" s="681">
        <f ca="1">IF(U45&gt;0,Income!Q64+U45,Income!Q64)</f>
        <v>154105.79244422482</v>
      </c>
      <c r="P45" s="682">
        <f ca="1">TaxRates!M83</f>
        <v>29130</v>
      </c>
      <c r="Q45" s="1502">
        <f t="shared" ca="1" si="1"/>
        <v>0.18902599012002069</v>
      </c>
      <c r="R45" s="683">
        <f t="shared" ca="1" si="2"/>
        <v>10415</v>
      </c>
      <c r="S45" s="681">
        <f t="shared" ca="1" si="33"/>
        <v>124975.79244422482</v>
      </c>
      <c r="T45" s="683"/>
      <c r="U45" s="1506"/>
      <c r="V45" s="1506"/>
      <c r="W45" s="682">
        <f t="shared" ca="1" si="12"/>
        <v>355776</v>
      </c>
      <c r="X45" s="683">
        <f t="shared" ca="1" si="13"/>
        <v>29648</v>
      </c>
      <c r="Y45" s="682">
        <f t="shared" ca="1" si="4"/>
        <v>-19233</v>
      </c>
      <c r="Z45" s="673"/>
      <c r="AA45" s="672">
        <v>0</v>
      </c>
      <c r="AB45" s="672">
        <v>0</v>
      </c>
      <c r="AC45" s="1607" t="str">
        <f t="shared" si="14"/>
        <v/>
      </c>
      <c r="AD45" s="875"/>
      <c r="AE45" s="767"/>
      <c r="AF45" s="1974">
        <f t="shared" ca="1" si="15"/>
        <v>355773.54290231544</v>
      </c>
      <c r="AG45" s="1974">
        <f t="shared" ca="1" si="16"/>
        <v>29647.795241859621</v>
      </c>
      <c r="AH45" s="1975">
        <f>VLOOKUP(G45,Budget!$U$10:$V$134,2)</f>
        <v>308941.97837344452</v>
      </c>
      <c r="AI45" s="1975">
        <f t="shared" si="17"/>
        <v>0</v>
      </c>
      <c r="AJ45" s="1975">
        <f>(AB45+SUM($AB$9:AB44))*12</f>
        <v>0</v>
      </c>
      <c r="AK45" s="1975">
        <f>IF(G45&gt;=Housing!$I$43,    IF( Housing!$I$43 &lt;&gt; "",  VLOOKUP(G45,Budget!U46:W170,3)*-1,0), 0)</f>
        <v>-73326.441698467534</v>
      </c>
      <c r="AL45" s="1975">
        <f ca="1">IF(G45&lt;Housing!$I$43,  0,  VLOOKUP(G45,Housing!E117:I244,5)*12)</f>
        <v>91028.006227338439</v>
      </c>
      <c r="AM45" s="1975">
        <f ca="1">RMD!V43</f>
        <v>0</v>
      </c>
      <c r="AN45" s="1975">
        <f t="shared" ca="1" si="5"/>
        <v>29130</v>
      </c>
      <c r="AO45" s="1975"/>
      <c r="AP45" s="1976"/>
      <c r="AQ45" s="1977">
        <f t="shared" ca="1" si="18"/>
        <v>36654.52601424975</v>
      </c>
      <c r="AR45" s="1977">
        <f t="shared" ca="1" si="19"/>
        <v>3072.8759996294984</v>
      </c>
      <c r="AS45" s="1977">
        <f t="shared" ca="1" si="20"/>
        <v>33581.650014620252</v>
      </c>
      <c r="AT45" s="1978"/>
      <c r="AU45" s="1975">
        <f t="shared" ca="1" si="6"/>
        <v>2068.2248788704228</v>
      </c>
      <c r="AV45" s="1975">
        <f t="shared" ca="1" si="21"/>
        <v>51705.621971760564</v>
      </c>
      <c r="AW45" s="1976"/>
      <c r="AX45" s="1975">
        <f>IF(G45=Housing!$I$43,Housing!$I$48,0)</f>
        <v>0</v>
      </c>
      <c r="AY45" s="1979">
        <v>0</v>
      </c>
      <c r="AZ45" s="1979"/>
      <c r="BA45" s="1975">
        <f t="shared" ca="1" si="22"/>
        <v>2068.2248764652027</v>
      </c>
      <c r="BB45" s="1979"/>
      <c r="BC45" s="1994">
        <f t="shared" ca="1" si="23"/>
        <v>0.9999999988370607</v>
      </c>
      <c r="BD45" s="1979">
        <f t="shared" ca="1" si="30"/>
        <v>51705.621911630064</v>
      </c>
      <c r="BE45" s="1981"/>
      <c r="BF45" s="1979">
        <f t="shared" ca="1" si="36"/>
        <v>6.0130500070396301E-5</v>
      </c>
      <c r="BG45" s="1980">
        <f t="shared" ca="1" si="37"/>
        <v>1.1629393048059079E-9</v>
      </c>
      <c r="BH45" s="1979"/>
      <c r="BI45" s="1979">
        <f t="shared" ca="1" si="31"/>
        <v>2.4052200028158522E-6</v>
      </c>
      <c r="BJ45" s="1981"/>
      <c r="BK45" s="1984">
        <f ca="1"/>
        <v>154105.79244422482</v>
      </c>
      <c r="BL45" s="1984">
        <v>0</v>
      </c>
      <c r="BM45" s="1985">
        <f t="shared" ca="1" si="25"/>
        <v>154105.79244422482</v>
      </c>
      <c r="BN45" s="1984">
        <f t="shared" ca="1" si="8"/>
        <v>2068.2248788704228</v>
      </c>
      <c r="BO45" s="1984">
        <f t="shared" ca="1" si="9"/>
        <v>2068.2248788704228</v>
      </c>
      <c r="BP45" s="1247" t="str">
        <f t="shared" ca="1" si="26"/>
        <v>Investments Up</v>
      </c>
      <c r="BR45" s="1984">
        <f ca="1">LOOKUP(G45,Rental!$C$37:$C$161,Rental!$Y$37:$Y$161)</f>
        <v>0</v>
      </c>
      <c r="BS45" s="1984">
        <f ca="1">LOOKUP(G45,Rental!$C$37:$C$161,Rental!$AD$37:$AD$161)</f>
        <v>0</v>
      </c>
      <c r="BT45" s="1226"/>
    </row>
    <row r="46" spans="1:72" s="653" customFormat="1" ht="18" customHeight="1">
      <c r="F46" s="697">
        <f t="shared" si="27"/>
        <v>38</v>
      </c>
      <c r="G46" s="684">
        <f t="shared" si="28"/>
        <v>2071</v>
      </c>
      <c r="H46" s="685">
        <f t="shared" si="34"/>
        <v>103</v>
      </c>
      <c r="I46" s="685">
        <f t="shared" si="35"/>
        <v>101</v>
      </c>
      <c r="J46" s="680"/>
      <c r="K46" s="686">
        <f t="shared" ca="1" si="29"/>
        <v>53774</v>
      </c>
      <c r="L46" s="686">
        <f t="shared" ca="1" si="11"/>
        <v>2151</v>
      </c>
      <c r="M46" s="687">
        <f t="shared" si="0"/>
        <v>0</v>
      </c>
      <c r="N46" s="682"/>
      <c r="O46" s="686">
        <f ca="1">IF(U46&gt;0,Income!Q65+U46,Income!Q65)</f>
        <v>156377.93233333365</v>
      </c>
      <c r="P46" s="687">
        <f ca="1">TaxRates!M84</f>
        <v>29741</v>
      </c>
      <c r="Q46" s="1503">
        <f t="shared" ca="1" si="1"/>
        <v>0.19018668143408099</v>
      </c>
      <c r="R46" s="688">
        <f t="shared" ca="1" si="2"/>
        <v>10553</v>
      </c>
      <c r="S46" s="686">
        <f t="shared" ca="1" si="33"/>
        <v>126636.93233333365</v>
      </c>
      <c r="T46" s="683"/>
      <c r="U46" s="1507"/>
      <c r="V46" s="1506"/>
      <c r="W46" s="687">
        <f t="shared" ca="1" si="12"/>
        <v>366180</v>
      </c>
      <c r="X46" s="688">
        <f t="shared" ca="1" si="13"/>
        <v>30515</v>
      </c>
      <c r="Y46" s="687">
        <f t="shared" ca="1" si="4"/>
        <v>-19962</v>
      </c>
      <c r="Z46" s="673"/>
      <c r="AA46" s="672">
        <v>0</v>
      </c>
      <c r="AB46" s="672">
        <v>0</v>
      </c>
      <c r="AC46" s="1607" t="str">
        <f t="shared" si="14"/>
        <v/>
      </c>
      <c r="AD46" s="875"/>
      <c r="AE46" s="767"/>
      <c r="AF46" s="1986">
        <f t="shared" ca="1" si="15"/>
        <v>366183.8491893849</v>
      </c>
      <c r="AG46" s="1986">
        <f t="shared" ca="1" si="16"/>
        <v>30515.320765782075</v>
      </c>
      <c r="AH46" s="1987">
        <f>VLOOKUP(G46,Budget!$U$10:$V$134,2)</f>
        <v>318210.23772464786</v>
      </c>
      <c r="AI46" s="1987">
        <f t="shared" si="17"/>
        <v>0</v>
      </c>
      <c r="AJ46" s="1987">
        <f>(AB46+SUM($AB$9:AB45))*12</f>
        <v>0</v>
      </c>
      <c r="AK46" s="1987">
        <f>IF(G46&gt;=Housing!$I$43,    IF( Housing!$I$43 &lt;&gt; "",  VLOOKUP(G46,Budget!U47:W171,3)*-1,0), 0)</f>
        <v>-75526.23494942156</v>
      </c>
      <c r="AL46" s="1987">
        <f ca="1">IF(G46&lt;Housing!$I$43,  0,  VLOOKUP(G46,Housing!E118:I245,5)*12)</f>
        <v>93758.846414158586</v>
      </c>
      <c r="AM46" s="1987">
        <f ca="1">RMD!V44</f>
        <v>0</v>
      </c>
      <c r="AN46" s="1987">
        <f t="shared" ca="1" si="5"/>
        <v>29741</v>
      </c>
      <c r="AO46" s="1987"/>
      <c r="AP46" s="1976"/>
      <c r="AQ46" s="1988">
        <f t="shared" ca="1" si="18"/>
        <v>37754.161794677246</v>
      </c>
      <c r="AR46" s="1988">
        <f t="shared" ca="1" si="19"/>
        <v>3165.0622796183834</v>
      </c>
      <c r="AS46" s="1988">
        <f t="shared" ca="1" si="20"/>
        <v>34589.099515058864</v>
      </c>
      <c r="AT46" s="1978"/>
      <c r="AU46" s="1987">
        <f t="shared" ca="1" si="6"/>
        <v>2150.9538740252397</v>
      </c>
      <c r="AV46" s="1987">
        <f t="shared" ca="1" si="21"/>
        <v>53773.846850630987</v>
      </c>
      <c r="AW46" s="1976"/>
      <c r="AX46" s="1987">
        <f>IF(G46=Housing!$I$43,Housing!$I$48,0)</f>
        <v>0</v>
      </c>
      <c r="AY46" s="1989">
        <v>0</v>
      </c>
      <c r="AZ46" s="1989"/>
      <c r="BA46" s="1987">
        <f t="shared" ca="1" si="22"/>
        <v>2150.9538715238109</v>
      </c>
      <c r="BB46" s="1989"/>
      <c r="BC46" s="1990">
        <f t="shared" ca="1" si="23"/>
        <v>0.9999999988370607</v>
      </c>
      <c r="BD46" s="1989">
        <f t="shared" ca="1" si="30"/>
        <v>53773.846788095267</v>
      </c>
      <c r="BE46" s="1981"/>
      <c r="BF46" s="1989">
        <f t="shared" ca="1" si="36"/>
        <v>6.2535720073212154E-5</v>
      </c>
      <c r="BG46" s="1991">
        <f t="shared" ca="1" si="37"/>
        <v>1.1629393048059079E-9</v>
      </c>
      <c r="BH46" s="1989"/>
      <c r="BI46" s="1989">
        <f t="shared" ca="1" si="31"/>
        <v>2.5014288029284861E-6</v>
      </c>
      <c r="BJ46" s="1981"/>
      <c r="BK46" s="1992">
        <f ca="1"/>
        <v>156377.93233333365</v>
      </c>
      <c r="BL46" s="1992">
        <v>0</v>
      </c>
      <c r="BM46" s="1993">
        <f t="shared" ca="1" si="25"/>
        <v>156377.93233333365</v>
      </c>
      <c r="BN46" s="1992">
        <f t="shared" ca="1" si="8"/>
        <v>2150.9538740252397</v>
      </c>
      <c r="BO46" s="1992">
        <f t="shared" ca="1" si="9"/>
        <v>2150.9538740252397</v>
      </c>
      <c r="BP46" s="1247" t="str">
        <f t="shared" ca="1" si="26"/>
        <v>Investments Up</v>
      </c>
      <c r="BR46" s="1992">
        <f ca="1">LOOKUP(G46,Rental!$C$37:$C$161,Rental!$Y$37:$Y$161)</f>
        <v>0</v>
      </c>
      <c r="BS46" s="1992">
        <f ca="1">LOOKUP(G46,Rental!$C$37:$C$161,Rental!$AD$37:$AD$161)</f>
        <v>0</v>
      </c>
      <c r="BT46" s="1226"/>
    </row>
    <row r="47" spans="1:72" s="653" customFormat="1" ht="18" customHeight="1">
      <c r="F47" s="679">
        <f t="shared" si="27"/>
        <v>39</v>
      </c>
      <c r="G47" s="689">
        <f t="shared" si="28"/>
        <v>2072</v>
      </c>
      <c r="H47" s="680">
        <f t="shared" si="34"/>
        <v>104</v>
      </c>
      <c r="I47" s="680">
        <f t="shared" si="35"/>
        <v>102</v>
      </c>
      <c r="J47" s="680"/>
      <c r="K47" s="681">
        <f t="shared" ca="1" si="29"/>
        <v>55925</v>
      </c>
      <c r="L47" s="681">
        <f t="shared" ca="1" si="11"/>
        <v>2237</v>
      </c>
      <c r="M47" s="682">
        <f t="shared" si="0"/>
        <v>0</v>
      </c>
      <c r="N47" s="682"/>
      <c r="O47" s="681">
        <f ca="1">IF(U47&gt;0,Income!Q66+U47,Income!Q66)</f>
        <v>158684.9043351516</v>
      </c>
      <c r="P47" s="682">
        <f ca="1">TaxRates!M85</f>
        <v>30364</v>
      </c>
      <c r="Q47" s="1502">
        <f t="shared" ca="1" si="1"/>
        <v>0.19134775375904373</v>
      </c>
      <c r="R47" s="683">
        <f t="shared" ca="1" si="2"/>
        <v>10693</v>
      </c>
      <c r="S47" s="681">
        <f t="shared" ca="1" si="33"/>
        <v>128320.9043351516</v>
      </c>
      <c r="T47" s="683"/>
      <c r="U47" s="1506"/>
      <c r="V47" s="1506"/>
      <c r="W47" s="682">
        <f t="shared" ca="1" si="12"/>
        <v>376896</v>
      </c>
      <c r="X47" s="683">
        <f t="shared" ca="1" si="13"/>
        <v>31408</v>
      </c>
      <c r="Y47" s="682">
        <f t="shared" ca="1" si="4"/>
        <v>-20715</v>
      </c>
      <c r="Z47" s="673"/>
      <c r="AA47" s="672">
        <v>0</v>
      </c>
      <c r="AB47" s="672">
        <v>0</v>
      </c>
      <c r="AC47" s="1607" t="str">
        <f t="shared" si="14"/>
        <v/>
      </c>
      <c r="AD47" s="875"/>
      <c r="AE47" s="767"/>
      <c r="AF47" s="1974">
        <f t="shared" ca="1" si="15"/>
        <v>376900.13466506649</v>
      </c>
      <c r="AG47" s="1974">
        <f t="shared" ca="1" si="16"/>
        <v>31408.344555422209</v>
      </c>
      <c r="AH47" s="1975">
        <f>VLOOKUP(G47,Budget!$U$10:$V$134,2)</f>
        <v>327756.54485638731</v>
      </c>
      <c r="AI47" s="1975">
        <f t="shared" si="17"/>
        <v>0</v>
      </c>
      <c r="AJ47" s="1975">
        <f>(AB47+SUM($AB$9:AB46))*12</f>
        <v>0</v>
      </c>
      <c r="AK47" s="1975">
        <f>IF(G47&gt;=Housing!$I$43,    IF( Housing!$I$43 &lt;&gt; "",  VLOOKUP(G47,Budget!U48:W172,3)*-1,0), 0)</f>
        <v>-77792.021997904201</v>
      </c>
      <c r="AL47" s="1975">
        <f ca="1">IF(G47&lt;Housing!$I$43,  0,  VLOOKUP(G47,Housing!E119:I246,5)*12)</f>
        <v>96571.611806583358</v>
      </c>
      <c r="AM47" s="1975">
        <f ca="1">RMD!V45</f>
        <v>0</v>
      </c>
      <c r="AN47" s="1975">
        <f t="shared" ca="1" si="5"/>
        <v>30364</v>
      </c>
      <c r="AO47" s="1975"/>
      <c r="AP47" s="1976"/>
      <c r="AQ47" s="1977">
        <f t="shared" ca="1" si="18"/>
        <v>38886.786648517562</v>
      </c>
      <c r="AR47" s="1977">
        <f t="shared" ca="1" si="19"/>
        <v>3260.0141480069351</v>
      </c>
      <c r="AS47" s="1977">
        <f t="shared" ca="1" si="20"/>
        <v>35626.772500510626</v>
      </c>
      <c r="AT47" s="1978"/>
      <c r="AU47" s="1975">
        <f t="shared" ca="1" si="6"/>
        <v>2236.9920289862489</v>
      </c>
      <c r="AV47" s="1975">
        <f t="shared" ca="1" si="21"/>
        <v>55924.800724656227</v>
      </c>
      <c r="AW47" s="1976"/>
      <c r="AX47" s="1975">
        <f>IF(G47=Housing!$I$43,Housing!$I$48,0)</f>
        <v>0</v>
      </c>
      <c r="AY47" s="1979">
        <v>0</v>
      </c>
      <c r="AZ47" s="1979"/>
      <c r="BA47" s="1975">
        <f t="shared" ca="1" si="22"/>
        <v>2236.992026384763</v>
      </c>
      <c r="BB47" s="1979"/>
      <c r="BC47" s="1994">
        <f t="shared" ca="1" si="23"/>
        <v>0.9999999988370607</v>
      </c>
      <c r="BD47" s="1979">
        <f t="shared" ca="1" si="30"/>
        <v>55924.800659619075</v>
      </c>
      <c r="BE47" s="1981"/>
      <c r="BF47" s="1979">
        <f t="shared" ca="1" si="36"/>
        <v>6.5037148876140644E-5</v>
      </c>
      <c r="BG47" s="1980">
        <f t="shared" ca="1" si="37"/>
        <v>1.1629393048059079E-9</v>
      </c>
      <c r="BH47" s="1979"/>
      <c r="BI47" s="1979">
        <f t="shared" ca="1" si="31"/>
        <v>2.6014859550456258E-6</v>
      </c>
      <c r="BJ47" s="1981"/>
      <c r="BK47" s="1984">
        <f ca="1"/>
        <v>158684.9043351516</v>
      </c>
      <c r="BL47" s="1984">
        <v>0</v>
      </c>
      <c r="BM47" s="1985">
        <f t="shared" ca="1" si="25"/>
        <v>158684.9043351516</v>
      </c>
      <c r="BN47" s="1984">
        <f t="shared" ca="1" si="8"/>
        <v>2236.9920289862489</v>
      </c>
      <c r="BO47" s="1984">
        <f t="shared" ca="1" si="9"/>
        <v>2236.9920289862489</v>
      </c>
      <c r="BP47" s="1247" t="str">
        <f t="shared" ca="1" si="26"/>
        <v>Investments Up</v>
      </c>
      <c r="BR47" s="1984">
        <f ca="1">LOOKUP(G47,Rental!$C$37:$C$161,Rental!$Y$37:$Y$161)</f>
        <v>0</v>
      </c>
      <c r="BS47" s="1984">
        <f ca="1">LOOKUP(G47,Rental!$C$37:$C$161,Rental!$AD$37:$AD$161)</f>
        <v>0</v>
      </c>
      <c r="BT47" s="1226"/>
    </row>
    <row r="48" spans="1:72" s="653" customFormat="1" ht="18" customHeight="1">
      <c r="F48" s="698">
        <f t="shared" si="27"/>
        <v>40</v>
      </c>
      <c r="G48" s="690">
        <f t="shared" si="28"/>
        <v>2073</v>
      </c>
      <c r="H48" s="691">
        <f t="shared" si="34"/>
        <v>105</v>
      </c>
      <c r="I48" s="691">
        <f t="shared" si="35"/>
        <v>103</v>
      </c>
      <c r="J48" s="680"/>
      <c r="K48" s="692">
        <f t="shared" ca="1" si="29"/>
        <v>58162</v>
      </c>
      <c r="L48" s="692">
        <f t="shared" ca="1" si="11"/>
        <v>2326</v>
      </c>
      <c r="M48" s="693">
        <f t="shared" si="0"/>
        <v>0</v>
      </c>
      <c r="N48" s="694"/>
      <c r="O48" s="692">
        <f ca="1">IF(U48&gt;0,Income!Q67+U48,Income!Q67)</f>
        <v>161027.26609195839</v>
      </c>
      <c r="P48" s="693">
        <f ca="1">TaxRates!M86</f>
        <v>30995</v>
      </c>
      <c r="Q48" s="1504">
        <f t="shared" ca="1" si="1"/>
        <v>0.19248293007905617</v>
      </c>
      <c r="R48" s="695">
        <f t="shared" ca="1" si="2"/>
        <v>10836</v>
      </c>
      <c r="S48" s="692">
        <f t="shared" ca="1" si="33"/>
        <v>130032.26609195839</v>
      </c>
      <c r="T48" s="683"/>
      <c r="U48" s="1508"/>
      <c r="V48" s="1509"/>
      <c r="W48" s="693">
        <f t="shared" ca="1" si="12"/>
        <v>387924</v>
      </c>
      <c r="X48" s="695">
        <f t="shared" ca="1" si="13"/>
        <v>32327</v>
      </c>
      <c r="Y48" s="693">
        <f t="shared" ca="1" si="4"/>
        <v>-21491</v>
      </c>
      <c r="Z48" s="674"/>
      <c r="AA48" s="672">
        <v>0</v>
      </c>
      <c r="AB48" s="672">
        <v>0</v>
      </c>
      <c r="AC48" s="1607" t="str">
        <f t="shared" si="14"/>
        <v/>
      </c>
      <c r="AD48" s="875"/>
      <c r="AE48" s="767"/>
      <c r="AF48" s="1995">
        <f ca="1">AG48*12</f>
        <v>387927.21870501846</v>
      </c>
      <c r="AG48" s="1995">
        <f ca="1">SUM(AH48:AO48)/12</f>
        <v>32327.268225418204</v>
      </c>
      <c r="AH48" s="1996">
        <f>VLOOKUP(G48,Budget!$U$10:$V$134,2)</f>
        <v>337589.24120207893</v>
      </c>
      <c r="AI48" s="1996">
        <f t="shared" si="17"/>
        <v>0</v>
      </c>
      <c r="AJ48" s="1996">
        <f>(AB48+SUM($AB$9:AB47))*12</f>
        <v>0</v>
      </c>
      <c r="AK48" s="1996">
        <f>IF(G48&gt;=Housing!$I$43,    IF( Housing!$I$43 &lt;&gt; "",  VLOOKUP(G48,Budget!U49:W173,3)*-1,0), 0)</f>
        <v>-80125.782657841322</v>
      </c>
      <c r="AL48" s="1996">
        <f ca="1">IF(G48&lt;Housing!$I$43,  0,  VLOOKUP(G48,Housing!E120:I247,5)*12)</f>
        <v>99468.760160780861</v>
      </c>
      <c r="AM48" s="1996">
        <f ca="1">RMD!V46</f>
        <v>0</v>
      </c>
      <c r="AN48" s="1996">
        <f t="shared" ca="1" si="5"/>
        <v>30995</v>
      </c>
      <c r="AO48" s="1996"/>
      <c r="AP48" s="1976"/>
      <c r="AQ48" s="1997">
        <f t="shared" ca="1" si="18"/>
        <v>40053.39024797309</v>
      </c>
      <c r="AR48" s="1997">
        <f t="shared" ca="1" si="19"/>
        <v>3357.8145724471433</v>
      </c>
      <c r="AS48" s="1997">
        <f t="shared" ca="1" si="20"/>
        <v>36695.57567552595</v>
      </c>
      <c r="AT48" s="1978"/>
      <c r="AU48" s="1996">
        <f t="shared" ca="1" si="6"/>
        <v>2326.4717101456986</v>
      </c>
      <c r="AV48" s="1996">
        <f t="shared" ca="1" si="21"/>
        <v>58161.792753642469</v>
      </c>
      <c r="AW48" s="1976"/>
      <c r="AX48" s="1996">
        <f>IF(G48=Housing!$I$43,Housing!$I$48,0)</f>
        <v>0</v>
      </c>
      <c r="AY48" s="1998">
        <v>0</v>
      </c>
      <c r="AZ48" s="1998"/>
      <c r="BA48" s="1996">
        <f t="shared" ca="1" si="22"/>
        <v>2326.4717074401533</v>
      </c>
      <c r="BB48" s="1998"/>
      <c r="BC48" s="1999">
        <f t="shared" ca="1" si="23"/>
        <v>0.9999999988370607</v>
      </c>
      <c r="BD48" s="1998">
        <f t="shared" ca="1" si="30"/>
        <v>58161.792686003835</v>
      </c>
      <c r="BE48" s="1981"/>
      <c r="BF48" s="1998">
        <f t="shared" ca="1" si="36"/>
        <v>6.7638634831186268E-5</v>
      </c>
      <c r="BG48" s="2000">
        <f t="shared" ca="1" si="37"/>
        <v>1.1629393048059079E-9</v>
      </c>
      <c r="BH48" s="1998"/>
      <c r="BI48" s="1998">
        <f t="shared" ca="1" si="31"/>
        <v>2.7055453932474509E-6</v>
      </c>
      <c r="BJ48" s="1981"/>
      <c r="BK48" s="2001">
        <f ca="1"/>
        <v>161027.26609195839</v>
      </c>
      <c r="BL48" s="2001">
        <v>0</v>
      </c>
      <c r="BM48" s="2002">
        <f t="shared" ca="1" si="25"/>
        <v>161027.26609195839</v>
      </c>
      <c r="BN48" s="2001">
        <f t="shared" ca="1" si="8"/>
        <v>2326.4717101456986</v>
      </c>
      <c r="BO48" s="2001">
        <f t="shared" ca="1" si="9"/>
        <v>2326.4717101456986</v>
      </c>
      <c r="BP48" s="1280" t="str">
        <f t="shared" ca="1" si="26"/>
        <v>Investments Up</v>
      </c>
      <c r="BR48" s="2001">
        <f ca="1">LOOKUP(G48,Rental!$C$37:$C$161,Rental!$Y$37:$Y$161)</f>
        <v>0</v>
      </c>
      <c r="BS48" s="2001">
        <f ca="1">LOOKUP(G48,Rental!$C$37:$C$161,Rental!$AD$37:$AD$161)</f>
        <v>0</v>
      </c>
      <c r="BT48" s="1226"/>
    </row>
    <row r="49" spans="4:69" s="653" customFormat="1" ht="18" customHeight="1">
      <c r="F49" s="664"/>
      <c r="G49" s="654"/>
      <c r="H49" s="654"/>
      <c r="I49" s="654"/>
      <c r="J49" s="654"/>
      <c r="K49" s="1216">
        <f ca="1">COUNTIF(K9:K48,"&lt;0")</f>
        <v>0</v>
      </c>
      <c r="L49" s="665"/>
      <c r="M49" s="660"/>
      <c r="N49" s="660"/>
      <c r="O49" s="666"/>
      <c r="P49" s="660"/>
      <c r="Q49" s="660"/>
      <c r="R49" s="660"/>
      <c r="S49" s="671"/>
      <c r="T49" s="660"/>
      <c r="U49" s="1688">
        <f>COUNTIF(U9:U48,"&lt;&gt;")-COUNTIF(U9:U48,"&gt;=0")</f>
        <v>0</v>
      </c>
      <c r="V49" s="1642"/>
      <c r="W49" s="1643"/>
      <c r="X49" s="1643"/>
      <c r="Y49" s="1644"/>
      <c r="Z49" s="1644"/>
      <c r="AA49" s="1633">
        <f>SUM(AA9:AA48)</f>
        <v>0</v>
      </c>
      <c r="AB49" s="1634"/>
      <c r="AC49" s="1592"/>
      <c r="AD49" s="660"/>
      <c r="AE49" s="769"/>
      <c r="AF49" s="1286"/>
      <c r="AG49" s="1286"/>
      <c r="AH49" s="1287"/>
      <c r="AI49" s="1287"/>
      <c r="AJ49" s="1287"/>
      <c r="AK49" s="1287"/>
      <c r="AL49" s="1287"/>
      <c r="AM49" s="1287"/>
      <c r="AN49" s="1287"/>
      <c r="AO49" s="1587">
        <f>SUM(AO9:AO48)</f>
        <v>0</v>
      </c>
      <c r="AP49" s="1232"/>
      <c r="AQ49" s="1288"/>
      <c r="AR49" s="1288"/>
      <c r="AS49" s="1288"/>
      <c r="AT49" s="1235"/>
      <c r="AU49" s="1287"/>
      <c r="AV49" s="1287"/>
      <c r="AW49" s="1232"/>
      <c r="AX49" s="1287"/>
      <c r="AY49" s="1289"/>
      <c r="AZ49" s="1289"/>
      <c r="BA49" s="1287"/>
      <c r="BB49" s="1289"/>
      <c r="BC49" s="1290"/>
      <c r="BD49" s="1289"/>
      <c r="BE49" s="1230"/>
      <c r="BF49" s="1289"/>
      <c r="BG49" s="1291"/>
      <c r="BH49" s="1289"/>
      <c r="BI49" s="1289"/>
      <c r="BJ49" s="1230"/>
      <c r="BK49" s="1292"/>
      <c r="BL49" s="1292"/>
      <c r="BM49" s="1293"/>
      <c r="BN49" s="1292"/>
      <c r="BO49" s="1292"/>
      <c r="BP49" s="1292"/>
      <c r="BQ49" s="1294"/>
    </row>
    <row r="50" spans="4:69" ht="18" customHeight="1">
      <c r="F50" s="649"/>
      <c r="K50" s="651"/>
      <c r="L50" s="651"/>
      <c r="M50" s="650"/>
      <c r="N50" s="650"/>
      <c r="O50" s="760"/>
      <c r="P50" s="650"/>
      <c r="Q50" s="650"/>
      <c r="R50" s="650"/>
      <c r="S50" s="761"/>
      <c r="T50" s="650"/>
      <c r="U50" s="1641"/>
      <c r="V50" s="1641"/>
      <c r="W50" s="1645"/>
      <c r="X50" s="1645"/>
      <c r="Y50" s="1645"/>
      <c r="Z50" s="1645"/>
      <c r="AA50" s="650"/>
      <c r="AB50" s="650"/>
      <c r="AC50" s="650"/>
      <c r="AD50" s="650"/>
      <c r="AE50" s="567"/>
      <c r="AF50" s="1281"/>
      <c r="AG50" s="1281"/>
      <c r="AH50" s="1232"/>
      <c r="AI50" s="1232"/>
      <c r="AJ50" s="1232"/>
      <c r="AK50" s="1232"/>
      <c r="AL50" s="1232"/>
      <c r="AM50" s="1232"/>
      <c r="AN50" s="1232"/>
      <c r="AO50" s="1232"/>
      <c r="AP50" s="1232"/>
      <c r="AQ50" s="1282"/>
      <c r="AR50" s="1282"/>
      <c r="AS50" s="1282"/>
      <c r="AT50" s="1235"/>
      <c r="AU50" s="1232"/>
      <c r="AV50" s="1232"/>
      <c r="AW50" s="1232"/>
      <c r="AX50" s="1232"/>
      <c r="AY50" s="1230"/>
      <c r="AZ50" s="1230"/>
      <c r="BA50" s="1232"/>
      <c r="BB50" s="1230"/>
      <c r="BC50" s="1283"/>
      <c r="BD50" s="1230"/>
      <c r="BE50" s="1230"/>
      <c r="BF50" s="1230"/>
      <c r="BG50" s="1284"/>
      <c r="BH50" s="1230"/>
      <c r="BI50" s="1230"/>
      <c r="BJ50" s="1230"/>
      <c r="BK50" s="1256"/>
      <c r="BL50" s="1256"/>
      <c r="BM50" s="1285"/>
      <c r="BN50" s="1256"/>
      <c r="BO50" s="1256"/>
      <c r="BP50" s="1256"/>
      <c r="BQ50" s="1259"/>
    </row>
    <row r="51" spans="4:69" ht="24" customHeight="1">
      <c r="D51" s="565"/>
      <c r="E51" s="565"/>
      <c r="F51" s="604"/>
      <c r="G51" s="566"/>
      <c r="H51" s="566"/>
      <c r="I51" s="566"/>
      <c r="J51" s="566"/>
      <c r="K51" s="762"/>
      <c r="L51" s="651"/>
      <c r="M51" s="650"/>
      <c r="N51" s="650"/>
      <c r="O51" s="565"/>
      <c r="P51" s="650"/>
      <c r="Q51" s="650"/>
      <c r="R51" s="650"/>
      <c r="S51" s="761"/>
      <c r="T51" s="650"/>
      <c r="V51" s="650"/>
      <c r="W51" s="650"/>
      <c r="X51" s="650"/>
      <c r="Y51" s="650"/>
      <c r="Z51" s="650"/>
      <c r="AA51" s="650"/>
      <c r="AB51" s="650"/>
      <c r="AC51" s="650"/>
      <c r="AD51" s="650"/>
      <c r="AE51" s="567"/>
      <c r="AF51" s="1281"/>
      <c r="AG51" s="1281"/>
      <c r="AH51" s="1232"/>
      <c r="AI51" s="1232"/>
      <c r="AJ51" s="1232"/>
      <c r="AK51" s="1232"/>
      <c r="AL51" s="1232"/>
      <c r="AM51" s="1232"/>
      <c r="AN51" s="1232"/>
      <c r="AO51" s="1232"/>
      <c r="AP51" s="1232"/>
      <c r="AQ51" s="1282"/>
      <c r="AR51" s="1282"/>
      <c r="AS51" s="1282"/>
      <c r="AT51" s="1235"/>
      <c r="AU51" s="1232"/>
      <c r="AV51" s="1232"/>
      <c r="AW51" s="1232"/>
      <c r="AX51" s="1232"/>
      <c r="AY51" s="1230"/>
      <c r="AZ51" s="1230"/>
      <c r="BA51" s="1232"/>
      <c r="BB51" s="1230"/>
      <c r="BC51" s="1283"/>
      <c r="BD51" s="1230"/>
      <c r="BE51" s="1230"/>
      <c r="BF51" s="1230"/>
      <c r="BG51" s="1284"/>
      <c r="BH51" s="1230"/>
      <c r="BI51" s="1230"/>
      <c r="BJ51" s="1230"/>
      <c r="BK51" s="1256"/>
      <c r="BL51" s="1256"/>
      <c r="BM51" s="1285"/>
      <c r="BN51" s="1256"/>
      <c r="BO51" s="1256"/>
      <c r="BP51" s="1256"/>
      <c r="BQ51" s="1259"/>
    </row>
    <row r="52" spans="4:69" ht="18" customHeight="1">
      <c r="D52" s="565"/>
      <c r="E52" s="565"/>
      <c r="F52" s="604"/>
      <c r="G52" s="566"/>
      <c r="H52" s="566"/>
      <c r="I52" s="566"/>
      <c r="J52" s="566"/>
      <c r="K52" s="651"/>
      <c r="L52" s="651"/>
      <c r="M52" s="650"/>
      <c r="N52" s="650"/>
      <c r="O52" s="763"/>
      <c r="P52" s="566"/>
      <c r="Q52" s="566"/>
      <c r="R52" s="566"/>
      <c r="S52" s="566"/>
      <c r="T52" s="566"/>
      <c r="U52" s="566"/>
      <c r="V52" s="566"/>
      <c r="W52" s="764"/>
      <c r="X52" s="650"/>
      <c r="Y52" s="650"/>
      <c r="Z52" s="650"/>
      <c r="AA52" s="650"/>
      <c r="AB52" s="650"/>
      <c r="AC52" s="650"/>
      <c r="AD52" s="650"/>
      <c r="AE52" s="567"/>
      <c r="AF52" s="1281"/>
      <c r="AG52" s="1281"/>
      <c r="AH52" s="1232"/>
      <c r="AI52" s="1232"/>
      <c r="AJ52" s="1232"/>
      <c r="AK52" s="1232"/>
      <c r="AL52" s="1232"/>
      <c r="AM52" s="1232"/>
      <c r="AN52" s="1232"/>
      <c r="AO52" s="1232"/>
      <c r="AP52" s="1232"/>
      <c r="AQ52" s="1282"/>
      <c r="AR52" s="1282"/>
      <c r="AS52" s="1282"/>
      <c r="AT52" s="1235"/>
      <c r="AU52" s="1232"/>
      <c r="AV52" s="1232"/>
      <c r="AW52" s="1232"/>
      <c r="AX52" s="1232"/>
      <c r="AY52" s="1230"/>
      <c r="AZ52" s="1230"/>
      <c r="BA52" s="1232"/>
      <c r="BB52" s="1230"/>
      <c r="BC52" s="1283"/>
      <c r="BD52" s="1230"/>
      <c r="BE52" s="1230"/>
      <c r="BF52" s="1230"/>
      <c r="BG52" s="1284"/>
      <c r="BH52" s="1230"/>
      <c r="BI52" s="1230"/>
      <c r="BJ52" s="1230"/>
      <c r="BK52" s="1256"/>
      <c r="BL52" s="1256"/>
      <c r="BM52" s="1285"/>
      <c r="BN52" s="1256"/>
      <c r="BO52" s="1256"/>
      <c r="BP52" s="1256"/>
      <c r="BQ52" s="1259"/>
    </row>
    <row r="53" spans="4:69" ht="18" customHeight="1">
      <c r="D53" s="565"/>
      <c r="E53" s="565"/>
      <c r="F53" s="604"/>
      <c r="G53" s="566"/>
      <c r="H53" s="566"/>
      <c r="I53" s="566"/>
      <c r="J53" s="566"/>
      <c r="K53" s="651"/>
      <c r="L53" s="651"/>
      <c r="M53" s="650"/>
      <c r="N53" s="650"/>
      <c r="O53" s="763"/>
      <c r="P53" s="566"/>
      <c r="Q53" s="566"/>
      <c r="R53" s="566"/>
      <c r="S53" s="566"/>
      <c r="T53" s="566"/>
      <c r="U53" s="566"/>
      <c r="V53" s="566"/>
      <c r="W53" s="764"/>
      <c r="X53" s="650"/>
      <c r="Y53" s="650"/>
      <c r="Z53" s="650"/>
      <c r="AA53" s="650"/>
      <c r="AB53" s="650"/>
      <c r="AC53" s="650"/>
      <c r="AD53" s="650"/>
      <c r="AE53" s="567"/>
      <c r="AF53" s="1281"/>
      <c r="AG53" s="1281"/>
      <c r="AH53" s="1232"/>
      <c r="AI53" s="1232"/>
      <c r="AJ53" s="1232"/>
      <c r="AK53" s="1232"/>
      <c r="AL53" s="1232"/>
      <c r="AM53" s="1232"/>
      <c r="AN53" s="1232"/>
      <c r="AO53" s="1232"/>
      <c r="AP53" s="1232"/>
      <c r="AQ53" s="1282"/>
      <c r="AR53" s="1282"/>
      <c r="AS53" s="1282"/>
      <c r="AT53" s="1235"/>
      <c r="AU53" s="1232"/>
      <c r="AV53" s="1232"/>
      <c r="AW53" s="1232"/>
      <c r="AX53" s="1232"/>
      <c r="AY53" s="1230"/>
      <c r="AZ53" s="1230"/>
      <c r="BA53" s="1232"/>
      <c r="BB53" s="1230"/>
      <c r="BC53" s="1283"/>
      <c r="BD53" s="1230"/>
      <c r="BE53" s="1230"/>
      <c r="BF53" s="1230"/>
      <c r="BG53" s="1284"/>
      <c r="BH53" s="1230"/>
      <c r="BI53" s="1230"/>
      <c r="BJ53" s="1230"/>
      <c r="BK53" s="1256"/>
      <c r="BL53" s="1256"/>
      <c r="BM53" s="1285"/>
      <c r="BN53" s="1256"/>
      <c r="BO53" s="1256"/>
      <c r="BP53" s="1256"/>
      <c r="BQ53" s="1259"/>
    </row>
    <row r="54" spans="4:69" ht="18" customHeight="1">
      <c r="D54" s="565"/>
      <c r="E54" s="565"/>
      <c r="F54" s="604"/>
      <c r="G54" s="566"/>
      <c r="H54" s="566"/>
      <c r="I54" s="566"/>
      <c r="J54" s="566"/>
      <c r="K54" s="651"/>
      <c r="L54" s="651"/>
      <c r="M54" s="650"/>
      <c r="N54" s="650"/>
      <c r="O54" s="765"/>
      <c r="P54" s="566"/>
      <c r="Q54" s="566"/>
      <c r="R54" s="566"/>
      <c r="S54" s="566"/>
      <c r="T54" s="566"/>
      <c r="U54" s="566"/>
      <c r="V54" s="566"/>
      <c r="W54" s="764"/>
      <c r="X54" s="650"/>
      <c r="Y54" s="650"/>
      <c r="Z54" s="650"/>
      <c r="AA54" s="650"/>
      <c r="AB54" s="650"/>
      <c r="AC54" s="650"/>
      <c r="AD54" s="650"/>
      <c r="AE54" s="567"/>
      <c r="AF54" s="1281"/>
      <c r="AG54" s="1281"/>
      <c r="AH54" s="1232"/>
      <c r="AI54" s="1232"/>
      <c r="AJ54" s="1232"/>
      <c r="AK54" s="1232"/>
      <c r="AL54" s="1232"/>
      <c r="AM54" s="1232"/>
      <c r="AN54" s="1232"/>
      <c r="AO54" s="1232"/>
      <c r="AP54" s="1232"/>
      <c r="AQ54" s="1282"/>
      <c r="AR54" s="1282"/>
      <c r="AS54" s="1282"/>
      <c r="AT54" s="1235"/>
      <c r="AU54" s="1232"/>
      <c r="AV54" s="1232"/>
      <c r="AW54" s="1232"/>
      <c r="AX54" s="1232"/>
      <c r="AY54" s="1230"/>
      <c r="AZ54" s="1230"/>
      <c r="BA54" s="1232"/>
      <c r="BB54" s="1230"/>
      <c r="BC54" s="1283"/>
      <c r="BD54" s="1230"/>
      <c r="BE54" s="1230"/>
      <c r="BF54" s="1230"/>
      <c r="BG54" s="1284"/>
      <c r="BH54" s="1230"/>
      <c r="BI54" s="1230"/>
      <c r="BJ54" s="1230"/>
      <c r="BK54" s="1256"/>
      <c r="BL54" s="1256"/>
      <c r="BM54" s="1285"/>
      <c r="BN54" s="1256"/>
      <c r="BO54" s="1256"/>
      <c r="BP54" s="1256"/>
      <c r="BQ54" s="1259"/>
    </row>
    <row r="55" spans="4:69" ht="18" customHeight="1">
      <c r="D55" s="565"/>
      <c r="E55" s="565"/>
      <c r="F55" s="604"/>
      <c r="G55" s="566"/>
      <c r="H55" s="566"/>
      <c r="I55" s="566"/>
      <c r="J55" s="566"/>
      <c r="K55" s="651"/>
      <c r="L55" s="651"/>
      <c r="M55" s="650"/>
      <c r="N55" s="650"/>
      <c r="O55" s="763"/>
      <c r="P55" s="763"/>
      <c r="Q55" s="763"/>
      <c r="R55" s="763"/>
      <c r="S55" s="763"/>
      <c r="T55" s="763"/>
      <c r="U55" s="763"/>
      <c r="V55" s="763"/>
      <c r="W55" s="764"/>
      <c r="X55" s="650"/>
      <c r="Y55" s="650"/>
      <c r="Z55" s="650"/>
      <c r="AA55" s="650"/>
      <c r="AB55" s="650"/>
      <c r="AC55" s="650"/>
      <c r="AD55" s="650"/>
      <c r="AE55" s="567"/>
      <c r="AF55" s="1281"/>
      <c r="AG55" s="1281"/>
      <c r="AH55" s="1232"/>
      <c r="AI55" s="1232"/>
      <c r="AJ55" s="1232"/>
      <c r="AK55" s="1232"/>
      <c r="AL55" s="1232"/>
      <c r="AM55" s="1232"/>
      <c r="AN55" s="1232"/>
      <c r="AO55" s="1232"/>
      <c r="AP55" s="1232"/>
      <c r="AQ55" s="1282"/>
      <c r="AR55" s="1282"/>
      <c r="AS55" s="1282"/>
      <c r="AT55" s="1235"/>
      <c r="AU55" s="1232"/>
      <c r="AV55" s="1232"/>
      <c r="AW55" s="1232"/>
      <c r="AX55" s="1232"/>
      <c r="AY55" s="1230"/>
      <c r="AZ55" s="1230"/>
      <c r="BA55" s="1232"/>
      <c r="BB55" s="1230"/>
      <c r="BC55" s="1283"/>
      <c r="BD55" s="1230"/>
      <c r="BE55" s="1230"/>
      <c r="BF55" s="1230"/>
      <c r="BG55" s="1284"/>
      <c r="BH55" s="1230"/>
      <c r="BI55" s="1230"/>
      <c r="BJ55" s="1230"/>
      <c r="BK55" s="1256"/>
      <c r="BL55" s="1256"/>
      <c r="BM55" s="1285"/>
      <c r="BN55" s="1256"/>
      <c r="BO55" s="1256"/>
      <c r="BP55" s="1256"/>
      <c r="BQ55" s="1259"/>
    </row>
    <row r="56" spans="4:69" ht="18" customHeight="1">
      <c r="D56" s="565"/>
      <c r="E56" s="565"/>
      <c r="F56" s="604"/>
      <c r="G56" s="566"/>
      <c r="H56" s="566"/>
      <c r="I56" s="566"/>
      <c r="J56" s="566"/>
      <c r="K56" s="651"/>
      <c r="L56" s="651"/>
      <c r="M56" s="650"/>
      <c r="N56" s="650"/>
      <c r="O56" s="763"/>
      <c r="P56" s="763"/>
      <c r="Q56" s="763"/>
      <c r="R56" s="763"/>
      <c r="S56" s="763"/>
      <c r="T56" s="763"/>
      <c r="U56" s="763"/>
      <c r="V56" s="763"/>
      <c r="W56" s="764"/>
      <c r="X56" s="650"/>
      <c r="Y56" s="650"/>
      <c r="Z56" s="650"/>
      <c r="AA56" s="650"/>
      <c r="AB56" s="650"/>
      <c r="AC56" s="650"/>
      <c r="AD56" s="650"/>
      <c r="AE56" s="567"/>
      <c r="AF56" s="1281"/>
      <c r="AG56" s="1281"/>
      <c r="AH56" s="1232"/>
      <c r="AI56" s="1232"/>
      <c r="AJ56" s="1232"/>
      <c r="AK56" s="1232"/>
      <c r="AL56" s="1232"/>
      <c r="AM56" s="1232"/>
      <c r="AN56" s="1232"/>
      <c r="AO56" s="1232"/>
      <c r="AP56" s="1232"/>
      <c r="AQ56" s="1282"/>
      <c r="AR56" s="1282"/>
      <c r="AS56" s="1282"/>
      <c r="AT56" s="1235"/>
      <c r="AU56" s="1232"/>
      <c r="AV56" s="1232"/>
      <c r="AW56" s="1232"/>
      <c r="AX56" s="1232"/>
      <c r="AY56" s="1230"/>
      <c r="AZ56" s="1230"/>
      <c r="BA56" s="1232"/>
      <c r="BB56" s="1230"/>
      <c r="BC56" s="1283"/>
      <c r="BD56" s="1230"/>
      <c r="BE56" s="1230"/>
      <c r="BF56" s="1230"/>
      <c r="BG56" s="1284"/>
      <c r="BH56" s="1230"/>
      <c r="BI56" s="1230"/>
      <c r="BJ56" s="1230"/>
      <c r="BK56" s="1256"/>
      <c r="BL56" s="1256"/>
      <c r="BM56" s="1285"/>
      <c r="BN56" s="1256"/>
      <c r="BO56" s="1256"/>
      <c r="BP56" s="1256"/>
      <c r="BQ56" s="1259"/>
    </row>
    <row r="57" spans="4:69" ht="18" customHeight="1">
      <c r="D57" s="565"/>
      <c r="E57" s="565"/>
      <c r="F57" s="604"/>
      <c r="G57" s="566"/>
      <c r="H57" s="566"/>
      <c r="I57" s="566"/>
      <c r="J57" s="566"/>
      <c r="K57" s="651"/>
      <c r="L57" s="651"/>
      <c r="M57" s="650"/>
      <c r="N57" s="650"/>
      <c r="O57" s="763"/>
      <c r="P57" s="763"/>
      <c r="Q57" s="763"/>
      <c r="R57" s="763"/>
      <c r="S57" s="763"/>
      <c r="T57" s="763"/>
      <c r="U57" s="763"/>
      <c r="V57" s="763"/>
      <c r="W57" s="764"/>
      <c r="X57" s="650"/>
      <c r="Y57" s="650"/>
      <c r="Z57" s="650"/>
      <c r="AA57" s="650"/>
      <c r="AB57" s="650"/>
      <c r="AC57" s="650"/>
      <c r="AD57" s="650"/>
      <c r="AE57" s="567"/>
      <c r="AF57" s="1281"/>
      <c r="AG57" s="1281"/>
      <c r="AH57" s="1232"/>
      <c r="AI57" s="1232"/>
      <c r="AJ57" s="1232"/>
      <c r="AK57" s="1232"/>
      <c r="AL57" s="1232"/>
      <c r="AM57" s="1232"/>
      <c r="AN57" s="1232"/>
      <c r="AO57" s="1232"/>
      <c r="AP57" s="1232"/>
      <c r="AQ57" s="1282"/>
      <c r="AR57" s="1282"/>
      <c r="AS57" s="1282"/>
      <c r="AT57" s="1235"/>
      <c r="AU57" s="1232"/>
      <c r="AV57" s="1232"/>
      <c r="AW57" s="1232"/>
      <c r="AX57" s="1232"/>
      <c r="AY57" s="1230"/>
      <c r="AZ57" s="1230"/>
      <c r="BA57" s="1232"/>
      <c r="BB57" s="1230"/>
      <c r="BC57" s="1283"/>
      <c r="BD57" s="1230"/>
      <c r="BE57" s="1230"/>
      <c r="BF57" s="1230"/>
      <c r="BG57" s="1284"/>
      <c r="BH57" s="1230"/>
      <c r="BI57" s="1230"/>
      <c r="BJ57" s="1230"/>
      <c r="BK57" s="1256"/>
      <c r="BL57" s="1256"/>
      <c r="BM57" s="1285"/>
      <c r="BN57" s="1256"/>
      <c r="BO57" s="1256"/>
      <c r="BP57" s="1256"/>
      <c r="BQ57" s="1259"/>
    </row>
    <row r="58" spans="4:69" ht="18" customHeight="1">
      <c r="D58" s="565"/>
      <c r="E58" s="565"/>
      <c r="F58" s="604"/>
      <c r="G58" s="566"/>
      <c r="H58" s="566"/>
      <c r="I58" s="566"/>
      <c r="J58" s="566"/>
      <c r="K58" s="651"/>
      <c r="L58" s="651"/>
      <c r="M58" s="650"/>
      <c r="N58" s="650"/>
      <c r="O58" s="763"/>
      <c r="P58" s="763"/>
      <c r="Q58" s="763"/>
      <c r="R58" s="763"/>
      <c r="S58" s="763"/>
      <c r="T58" s="763"/>
      <c r="U58" s="763"/>
      <c r="V58" s="763"/>
      <c r="W58" s="764"/>
      <c r="X58" s="650"/>
      <c r="Y58" s="650"/>
      <c r="Z58" s="650"/>
      <c r="AA58" s="650"/>
      <c r="AB58" s="650"/>
      <c r="AC58" s="650"/>
      <c r="AD58" s="650"/>
      <c r="AE58" s="567"/>
      <c r="AF58" s="1281"/>
      <c r="AG58" s="1281"/>
      <c r="AH58" s="1232"/>
      <c r="AI58" s="1232"/>
      <c r="AJ58" s="1232"/>
      <c r="AK58" s="1232"/>
      <c r="AL58" s="1232"/>
      <c r="AM58" s="1232"/>
      <c r="AN58" s="1232"/>
      <c r="AO58" s="1232"/>
      <c r="AP58" s="1232"/>
      <c r="AQ58" s="1282"/>
      <c r="AR58" s="1282"/>
      <c r="AS58" s="1282"/>
      <c r="AT58" s="1235"/>
      <c r="AU58" s="1232"/>
      <c r="AV58" s="1232"/>
      <c r="AW58" s="1232"/>
      <c r="AX58" s="1232"/>
      <c r="AY58" s="1230"/>
      <c r="AZ58" s="1230"/>
      <c r="BA58" s="1232"/>
      <c r="BB58" s="1230"/>
      <c r="BC58" s="1283"/>
      <c r="BD58" s="1230"/>
      <c r="BE58" s="1230"/>
      <c r="BF58" s="1230"/>
      <c r="BG58" s="1284"/>
      <c r="BH58" s="1230"/>
      <c r="BI58" s="1230"/>
      <c r="BJ58" s="1230"/>
      <c r="BK58" s="1256"/>
      <c r="BL58" s="1256"/>
      <c r="BM58" s="1285"/>
      <c r="BN58" s="1256"/>
      <c r="BO58" s="1256"/>
      <c r="BP58" s="1256"/>
      <c r="BQ58" s="1259"/>
    </row>
    <row r="59" spans="4:69">
      <c r="D59" s="565"/>
      <c r="E59" s="565"/>
      <c r="F59" s="566"/>
      <c r="G59" s="566"/>
      <c r="H59" s="566"/>
      <c r="I59" s="566"/>
      <c r="J59" s="566"/>
      <c r="K59" s="566"/>
      <c r="L59" s="566"/>
      <c r="M59" s="565"/>
      <c r="N59" s="565"/>
      <c r="O59" s="763"/>
      <c r="P59" s="763"/>
      <c r="Q59" s="763"/>
      <c r="R59" s="763"/>
      <c r="S59" s="763"/>
      <c r="T59" s="763"/>
      <c r="U59" s="763"/>
      <c r="V59" s="763"/>
      <c r="W59" s="766"/>
      <c r="X59" s="565"/>
      <c r="Y59" s="565"/>
      <c r="Z59" s="565"/>
      <c r="AA59" s="565"/>
      <c r="AB59" s="565"/>
      <c r="AC59" s="565"/>
      <c r="AD59" s="565"/>
      <c r="AF59" s="1281"/>
      <c r="AG59" s="1281"/>
      <c r="AH59" s="1232"/>
      <c r="AI59" s="1232"/>
      <c r="AJ59" s="1232"/>
      <c r="AK59" s="1232"/>
      <c r="AL59" s="1232"/>
      <c r="AM59" s="1232"/>
      <c r="AN59" s="1232"/>
      <c r="AO59" s="1232"/>
      <c r="AP59" s="1232"/>
      <c r="AQ59" s="1282"/>
      <c r="AR59" s="1282"/>
      <c r="AS59" s="1282"/>
      <c r="AT59" s="1235"/>
      <c r="AU59" s="1232"/>
      <c r="AV59" s="1232"/>
      <c r="AW59" s="1232"/>
      <c r="AX59" s="1232"/>
      <c r="AY59" s="1230"/>
      <c r="AZ59" s="1230"/>
      <c r="BA59" s="1232"/>
      <c r="BB59" s="1230"/>
      <c r="BC59" s="1283"/>
      <c r="BD59" s="1230"/>
      <c r="BE59" s="1230"/>
      <c r="BF59" s="1230"/>
      <c r="BG59" s="1284"/>
      <c r="BH59" s="1230"/>
      <c r="BI59" s="1230"/>
      <c r="BJ59" s="1230"/>
      <c r="BK59" s="1256"/>
      <c r="BL59" s="1256"/>
      <c r="BM59" s="1285"/>
      <c r="BN59" s="1256"/>
      <c r="BO59" s="1256"/>
      <c r="BP59" s="1256"/>
      <c r="BQ59" s="1259"/>
    </row>
    <row r="60" spans="4:69">
      <c r="D60" s="565"/>
      <c r="E60" s="565"/>
      <c r="F60" s="566"/>
      <c r="G60" s="566"/>
      <c r="H60" s="566"/>
      <c r="I60" s="566"/>
      <c r="J60" s="566"/>
      <c r="K60" s="566"/>
      <c r="L60" s="566"/>
      <c r="M60" s="565"/>
      <c r="N60" s="565"/>
      <c r="O60" s="565"/>
      <c r="P60" s="566"/>
      <c r="Q60" s="565"/>
      <c r="R60" s="565"/>
      <c r="S60" s="565"/>
      <c r="T60" s="565"/>
      <c r="U60" s="565"/>
      <c r="V60" s="565"/>
      <c r="W60" s="565"/>
      <c r="X60" s="565"/>
      <c r="Y60" s="565"/>
      <c r="Z60" s="565"/>
      <c r="AA60" s="565"/>
      <c r="AB60" s="565"/>
      <c r="AC60" s="565"/>
      <c r="AD60" s="565"/>
      <c r="AF60" s="1281"/>
      <c r="AG60" s="1281"/>
      <c r="AH60" s="1232"/>
      <c r="AI60" s="1232"/>
      <c r="AJ60" s="1232"/>
      <c r="AK60" s="1232"/>
      <c r="AL60" s="1232"/>
      <c r="AM60" s="1232"/>
      <c r="AN60" s="1232"/>
      <c r="AO60" s="1232"/>
      <c r="AP60" s="1232"/>
      <c r="AQ60" s="1282"/>
      <c r="AR60" s="1282"/>
      <c r="AS60" s="1282"/>
      <c r="AT60" s="1235"/>
      <c r="AU60" s="1232"/>
      <c r="AV60" s="1232"/>
      <c r="AW60" s="1232"/>
      <c r="AX60" s="1232"/>
      <c r="AY60" s="1230"/>
      <c r="AZ60" s="1230"/>
      <c r="BA60" s="1232"/>
      <c r="BB60" s="1230"/>
      <c r="BC60" s="1283"/>
      <c r="BD60" s="1230"/>
      <c r="BE60" s="1230"/>
      <c r="BF60" s="1230"/>
      <c r="BG60" s="1284"/>
      <c r="BH60" s="1230"/>
      <c r="BI60" s="1230"/>
      <c r="BJ60" s="1230"/>
      <c r="BK60" s="1256"/>
      <c r="BL60" s="1256"/>
      <c r="BM60" s="1285"/>
      <c r="BN60" s="1256"/>
      <c r="BO60" s="1256"/>
      <c r="BP60" s="1256"/>
      <c r="BQ60" s="1259"/>
    </row>
    <row r="61" spans="4:69">
      <c r="D61" s="565"/>
      <c r="E61" s="565"/>
      <c r="F61" s="566"/>
      <c r="G61" s="566"/>
      <c r="H61" s="566"/>
      <c r="I61" s="566"/>
      <c r="J61" s="566"/>
      <c r="K61" s="566"/>
      <c r="L61" s="566"/>
      <c r="M61" s="565"/>
      <c r="N61" s="565"/>
      <c r="O61" s="565"/>
      <c r="P61" s="566"/>
      <c r="Q61" s="565"/>
      <c r="R61" s="565"/>
      <c r="S61" s="565"/>
      <c r="T61" s="565"/>
      <c r="U61" s="565"/>
      <c r="V61" s="565"/>
      <c r="W61" s="565"/>
      <c r="X61" s="565"/>
      <c r="Y61" s="565"/>
      <c r="Z61" s="565"/>
      <c r="AA61" s="565"/>
      <c r="AB61" s="565"/>
      <c r="AC61" s="565"/>
      <c r="AD61" s="565"/>
      <c r="AF61" s="1281"/>
      <c r="AG61" s="1281"/>
      <c r="AH61" s="1232"/>
      <c r="AI61" s="1232"/>
      <c r="AJ61" s="1232"/>
      <c r="AK61" s="1232"/>
      <c r="AL61" s="1232"/>
      <c r="AM61" s="1232"/>
      <c r="AN61" s="1232"/>
      <c r="AO61" s="1232"/>
      <c r="AP61" s="1232"/>
      <c r="AQ61" s="1282"/>
      <c r="AR61" s="1282"/>
      <c r="AS61" s="1282"/>
      <c r="AT61" s="1235"/>
      <c r="AU61" s="1232"/>
      <c r="AV61" s="1232"/>
      <c r="AW61" s="1232"/>
      <c r="AX61" s="1232"/>
      <c r="AY61" s="1230"/>
      <c r="AZ61" s="1230"/>
      <c r="BA61" s="1232"/>
      <c r="BB61" s="1230"/>
      <c r="BC61" s="1283"/>
      <c r="BD61" s="1230"/>
      <c r="BE61" s="1230"/>
      <c r="BF61" s="1230"/>
      <c r="BG61" s="1284"/>
      <c r="BH61" s="1230"/>
      <c r="BI61" s="1230"/>
      <c r="BJ61" s="1230"/>
      <c r="BK61" s="1256"/>
      <c r="BL61" s="1256"/>
      <c r="BM61" s="1285"/>
      <c r="BN61" s="1256"/>
      <c r="BO61" s="1256"/>
      <c r="BP61" s="1256"/>
      <c r="BQ61" s="1259"/>
    </row>
    <row r="62" spans="4:69">
      <c r="D62" s="565"/>
      <c r="E62" s="565"/>
      <c r="F62" s="566"/>
      <c r="G62" s="566"/>
      <c r="H62" s="566"/>
      <c r="I62" s="566"/>
      <c r="J62" s="566"/>
      <c r="K62" s="566"/>
      <c r="L62" s="566"/>
      <c r="M62" s="565"/>
      <c r="N62" s="565"/>
      <c r="O62" s="565"/>
      <c r="P62" s="566"/>
      <c r="Q62" s="565"/>
      <c r="R62" s="565"/>
      <c r="S62" s="565"/>
      <c r="T62" s="565"/>
      <c r="U62" s="565"/>
      <c r="V62" s="565"/>
      <c r="W62" s="565"/>
      <c r="X62" s="565"/>
      <c r="Y62" s="565"/>
      <c r="Z62" s="565"/>
      <c r="AA62" s="565"/>
      <c r="AB62" s="565"/>
      <c r="AC62" s="565"/>
      <c r="AD62" s="565"/>
      <c r="AF62" s="1281"/>
      <c r="AG62" s="1281"/>
      <c r="AH62" s="1232"/>
      <c r="AI62" s="1232"/>
      <c r="AJ62" s="1232"/>
      <c r="AK62" s="1232"/>
      <c r="AL62" s="1232"/>
      <c r="AM62" s="1232"/>
      <c r="AN62" s="1232"/>
      <c r="AO62" s="1232"/>
      <c r="AP62" s="1232"/>
      <c r="AQ62" s="1282"/>
      <c r="AR62" s="1282"/>
      <c r="AS62" s="1282"/>
      <c r="AT62" s="1235"/>
      <c r="AU62" s="1232"/>
      <c r="AV62" s="1232"/>
      <c r="AW62" s="1232"/>
      <c r="AX62" s="1232"/>
      <c r="AY62" s="1230"/>
      <c r="AZ62" s="1230"/>
      <c r="BA62" s="1232"/>
      <c r="BB62" s="1230"/>
      <c r="BC62" s="1283"/>
      <c r="BD62" s="1230"/>
      <c r="BE62" s="1230"/>
      <c r="BF62" s="1230"/>
      <c r="BG62" s="1284"/>
      <c r="BH62" s="1230"/>
      <c r="BI62" s="1230"/>
      <c r="BJ62" s="1230"/>
      <c r="BK62" s="1256"/>
      <c r="BL62" s="1256"/>
      <c r="BM62" s="1285"/>
      <c r="BN62" s="1256"/>
      <c r="BO62" s="1256"/>
      <c r="BP62" s="1256"/>
      <c r="BQ62" s="1259"/>
    </row>
    <row r="63" spans="4:69">
      <c r="D63" s="565"/>
      <c r="E63" s="565"/>
      <c r="F63" s="566"/>
      <c r="G63" s="566"/>
      <c r="H63" s="566"/>
      <c r="I63" s="566"/>
      <c r="J63" s="566"/>
      <c r="K63" s="566"/>
      <c r="L63" s="566"/>
      <c r="M63" s="565"/>
      <c r="N63" s="565"/>
      <c r="O63" s="565"/>
      <c r="P63" s="566"/>
      <c r="Q63" s="565"/>
      <c r="R63" s="565"/>
      <c r="S63" s="565"/>
      <c r="T63" s="565"/>
      <c r="U63" s="565"/>
      <c r="V63" s="565"/>
      <c r="W63" s="565"/>
      <c r="X63" s="565"/>
      <c r="Y63" s="565"/>
      <c r="Z63" s="565"/>
      <c r="AA63" s="565"/>
      <c r="AB63" s="565"/>
      <c r="AC63" s="565"/>
      <c r="AD63" s="565"/>
      <c r="AF63" s="1281"/>
      <c r="AG63" s="1281"/>
      <c r="AH63" s="1232"/>
      <c r="AI63" s="1232"/>
      <c r="AJ63" s="1232"/>
      <c r="AK63" s="1232"/>
      <c r="AL63" s="1232"/>
      <c r="AM63" s="1232"/>
      <c r="AN63" s="1232"/>
      <c r="AO63" s="1232"/>
      <c r="AP63" s="1232"/>
      <c r="AQ63" s="1282"/>
      <c r="AR63" s="1282"/>
      <c r="AS63" s="1282"/>
      <c r="AT63" s="1235"/>
      <c r="AU63" s="1232"/>
      <c r="AV63" s="1232"/>
      <c r="AW63" s="1232"/>
      <c r="AX63" s="1232"/>
      <c r="AY63" s="1230"/>
      <c r="AZ63" s="1230"/>
      <c r="BA63" s="1232"/>
      <c r="BB63" s="1230"/>
      <c r="BC63" s="1283"/>
      <c r="BD63" s="1230"/>
      <c r="BE63" s="1230"/>
      <c r="BF63" s="1230"/>
      <c r="BG63" s="1284"/>
      <c r="BH63" s="1230"/>
      <c r="BI63" s="1230"/>
      <c r="BJ63" s="1230"/>
      <c r="BK63" s="1256"/>
      <c r="BL63" s="1256"/>
      <c r="BM63" s="1285"/>
      <c r="BN63" s="1256"/>
      <c r="BO63" s="1256"/>
      <c r="BP63" s="1256"/>
      <c r="BQ63" s="1259"/>
    </row>
    <row r="64" spans="4:69">
      <c r="D64" s="565"/>
      <c r="E64" s="565"/>
      <c r="F64" s="566"/>
      <c r="G64" s="566"/>
      <c r="H64" s="566"/>
      <c r="I64" s="566"/>
      <c r="J64" s="566"/>
      <c r="K64" s="566"/>
      <c r="L64" s="566"/>
      <c r="M64" s="565"/>
      <c r="N64" s="565"/>
      <c r="O64" s="565"/>
      <c r="P64" s="566"/>
      <c r="Q64" s="565"/>
      <c r="R64" s="565"/>
      <c r="S64" s="565"/>
      <c r="T64" s="565"/>
      <c r="U64" s="565"/>
      <c r="V64" s="565"/>
      <c r="W64" s="565"/>
      <c r="X64" s="565"/>
      <c r="Y64" s="565"/>
      <c r="Z64" s="565"/>
      <c r="AA64" s="565"/>
      <c r="AB64" s="565"/>
      <c r="AC64" s="565"/>
      <c r="AD64" s="565"/>
      <c r="AF64" s="1281"/>
      <c r="AG64" s="1281"/>
      <c r="AH64" s="1232"/>
      <c r="AI64" s="1232"/>
      <c r="AJ64" s="1232"/>
      <c r="AK64" s="1232"/>
      <c r="AL64" s="1232"/>
      <c r="AM64" s="1232"/>
      <c r="AN64" s="1232"/>
      <c r="AO64" s="1232"/>
      <c r="AP64" s="1232"/>
      <c r="AQ64" s="1282"/>
      <c r="AR64" s="1282"/>
      <c r="AS64" s="1282"/>
      <c r="AT64" s="1235"/>
      <c r="AU64" s="1232"/>
      <c r="AV64" s="1232"/>
      <c r="AW64" s="1232"/>
      <c r="AX64" s="1232"/>
      <c r="AY64" s="1230"/>
      <c r="AZ64" s="1230"/>
      <c r="BA64" s="1232"/>
      <c r="BB64" s="1230"/>
      <c r="BC64" s="1283"/>
      <c r="BD64" s="1230"/>
      <c r="BE64" s="1230"/>
      <c r="BF64" s="1230"/>
      <c r="BG64" s="1284"/>
      <c r="BH64" s="1230"/>
      <c r="BI64" s="1230"/>
      <c r="BJ64" s="1230"/>
      <c r="BK64" s="1256"/>
      <c r="BL64" s="1256"/>
      <c r="BM64" s="1285"/>
      <c r="BN64" s="1256"/>
      <c r="BO64" s="1256"/>
      <c r="BP64" s="1256"/>
      <c r="BQ64" s="1259"/>
    </row>
    <row r="65" spans="11:69">
      <c r="K65" s="566"/>
      <c r="L65" s="566"/>
      <c r="M65" s="565"/>
      <c r="N65" s="565"/>
      <c r="O65" s="565"/>
      <c r="P65" s="566"/>
      <c r="Q65" s="565"/>
      <c r="R65" s="565"/>
      <c r="S65" s="565"/>
      <c r="T65" s="565"/>
      <c r="U65" s="565"/>
      <c r="V65" s="565"/>
      <c r="W65" s="565"/>
      <c r="X65" s="565"/>
      <c r="Y65" s="565"/>
      <c r="Z65" s="565"/>
      <c r="AA65" s="565"/>
      <c r="AB65" s="565"/>
      <c r="AC65" s="565"/>
      <c r="AD65" s="565"/>
      <c r="AF65" s="1281"/>
      <c r="AG65" s="1281"/>
      <c r="AH65" s="1232"/>
      <c r="AI65" s="1232"/>
      <c r="AJ65" s="1232"/>
      <c r="AK65" s="1232"/>
      <c r="AL65" s="1232"/>
      <c r="AM65" s="1232"/>
      <c r="AN65" s="1232"/>
      <c r="AO65" s="1232"/>
      <c r="AP65" s="1232"/>
      <c r="AQ65" s="1282"/>
      <c r="AR65" s="1282"/>
      <c r="AS65" s="1282"/>
      <c r="AT65" s="1235"/>
      <c r="AU65" s="1232"/>
      <c r="AV65" s="1232"/>
      <c r="AW65" s="1232"/>
      <c r="AX65" s="1232"/>
      <c r="AY65" s="1230"/>
      <c r="AZ65" s="1230"/>
      <c r="BA65" s="1232"/>
      <c r="BB65" s="1230"/>
      <c r="BC65" s="1283"/>
      <c r="BD65" s="1230"/>
      <c r="BE65" s="1230"/>
      <c r="BF65" s="1230"/>
      <c r="BG65" s="1284"/>
      <c r="BH65" s="1230"/>
      <c r="BI65" s="1230"/>
      <c r="BJ65" s="1230"/>
      <c r="BK65" s="1256"/>
      <c r="BL65" s="1256"/>
      <c r="BM65" s="1285"/>
      <c r="BN65" s="1256"/>
      <c r="BO65" s="1256"/>
      <c r="BP65" s="1256"/>
      <c r="BQ65" s="1259"/>
    </row>
    <row r="66" spans="11:69">
      <c r="K66" s="566"/>
      <c r="L66" s="566"/>
      <c r="M66" s="565"/>
      <c r="N66" s="565"/>
      <c r="O66" s="565"/>
      <c r="P66" s="566"/>
      <c r="Q66" s="565"/>
      <c r="R66" s="565"/>
      <c r="S66" s="565"/>
      <c r="T66" s="565"/>
      <c r="U66" s="565"/>
      <c r="V66" s="565"/>
      <c r="W66" s="565"/>
      <c r="X66" s="565"/>
      <c r="Y66" s="565"/>
      <c r="Z66" s="565"/>
      <c r="AA66" s="565"/>
      <c r="AB66" s="565"/>
      <c r="AC66" s="565"/>
      <c r="AD66" s="565"/>
      <c r="AF66" s="1281"/>
      <c r="AG66" s="1281"/>
      <c r="AH66" s="1232"/>
      <c r="AI66" s="1232"/>
      <c r="AJ66" s="1232"/>
      <c r="AK66" s="1232"/>
      <c r="AL66" s="1232"/>
      <c r="AM66" s="1232"/>
      <c r="AN66" s="1232"/>
      <c r="AO66" s="1232"/>
      <c r="AP66" s="1232"/>
      <c r="AQ66" s="1282"/>
      <c r="AR66" s="1282"/>
      <c r="AS66" s="1282"/>
      <c r="AT66" s="1235"/>
      <c r="AU66" s="1232"/>
      <c r="AV66" s="1232"/>
      <c r="AW66" s="1232"/>
      <c r="AX66" s="1232"/>
      <c r="AY66" s="1230"/>
      <c r="AZ66" s="1230"/>
      <c r="BA66" s="1232"/>
      <c r="BB66" s="1230"/>
      <c r="BC66" s="1283"/>
      <c r="BD66" s="1230"/>
      <c r="BE66" s="1230"/>
      <c r="BF66" s="1230"/>
      <c r="BG66" s="1284"/>
      <c r="BH66" s="1230"/>
      <c r="BI66" s="1230"/>
      <c r="BJ66" s="1230"/>
      <c r="BK66" s="1256"/>
      <c r="BL66" s="1256"/>
      <c r="BM66" s="1285"/>
      <c r="BN66" s="1256"/>
      <c r="BO66" s="1256"/>
      <c r="BP66" s="1256"/>
      <c r="BQ66" s="1259"/>
    </row>
    <row r="67" spans="11:69">
      <c r="K67" s="566"/>
      <c r="L67" s="566"/>
      <c r="M67" s="565"/>
      <c r="N67" s="565"/>
      <c r="O67" s="565"/>
      <c r="P67" s="566"/>
      <c r="Q67" s="565"/>
      <c r="R67" s="565"/>
      <c r="S67" s="565"/>
      <c r="T67" s="565"/>
      <c r="U67" s="565"/>
      <c r="V67" s="565"/>
      <c r="W67" s="565"/>
      <c r="X67" s="565"/>
      <c r="Y67" s="565"/>
      <c r="Z67" s="565"/>
      <c r="AA67" s="565"/>
      <c r="AB67" s="565"/>
      <c r="AC67" s="565"/>
      <c r="AD67" s="565"/>
      <c r="AF67" s="1281"/>
      <c r="AG67" s="1281"/>
      <c r="AH67" s="1232"/>
      <c r="AI67" s="1232"/>
      <c r="AJ67" s="1232"/>
      <c r="AK67" s="1232"/>
      <c r="AL67" s="1232"/>
      <c r="AM67" s="1232"/>
      <c r="AN67" s="1232"/>
      <c r="AO67" s="1232"/>
      <c r="AP67" s="1232"/>
      <c r="AQ67" s="1282"/>
      <c r="AR67" s="1282"/>
      <c r="AS67" s="1282"/>
      <c r="AT67" s="1235"/>
      <c r="AU67" s="1232"/>
      <c r="AV67" s="1232"/>
      <c r="AW67" s="1232"/>
      <c r="AX67" s="1232"/>
      <c r="AY67" s="1230"/>
      <c r="AZ67" s="1230"/>
      <c r="BA67" s="1232"/>
      <c r="BB67" s="1230"/>
      <c r="BC67" s="1283"/>
      <c r="BD67" s="1230"/>
      <c r="BE67" s="1230"/>
      <c r="BF67" s="1230"/>
      <c r="BG67" s="1284"/>
      <c r="BH67" s="1230"/>
      <c r="BI67" s="1230"/>
      <c r="BJ67" s="1230"/>
      <c r="BK67" s="1256"/>
      <c r="BL67" s="1256"/>
      <c r="BM67" s="1285"/>
      <c r="BN67" s="1256"/>
      <c r="BO67" s="1256"/>
      <c r="BP67" s="1256"/>
      <c r="BQ67" s="1259"/>
    </row>
    <row r="68" spans="11:69">
      <c r="K68" s="566"/>
      <c r="L68" s="566"/>
      <c r="M68" s="565"/>
      <c r="N68" s="565"/>
      <c r="O68" s="565"/>
      <c r="P68" s="566"/>
      <c r="Q68" s="565"/>
      <c r="R68" s="565"/>
      <c r="S68" s="565"/>
      <c r="T68" s="565"/>
      <c r="U68" s="565"/>
      <c r="V68" s="565"/>
      <c r="W68" s="565"/>
      <c r="X68" s="565"/>
      <c r="Y68" s="565"/>
      <c r="Z68" s="565"/>
      <c r="AA68" s="565"/>
      <c r="AB68" s="565"/>
      <c r="AC68" s="565"/>
      <c r="AD68" s="565"/>
      <c r="AF68" s="1281"/>
      <c r="AG68" s="1281"/>
      <c r="AH68" s="1232"/>
      <c r="AI68" s="1232"/>
      <c r="AJ68" s="1232"/>
      <c r="AK68" s="1232"/>
      <c r="AL68" s="1232"/>
      <c r="AM68" s="1232"/>
      <c r="AN68" s="1232"/>
      <c r="AO68" s="1232"/>
      <c r="AP68" s="1232"/>
      <c r="AQ68" s="1282"/>
      <c r="AR68" s="1282"/>
      <c r="AS68" s="1282"/>
      <c r="AT68" s="1235"/>
      <c r="AU68" s="1232"/>
      <c r="AV68" s="1232"/>
      <c r="AW68" s="1232"/>
      <c r="AX68" s="1232"/>
      <c r="AY68" s="1230"/>
      <c r="AZ68" s="1230"/>
      <c r="BA68" s="1232"/>
      <c r="BB68" s="1230"/>
      <c r="BC68" s="1283"/>
      <c r="BD68" s="1230"/>
      <c r="BE68" s="1230"/>
      <c r="BF68" s="1230"/>
      <c r="BG68" s="1284"/>
      <c r="BH68" s="1230"/>
      <c r="BI68" s="1230"/>
      <c r="BJ68" s="1230"/>
      <c r="BK68" s="1256"/>
      <c r="BL68" s="1256"/>
      <c r="BM68" s="1285"/>
      <c r="BN68" s="1256"/>
      <c r="BO68" s="1256"/>
      <c r="BP68" s="1256"/>
      <c r="BQ68" s="1259"/>
    </row>
    <row r="69" spans="11:69">
      <c r="K69" s="566"/>
      <c r="L69" s="566"/>
      <c r="M69" s="565"/>
      <c r="N69" s="565"/>
      <c r="O69" s="565"/>
      <c r="P69" s="566"/>
      <c r="Q69" s="565"/>
      <c r="R69" s="565"/>
      <c r="S69" s="565"/>
      <c r="T69" s="565"/>
      <c r="U69" s="565"/>
      <c r="V69" s="565"/>
      <c r="W69" s="565"/>
      <c r="X69" s="565"/>
      <c r="Y69" s="565"/>
      <c r="Z69" s="565"/>
      <c r="AA69" s="565"/>
      <c r="AB69" s="565"/>
      <c r="AC69" s="565"/>
      <c r="AD69" s="565"/>
      <c r="AF69" s="1281"/>
      <c r="AG69" s="1281"/>
      <c r="AH69" s="1232"/>
      <c r="AI69" s="1232"/>
      <c r="AJ69" s="1232"/>
      <c r="AK69" s="1232"/>
      <c r="AL69" s="1232"/>
      <c r="AM69" s="1232"/>
      <c r="AN69" s="1232"/>
      <c r="AO69" s="1232"/>
      <c r="AP69" s="1232"/>
      <c r="AQ69" s="1282"/>
      <c r="AR69" s="1282"/>
      <c r="AS69" s="1282"/>
      <c r="AT69" s="1235"/>
      <c r="AU69" s="1232"/>
      <c r="AV69" s="1232"/>
      <c r="AW69" s="1232"/>
      <c r="AX69" s="1232"/>
      <c r="AY69" s="1230"/>
      <c r="AZ69" s="1230"/>
      <c r="BA69" s="1232"/>
      <c r="BB69" s="1230"/>
      <c r="BC69" s="1283"/>
      <c r="BD69" s="1230"/>
      <c r="BE69" s="1230"/>
      <c r="BF69" s="1230"/>
      <c r="BG69" s="1284"/>
      <c r="BH69" s="1230"/>
      <c r="BI69" s="1230"/>
      <c r="BJ69" s="1230"/>
      <c r="BK69" s="1256"/>
      <c r="BL69" s="1256"/>
      <c r="BM69" s="1285"/>
      <c r="BN69" s="1256"/>
      <c r="BO69" s="1256"/>
      <c r="BP69" s="1256"/>
      <c r="BQ69" s="1259"/>
    </row>
    <row r="70" spans="11:69">
      <c r="K70" s="566"/>
      <c r="L70" s="566"/>
      <c r="M70" s="565"/>
      <c r="N70" s="565"/>
      <c r="O70" s="565"/>
      <c r="P70" s="566"/>
      <c r="Q70" s="565"/>
      <c r="R70" s="565"/>
      <c r="S70" s="565"/>
      <c r="T70" s="565"/>
      <c r="U70" s="565"/>
      <c r="V70" s="565"/>
      <c r="W70" s="565"/>
      <c r="X70" s="565"/>
      <c r="Y70" s="565"/>
      <c r="Z70" s="565"/>
      <c r="AA70" s="565"/>
      <c r="AB70" s="565"/>
      <c r="AC70" s="565"/>
      <c r="AD70" s="565"/>
      <c r="AF70" s="1281"/>
      <c r="AG70" s="1281"/>
      <c r="AH70" s="1232"/>
      <c r="AI70" s="1232"/>
      <c r="AJ70" s="1232"/>
      <c r="AK70" s="1232"/>
      <c r="AL70" s="1232"/>
      <c r="AM70" s="1232"/>
      <c r="AN70" s="1232"/>
      <c r="AO70" s="1232"/>
      <c r="AP70" s="1232"/>
      <c r="AQ70" s="1282"/>
      <c r="AR70" s="1282"/>
      <c r="AS70" s="1282"/>
      <c r="AT70" s="1235"/>
      <c r="AU70" s="1232"/>
      <c r="AV70" s="1232"/>
      <c r="AW70" s="1232"/>
      <c r="AX70" s="1232"/>
      <c r="AY70" s="1230"/>
      <c r="AZ70" s="1230"/>
      <c r="BA70" s="1232"/>
      <c r="BB70" s="1230"/>
      <c r="BC70" s="1283"/>
      <c r="BD70" s="1230"/>
      <c r="BE70" s="1230"/>
      <c r="BF70" s="1230"/>
      <c r="BG70" s="1284"/>
      <c r="BH70" s="1230"/>
      <c r="BI70" s="1230"/>
      <c r="BJ70" s="1230"/>
      <c r="BK70" s="1256"/>
      <c r="BL70" s="1256"/>
      <c r="BM70" s="1285"/>
      <c r="BN70" s="1256"/>
      <c r="BO70" s="1256"/>
      <c r="BP70" s="1256"/>
      <c r="BQ70" s="1259"/>
    </row>
    <row r="71" spans="11:69">
      <c r="K71" s="566"/>
      <c r="L71" s="566"/>
      <c r="M71" s="565"/>
      <c r="N71" s="565"/>
      <c r="O71" s="565"/>
      <c r="P71" s="566"/>
      <c r="Q71" s="565"/>
      <c r="R71" s="565"/>
      <c r="S71" s="565"/>
      <c r="T71" s="565"/>
      <c r="U71" s="565"/>
      <c r="V71" s="565"/>
      <c r="W71" s="565"/>
      <c r="X71" s="565"/>
      <c r="Y71" s="565"/>
      <c r="Z71" s="565"/>
      <c r="AA71" s="565"/>
      <c r="AB71" s="565"/>
      <c r="AC71" s="565"/>
      <c r="AD71" s="565"/>
      <c r="AF71" s="1281"/>
      <c r="AG71" s="1281"/>
      <c r="AH71" s="1232"/>
      <c r="AI71" s="1232"/>
      <c r="AJ71" s="1232"/>
      <c r="AK71" s="1232"/>
      <c r="AL71" s="1232"/>
      <c r="AM71" s="1232"/>
      <c r="AN71" s="1232"/>
      <c r="AO71" s="1232"/>
      <c r="AP71" s="1232"/>
      <c r="AQ71" s="1282"/>
      <c r="AR71" s="1282"/>
      <c r="AS71" s="1282"/>
      <c r="AT71" s="1235"/>
      <c r="AU71" s="1232"/>
      <c r="AV71" s="1232"/>
      <c r="AW71" s="1232"/>
      <c r="AX71" s="1232"/>
      <c r="AY71" s="1230"/>
      <c r="AZ71" s="1230"/>
      <c r="BA71" s="1232"/>
      <c r="BB71" s="1230"/>
      <c r="BC71" s="1283"/>
      <c r="BD71" s="1230"/>
      <c r="BE71" s="1230"/>
      <c r="BF71" s="1230"/>
      <c r="BG71" s="1284"/>
      <c r="BH71" s="1230"/>
      <c r="BI71" s="1230"/>
      <c r="BJ71" s="1230"/>
      <c r="BK71" s="1256"/>
      <c r="BL71" s="1256"/>
      <c r="BM71" s="1285"/>
      <c r="BN71" s="1256"/>
      <c r="BO71" s="1256"/>
      <c r="BP71" s="1256"/>
      <c r="BQ71" s="1259"/>
    </row>
    <row r="72" spans="11:69">
      <c r="K72" s="566"/>
      <c r="L72" s="566"/>
      <c r="M72" s="565"/>
      <c r="N72" s="565"/>
      <c r="O72" s="565"/>
      <c r="P72" s="566"/>
      <c r="Q72" s="565"/>
      <c r="R72" s="565"/>
      <c r="S72" s="565"/>
      <c r="T72" s="565"/>
      <c r="U72" s="565"/>
      <c r="V72" s="565"/>
      <c r="W72" s="565"/>
      <c r="X72" s="565"/>
      <c r="Y72" s="565"/>
      <c r="Z72" s="565"/>
      <c r="AA72" s="565"/>
      <c r="AB72" s="565"/>
      <c r="AC72" s="565"/>
      <c r="AD72" s="565"/>
      <c r="AF72" s="1281"/>
      <c r="AG72" s="1281"/>
      <c r="AH72" s="1232"/>
      <c r="AI72" s="1232"/>
      <c r="AJ72" s="1232"/>
      <c r="AK72" s="1232"/>
      <c r="AL72" s="1232"/>
      <c r="AM72" s="1232"/>
      <c r="AN72" s="1232"/>
      <c r="AO72" s="1232"/>
      <c r="AP72" s="1232"/>
      <c r="AQ72" s="1282"/>
      <c r="AR72" s="1282"/>
      <c r="AS72" s="1282"/>
      <c r="AT72" s="1235"/>
      <c r="AU72" s="1232"/>
      <c r="AV72" s="1232"/>
      <c r="AW72" s="1232"/>
      <c r="AX72" s="1232"/>
      <c r="AY72" s="1230"/>
      <c r="AZ72" s="1230"/>
      <c r="BA72" s="1232"/>
      <c r="BB72" s="1230"/>
      <c r="BC72" s="1283"/>
      <c r="BD72" s="1230"/>
      <c r="BE72" s="1230"/>
      <c r="BF72" s="1230"/>
      <c r="BG72" s="1284"/>
      <c r="BH72" s="1230"/>
      <c r="BI72" s="1230"/>
      <c r="BJ72" s="1230"/>
      <c r="BK72" s="1256"/>
      <c r="BL72" s="1256"/>
      <c r="BM72" s="1285"/>
      <c r="BN72" s="1256"/>
      <c r="BO72" s="1256"/>
      <c r="BP72" s="1256"/>
      <c r="BQ72" s="1259"/>
    </row>
    <row r="73" spans="11:69">
      <c r="K73" s="566"/>
      <c r="L73" s="566"/>
      <c r="M73" s="565"/>
      <c r="N73" s="565"/>
      <c r="O73" s="565"/>
      <c r="P73" s="566"/>
      <c r="Q73" s="565"/>
      <c r="R73" s="565"/>
      <c r="S73" s="565"/>
      <c r="T73" s="565"/>
      <c r="U73" s="565"/>
      <c r="V73" s="565"/>
      <c r="W73" s="565"/>
      <c r="X73" s="565"/>
      <c r="Y73" s="565"/>
      <c r="Z73" s="565"/>
      <c r="AA73" s="565"/>
      <c r="AB73" s="565"/>
      <c r="AC73" s="565"/>
      <c r="AD73" s="565"/>
      <c r="AF73" s="1281"/>
      <c r="AG73" s="1281"/>
      <c r="AH73" s="1232"/>
      <c r="AI73" s="1232"/>
      <c r="AJ73" s="1232"/>
      <c r="AK73" s="1232"/>
      <c r="AL73" s="1232"/>
      <c r="AM73" s="1232"/>
      <c r="AN73" s="1232"/>
      <c r="AO73" s="1232"/>
      <c r="AP73" s="1232"/>
      <c r="AQ73" s="1282"/>
      <c r="AR73" s="1282"/>
      <c r="AS73" s="1282"/>
      <c r="AT73" s="1235"/>
      <c r="AU73" s="1232"/>
      <c r="AV73" s="1232"/>
      <c r="AW73" s="1232"/>
      <c r="AX73" s="1232"/>
      <c r="AY73" s="1230"/>
      <c r="AZ73" s="1230"/>
      <c r="BA73" s="1232"/>
      <c r="BB73" s="1230"/>
      <c r="BC73" s="1283"/>
      <c r="BD73" s="1230"/>
      <c r="BE73" s="1230"/>
      <c r="BF73" s="1230"/>
      <c r="BG73" s="1284"/>
      <c r="BH73" s="1230"/>
      <c r="BI73" s="1230"/>
      <c r="BJ73" s="1230"/>
      <c r="BK73" s="1256"/>
      <c r="BL73" s="1256"/>
      <c r="BM73" s="1285"/>
      <c r="BN73" s="1256"/>
      <c r="BO73" s="1256"/>
      <c r="BP73" s="1256"/>
      <c r="BQ73" s="1259"/>
    </row>
    <row r="74" spans="11:69">
      <c r="K74" s="566"/>
      <c r="L74" s="566"/>
      <c r="M74" s="565"/>
      <c r="N74" s="565"/>
      <c r="O74" s="565"/>
      <c r="P74" s="566"/>
      <c r="Q74" s="565"/>
      <c r="R74" s="565"/>
      <c r="S74" s="565"/>
      <c r="T74" s="565"/>
      <c r="U74" s="565"/>
      <c r="V74" s="565"/>
      <c r="W74" s="565"/>
      <c r="X74" s="565"/>
      <c r="Y74" s="565"/>
      <c r="Z74" s="565"/>
      <c r="AA74" s="565"/>
      <c r="AB74" s="565"/>
      <c r="AC74" s="565"/>
      <c r="AD74" s="565"/>
      <c r="AF74" s="1281"/>
      <c r="AG74" s="1281"/>
      <c r="AH74" s="1232"/>
      <c r="AI74" s="1232"/>
      <c r="AJ74" s="1232"/>
      <c r="AK74" s="1232"/>
      <c r="AL74" s="1232"/>
      <c r="AM74" s="1232"/>
      <c r="AN74" s="1232"/>
      <c r="AO74" s="1232"/>
      <c r="AP74" s="1232"/>
      <c r="AQ74" s="1282"/>
      <c r="AR74" s="1282"/>
      <c r="AS74" s="1282"/>
      <c r="AT74" s="1235"/>
      <c r="AU74" s="1232"/>
      <c r="AV74" s="1232"/>
      <c r="AW74" s="1232"/>
      <c r="AX74" s="1232"/>
      <c r="AY74" s="1230"/>
      <c r="AZ74" s="1230"/>
      <c r="BA74" s="1232"/>
      <c r="BB74" s="1230"/>
      <c r="BC74" s="1283"/>
      <c r="BD74" s="1230"/>
      <c r="BE74" s="1230"/>
      <c r="BF74" s="1230"/>
      <c r="BG74" s="1284"/>
      <c r="BH74" s="1230"/>
      <c r="BI74" s="1230"/>
      <c r="BJ74" s="1230"/>
      <c r="BK74" s="1256"/>
      <c r="BL74" s="1256"/>
      <c r="BM74" s="1285"/>
      <c r="BN74" s="1256"/>
      <c r="BO74" s="1256"/>
      <c r="BP74" s="1256"/>
      <c r="BQ74" s="1259"/>
    </row>
    <row r="75" spans="11:69">
      <c r="K75" s="566"/>
      <c r="L75" s="566"/>
      <c r="M75" s="565"/>
      <c r="N75" s="565"/>
      <c r="O75" s="565"/>
      <c r="P75" s="566"/>
      <c r="Q75" s="565"/>
      <c r="R75" s="565"/>
      <c r="S75" s="565"/>
      <c r="T75" s="565"/>
      <c r="U75" s="565"/>
      <c r="V75" s="565"/>
      <c r="W75" s="565"/>
      <c r="X75" s="565"/>
      <c r="Y75" s="565"/>
      <c r="Z75" s="565"/>
      <c r="AA75" s="565"/>
      <c r="AB75" s="565"/>
      <c r="AC75" s="565"/>
      <c r="AD75" s="565"/>
      <c r="AF75" s="1281"/>
      <c r="AG75" s="1281"/>
      <c r="AH75" s="1232"/>
      <c r="AI75" s="1232"/>
      <c r="AJ75" s="1232"/>
      <c r="AK75" s="1232"/>
      <c r="AL75" s="1232"/>
      <c r="AM75" s="1232"/>
      <c r="AN75" s="1232"/>
      <c r="AO75" s="1232"/>
      <c r="AP75" s="1232"/>
      <c r="AQ75" s="1282"/>
      <c r="AR75" s="1282"/>
      <c r="AS75" s="1282"/>
      <c r="AT75" s="1235"/>
      <c r="AU75" s="1232"/>
      <c r="AV75" s="1232"/>
      <c r="AW75" s="1232"/>
      <c r="AX75" s="1232"/>
      <c r="AY75" s="1230"/>
      <c r="AZ75" s="1230"/>
      <c r="BA75" s="1232"/>
      <c r="BB75" s="1230"/>
      <c r="BC75" s="1283"/>
      <c r="BD75" s="1230"/>
      <c r="BE75" s="1230"/>
      <c r="BF75" s="1230"/>
      <c r="BG75" s="1284"/>
      <c r="BH75" s="1230"/>
      <c r="BI75" s="1230"/>
      <c r="BJ75" s="1230"/>
      <c r="BK75" s="1256"/>
      <c r="BL75" s="1256"/>
      <c r="BM75" s="1285"/>
      <c r="BN75" s="1256"/>
      <c r="BO75" s="1256"/>
      <c r="BP75" s="1256"/>
      <c r="BQ75" s="1259"/>
    </row>
    <row r="76" spans="11:69">
      <c r="K76" s="566"/>
      <c r="L76" s="566"/>
      <c r="M76" s="565"/>
      <c r="N76" s="565"/>
      <c r="O76" s="565"/>
      <c r="P76" s="566"/>
      <c r="Q76" s="565"/>
      <c r="R76" s="565"/>
      <c r="S76" s="565"/>
      <c r="T76" s="565"/>
      <c r="U76" s="565"/>
      <c r="V76" s="565"/>
      <c r="W76" s="565"/>
      <c r="X76" s="565"/>
      <c r="Y76" s="565"/>
      <c r="Z76" s="565"/>
      <c r="AA76" s="565"/>
      <c r="AB76" s="565"/>
      <c r="AC76" s="565"/>
      <c r="AD76" s="565"/>
      <c r="AF76" s="1281"/>
      <c r="AG76" s="1281"/>
      <c r="AH76" s="1232"/>
      <c r="AI76" s="1232"/>
      <c r="AJ76" s="1232"/>
      <c r="AK76" s="1232"/>
      <c r="AL76" s="1232"/>
      <c r="AM76" s="1232"/>
      <c r="AN76" s="1232"/>
      <c r="AO76" s="1232"/>
      <c r="AP76" s="1232"/>
      <c r="AQ76" s="1282"/>
      <c r="AR76" s="1282"/>
      <c r="AS76" s="1282"/>
      <c r="AT76" s="1235"/>
      <c r="AU76" s="1232"/>
      <c r="AV76" s="1232"/>
      <c r="AW76" s="1232"/>
      <c r="AX76" s="1232"/>
      <c r="AY76" s="1230"/>
      <c r="AZ76" s="1230"/>
      <c r="BA76" s="1232"/>
      <c r="BB76" s="1230"/>
      <c r="BC76" s="1283"/>
      <c r="BD76" s="1230"/>
      <c r="BE76" s="1230"/>
      <c r="BF76" s="1230"/>
      <c r="BG76" s="1284"/>
      <c r="BH76" s="1230"/>
      <c r="BI76" s="1230"/>
      <c r="BJ76" s="1230"/>
      <c r="BK76" s="1256"/>
      <c r="BL76" s="1256"/>
      <c r="BM76" s="1285"/>
      <c r="BN76" s="1256"/>
      <c r="BO76" s="1256"/>
      <c r="BP76" s="1256"/>
      <c r="BQ76" s="1259"/>
    </row>
    <row r="77" spans="11:69">
      <c r="K77" s="566"/>
      <c r="L77" s="566"/>
      <c r="M77" s="565"/>
      <c r="N77" s="565"/>
      <c r="O77" s="565"/>
      <c r="P77" s="566"/>
      <c r="Q77" s="565"/>
      <c r="R77" s="565"/>
      <c r="S77" s="565"/>
      <c r="T77" s="565"/>
      <c r="U77" s="565"/>
      <c r="V77" s="565"/>
      <c r="W77" s="565"/>
      <c r="X77" s="565"/>
      <c r="Y77" s="565"/>
      <c r="Z77" s="565"/>
      <c r="AA77" s="565"/>
      <c r="AB77" s="565"/>
      <c r="AC77" s="565"/>
      <c r="AD77" s="565"/>
      <c r="AF77" s="1281"/>
      <c r="AG77" s="1281"/>
      <c r="AH77" s="1232"/>
      <c r="AI77" s="1232"/>
      <c r="AJ77" s="1232"/>
      <c r="AK77" s="1232"/>
      <c r="AL77" s="1232"/>
      <c r="AM77" s="1232"/>
      <c r="AN77" s="1232"/>
      <c r="AO77" s="1232"/>
      <c r="AP77" s="1232"/>
      <c r="AQ77" s="1282"/>
      <c r="AR77" s="1282"/>
      <c r="AS77" s="1282"/>
      <c r="AT77" s="1235"/>
      <c r="AU77" s="1232"/>
      <c r="AV77" s="1232"/>
      <c r="AW77" s="1232"/>
      <c r="AX77" s="1232"/>
      <c r="AY77" s="1230"/>
      <c r="AZ77" s="1230"/>
      <c r="BA77" s="1232"/>
      <c r="BB77" s="1230"/>
      <c r="BC77" s="1283"/>
      <c r="BD77" s="1230"/>
      <c r="BE77" s="1230"/>
      <c r="BF77" s="1230"/>
      <c r="BG77" s="1284"/>
      <c r="BH77" s="1230"/>
      <c r="BI77" s="1230"/>
      <c r="BJ77" s="1230"/>
      <c r="BK77" s="1256"/>
      <c r="BL77" s="1256"/>
      <c r="BM77" s="1285"/>
      <c r="BN77" s="1256"/>
      <c r="BO77" s="1256"/>
      <c r="BP77" s="1256"/>
      <c r="BQ77" s="1259"/>
    </row>
    <row r="78" spans="11:69">
      <c r="K78" s="566"/>
      <c r="L78" s="566"/>
      <c r="M78" s="565"/>
      <c r="N78" s="565"/>
      <c r="O78" s="565"/>
      <c r="P78" s="566"/>
      <c r="Q78" s="565"/>
      <c r="R78" s="565"/>
      <c r="S78" s="565"/>
      <c r="T78" s="565"/>
      <c r="U78" s="565"/>
      <c r="V78" s="565"/>
      <c r="W78" s="565"/>
      <c r="X78" s="565"/>
      <c r="Y78" s="565"/>
      <c r="Z78" s="565"/>
      <c r="AA78" s="565"/>
      <c r="AB78" s="565"/>
      <c r="AC78" s="565"/>
      <c r="AD78" s="565"/>
      <c r="AF78" s="1281"/>
      <c r="AG78" s="1281"/>
      <c r="AH78" s="1232"/>
      <c r="AI78" s="1232"/>
      <c r="AJ78" s="1232"/>
      <c r="AK78" s="1232"/>
      <c r="AL78" s="1232"/>
      <c r="AM78" s="1232"/>
      <c r="AN78" s="1232"/>
      <c r="AO78" s="1232"/>
      <c r="AP78" s="1232"/>
      <c r="AQ78" s="1282"/>
      <c r="AR78" s="1282"/>
      <c r="AS78" s="1282"/>
      <c r="AT78" s="1235"/>
      <c r="AU78" s="1232"/>
      <c r="AV78" s="1232"/>
      <c r="AW78" s="1232"/>
      <c r="AX78" s="1232"/>
      <c r="AY78" s="1230"/>
      <c r="AZ78" s="1230"/>
      <c r="BA78" s="1232"/>
      <c r="BB78" s="1230"/>
      <c r="BC78" s="1283"/>
      <c r="BD78" s="1230"/>
      <c r="BE78" s="1230"/>
      <c r="BF78" s="1230"/>
      <c r="BG78" s="1284"/>
      <c r="BH78" s="1230"/>
      <c r="BI78" s="1230"/>
      <c r="BJ78" s="1230"/>
      <c r="BK78" s="1256"/>
      <c r="BL78" s="1256"/>
      <c r="BM78" s="1285"/>
      <c r="BN78" s="1256"/>
      <c r="BO78" s="1256"/>
      <c r="BP78" s="1256"/>
      <c r="BQ78" s="1259"/>
    </row>
    <row r="79" spans="11:69">
      <c r="K79" s="566"/>
      <c r="L79" s="566"/>
      <c r="M79" s="565"/>
      <c r="N79" s="565"/>
      <c r="O79" s="565"/>
      <c r="P79" s="566"/>
      <c r="Q79" s="565"/>
      <c r="R79" s="565"/>
      <c r="S79" s="565"/>
      <c r="T79" s="565"/>
      <c r="U79" s="565"/>
      <c r="V79" s="565"/>
      <c r="W79" s="565"/>
      <c r="X79" s="565"/>
      <c r="Y79" s="565"/>
      <c r="Z79" s="565"/>
      <c r="AA79" s="565"/>
      <c r="AB79" s="565"/>
      <c r="AC79" s="565"/>
      <c r="AD79" s="565"/>
      <c r="AF79" s="1281"/>
      <c r="AG79" s="1281"/>
      <c r="AH79" s="1232"/>
      <c r="AI79" s="1232"/>
      <c r="AJ79" s="1232"/>
      <c r="AK79" s="1232"/>
      <c r="AL79" s="1232"/>
      <c r="AM79" s="1232"/>
      <c r="AN79" s="1232"/>
      <c r="AO79" s="1232"/>
      <c r="AP79" s="1232"/>
      <c r="AQ79" s="1282"/>
      <c r="AR79" s="1282"/>
      <c r="AS79" s="1282"/>
      <c r="AT79" s="1235"/>
      <c r="AU79" s="1232"/>
      <c r="AV79" s="1232"/>
      <c r="AW79" s="1232"/>
      <c r="AX79" s="1232"/>
      <c r="AY79" s="1230"/>
      <c r="AZ79" s="1230"/>
      <c r="BA79" s="1232"/>
      <c r="BB79" s="1230"/>
      <c r="BC79" s="1283"/>
      <c r="BD79" s="1230"/>
      <c r="BE79" s="1230"/>
      <c r="BF79" s="1230"/>
      <c r="BG79" s="1284"/>
      <c r="BH79" s="1230"/>
      <c r="BI79" s="1230"/>
      <c r="BJ79" s="1230"/>
      <c r="BK79" s="1256"/>
      <c r="BL79" s="1256"/>
      <c r="BM79" s="1285"/>
      <c r="BN79" s="1256"/>
      <c r="BO79" s="1256"/>
      <c r="BP79" s="1256"/>
      <c r="BQ79" s="1259"/>
    </row>
    <row r="80" spans="11:69">
      <c r="K80" s="566"/>
      <c r="L80" s="566"/>
      <c r="M80" s="565"/>
      <c r="N80" s="565"/>
      <c r="O80" s="565"/>
      <c r="P80" s="566"/>
      <c r="Q80" s="565"/>
      <c r="R80" s="565"/>
      <c r="S80" s="565"/>
      <c r="T80" s="565"/>
      <c r="U80" s="565"/>
      <c r="V80" s="565"/>
      <c r="W80" s="565"/>
      <c r="X80" s="565"/>
      <c r="Y80" s="565"/>
      <c r="Z80" s="565"/>
      <c r="AA80" s="565"/>
      <c r="AB80" s="565"/>
      <c r="AC80" s="565"/>
      <c r="AD80" s="565"/>
      <c r="AF80" s="1281"/>
      <c r="AG80" s="1281"/>
      <c r="AH80" s="1232"/>
      <c r="AI80" s="1232"/>
      <c r="AJ80" s="1232"/>
      <c r="AK80" s="1232"/>
      <c r="AL80" s="1232"/>
      <c r="AM80" s="1232"/>
      <c r="AN80" s="1232"/>
      <c r="AO80" s="1232"/>
      <c r="AP80" s="1232"/>
      <c r="AQ80" s="1282"/>
      <c r="AR80" s="1282"/>
      <c r="AS80" s="1282"/>
      <c r="AT80" s="1235"/>
      <c r="AU80" s="1232"/>
      <c r="AV80" s="1232"/>
      <c r="AW80" s="1232"/>
      <c r="AX80" s="1232"/>
      <c r="AY80" s="1230"/>
      <c r="AZ80" s="1230"/>
      <c r="BA80" s="1232"/>
      <c r="BB80" s="1230"/>
      <c r="BC80" s="1283"/>
      <c r="BD80" s="1230"/>
      <c r="BE80" s="1230"/>
      <c r="BF80" s="1230"/>
      <c r="BG80" s="1284"/>
      <c r="BH80" s="1230"/>
      <c r="BI80" s="1230"/>
      <c r="BJ80" s="1230"/>
      <c r="BK80" s="1256"/>
      <c r="BL80" s="1256"/>
      <c r="BM80" s="1285"/>
      <c r="BN80" s="1256"/>
      <c r="BO80" s="1256"/>
      <c r="BP80" s="1256"/>
      <c r="BQ80" s="1259"/>
    </row>
    <row r="81" spans="11:69">
      <c r="K81" s="566"/>
      <c r="L81" s="566"/>
      <c r="M81" s="565"/>
      <c r="N81" s="565"/>
      <c r="O81" s="565"/>
      <c r="P81" s="566"/>
      <c r="Q81" s="565"/>
      <c r="R81" s="565"/>
      <c r="S81" s="565"/>
      <c r="T81" s="565"/>
      <c r="U81" s="565"/>
      <c r="V81" s="565"/>
      <c r="W81" s="565"/>
      <c r="X81" s="565"/>
      <c r="Y81" s="565"/>
      <c r="Z81" s="565"/>
      <c r="AA81" s="565"/>
      <c r="AB81" s="565"/>
      <c r="AC81" s="565"/>
      <c r="AD81" s="565"/>
      <c r="AF81" s="1281"/>
      <c r="AG81" s="1281"/>
      <c r="AH81" s="1232"/>
      <c r="AI81" s="1232"/>
      <c r="AJ81" s="1232"/>
      <c r="AK81" s="1232"/>
      <c r="AL81" s="1232"/>
      <c r="AM81" s="1232"/>
      <c r="AN81" s="1232"/>
      <c r="AO81" s="1232"/>
      <c r="AP81" s="1232"/>
      <c r="AQ81" s="1282"/>
      <c r="AR81" s="1282"/>
      <c r="AS81" s="1282"/>
      <c r="AT81" s="1235"/>
      <c r="AU81" s="1232"/>
      <c r="AV81" s="1232"/>
      <c r="AW81" s="1232"/>
      <c r="AX81" s="1232"/>
      <c r="AY81" s="1230"/>
      <c r="AZ81" s="1230"/>
      <c r="BA81" s="1232"/>
      <c r="BB81" s="1230"/>
      <c r="BC81" s="1283"/>
      <c r="BD81" s="1230"/>
      <c r="BE81" s="1230"/>
      <c r="BF81" s="1230"/>
      <c r="BG81" s="1284"/>
      <c r="BH81" s="1230"/>
      <c r="BI81" s="1230"/>
      <c r="BJ81" s="1230"/>
      <c r="BK81" s="1256"/>
      <c r="BL81" s="1256"/>
      <c r="BM81" s="1285"/>
      <c r="BN81" s="1256"/>
      <c r="BO81" s="1256"/>
      <c r="BP81" s="1256"/>
      <c r="BQ81" s="1259"/>
    </row>
    <row r="82" spans="11:69">
      <c r="K82" s="566"/>
      <c r="L82" s="566"/>
      <c r="M82" s="565"/>
      <c r="N82" s="565"/>
      <c r="O82" s="565"/>
      <c r="P82" s="566"/>
      <c r="Q82" s="565"/>
      <c r="R82" s="565"/>
      <c r="S82" s="565"/>
      <c r="T82" s="565"/>
      <c r="U82" s="565"/>
      <c r="V82" s="565"/>
      <c r="W82" s="565"/>
      <c r="X82" s="565"/>
      <c r="Y82" s="565"/>
      <c r="Z82" s="565"/>
      <c r="AA82" s="565"/>
      <c r="AB82" s="565"/>
      <c r="AC82" s="565"/>
      <c r="AD82" s="565"/>
    </row>
    <row r="83" spans="11:69">
      <c r="K83" s="566"/>
      <c r="L83" s="566"/>
      <c r="M83" s="565"/>
      <c r="N83" s="565"/>
      <c r="O83" s="565"/>
      <c r="P83" s="566"/>
      <c r="Q83" s="565"/>
      <c r="R83" s="565"/>
      <c r="S83" s="565"/>
      <c r="T83" s="565"/>
      <c r="U83" s="565"/>
      <c r="V83" s="565"/>
      <c r="W83" s="565"/>
      <c r="X83" s="565"/>
      <c r="Y83" s="565"/>
      <c r="Z83" s="565"/>
      <c r="AA83" s="565"/>
      <c r="AB83" s="565"/>
      <c r="AC83" s="565"/>
      <c r="AD83" s="565"/>
    </row>
    <row r="86" spans="11:69">
      <c r="AD86"/>
    </row>
  </sheetData>
  <sheetProtection algorithmName="SHA-512" hashValue="9Oamc1CZTZ50oW5jYpCQMoYlQmtEJBzDkkljR0G3KuwBKqsyONwYFv8SINvgdMGGq4R+ZlehHJdLDX1HWxyzCQ==" saltValue="wPiBs3z1+23nLXe4/Yf7ug==" spinCount="100000" sheet="1" objects="1" scenarios="1" formatCells="0" formatColumns="0" formatRows="0" selectLockedCells="1"/>
  <mergeCells count="61">
    <mergeCell ref="A36:A37"/>
    <mergeCell ref="A41:A42"/>
    <mergeCell ref="AF5:AO6"/>
    <mergeCell ref="AV7:AV8"/>
    <mergeCell ref="AX7:AX8"/>
    <mergeCell ref="AU7:AU8"/>
    <mergeCell ref="AG7:AG8"/>
    <mergeCell ref="AO7:AO8"/>
    <mergeCell ref="AQ5:AS6"/>
    <mergeCell ref="AU5:AV6"/>
    <mergeCell ref="AX5:BD5"/>
    <mergeCell ref="BA7:BA8"/>
    <mergeCell ref="AF7:AF8"/>
    <mergeCell ref="AA3:AB3"/>
    <mergeCell ref="AD7:AD8"/>
    <mergeCell ref="BR7:BR8"/>
    <mergeCell ref="BS7:BS8"/>
    <mergeCell ref="BR5:BS6"/>
    <mergeCell ref="U2:U4"/>
    <mergeCell ref="AC7:AC8"/>
    <mergeCell ref="C2:H2"/>
    <mergeCell ref="C3:I3"/>
    <mergeCell ref="G7:G8"/>
    <mergeCell ref="F7:F8"/>
    <mergeCell ref="K7:K8"/>
    <mergeCell ref="C7:C8"/>
    <mergeCell ref="C5:K6"/>
    <mergeCell ref="L7:L8"/>
    <mergeCell ref="H7:I7"/>
    <mergeCell ref="Y7:Y8"/>
    <mergeCell ref="R7:R8"/>
    <mergeCell ref="S7:S8"/>
    <mergeCell ref="P7:P8"/>
    <mergeCell ref="O7:O8"/>
    <mergeCell ref="M7:M8"/>
    <mergeCell ref="AM7:AM8"/>
    <mergeCell ref="AH7:AH8"/>
    <mergeCell ref="AQ7:AQ8"/>
    <mergeCell ref="AR7:AR8"/>
    <mergeCell ref="Q7:Q8"/>
    <mergeCell ref="U7:U8"/>
    <mergeCell ref="AB7:AB8"/>
    <mergeCell ref="AA7:AA8"/>
    <mergeCell ref="W7:W8"/>
    <mergeCell ref="X7:X8"/>
    <mergeCell ref="AN7:AN8"/>
    <mergeCell ref="AI7:AI8"/>
    <mergeCell ref="AJ7:AJ8"/>
    <mergeCell ref="AS7:AS8"/>
    <mergeCell ref="AK7:AK8"/>
    <mergeCell ref="AL7:AL8"/>
    <mergeCell ref="AZ7:AZ8"/>
    <mergeCell ref="AY7:AY8"/>
    <mergeCell ref="BF5:BI5"/>
    <mergeCell ref="BK5:BP6"/>
    <mergeCell ref="BO7:BO8"/>
    <mergeCell ref="BP7:BP8"/>
    <mergeCell ref="BL7:BL8"/>
    <mergeCell ref="BM7:BM8"/>
    <mergeCell ref="BN7:BN8"/>
    <mergeCell ref="BK7:BK8"/>
  </mergeCells>
  <conditionalFormatting sqref="Y9:Z48">
    <cfRule type="cellIs" dxfId="120" priority="29" operator="lessThan">
      <formula>0</formula>
    </cfRule>
    <cfRule type="cellIs" dxfId="119" priority="30" operator="greaterThan">
      <formula>0</formula>
    </cfRule>
  </conditionalFormatting>
  <conditionalFormatting sqref="C24">
    <cfRule type="expression" dxfId="118" priority="28">
      <formula>$C$24&gt;""</formula>
    </cfRule>
  </conditionalFormatting>
  <conditionalFormatting sqref="D12">
    <cfRule type="expression" dxfId="117" priority="27">
      <formula>$C$24&gt;""</formula>
    </cfRule>
  </conditionalFormatting>
  <conditionalFormatting sqref="K9:K48">
    <cfRule type="cellIs" dxfId="116" priority="18" operator="lessThan">
      <formula>0</formula>
    </cfRule>
  </conditionalFormatting>
  <conditionalFormatting sqref="L9:L48">
    <cfRule type="cellIs" dxfId="115" priority="17" operator="lessThan">
      <formula>0</formula>
    </cfRule>
  </conditionalFormatting>
  <conditionalFormatting sqref="AB9:AB48">
    <cfRule type="cellIs" dxfId="114" priority="2" operator="lessThan">
      <formula>0</formula>
    </cfRule>
    <cfRule type="cellIs" dxfId="113" priority="16" operator="greaterThan">
      <formula>0</formula>
    </cfRule>
  </conditionalFormatting>
  <conditionalFormatting sqref="W2:AC2">
    <cfRule type="expression" dxfId="112" priority="2647">
      <formula>#REF!&lt;&gt;""</formula>
    </cfRule>
  </conditionalFormatting>
  <conditionalFormatting sqref="C7">
    <cfRule type="expression" dxfId="111" priority="12">
      <formula>$C$7&lt;&gt;""</formula>
    </cfRule>
  </conditionalFormatting>
  <conditionalFormatting sqref="BP9:BP48">
    <cfRule type="expression" dxfId="110" priority="10">
      <formula>BO9&lt;0</formula>
    </cfRule>
    <cfRule type="expression" dxfId="109" priority="11">
      <formula>BO9&gt;0</formula>
    </cfRule>
  </conditionalFormatting>
  <conditionalFormatting sqref="BQ49:BQ81">
    <cfRule type="expression" dxfId="108" priority="8">
      <formula>BP49&lt;0</formula>
    </cfRule>
    <cfRule type="expression" dxfId="107" priority="9">
      <formula>BP49&gt;0</formula>
    </cfRule>
  </conditionalFormatting>
  <conditionalFormatting sqref="C5 K5:L6">
    <cfRule type="expression" dxfId="106" priority="7">
      <formula>$C$5&gt;""</formula>
    </cfRule>
  </conditionalFormatting>
  <conditionalFormatting sqref="U2:U4">
    <cfRule type="expression" dxfId="105" priority="6">
      <formula>$U$49&gt;0</formula>
    </cfRule>
  </conditionalFormatting>
  <conditionalFormatting sqref="AC9:AC48">
    <cfRule type="containsText" dxfId="104" priority="1" operator="containsText" text="Y">
      <formula>NOT(ISERROR(SEARCH("Y",AC9)))</formula>
    </cfRule>
  </conditionalFormatting>
  <conditionalFormatting sqref="AA9:AA48">
    <cfRule type="cellIs" dxfId="103" priority="3" operator="lessThan">
      <formula>0</formula>
    </cfRule>
    <cfRule type="cellIs" dxfId="102" priority="4" operator="greaterThan">
      <formula>0</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EC7063"/>
  </sheetPr>
  <dimension ref="A1:AN166"/>
  <sheetViews>
    <sheetView showGridLines="0" showRowColHeaders="0" zoomScale="125" zoomScaleNormal="125" zoomScalePageLayoutView="200" workbookViewId="0">
      <pane ySplit="5" topLeftCell="A6" activePane="bottomLeft" state="frozen"/>
      <selection pane="bottomLeft"/>
    </sheetView>
  </sheetViews>
  <sheetFormatPr baseColWidth="10" defaultColWidth="10.7109375" defaultRowHeight="20" customHeight="1"/>
  <cols>
    <col min="1" max="1" width="5.7109375" style="420" customWidth="1"/>
    <col min="2" max="3" width="1.7109375" style="420" customWidth="1"/>
    <col min="4" max="4" width="7.28515625" style="418" customWidth="1"/>
    <col min="5" max="5" width="9" style="1709" customWidth="1"/>
    <col min="6" max="6" width="4.42578125" style="420" customWidth="1"/>
    <col min="7" max="9" width="9.7109375" style="420" customWidth="1"/>
    <col min="10" max="10" width="9.7109375" style="418" customWidth="1"/>
    <col min="11" max="19" width="9.7109375" style="420" customWidth="1"/>
    <col min="20" max="20" width="2.28515625" style="420" customWidth="1"/>
    <col min="21" max="24" width="7.28515625" style="420" customWidth="1"/>
    <col min="25" max="25" width="1.7109375" style="418" customWidth="1"/>
    <col min="26" max="27" width="7.28515625" style="418" customWidth="1"/>
    <col min="28" max="29" width="7.28515625" style="420" customWidth="1"/>
    <col min="30" max="30" width="6.7109375" style="420" customWidth="1"/>
    <col min="31" max="33" width="5.7109375" style="420" customWidth="1"/>
    <col min="34" max="34" width="4.140625" style="420" customWidth="1"/>
    <col min="35" max="35" width="16" style="420" customWidth="1"/>
    <col min="36" max="16384" width="10.7109375" style="420"/>
  </cols>
  <sheetData>
    <row r="1" spans="1:27" s="528" customFormat="1" ht="8" customHeight="1">
      <c r="A1" s="526"/>
      <c r="B1" s="526"/>
      <c r="C1" s="526"/>
      <c r="D1" s="526"/>
      <c r="E1" s="1701"/>
      <c r="F1" s="526"/>
      <c r="G1" s="526"/>
      <c r="H1" s="526"/>
      <c r="I1" s="526"/>
      <c r="J1" s="526"/>
      <c r="K1" s="526"/>
      <c r="L1" s="526"/>
      <c r="M1" s="526"/>
      <c r="N1" s="526"/>
      <c r="O1" s="526"/>
      <c r="P1" s="526"/>
      <c r="Q1" s="527"/>
      <c r="Y1" s="417"/>
      <c r="Z1" s="417"/>
      <c r="AA1" s="417"/>
    </row>
    <row r="2" spans="1:27" s="429" customFormat="1" ht="40" customHeight="1">
      <c r="C2" s="549" t="s">
        <v>1329</v>
      </c>
      <c r="E2" s="1702"/>
      <c r="F2" s="556"/>
      <c r="G2" s="556"/>
      <c r="H2" s="556"/>
    </row>
    <row r="3" spans="1:27" s="429" customFormat="1" ht="20" customHeight="1">
      <c r="A3" s="615" t="s">
        <v>1348</v>
      </c>
      <c r="E3" s="1703"/>
    </row>
    <row r="4" spans="1:27" s="429" customFormat="1" ht="45" customHeight="1">
      <c r="D4" s="2492" t="s">
        <v>2424</v>
      </c>
      <c r="E4" s="2493"/>
      <c r="F4" s="2493"/>
      <c r="G4" s="2493"/>
      <c r="H4" s="2493"/>
      <c r="I4" s="2493"/>
      <c r="J4" s="2493"/>
      <c r="K4" s="2493"/>
      <c r="L4" s="2493"/>
      <c r="M4" s="2493"/>
      <c r="N4" s="2493"/>
      <c r="O4" s="2493"/>
      <c r="P4" s="2493"/>
    </row>
    <row r="5" spans="1:27" s="429" customFormat="1" ht="20" customHeight="1">
      <c r="D5" s="549"/>
      <c r="E5" s="1704" t="s">
        <v>2286</v>
      </c>
      <c r="F5" s="556"/>
      <c r="G5" s="556"/>
      <c r="H5" s="556"/>
    </row>
    <row r="6" spans="1:27" s="619" customFormat="1" ht="14" customHeight="1">
      <c r="D6" s="646"/>
      <c r="E6" s="1705"/>
      <c r="F6" s="648"/>
      <c r="H6" s="648"/>
      <c r="I6" s="421"/>
      <c r="J6" s="647"/>
      <c r="K6" s="647"/>
      <c r="L6" s="647"/>
      <c r="M6" s="647"/>
      <c r="N6" s="647"/>
    </row>
    <row r="7" spans="1:27" s="429" customFormat="1" ht="23" customHeight="1">
      <c r="E7" s="1706"/>
      <c r="F7" s="542"/>
      <c r="G7" s="542"/>
    </row>
    <row r="8" spans="1:27" s="429" customFormat="1" ht="35" customHeight="1">
      <c r="E8" s="2494" t="s">
        <v>2454</v>
      </c>
      <c r="F8" s="542"/>
      <c r="G8" s="1700" t="s">
        <v>1397</v>
      </c>
    </row>
    <row r="9" spans="1:27" ht="16" customHeight="1">
      <c r="E9" s="2495"/>
      <c r="F9" s="542"/>
      <c r="G9" s="542"/>
    </row>
    <row r="10" spans="1:27" ht="20" customHeight="1">
      <c r="E10" s="1707"/>
      <c r="F10" s="542"/>
      <c r="G10" s="542"/>
    </row>
    <row r="11" spans="1:27" ht="24" customHeight="1">
      <c r="E11" s="1707"/>
      <c r="F11" s="542"/>
      <c r="G11" s="542"/>
    </row>
    <row r="12" spans="1:27" ht="25" customHeight="1">
      <c r="D12" s="420"/>
      <c r="E12" s="2496" t="s">
        <v>1360</v>
      </c>
      <c r="F12" s="542"/>
      <c r="G12" s="1700" t="s">
        <v>2425</v>
      </c>
      <c r="J12" s="420"/>
      <c r="Y12" s="420"/>
      <c r="Z12" s="420"/>
      <c r="AA12" s="420"/>
    </row>
    <row r="13" spans="1:27" ht="20" customHeight="1">
      <c r="E13" s="2496"/>
      <c r="F13" s="542"/>
      <c r="G13" s="542"/>
    </row>
    <row r="14" spans="1:27" ht="20" customHeight="1">
      <c r="E14" s="1707"/>
      <c r="F14" s="542"/>
      <c r="G14" s="542"/>
    </row>
    <row r="15" spans="1:27" ht="20" customHeight="1">
      <c r="E15" s="1707"/>
      <c r="F15" s="542"/>
      <c r="G15" s="542"/>
    </row>
    <row r="16" spans="1:27" ht="12" customHeight="1">
      <c r="E16" s="1707"/>
      <c r="F16" s="542"/>
      <c r="G16" s="542"/>
    </row>
    <row r="17" spans="5:7" ht="37" customHeight="1">
      <c r="E17" s="1708" t="s">
        <v>2455</v>
      </c>
      <c r="F17" s="542"/>
      <c r="G17" s="1700" t="s">
        <v>1398</v>
      </c>
    </row>
    <row r="18" spans="5:7" ht="20" customHeight="1">
      <c r="E18" s="1707"/>
      <c r="F18" s="542"/>
    </row>
    <row r="19" spans="5:7" ht="20" customHeight="1">
      <c r="E19" s="1707"/>
      <c r="F19" s="542"/>
      <c r="G19" s="542"/>
    </row>
    <row r="20" spans="5:7" ht="20" customHeight="1">
      <c r="E20" s="1707"/>
      <c r="F20" s="542"/>
      <c r="G20" s="542"/>
    </row>
    <row r="21" spans="5:7" ht="33" customHeight="1">
      <c r="E21" s="1708" t="s">
        <v>2456</v>
      </c>
      <c r="F21" s="542"/>
      <c r="G21" s="1700" t="s">
        <v>1399</v>
      </c>
    </row>
    <row r="22" spans="5:7" ht="20" customHeight="1">
      <c r="E22" s="1707"/>
      <c r="F22" s="542"/>
      <c r="G22" s="542"/>
    </row>
    <row r="23" spans="5:7" ht="20" customHeight="1">
      <c r="E23" s="1707"/>
      <c r="F23" s="542"/>
      <c r="G23" s="542"/>
    </row>
    <row r="24" spans="5:7" ht="22" customHeight="1">
      <c r="E24" s="1707"/>
      <c r="F24" s="542"/>
      <c r="G24" s="542"/>
    </row>
    <row r="25" spans="5:7" ht="32" customHeight="1">
      <c r="E25" s="1707" t="s">
        <v>2457</v>
      </c>
      <c r="F25" s="542"/>
      <c r="G25" s="1700" t="s">
        <v>1400</v>
      </c>
    </row>
    <row r="26" spans="5:7" ht="20" customHeight="1">
      <c r="E26" s="1707"/>
      <c r="F26" s="542"/>
      <c r="G26" s="542"/>
    </row>
    <row r="27" spans="5:7" ht="20" customHeight="1">
      <c r="E27" s="1707"/>
      <c r="F27" s="542"/>
    </row>
    <row r="28" spans="5:7" ht="20" customHeight="1">
      <c r="E28" s="1707"/>
      <c r="F28" s="542"/>
      <c r="G28" s="542"/>
    </row>
    <row r="29" spans="5:7" ht="20" customHeight="1">
      <c r="E29" s="1707"/>
      <c r="F29" s="542"/>
      <c r="G29" s="1700" t="s">
        <v>2363</v>
      </c>
    </row>
    <row r="30" spans="5:7" ht="20" customHeight="1">
      <c r="E30" s="1707"/>
      <c r="F30" s="542"/>
    </row>
    <row r="31" spans="5:7" ht="20" customHeight="1">
      <c r="E31" s="1707"/>
      <c r="F31" s="542"/>
      <c r="G31" s="542"/>
    </row>
    <row r="32" spans="5:7" ht="20" customHeight="1">
      <c r="E32" s="1707"/>
      <c r="F32" s="542"/>
      <c r="G32" s="542"/>
    </row>
    <row r="33" spans="7:7" ht="20" customHeight="1">
      <c r="G33" s="542" t="s">
        <v>2393</v>
      </c>
    </row>
    <row r="69" spans="4:28" ht="20" customHeight="1">
      <c r="D69" s="420"/>
      <c r="E69" s="1710"/>
      <c r="J69" s="420"/>
      <c r="Y69" s="538"/>
      <c r="Z69" s="538"/>
      <c r="AA69" s="540"/>
      <c r="AB69" s="538"/>
    </row>
    <row r="70" spans="4:28" ht="20" customHeight="1">
      <c r="D70" s="420"/>
      <c r="E70" s="1710"/>
      <c r="J70" s="420"/>
      <c r="Y70" s="538"/>
      <c r="Z70" s="538"/>
      <c r="AA70" s="540"/>
      <c r="AB70" s="538"/>
    </row>
    <row r="71" spans="4:28" ht="20" customHeight="1">
      <c r="D71" s="420"/>
      <c r="E71" s="1710"/>
      <c r="J71" s="420"/>
      <c r="Y71" s="538"/>
      <c r="Z71" s="538"/>
      <c r="AA71" s="540"/>
      <c r="AB71" s="538"/>
    </row>
    <row r="72" spans="4:28" ht="20" customHeight="1">
      <c r="D72" s="420"/>
      <c r="E72" s="1710"/>
      <c r="J72" s="420"/>
      <c r="Y72" s="538"/>
      <c r="Z72" s="538"/>
      <c r="AA72" s="540"/>
      <c r="AB72" s="538"/>
    </row>
    <row r="73" spans="4:28" ht="20" customHeight="1">
      <c r="Y73" s="538"/>
      <c r="Z73" s="538"/>
      <c r="AA73" s="540"/>
      <c r="AB73" s="538"/>
    </row>
    <row r="74" spans="4:28" ht="20" customHeight="1">
      <c r="Y74" s="538"/>
      <c r="Z74" s="538"/>
      <c r="AA74" s="540"/>
      <c r="AB74" s="538"/>
    </row>
    <row r="75" spans="4:28" ht="20" customHeight="1">
      <c r="Y75" s="538"/>
      <c r="Z75" s="538"/>
      <c r="AA75" s="540"/>
      <c r="AB75" s="538"/>
    </row>
    <row r="76" spans="4:28" ht="20" customHeight="1">
      <c r="Y76" s="538"/>
      <c r="Z76" s="538"/>
      <c r="AA76" s="540"/>
      <c r="AB76" s="538"/>
    </row>
    <row r="77" spans="4:28" ht="20" customHeight="1">
      <c r="Y77" s="538"/>
      <c r="Z77" s="538"/>
      <c r="AA77" s="540"/>
      <c r="AB77" s="538"/>
    </row>
    <row r="78" spans="4:28" ht="20" customHeight="1">
      <c r="Y78" s="538"/>
      <c r="Z78" s="538"/>
      <c r="AA78" s="540"/>
      <c r="AB78" s="538"/>
    </row>
    <row r="79" spans="4:28" ht="20" customHeight="1">
      <c r="Y79" s="538"/>
      <c r="Z79" s="538"/>
      <c r="AA79" s="540"/>
      <c r="AB79" s="538"/>
    </row>
    <row r="80" spans="4:28" ht="20" customHeight="1">
      <c r="Y80" s="538"/>
      <c r="Z80" s="538"/>
      <c r="AA80" s="540"/>
      <c r="AB80" s="538"/>
    </row>
    <row r="81" spans="4:28" ht="20" customHeight="1">
      <c r="Y81" s="538"/>
      <c r="Z81" s="538"/>
      <c r="AA81" s="540"/>
      <c r="AB81" s="538"/>
    </row>
    <row r="82" spans="4:28" ht="20" customHeight="1">
      <c r="Y82" s="538"/>
      <c r="Z82" s="538"/>
      <c r="AA82" s="540"/>
      <c r="AB82" s="538"/>
    </row>
    <row r="83" spans="4:28" ht="20" customHeight="1">
      <c r="D83" s="420"/>
      <c r="E83" s="1710"/>
      <c r="J83" s="420"/>
      <c r="Y83" s="538"/>
      <c r="Z83" s="538"/>
      <c r="AA83" s="540"/>
      <c r="AB83" s="538"/>
    </row>
    <row r="84" spans="4:28" ht="20" customHeight="1">
      <c r="E84" s="1710"/>
      <c r="J84" s="420"/>
      <c r="Y84" s="538"/>
      <c r="Z84" s="538"/>
      <c r="AA84" s="540"/>
      <c r="AB84" s="538"/>
    </row>
    <row r="85" spans="4:28" ht="20" customHeight="1">
      <c r="D85" s="538"/>
      <c r="E85" s="1710"/>
      <c r="J85" s="420"/>
      <c r="Y85" s="538"/>
      <c r="Z85" s="538"/>
      <c r="AA85" s="540"/>
      <c r="AB85" s="538"/>
    </row>
    <row r="86" spans="4:28" ht="20" customHeight="1">
      <c r="E86" s="1710"/>
      <c r="J86" s="420"/>
      <c r="Y86" s="538"/>
      <c r="Z86" s="538"/>
      <c r="AA86" s="540"/>
      <c r="AB86" s="538"/>
    </row>
    <row r="87" spans="4:28" ht="20" customHeight="1">
      <c r="D87" s="553"/>
      <c r="E87" s="1710"/>
      <c r="J87" s="420"/>
      <c r="Y87" s="538"/>
      <c r="Z87" s="538"/>
      <c r="AA87" s="540"/>
      <c r="AB87" s="538"/>
    </row>
    <row r="88" spans="4:28" ht="20" customHeight="1">
      <c r="Y88" s="538"/>
      <c r="Z88" s="538"/>
      <c r="AA88" s="540"/>
      <c r="AB88" s="538"/>
    </row>
    <row r="89" spans="4:28" ht="20" customHeight="1">
      <c r="Y89" s="538"/>
      <c r="Z89" s="538"/>
      <c r="AA89" s="540"/>
      <c r="AB89" s="538"/>
    </row>
    <row r="90" spans="4:28" ht="20" customHeight="1">
      <c r="D90" s="554"/>
      <c r="J90" s="420"/>
      <c r="Y90" s="538"/>
      <c r="Z90" s="538"/>
      <c r="AA90" s="540"/>
      <c r="AB90" s="538"/>
    </row>
    <row r="91" spans="4:28" ht="20" customHeight="1">
      <c r="D91" s="553"/>
      <c r="J91" s="420"/>
      <c r="Y91" s="538"/>
      <c r="Z91" s="538"/>
      <c r="AA91" s="540"/>
      <c r="AB91" s="538"/>
    </row>
    <row r="92" spans="4:28" ht="20" customHeight="1">
      <c r="J92" s="420"/>
      <c r="Y92" s="538"/>
      <c r="Z92" s="538"/>
      <c r="AA92" s="540"/>
      <c r="AB92" s="538"/>
    </row>
    <row r="93" spans="4:28" ht="20" customHeight="1">
      <c r="J93" s="420"/>
      <c r="Y93" s="538"/>
      <c r="Z93" s="538"/>
      <c r="AA93" s="540"/>
      <c r="AB93" s="538"/>
    </row>
    <row r="94" spans="4:28" ht="20" customHeight="1">
      <c r="D94" s="1"/>
      <c r="J94" s="420"/>
      <c r="Y94" s="538"/>
      <c r="Z94" s="538"/>
      <c r="AA94" s="540"/>
      <c r="AB94" s="538"/>
    </row>
    <row r="95" spans="4:28" ht="20" customHeight="1">
      <c r="J95" s="420"/>
      <c r="Y95" s="538"/>
      <c r="Z95" s="538"/>
      <c r="AA95" s="540"/>
      <c r="AB95" s="538"/>
    </row>
    <row r="96" spans="4:28" ht="20" customHeight="1">
      <c r="J96" s="420"/>
      <c r="Y96" s="538"/>
      <c r="Z96" s="538"/>
      <c r="AA96" s="540"/>
      <c r="AB96" s="538"/>
    </row>
    <row r="97" spans="10:40" ht="20" customHeight="1">
      <c r="J97" s="420"/>
      <c r="Y97" s="538"/>
      <c r="Z97" s="538"/>
      <c r="AA97" s="540"/>
      <c r="AB97" s="538"/>
    </row>
    <row r="98" spans="10:40" ht="20" customHeight="1">
      <c r="J98" s="420"/>
      <c r="Y98" s="538"/>
      <c r="Z98" s="538"/>
      <c r="AA98" s="540"/>
      <c r="AB98" s="538"/>
    </row>
    <row r="99" spans="10:40" ht="20" customHeight="1">
      <c r="J99" s="420"/>
      <c r="Y99" s="538"/>
      <c r="Z99" s="538"/>
      <c r="AA99" s="540"/>
      <c r="AB99" s="538"/>
    </row>
    <row r="100" spans="10:40" ht="20" customHeight="1">
      <c r="J100" s="420"/>
      <c r="Y100" s="538"/>
      <c r="Z100" s="538"/>
      <c r="AA100" s="540"/>
      <c r="AB100" s="538"/>
    </row>
    <row r="101" spans="10:40" ht="20" customHeight="1">
      <c r="J101" s="420"/>
      <c r="Y101" s="538"/>
      <c r="Z101" s="538"/>
      <c r="AA101" s="540"/>
      <c r="AB101" s="538"/>
    </row>
    <row r="102" spans="10:40" ht="20" customHeight="1">
      <c r="J102" s="420"/>
      <c r="Y102" s="538"/>
      <c r="Z102" s="538"/>
      <c r="AA102" s="540"/>
      <c r="AB102" s="538"/>
    </row>
    <row r="103" spans="10:40" ht="20" customHeight="1">
      <c r="J103" s="420"/>
      <c r="Y103" s="538"/>
      <c r="Z103" s="538"/>
      <c r="AA103" s="540"/>
      <c r="AB103" s="538"/>
    </row>
    <row r="104" spans="10:40" ht="20" customHeight="1">
      <c r="J104" s="420"/>
      <c r="Y104" s="538"/>
      <c r="Z104" s="538"/>
      <c r="AA104" s="540"/>
      <c r="AB104" s="538"/>
    </row>
    <row r="105" spans="10:40" ht="20" customHeight="1">
      <c r="J105" s="420"/>
      <c r="Y105" s="538"/>
      <c r="Z105" s="538"/>
      <c r="AA105" s="540"/>
      <c r="AB105" s="538"/>
    </row>
    <row r="106" spans="10:40" ht="20" customHeight="1">
      <c r="J106" s="420"/>
      <c r="Y106" s="538"/>
      <c r="Z106" s="538"/>
      <c r="AA106" s="540"/>
      <c r="AB106" s="538"/>
    </row>
    <row r="107" spans="10:40" ht="20" customHeight="1">
      <c r="J107" s="420"/>
      <c r="Y107" s="538"/>
      <c r="Z107" s="538"/>
      <c r="AA107" s="540"/>
      <c r="AB107" s="538"/>
    </row>
    <row r="108" spans="10:40" ht="20" customHeight="1">
      <c r="J108" s="420"/>
      <c r="Y108" s="538"/>
      <c r="Z108" s="538"/>
      <c r="AA108" s="540"/>
      <c r="AB108" s="538"/>
      <c r="AH108" s="418"/>
      <c r="AI108" s="418"/>
      <c r="AN108" s="418"/>
    </row>
    <row r="109" spans="10:40" ht="20" customHeight="1">
      <c r="J109" s="420"/>
      <c r="Y109" s="538"/>
      <c r="Z109" s="538"/>
      <c r="AA109" s="540"/>
      <c r="AB109" s="538"/>
    </row>
    <row r="110" spans="10:40" ht="20" customHeight="1">
      <c r="J110" s="420"/>
      <c r="Y110" s="538"/>
      <c r="Z110" s="538"/>
      <c r="AA110" s="540"/>
      <c r="AB110" s="538"/>
    </row>
    <row r="111" spans="10:40" ht="20" customHeight="1">
      <c r="J111" s="420"/>
      <c r="Y111" s="538"/>
      <c r="Z111" s="538"/>
      <c r="AA111" s="540"/>
      <c r="AB111" s="538"/>
    </row>
    <row r="112" spans="10:40" ht="20" customHeight="1">
      <c r="J112" s="420"/>
      <c r="Y112" s="538"/>
      <c r="Z112" s="538"/>
      <c r="AA112" s="540"/>
      <c r="AB112" s="538"/>
    </row>
    <row r="113" spans="4:28" ht="20" customHeight="1">
      <c r="J113" s="420"/>
      <c r="Y113" s="538"/>
      <c r="Z113" s="538"/>
      <c r="AA113" s="540"/>
      <c r="AB113" s="538"/>
    </row>
    <row r="114" spans="4:28" ht="20" customHeight="1">
      <c r="J114" s="420"/>
      <c r="Y114" s="538"/>
      <c r="Z114" s="538"/>
      <c r="AA114" s="540"/>
      <c r="AB114" s="538"/>
    </row>
    <row r="115" spans="4:28" ht="20" customHeight="1">
      <c r="J115" s="420"/>
      <c r="Y115" s="538"/>
      <c r="Z115" s="538"/>
      <c r="AA115" s="540"/>
      <c r="AB115" s="538"/>
    </row>
    <row r="116" spans="4:28" ht="20" customHeight="1">
      <c r="J116" s="420"/>
      <c r="Y116" s="538"/>
      <c r="Z116" s="538"/>
      <c r="AA116" s="540"/>
      <c r="AB116" s="538"/>
    </row>
    <row r="117" spans="4:28" ht="20" customHeight="1">
      <c r="J117" s="420"/>
      <c r="Y117" s="538"/>
      <c r="Z117" s="538"/>
      <c r="AA117" s="540"/>
      <c r="AB117" s="538"/>
    </row>
    <row r="118" spans="4:28" ht="20" customHeight="1">
      <c r="J118" s="420"/>
      <c r="Y118" s="538"/>
      <c r="Z118" s="538"/>
      <c r="AA118" s="540"/>
      <c r="AB118" s="538"/>
    </row>
    <row r="119" spans="4:28" ht="20" customHeight="1">
      <c r="J119" s="420"/>
      <c r="Y119" s="543"/>
      <c r="AA119" s="535"/>
    </row>
    <row r="122" spans="4:28" ht="20" customHeight="1">
      <c r="D122" s="420"/>
      <c r="J122" s="420"/>
    </row>
    <row r="123" spans="4:28" ht="20" customHeight="1">
      <c r="D123" s="420"/>
      <c r="J123" s="420"/>
    </row>
    <row r="124" spans="4:28" ht="20" customHeight="1">
      <c r="D124" s="420"/>
      <c r="J124" s="420"/>
    </row>
    <row r="125" spans="4:28" ht="20" customHeight="1">
      <c r="D125" s="420"/>
      <c r="J125" s="420"/>
    </row>
    <row r="126" spans="4:28" ht="20" customHeight="1">
      <c r="D126" s="420"/>
      <c r="J126" s="420"/>
    </row>
    <row r="127" spans="4:28" ht="20" customHeight="1">
      <c r="D127" s="420"/>
      <c r="J127" s="420"/>
    </row>
    <row r="128" spans="4:28" ht="20" customHeight="1">
      <c r="D128" s="420"/>
      <c r="J128" s="420"/>
    </row>
    <row r="129" spans="4:10" ht="20" customHeight="1">
      <c r="D129" s="420"/>
      <c r="J129" s="420"/>
    </row>
    <row r="130" spans="4:10" ht="20" customHeight="1">
      <c r="D130" s="420"/>
      <c r="J130" s="420"/>
    </row>
    <row r="131" spans="4:10" ht="20" customHeight="1">
      <c r="D131" s="420"/>
      <c r="J131" s="420"/>
    </row>
    <row r="132" spans="4:10" ht="20" customHeight="1">
      <c r="D132" s="420"/>
      <c r="J132" s="420"/>
    </row>
    <row r="145" spans="4:17" ht="20" customHeight="1">
      <c r="J145" s="420"/>
      <c r="L145" s="418"/>
      <c r="M145" s="418"/>
      <c r="N145" s="418"/>
      <c r="O145" s="418"/>
    </row>
    <row r="146" spans="4:17" ht="20" customHeight="1">
      <c r="J146" s="420"/>
      <c r="L146" s="418"/>
      <c r="M146" s="418"/>
      <c r="N146" s="418"/>
      <c r="O146" s="418"/>
      <c r="P146" s="545"/>
      <c r="Q146" s="545"/>
    </row>
    <row r="147" spans="4:17" ht="20" customHeight="1">
      <c r="J147" s="534"/>
      <c r="K147" s="546"/>
      <c r="L147" s="546"/>
      <c r="M147" s="546"/>
      <c r="N147" s="546"/>
      <c r="O147" s="546"/>
      <c r="P147" s="544"/>
      <c r="Q147" s="538"/>
    </row>
    <row r="148" spans="4:17" ht="20" customHeight="1">
      <c r="J148" s="547"/>
      <c r="L148" s="418"/>
      <c r="M148" s="418"/>
      <c r="N148" s="418"/>
      <c r="O148" s="418"/>
      <c r="P148" s="534"/>
      <c r="Q148" s="548"/>
    </row>
    <row r="149" spans="4:17" ht="20" customHeight="1">
      <c r="J149" s="547"/>
      <c r="L149" s="418"/>
      <c r="M149" s="418"/>
      <c r="N149" s="418"/>
      <c r="O149" s="418"/>
      <c r="P149" s="418"/>
      <c r="Q149" s="418"/>
    </row>
    <row r="150" spans="4:17" ht="20" customHeight="1">
      <c r="J150" s="547"/>
      <c r="L150" s="418"/>
      <c r="M150" s="418"/>
      <c r="N150" s="418"/>
      <c r="O150" s="418"/>
    </row>
    <row r="151" spans="4:17" ht="20" customHeight="1">
      <c r="J151" s="547"/>
      <c r="L151" s="418"/>
      <c r="M151" s="418"/>
      <c r="N151" s="418"/>
      <c r="O151" s="418"/>
    </row>
    <row r="152" spans="4:17" ht="20" customHeight="1">
      <c r="J152" s="547"/>
      <c r="L152" s="418"/>
      <c r="M152" s="418"/>
      <c r="N152" s="418"/>
      <c r="O152" s="418"/>
    </row>
    <row r="153" spans="4:17" ht="20" customHeight="1">
      <c r="J153" s="547"/>
      <c r="L153" s="418"/>
      <c r="M153" s="418"/>
      <c r="N153" s="418"/>
      <c r="O153" s="418"/>
    </row>
    <row r="154" spans="4:17" ht="20" customHeight="1">
      <c r="L154" s="418"/>
      <c r="M154" s="418"/>
      <c r="N154" s="418"/>
      <c r="O154" s="418"/>
    </row>
    <row r="155" spans="4:17" ht="20" customHeight="1">
      <c r="D155" s="420"/>
      <c r="E155" s="1710"/>
      <c r="J155" s="420"/>
      <c r="L155" s="418"/>
      <c r="M155" s="418"/>
      <c r="N155" s="418"/>
      <c r="O155" s="418"/>
    </row>
    <row r="156" spans="4:17" ht="20" customHeight="1">
      <c r="D156" s="420"/>
      <c r="E156" s="1710"/>
      <c r="J156" s="420"/>
      <c r="L156" s="418"/>
      <c r="M156" s="418"/>
      <c r="N156" s="418"/>
      <c r="O156" s="418"/>
    </row>
    <row r="157" spans="4:17" ht="20" customHeight="1">
      <c r="E157" s="1710"/>
      <c r="J157" s="420"/>
      <c r="L157" s="418"/>
      <c r="M157" s="418"/>
      <c r="N157" s="418"/>
      <c r="O157" s="418"/>
    </row>
    <row r="158" spans="4:17" ht="20" customHeight="1">
      <c r="E158" s="1711"/>
      <c r="F158" s="544"/>
      <c r="G158" s="544"/>
      <c r="H158" s="544"/>
      <c r="J158" s="420"/>
      <c r="L158" s="418"/>
      <c r="M158" s="418"/>
      <c r="N158" s="418"/>
      <c r="O158" s="418"/>
    </row>
    <row r="159" spans="4:17" ht="20" customHeight="1">
      <c r="E159" s="1712"/>
      <c r="F159" s="534"/>
      <c r="G159" s="534"/>
      <c r="H159" s="534"/>
      <c r="I159" s="534"/>
      <c r="J159" s="534"/>
      <c r="K159" s="545"/>
      <c r="L159" s="418"/>
      <c r="M159" s="418"/>
      <c r="N159" s="418"/>
      <c r="O159" s="418"/>
    </row>
    <row r="160" spans="4:17" ht="20" customHeight="1">
      <c r="F160" s="418"/>
      <c r="G160" s="543"/>
      <c r="H160" s="543"/>
      <c r="I160" s="543"/>
      <c r="J160" s="547"/>
      <c r="K160" s="545"/>
      <c r="L160" s="418"/>
      <c r="M160" s="418"/>
      <c r="N160" s="418"/>
      <c r="O160" s="418"/>
    </row>
    <row r="161" spans="4:15" ht="20" customHeight="1">
      <c r="F161" s="418"/>
      <c r="G161" s="543"/>
      <c r="H161" s="543"/>
      <c r="I161" s="543"/>
      <c r="J161" s="547"/>
      <c r="K161" s="545"/>
      <c r="L161" s="543"/>
      <c r="M161" s="543"/>
      <c r="N161" s="418"/>
      <c r="O161" s="418"/>
    </row>
    <row r="162" spans="4:15" ht="20" customHeight="1">
      <c r="E162" s="1713"/>
      <c r="F162" s="418"/>
      <c r="G162" s="543"/>
      <c r="H162" s="543"/>
      <c r="I162" s="543"/>
      <c r="J162" s="547"/>
      <c r="K162" s="545"/>
      <c r="L162" s="543"/>
      <c r="M162" s="543"/>
      <c r="N162" s="418"/>
      <c r="O162" s="418"/>
    </row>
    <row r="163" spans="4:15" ht="20" customHeight="1">
      <c r="E163" s="1711"/>
      <c r="F163" s="418"/>
      <c r="G163" s="543"/>
      <c r="H163" s="543"/>
      <c r="I163" s="543"/>
      <c r="J163" s="547"/>
      <c r="K163" s="545"/>
      <c r="L163" s="543"/>
      <c r="M163" s="543"/>
      <c r="N163" s="418"/>
      <c r="O163" s="418"/>
    </row>
    <row r="164" spans="4:15" ht="20" customHeight="1">
      <c r="D164" s="420"/>
      <c r="E164" s="1712"/>
      <c r="F164" s="418"/>
      <c r="G164" s="543"/>
      <c r="H164" s="543"/>
      <c r="I164" s="543"/>
      <c r="J164" s="547"/>
      <c r="K164" s="545"/>
      <c r="L164" s="543"/>
      <c r="M164" s="543"/>
      <c r="N164" s="418"/>
      <c r="O164" s="418"/>
    </row>
    <row r="165" spans="4:15" ht="20" customHeight="1">
      <c r="D165" s="420"/>
      <c r="F165" s="418"/>
      <c r="G165" s="543"/>
      <c r="H165" s="543"/>
      <c r="I165" s="543"/>
      <c r="J165" s="547"/>
      <c r="K165" s="545"/>
      <c r="L165" s="543"/>
      <c r="M165" s="543"/>
      <c r="N165" s="418"/>
      <c r="O165" s="418"/>
    </row>
    <row r="166" spans="4:15" ht="20" customHeight="1">
      <c r="D166" s="420"/>
      <c r="F166" s="418"/>
      <c r="G166" s="418"/>
      <c r="H166" s="418"/>
      <c r="I166" s="418"/>
      <c r="K166" s="545"/>
      <c r="L166" s="543"/>
      <c r="M166" s="543"/>
      <c r="N166" s="418"/>
      <c r="O166" s="418"/>
    </row>
  </sheetData>
  <sheetProtection algorithmName="SHA-512" hashValue="7LUp+iYMMkhwgng2uvLvJv3YOCX4D4D1B8tKYfncAOiqHDYwpC3GC+hNJUx5pggJlaqoLJeB9jbLmJU4qwQnZQ==" saltValue="5TGzD6S6+Fvu3hdaqafOXw==" spinCount="100000" sheet="1" objects="1" scenarios="1" formatCells="0" formatColumns="0" formatRows="0" selectLockedCells="1"/>
  <mergeCells count="3">
    <mergeCell ref="D4:P4"/>
    <mergeCell ref="E8:E9"/>
    <mergeCell ref="E12:E13"/>
  </mergeCells>
  <phoneticPr fontId="58" type="noConversion"/>
  <pageMargins left="0.5" right="0.5" top="0.5" bottom="0.5" header="0" footer="0"/>
  <pageSetup orientation="landscape" horizontalDpi="4294967292" verticalDpi="429496729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activeCell="C8" sqref="C8:M8"/>
    </sheetView>
  </sheetViews>
  <sheetFormatPr baseColWidth="10" defaultRowHeight="16"/>
  <cols>
    <col min="1" max="1" width="5.7109375" style="1554" customWidth="1"/>
    <col min="2" max="2" width="1.7109375" style="1554" customWidth="1"/>
    <col min="3" max="16384" width="10.7109375" style="1554"/>
  </cols>
  <sheetData>
    <row r="1" spans="1:14" s="426" customFormat="1" ht="8" customHeight="1">
      <c r="A1" s="259"/>
      <c r="B1" s="259"/>
      <c r="C1" s="259"/>
      <c r="D1" s="259"/>
      <c r="E1" s="259"/>
      <c r="F1" s="259"/>
      <c r="G1" s="259"/>
      <c r="H1" s="259"/>
      <c r="I1" s="259"/>
      <c r="J1" s="259"/>
      <c r="K1" s="259"/>
      <c r="L1" s="259"/>
      <c r="M1" s="259"/>
      <c r="N1" s="259"/>
    </row>
    <row r="2" spans="1:14" s="426" customFormat="1" ht="40" customHeight="1">
      <c r="A2" s="425"/>
      <c r="C2" s="435" t="s">
        <v>2690</v>
      </c>
      <c r="E2" s="425"/>
      <c r="H2" s="427"/>
    </row>
    <row r="3" spans="1:14" s="427" customFormat="1" ht="104" customHeight="1">
      <c r="A3" s="779"/>
      <c r="C3" s="2120" t="s">
        <v>2488</v>
      </c>
      <c r="D3" s="2120"/>
      <c r="E3" s="2120"/>
      <c r="F3" s="2120"/>
      <c r="G3" s="2120"/>
      <c r="H3" s="2120"/>
      <c r="I3" s="2120"/>
      <c r="J3" s="2120"/>
      <c r="K3" s="2120"/>
      <c r="L3" s="2120"/>
      <c r="M3" s="2120"/>
    </row>
    <row r="4" spans="1:14" s="427" customFormat="1" ht="10" customHeight="1">
      <c r="D4" s="426"/>
      <c r="G4" s="451"/>
      <c r="H4" s="452" t="s">
        <v>50</v>
      </c>
      <c r="I4" s="2118">
        <f ca="1">TODAY()</f>
        <v>44790</v>
      </c>
      <c r="J4" s="2118"/>
    </row>
    <row r="5" spans="1:14" s="427" customFormat="1" ht="10" customHeight="1">
      <c r="D5" s="426"/>
    </row>
    <row r="8" spans="1:14" ht="37" customHeight="1">
      <c r="C8" s="2119" t="s">
        <v>2409</v>
      </c>
      <c r="D8" s="2119"/>
      <c r="E8" s="2119"/>
      <c r="F8" s="2119"/>
      <c r="G8" s="2119"/>
      <c r="H8" s="2119"/>
      <c r="I8" s="2119"/>
      <c r="J8" s="2119"/>
      <c r="K8" s="2119"/>
      <c r="L8" s="2119"/>
      <c r="M8" s="2119"/>
    </row>
    <row r="10" spans="1:14" ht="26" customHeight="1">
      <c r="D10" s="1669" t="s">
        <v>2414</v>
      </c>
      <c r="E10" s="1670"/>
      <c r="F10" s="1670"/>
      <c r="G10" s="1670"/>
      <c r="H10" s="1670"/>
      <c r="I10" s="1670"/>
      <c r="J10" s="1670"/>
      <c r="K10" s="1668"/>
      <c r="L10" s="1668"/>
    </row>
    <row r="13" spans="1:14" s="1666" customFormat="1" ht="25" customHeight="1">
      <c r="D13" s="1720" t="s">
        <v>2412</v>
      </c>
      <c r="E13" s="1720"/>
      <c r="F13" s="1720"/>
      <c r="G13" s="1721" t="s">
        <v>423</v>
      </c>
      <c r="H13" s="1720"/>
      <c r="I13" s="1720" t="s">
        <v>2413</v>
      </c>
      <c r="J13" s="1720"/>
      <c r="K13" s="1721">
        <v>174</v>
      </c>
      <c r="L13" s="1720"/>
    </row>
    <row r="14" spans="1:14" s="1666" customFormat="1" ht="25" customHeight="1">
      <c r="D14" s="1720" t="s">
        <v>2412</v>
      </c>
      <c r="E14" s="1720"/>
      <c r="F14" s="1720"/>
      <c r="G14" s="1721" t="s">
        <v>70</v>
      </c>
      <c r="H14" s="1720"/>
      <c r="I14" s="1720" t="s">
        <v>2413</v>
      </c>
      <c r="J14" s="1720"/>
      <c r="K14" s="1721">
        <v>812</v>
      </c>
      <c r="L14" s="1720"/>
    </row>
    <row r="15" spans="1:14" s="1666" customFormat="1" ht="25" customHeight="1">
      <c r="D15" s="1720" t="s">
        <v>2412</v>
      </c>
      <c r="E15" s="1720"/>
      <c r="F15" s="1720"/>
      <c r="G15" s="1721" t="s">
        <v>415</v>
      </c>
      <c r="H15" s="1720"/>
      <c r="I15" s="1720" t="s">
        <v>2413</v>
      </c>
      <c r="J15" s="1720"/>
      <c r="K15" s="1721">
        <v>59</v>
      </c>
      <c r="L15" s="1720"/>
    </row>
    <row r="16" spans="1:14" s="1666" customFormat="1" ht="25" customHeight="1">
      <c r="D16" s="1720" t="s">
        <v>2412</v>
      </c>
      <c r="E16" s="1720"/>
      <c r="F16" s="1720"/>
      <c r="G16" s="1721" t="s">
        <v>76</v>
      </c>
      <c r="H16" s="1720"/>
      <c r="I16" s="1720" t="s">
        <v>2413</v>
      </c>
      <c r="J16" s="1720"/>
      <c r="K16" s="1721">
        <v>187</v>
      </c>
      <c r="L16" s="1720"/>
    </row>
    <row r="17" spans="4:12" s="1666" customFormat="1" ht="25" customHeight="1">
      <c r="D17" s="1720" t="s">
        <v>2412</v>
      </c>
      <c r="E17" s="1720"/>
      <c r="F17" s="1720"/>
      <c r="G17" s="1721" t="s">
        <v>430</v>
      </c>
      <c r="H17" s="1720"/>
      <c r="I17" s="1720" t="s">
        <v>2413</v>
      </c>
      <c r="J17" s="1720"/>
      <c r="K17" s="1721">
        <v>9</v>
      </c>
      <c r="L17" s="1720"/>
    </row>
    <row r="18" spans="4:12" s="1666" customFormat="1" ht="25" customHeight="1">
      <c r="D18" s="1720" t="s">
        <v>2412</v>
      </c>
      <c r="E18" s="1720"/>
      <c r="F18" s="1720"/>
      <c r="G18" s="1721" t="s">
        <v>433</v>
      </c>
      <c r="H18" s="1720"/>
      <c r="I18" s="1720" t="s">
        <v>2413</v>
      </c>
      <c r="J18" s="1720"/>
      <c r="K18" s="1721">
        <v>66</v>
      </c>
      <c r="L18" s="1720"/>
    </row>
    <row r="19" spans="4:12" s="1666" customFormat="1" ht="25" customHeight="1">
      <c r="D19" s="1720" t="s">
        <v>2412</v>
      </c>
      <c r="E19" s="1720"/>
      <c r="F19" s="1720"/>
      <c r="G19" s="1721" t="s">
        <v>244</v>
      </c>
      <c r="H19" s="1720"/>
      <c r="I19" s="1720" t="s">
        <v>2413</v>
      </c>
      <c r="J19" s="1720"/>
      <c r="K19" s="1721">
        <v>64</v>
      </c>
      <c r="L19" s="1720"/>
    </row>
    <row r="20" spans="4:12" s="1666" customFormat="1" ht="25" customHeight="1">
      <c r="D20" s="1720" t="s">
        <v>2412</v>
      </c>
      <c r="E20" s="1720"/>
      <c r="F20" s="1720"/>
      <c r="G20" s="1721" t="s">
        <v>434</v>
      </c>
      <c r="H20" s="1720"/>
      <c r="I20" s="1720" t="s">
        <v>2413</v>
      </c>
      <c r="J20" s="1720"/>
      <c r="K20" s="1721">
        <v>122</v>
      </c>
      <c r="L20" s="1720"/>
    </row>
    <row r="21" spans="4:12" s="1666" customFormat="1" ht="25" customHeight="1">
      <c r="D21" s="1720" t="s">
        <v>2412</v>
      </c>
      <c r="E21" s="1720"/>
      <c r="F21" s="1720"/>
      <c r="G21" s="1721" t="s">
        <v>2497</v>
      </c>
      <c r="H21" s="1720"/>
      <c r="I21" s="1720" t="s">
        <v>2413</v>
      </c>
      <c r="J21" s="1720"/>
      <c r="K21" s="1721">
        <v>3</v>
      </c>
      <c r="L21" s="1720"/>
    </row>
    <row r="22" spans="4:12" s="1666" customFormat="1" ht="25" customHeight="1">
      <c r="D22" s="1720" t="s">
        <v>2412</v>
      </c>
      <c r="E22" s="1720"/>
      <c r="F22" s="1720"/>
      <c r="G22" s="1721" t="s">
        <v>432</v>
      </c>
      <c r="H22" s="1720"/>
      <c r="I22" s="1720" t="s">
        <v>2413</v>
      </c>
      <c r="J22" s="1720"/>
      <c r="K22" s="1721">
        <v>75</v>
      </c>
      <c r="L22" s="1720"/>
    </row>
    <row r="23" spans="4:12" s="1666" customFormat="1" ht="25" customHeight="1">
      <c r="D23" s="1720" t="s">
        <v>2412</v>
      </c>
      <c r="E23" s="1720"/>
      <c r="F23" s="1720"/>
      <c r="G23" s="1720" t="s">
        <v>1298</v>
      </c>
      <c r="H23" s="1720"/>
      <c r="I23" s="1720" t="s">
        <v>2413</v>
      </c>
      <c r="J23" s="1720"/>
      <c r="K23" s="1720">
        <v>56</v>
      </c>
      <c r="L23" s="1720"/>
    </row>
    <row r="24" spans="4:12" s="1666" customFormat="1" ht="25" customHeight="1">
      <c r="D24" s="1720"/>
      <c r="E24" s="1720"/>
      <c r="F24" s="1720"/>
      <c r="G24" s="1720"/>
      <c r="H24" s="1720"/>
      <c r="I24" s="1720"/>
      <c r="J24" s="1720"/>
      <c r="K24" s="1720"/>
      <c r="L24" s="1720"/>
    </row>
    <row r="25" spans="4:12" s="1666" customFormat="1" ht="25" customHeight="1">
      <c r="D25" s="1720"/>
      <c r="E25" s="1720"/>
      <c r="F25" s="1720"/>
      <c r="G25" s="1720"/>
      <c r="H25" s="1720"/>
      <c r="I25" s="1720"/>
      <c r="J25" s="1720"/>
      <c r="K25" s="1720"/>
      <c r="L25" s="1720"/>
    </row>
    <row r="26" spans="4:12" s="1666" customFormat="1" ht="25" customHeight="1">
      <c r="D26" s="1720"/>
      <c r="E26" s="1720"/>
      <c r="F26" s="1720"/>
      <c r="G26" s="1720"/>
      <c r="H26" s="1720"/>
      <c r="I26" s="1720"/>
      <c r="J26" s="1720"/>
      <c r="K26" s="1720"/>
      <c r="L26" s="1720"/>
    </row>
    <row r="27" spans="4:12" s="1666" customFormat="1" ht="25" customHeight="1">
      <c r="D27" s="1720"/>
      <c r="E27" s="1720"/>
      <c r="F27" s="1720"/>
      <c r="G27" s="1720"/>
      <c r="H27" s="1720"/>
      <c r="I27" s="1720"/>
      <c r="J27" s="1720"/>
      <c r="K27" s="1720"/>
      <c r="L27" s="1720"/>
    </row>
    <row r="28" spans="4:12" s="1666" customFormat="1" ht="25" customHeight="1">
      <c r="D28" s="1720"/>
      <c r="E28" s="1720"/>
      <c r="F28" s="1720"/>
      <c r="G28" s="1720"/>
      <c r="H28" s="1720"/>
      <c r="I28" s="1720"/>
      <c r="J28" s="1720"/>
      <c r="K28" s="1720"/>
      <c r="L28" s="1720"/>
    </row>
    <row r="29" spans="4:12" s="1666" customFormat="1" ht="25" customHeight="1">
      <c r="D29" s="1667"/>
      <c r="E29" s="1667"/>
      <c r="F29" s="1667"/>
      <c r="G29" s="1667"/>
      <c r="H29" s="1667"/>
      <c r="I29" s="1667"/>
      <c r="J29" s="1667"/>
      <c r="K29" s="1667"/>
      <c r="L29" s="1667"/>
    </row>
  </sheetData>
  <sheetProtection algorithmName="SHA-512" hashValue="w4S9JIFMoOuTjC7OZ3nxwU577IFuyfhaVuZBqCG5+nB+PlRk2UfkJ+Luh9qPVbeR7Lv5QZezrYcKjvO07jJ8lQ==" saltValue="xYw/+2G4VCkrTTbbwyWaiA==" spinCount="100000" sheet="1" objects="1" scenarios="1" formatCells="0" formatColumns="0" formatRows="0"/>
  <mergeCells count="3">
    <mergeCell ref="I4:J4"/>
    <mergeCell ref="C8:M8"/>
    <mergeCell ref="C3:M3"/>
  </mergeCells>
  <conditionalFormatting sqref="D13:L13">
    <cfRule type="expression" dxfId="101" priority="17">
      <formula>$D$13&lt;&gt;""</formula>
    </cfRule>
  </conditionalFormatting>
  <conditionalFormatting sqref="D15:L15">
    <cfRule type="expression" dxfId="100" priority="8">
      <formula>$D$15&lt;&gt;""</formula>
    </cfRule>
  </conditionalFormatting>
  <conditionalFormatting sqref="D17:L17">
    <cfRule type="expression" dxfId="99" priority="7">
      <formula>$D$17&lt;&gt;""</formula>
    </cfRule>
  </conditionalFormatting>
  <conditionalFormatting sqref="D19:L19">
    <cfRule type="expression" dxfId="98" priority="6">
      <formula>$D$19&lt;&gt;""</formula>
    </cfRule>
  </conditionalFormatting>
  <conditionalFormatting sqref="D21:L21">
    <cfRule type="expression" dxfId="97" priority="5">
      <formula>$D$21&lt;&gt;""</formula>
    </cfRule>
  </conditionalFormatting>
  <conditionalFormatting sqref="D23:L23">
    <cfRule type="expression" dxfId="96" priority="4">
      <formula>$D$23&lt;&gt;""</formula>
    </cfRule>
  </conditionalFormatting>
  <conditionalFormatting sqref="D25:L25">
    <cfRule type="expression" dxfId="95" priority="3">
      <formula>$D$25&lt;&gt;""</formula>
    </cfRule>
  </conditionalFormatting>
  <conditionalFormatting sqref="D27:L27">
    <cfRule type="expression" dxfId="94" priority="2">
      <formula>$D$27&lt;&gt;""</formula>
    </cfRule>
  </conditionalFormatting>
  <conditionalFormatting sqref="D29:L29">
    <cfRule type="expression" dxfId="93" priority="1">
      <formula>$D$29&lt;&gt;""</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showRowColHeaders="0" zoomScale="125" zoomScaleNormal="125" workbookViewId="0">
      <selection activeCell="C8" sqref="C8"/>
    </sheetView>
  </sheetViews>
  <sheetFormatPr baseColWidth="10" defaultRowHeight="16"/>
  <cols>
    <col min="1" max="1" width="10.7109375" style="1152"/>
    <col min="2" max="2" width="16.28515625" style="1152" customWidth="1"/>
    <col min="3" max="19" width="12.42578125" style="1152" bestFit="1" customWidth="1"/>
    <col min="20" max="32" width="12.42578125" style="1152" customWidth="1"/>
    <col min="33" max="33" width="11.7109375" style="1152" customWidth="1"/>
    <col min="34" max="34" width="14.28515625" style="1152" customWidth="1"/>
    <col min="35" max="42" width="11.7109375" style="1152" customWidth="1"/>
    <col min="43" max="51" width="10.7109375" style="1152" customWidth="1"/>
    <col min="52" max="16384" width="10.7109375" style="1152"/>
  </cols>
  <sheetData>
    <row r="1" spans="1:43" s="1149" customFormat="1" ht="42" customHeight="1">
      <c r="A1" s="1948" t="s">
        <v>2589</v>
      </c>
      <c r="B1" s="1148"/>
      <c r="D1" s="1949"/>
      <c r="E1" s="1952" t="s">
        <v>2593</v>
      </c>
      <c r="F1" s="1953"/>
      <c r="G1" s="1953"/>
    </row>
    <row r="2" spans="1:43" s="1149" customFormat="1">
      <c r="B2" s="1951" t="s">
        <v>2592</v>
      </c>
      <c r="C2" s="1149">
        <v>9</v>
      </c>
      <c r="D2" s="1149">
        <f>C2+1</f>
        <v>10</v>
      </c>
      <c r="E2" s="1149">
        <f t="shared" ref="E2:AF2" si="0">D2+1</f>
        <v>11</v>
      </c>
      <c r="F2" s="1149">
        <f t="shared" si="0"/>
        <v>12</v>
      </c>
      <c r="G2" s="1149">
        <f t="shared" si="0"/>
        <v>13</v>
      </c>
      <c r="H2" s="1149">
        <f t="shared" si="0"/>
        <v>14</v>
      </c>
      <c r="I2" s="1149">
        <f t="shared" si="0"/>
        <v>15</v>
      </c>
      <c r="J2" s="1149">
        <f t="shared" si="0"/>
        <v>16</v>
      </c>
      <c r="K2" s="1149">
        <f t="shared" si="0"/>
        <v>17</v>
      </c>
      <c r="L2" s="1149">
        <f t="shared" si="0"/>
        <v>18</v>
      </c>
      <c r="M2" s="1149">
        <f t="shared" si="0"/>
        <v>19</v>
      </c>
      <c r="N2" s="1149">
        <f t="shared" si="0"/>
        <v>20</v>
      </c>
      <c r="O2" s="1149">
        <f t="shared" si="0"/>
        <v>21</v>
      </c>
      <c r="P2" s="1149">
        <f t="shared" si="0"/>
        <v>22</v>
      </c>
      <c r="Q2" s="1149">
        <f t="shared" si="0"/>
        <v>23</v>
      </c>
      <c r="R2" s="1149">
        <f t="shared" si="0"/>
        <v>24</v>
      </c>
      <c r="S2" s="1149">
        <f t="shared" si="0"/>
        <v>25</v>
      </c>
      <c r="T2" s="1149">
        <f t="shared" si="0"/>
        <v>26</v>
      </c>
      <c r="U2" s="1149">
        <f t="shared" si="0"/>
        <v>27</v>
      </c>
      <c r="V2" s="1149">
        <f t="shared" si="0"/>
        <v>28</v>
      </c>
      <c r="W2" s="1149">
        <f t="shared" si="0"/>
        <v>29</v>
      </c>
      <c r="X2" s="1149">
        <f t="shared" si="0"/>
        <v>30</v>
      </c>
      <c r="Y2" s="1149">
        <f t="shared" si="0"/>
        <v>31</v>
      </c>
      <c r="Z2" s="1149">
        <f t="shared" si="0"/>
        <v>32</v>
      </c>
      <c r="AA2" s="1149">
        <f t="shared" si="0"/>
        <v>33</v>
      </c>
      <c r="AB2" s="1149">
        <f t="shared" si="0"/>
        <v>34</v>
      </c>
      <c r="AC2" s="1149">
        <f t="shared" si="0"/>
        <v>35</v>
      </c>
      <c r="AD2" s="1149">
        <f t="shared" si="0"/>
        <v>36</v>
      </c>
      <c r="AE2" s="1149">
        <f t="shared" si="0"/>
        <v>37</v>
      </c>
      <c r="AF2" s="1149">
        <f t="shared" si="0"/>
        <v>38</v>
      </c>
      <c r="AG2" s="1149">
        <f t="shared" ref="AG2:AP2" si="1">AF2+1</f>
        <v>39</v>
      </c>
      <c r="AH2" s="1149">
        <f t="shared" si="1"/>
        <v>40</v>
      </c>
      <c r="AI2" s="1149">
        <f t="shared" si="1"/>
        <v>41</v>
      </c>
      <c r="AJ2" s="1149">
        <f t="shared" si="1"/>
        <v>42</v>
      </c>
      <c r="AK2" s="1149">
        <f t="shared" si="1"/>
        <v>43</v>
      </c>
      <c r="AL2" s="1149">
        <f t="shared" si="1"/>
        <v>44</v>
      </c>
      <c r="AM2" s="1149">
        <f t="shared" si="1"/>
        <v>45</v>
      </c>
      <c r="AN2" s="1149">
        <f t="shared" si="1"/>
        <v>46</v>
      </c>
      <c r="AO2" s="1149">
        <f t="shared" si="1"/>
        <v>47</v>
      </c>
      <c r="AP2" s="1149">
        <f t="shared" si="1"/>
        <v>48</v>
      </c>
    </row>
    <row r="3" spans="1:43" s="1149" customFormat="1">
      <c r="B3" s="1838" t="s">
        <v>6</v>
      </c>
      <c r="C3" s="1838">
        <f>Retire!G9</f>
        <v>2034</v>
      </c>
      <c r="D3" s="1838">
        <f>C3+1</f>
        <v>2035</v>
      </c>
      <c r="E3" s="1838">
        <f t="shared" ref="E3:V3" si="2">D3+1</f>
        <v>2036</v>
      </c>
      <c r="F3" s="1838">
        <f t="shared" si="2"/>
        <v>2037</v>
      </c>
      <c r="G3" s="1838">
        <f t="shared" si="2"/>
        <v>2038</v>
      </c>
      <c r="H3" s="1838">
        <f t="shared" si="2"/>
        <v>2039</v>
      </c>
      <c r="I3" s="1838">
        <f t="shared" si="2"/>
        <v>2040</v>
      </c>
      <c r="J3" s="1838">
        <f t="shared" si="2"/>
        <v>2041</v>
      </c>
      <c r="K3" s="1838">
        <f t="shared" si="2"/>
        <v>2042</v>
      </c>
      <c r="L3" s="1838">
        <f t="shared" si="2"/>
        <v>2043</v>
      </c>
      <c r="M3" s="1838">
        <f t="shared" si="2"/>
        <v>2044</v>
      </c>
      <c r="N3" s="1838">
        <f t="shared" si="2"/>
        <v>2045</v>
      </c>
      <c r="O3" s="1838">
        <f t="shared" si="2"/>
        <v>2046</v>
      </c>
      <c r="P3" s="1838">
        <f t="shared" si="2"/>
        <v>2047</v>
      </c>
      <c r="Q3" s="1838">
        <f t="shared" si="2"/>
        <v>2048</v>
      </c>
      <c r="R3" s="1838">
        <f t="shared" si="2"/>
        <v>2049</v>
      </c>
      <c r="S3" s="1838">
        <f t="shared" si="2"/>
        <v>2050</v>
      </c>
      <c r="T3" s="1838">
        <f t="shared" si="2"/>
        <v>2051</v>
      </c>
      <c r="U3" s="1838">
        <f t="shared" si="2"/>
        <v>2052</v>
      </c>
      <c r="V3" s="1838">
        <f t="shared" si="2"/>
        <v>2053</v>
      </c>
      <c r="W3" s="1838">
        <f t="shared" ref="W3:AF3" si="3">V3+1</f>
        <v>2054</v>
      </c>
      <c r="X3" s="1838">
        <f t="shared" si="3"/>
        <v>2055</v>
      </c>
      <c r="Y3" s="1838">
        <f t="shared" si="3"/>
        <v>2056</v>
      </c>
      <c r="Z3" s="1838">
        <f t="shared" si="3"/>
        <v>2057</v>
      </c>
      <c r="AA3" s="1838">
        <f t="shared" si="3"/>
        <v>2058</v>
      </c>
      <c r="AB3" s="1838">
        <f t="shared" si="3"/>
        <v>2059</v>
      </c>
      <c r="AC3" s="1838">
        <f t="shared" si="3"/>
        <v>2060</v>
      </c>
      <c r="AD3" s="1838">
        <f t="shared" si="3"/>
        <v>2061</v>
      </c>
      <c r="AE3" s="1838">
        <f t="shared" si="3"/>
        <v>2062</v>
      </c>
      <c r="AF3" s="1838">
        <f t="shared" si="3"/>
        <v>2063</v>
      </c>
      <c r="AG3" s="1839">
        <f t="shared" ref="AG3:AP3" si="4">AF3+1</f>
        <v>2064</v>
      </c>
      <c r="AH3" s="1839">
        <f t="shared" si="4"/>
        <v>2065</v>
      </c>
      <c r="AI3" s="1839">
        <f t="shared" si="4"/>
        <v>2066</v>
      </c>
      <c r="AJ3" s="1839">
        <f t="shared" si="4"/>
        <v>2067</v>
      </c>
      <c r="AK3" s="1839">
        <f t="shared" si="4"/>
        <v>2068</v>
      </c>
      <c r="AL3" s="1839">
        <f t="shared" si="4"/>
        <v>2069</v>
      </c>
      <c r="AM3" s="1839">
        <f t="shared" si="4"/>
        <v>2070</v>
      </c>
      <c r="AN3" s="1839">
        <f t="shared" si="4"/>
        <v>2071</v>
      </c>
      <c r="AO3" s="1839">
        <f t="shared" si="4"/>
        <v>2072</v>
      </c>
      <c r="AP3" s="1839">
        <f t="shared" si="4"/>
        <v>2073</v>
      </c>
    </row>
    <row r="4" spans="1:43" s="1149" customFormat="1" ht="18" customHeight="1">
      <c r="B4" s="1150" t="s">
        <v>498</v>
      </c>
      <c r="C4" s="1151">
        <f ca="1">Retire!BF9</f>
        <v>954679.96251075156</v>
      </c>
      <c r="D4" s="1151">
        <f ca="1">Retire!BF10</f>
        <v>974090.05101118167</v>
      </c>
      <c r="E4" s="1151">
        <f ca="1">Retire!BF11</f>
        <v>987521.48305162892</v>
      </c>
      <c r="F4" s="1151">
        <f ca="1">Retire!BF12</f>
        <v>934652.34237369406</v>
      </c>
      <c r="G4" s="1151">
        <f ca="1">Retire!BF13</f>
        <v>875450.43606864184</v>
      </c>
      <c r="H4" s="1151">
        <f ca="1">Retire!BF14</f>
        <v>809860.45351138746</v>
      </c>
      <c r="I4" s="1151">
        <f ca="1">Retire!BF15</f>
        <v>737938.87165184296</v>
      </c>
      <c r="J4" s="1151">
        <f ca="1">Retire!BF16</f>
        <v>659864.42651791673</v>
      </c>
      <c r="K4" s="1151">
        <f ca="1">Retire!BF17</f>
        <v>575985.00357863342</v>
      </c>
      <c r="L4" s="1151">
        <f ca="1">Retire!BF18</f>
        <v>486842.40372177877</v>
      </c>
      <c r="M4" s="1151">
        <f ca="1">Retire!BF19</f>
        <v>393312.09987064992</v>
      </c>
      <c r="N4" s="1151">
        <f ca="1">Retire!BF20</f>
        <v>296634.5838654759</v>
      </c>
      <c r="O4" s="1151">
        <f ca="1">Retire!BF21</f>
        <v>198537.96722009493</v>
      </c>
      <c r="P4" s="1151">
        <f ca="1">Retire!BF22</f>
        <v>101347.48590889873</v>
      </c>
      <c r="Q4" s="1151">
        <f ca="1">Retire!BF23</f>
        <v>7997.3853452546755</v>
      </c>
      <c r="R4" s="1151">
        <f ca="1">Retire!BF24</f>
        <v>319.89545906486273</v>
      </c>
      <c r="S4" s="1151">
        <f ca="1">Retire!BF25</f>
        <v>12.79577742745721</v>
      </c>
      <c r="T4" s="1151">
        <f ca="1">Retire!BF26</f>
        <v>0.51180852455549797</v>
      </c>
      <c r="U4" s="1151">
        <f ca="1">Retire!BF27</f>
        <v>2.0480865537717885E-2</v>
      </c>
      <c r="V4" s="1151">
        <f ca="1">Retire!BF28</f>
        <v>8.0010015922659869E-4</v>
      </c>
      <c r="W4" s="1151">
        <f ca="1">Retire!BF29</f>
        <v>3.2104165595662646E-5</v>
      </c>
      <c r="X4" s="1151">
        <f ca="1">Retire!BF30</f>
        <v>3.3388332219489155E-5</v>
      </c>
      <c r="Y4" s="1151">
        <f ca="1">Retire!BF31</f>
        <v>3.4723865508268719E-5</v>
      </c>
      <c r="Z4" s="1151">
        <f ca="1">Retire!BF32</f>
        <v>3.6112820128599468E-5</v>
      </c>
      <c r="AA4" s="1151">
        <f ca="1">Retire!BF33</f>
        <v>3.7557332933743447E-5</v>
      </c>
      <c r="AB4" s="1151">
        <f ca="1">Retire!BF34</f>
        <v>3.9059626251093185E-5</v>
      </c>
      <c r="AC4" s="1151">
        <f ca="1">Retire!BF35</f>
        <v>4.0622011301136911E-5</v>
      </c>
      <c r="AD4" s="1151">
        <f ca="1">Retire!BF36</f>
        <v>4.2246891753182387E-5</v>
      </c>
      <c r="AE4" s="1151">
        <f ca="1">Retire!BF37</f>
        <v>4.3936767423309681E-5</v>
      </c>
      <c r="AF4" s="1154">
        <f ca="1">Retire!BF38</f>
        <v>4.5694238120242071E-5</v>
      </c>
      <c r="AG4" s="1836">
        <f ca="1">Retire!BF39</f>
        <v>4.7522007645051757E-5</v>
      </c>
      <c r="AH4" s="1836">
        <f ca="1">Retire!BF40</f>
        <v>4.9422887950853825E-5</v>
      </c>
      <c r="AI4" s="1836">
        <f ca="1">Retire!BF41</f>
        <v>5.139980346888798E-5</v>
      </c>
      <c r="AJ4" s="1836">
        <f ca="1">Retire!BF42</f>
        <v>5.3455795607643497E-5</v>
      </c>
      <c r="AK4" s="1836">
        <f ca="1">Retire!BF43</f>
        <v>5.5594027431949239E-5</v>
      </c>
      <c r="AL4" s="1836">
        <f ca="1">Retire!BF44</f>
        <v>5.781778852922721E-5</v>
      </c>
      <c r="AM4" s="1836">
        <f ca="1">Retire!BF45</f>
        <v>6.0130500070396301E-5</v>
      </c>
      <c r="AN4" s="1836">
        <f ca="1">Retire!BF46</f>
        <v>6.2535720073212154E-5</v>
      </c>
      <c r="AO4" s="1836">
        <f ca="1">Retire!BF47</f>
        <v>6.5037148876140644E-5</v>
      </c>
      <c r="AP4" s="1836">
        <f ca="1">Retire!BF48</f>
        <v>6.7638634831186268E-5</v>
      </c>
    </row>
    <row r="5" spans="1:43" ht="18" customHeight="1">
      <c r="B5" s="1150" t="s">
        <v>497</v>
      </c>
      <c r="C5" s="1151">
        <f ca="1">Retire!BD9</f>
        <v>155132.22068698111</v>
      </c>
      <c r="D5" s="1151">
        <f ca="1">Retire!BD10</f>
        <v>161337.50951446034</v>
      </c>
      <c r="E5" s="1151">
        <f ca="1">Retire!BD11</f>
        <v>167791.00989503876</v>
      </c>
      <c r="F5" s="1151">
        <f ca="1">Retire!BD12</f>
        <v>174502.65029084031</v>
      </c>
      <c r="G5" s="1151">
        <f ca="1">Retire!BD13</f>
        <v>181482.75630247392</v>
      </c>
      <c r="H5" s="1151">
        <f ca="1">Retire!BD14</f>
        <v>188742.06655457287</v>
      </c>
      <c r="I5" s="1151">
        <f ca="1">Retire!BD15</f>
        <v>196291.74921675579</v>
      </c>
      <c r="J5" s="1151">
        <f ca="1">Retire!BD16</f>
        <v>204143.41918542603</v>
      </c>
      <c r="K5" s="1151">
        <f ca="1">Retire!BD17</f>
        <v>212309.15595284308</v>
      </c>
      <c r="L5" s="1151">
        <f ca="1">Retire!BD18</f>
        <v>220801.52219095681</v>
      </c>
      <c r="M5" s="1151">
        <f ca="1">Retire!BD19</f>
        <v>229633.58307859508</v>
      </c>
      <c r="N5" s="1151">
        <f ca="1">Retire!BD20</f>
        <v>238818.92640173889</v>
      </c>
      <c r="O5" s="1151">
        <f ca="1">Retire!BD21</f>
        <v>248371.68345780845</v>
      </c>
      <c r="P5" s="1151">
        <f ca="1">Retire!BD23</f>
        <v>268638.81282796559</v>
      </c>
      <c r="Q5" s="1151">
        <f ca="1">Retire!BD23</f>
        <v>268638.81282796559</v>
      </c>
      <c r="R5" s="1151">
        <f ca="1">Retire!BD24</f>
        <v>200957.75534108421</v>
      </c>
      <c r="S5" s="1151">
        <f ca="1">Retire!BD25</f>
        <v>826868.80316277605</v>
      </c>
      <c r="T5" s="1151">
        <f ca="1">Retire!BD26</f>
        <v>756948.35528928717</v>
      </c>
      <c r="U5" s="1151">
        <f ca="1">Retire!BD27</f>
        <v>679586.79950085864</v>
      </c>
      <c r="V5" s="1151">
        <f ca="1">Retire!BD28</f>
        <v>594330.29148089304</v>
      </c>
      <c r="W5" s="1151">
        <f ca="1">Retire!BD29</f>
        <v>500707.5031401288</v>
      </c>
      <c r="X5" s="1151">
        <f ca="1">Retire!BD30</f>
        <v>398227.80326573394</v>
      </c>
      <c r="Y5" s="1151">
        <f ca="1">Retire!BD31</f>
        <v>286368.9153963633</v>
      </c>
      <c r="Z5" s="1151">
        <f ca="1">Retire!BD32</f>
        <v>164587.67201221781</v>
      </c>
      <c r="AA5" s="1151">
        <f ca="1">Retire!BD33</f>
        <v>32295.178892706521</v>
      </c>
      <c r="AB5" s="1151">
        <f ca="1">Retire!BD34</f>
        <v>33586.986048414779</v>
      </c>
      <c r="AC5" s="1151">
        <f ca="1">Retire!BD35</f>
        <v>34930.465490351373</v>
      </c>
      <c r="AD5" s="1151">
        <f ca="1">Retire!BD36</f>
        <v>36327.684109965427</v>
      </c>
      <c r="AE5" s="1151">
        <f ca="1">Retire!BD37</f>
        <v>37780.791474364043</v>
      </c>
      <c r="AF5" s="1154">
        <f ca="1">Retire!BD38</f>
        <v>39292.023133338604</v>
      </c>
      <c r="AG5" s="1837">
        <f ca="1">Retire!BD39</f>
        <v>40863.704058672149</v>
      </c>
      <c r="AH5" s="1837">
        <f ca="1">Retire!BD40</f>
        <v>42498.252221019036</v>
      </c>
      <c r="AI5" s="1837">
        <f ca="1">Retire!BD41</f>
        <v>44198.182309859796</v>
      </c>
      <c r="AJ5" s="1837">
        <f ca="1">Retire!BD42</f>
        <v>45966.10960225419</v>
      </c>
      <c r="AK5" s="1837">
        <f ca="1">Retire!BD43</f>
        <v>47804.75398634436</v>
      </c>
      <c r="AL5" s="1837">
        <f ca="1">Retire!BD44</f>
        <v>49716.944145798137</v>
      </c>
      <c r="AM5" s="1837">
        <f ca="1">Retire!BD45</f>
        <v>51705.621911630064</v>
      </c>
      <c r="AN5" s="1837">
        <f ca="1">Retire!BD46</f>
        <v>53773.846788095267</v>
      </c>
      <c r="AO5" s="1837">
        <f ca="1">Retire!BD47</f>
        <v>55924.800659619075</v>
      </c>
      <c r="AP5" s="1837">
        <f ca="1">Retire!BD48</f>
        <v>58161.792686003835</v>
      </c>
    </row>
    <row r="6" spans="1:43" ht="18" customHeight="1">
      <c r="B6" s="1153" t="s">
        <v>69</v>
      </c>
      <c r="C6" s="1151">
        <f>Retire!U9</f>
        <v>18777.11</v>
      </c>
      <c r="D6" s="1151">
        <f>Retire!U10</f>
        <v>25532.17</v>
      </c>
      <c r="E6" s="1151">
        <f>Retire!U11</f>
        <v>92370</v>
      </c>
      <c r="F6" s="1151">
        <f>Retire!U12</f>
        <v>96588</v>
      </c>
      <c r="G6" s="1151">
        <f>Retire!U13</f>
        <v>100608</v>
      </c>
      <c r="H6" s="1151">
        <f>Retire!U14</f>
        <v>104316</v>
      </c>
      <c r="I6" s="1151">
        <f>Retire!U15</f>
        <v>107592</v>
      </c>
      <c r="J6" s="1151">
        <f>Retire!U16</f>
        <v>110274</v>
      </c>
      <c r="K6" s="1151">
        <f>Retire!U17</f>
        <v>112182</v>
      </c>
      <c r="L6" s="1151">
        <f>Retire!U18</f>
        <v>113004</v>
      </c>
      <c r="M6" s="1151">
        <f>Retire!U19</f>
        <v>112410</v>
      </c>
      <c r="N6" s="1151">
        <f>Retire!U20</f>
        <v>109962</v>
      </c>
      <c r="O6" s="1151">
        <f>Retire!U21</f>
        <v>105132</v>
      </c>
      <c r="P6" s="1151">
        <f>Retire!U22</f>
        <v>97404</v>
      </c>
      <c r="Q6" s="1151">
        <f>Retire!U23</f>
        <v>86424</v>
      </c>
      <c r="R6" s="1151">
        <f>Retire!U24</f>
        <v>89124</v>
      </c>
      <c r="S6" s="1151">
        <f>Retire!U25</f>
        <v>103008</v>
      </c>
      <c r="T6" s="1151">
        <f>Retire!U26</f>
        <v>107640</v>
      </c>
      <c r="U6" s="1151">
        <f>Retire!U27</f>
        <v>112440</v>
      </c>
      <c r="V6" s="1151">
        <f>Retire!U28</f>
        <v>117396</v>
      </c>
      <c r="W6" s="1151">
        <f>Retire!U29</f>
        <v>122508</v>
      </c>
      <c r="X6" s="1151">
        <f>Retire!U30</f>
        <v>127788</v>
      </c>
      <c r="Y6" s="1151">
        <f>Retire!U31</f>
        <v>133236</v>
      </c>
      <c r="Z6" s="1151">
        <f>Retire!U32</f>
        <v>138876</v>
      </c>
      <c r="AA6" s="1151">
        <f>Retire!U33</f>
        <v>144672</v>
      </c>
      <c r="AB6" s="1151">
        <f>Retire!U34</f>
        <v>0</v>
      </c>
      <c r="AC6" s="1151">
        <f>Retire!U35</f>
        <v>0</v>
      </c>
      <c r="AD6" s="1151">
        <f>Retire!U36</f>
        <v>0</v>
      </c>
      <c r="AE6" s="1151">
        <f>Retire!U37</f>
        <v>0</v>
      </c>
      <c r="AF6" s="1154">
        <f>Retire!U38</f>
        <v>0</v>
      </c>
      <c r="AG6" s="1837">
        <f>Retire!U39</f>
        <v>0</v>
      </c>
      <c r="AH6" s="1837">
        <f>Retire!U40</f>
        <v>0</v>
      </c>
      <c r="AI6" s="1837">
        <f>Retire!U41</f>
        <v>0</v>
      </c>
      <c r="AJ6" s="1837">
        <f>Retire!U42</f>
        <v>0</v>
      </c>
      <c r="AK6" s="1837">
        <f>Retire!U43</f>
        <v>0</v>
      </c>
      <c r="AL6" s="1837">
        <f>Retire!U44</f>
        <v>0</v>
      </c>
      <c r="AM6" s="1837">
        <f>Retire!U45</f>
        <v>0</v>
      </c>
      <c r="AN6" s="1837">
        <f>Retire!U46</f>
        <v>0</v>
      </c>
      <c r="AO6" s="1837">
        <f>Retire!U47</f>
        <v>0</v>
      </c>
      <c r="AP6" s="1837">
        <f>Retire!U48</f>
        <v>0</v>
      </c>
    </row>
    <row r="7" spans="1:43" ht="18" customHeight="1">
      <c r="B7" s="1150" t="s">
        <v>70</v>
      </c>
      <c r="C7" s="1151">
        <f ca="1">Retire!W9</f>
        <v>151764</v>
      </c>
      <c r="D7" s="1151">
        <f ca="1">Retire!W10</f>
        <v>158388</v>
      </c>
      <c r="E7" s="1151">
        <f ca="1">Retire!W11</f>
        <v>149796</v>
      </c>
      <c r="F7" s="1151">
        <f ca="1">Retire!W12</f>
        <v>154284</v>
      </c>
      <c r="G7" s="1151">
        <f ca="1">Retire!W13</f>
        <v>158736</v>
      </c>
      <c r="H7" s="1151">
        <f ca="1">Retire!W14</f>
        <v>163092</v>
      </c>
      <c r="I7" s="1151">
        <f ca="1">Retire!W15</f>
        <v>167292</v>
      </c>
      <c r="J7" s="1151">
        <f ca="1">Retire!W16</f>
        <v>171264</v>
      </c>
      <c r="K7" s="1151">
        <f ca="1">Retire!W17</f>
        <v>174924</v>
      </c>
      <c r="L7" s="1151">
        <f ca="1">Retire!W18</f>
        <v>178104</v>
      </c>
      <c r="M7" s="1151">
        <f ca="1">Retire!W19</f>
        <v>180648</v>
      </c>
      <c r="N7" s="1151">
        <f ca="1">Retire!W20</f>
        <v>182340</v>
      </c>
      <c r="O7" s="1151">
        <f ca="1">Retire!W21</f>
        <v>182916</v>
      </c>
      <c r="P7" s="1151">
        <f ca="1">Retire!W22</f>
        <v>182124</v>
      </c>
      <c r="Q7" s="1151">
        <f ca="1">Retire!W23</f>
        <v>179784</v>
      </c>
      <c r="R7" s="1151">
        <f ca="1">Retire!W24</f>
        <v>184368</v>
      </c>
      <c r="S7" s="1151">
        <f ca="1">Retire!W25</f>
        <v>199524</v>
      </c>
      <c r="T7" s="1151">
        <f ca="1">Retire!W26</f>
        <v>205392</v>
      </c>
      <c r="U7" s="1151">
        <f ca="1">Retire!W27</f>
        <v>211440</v>
      </c>
      <c r="V7" s="1151">
        <f ca="1">Retire!W28</f>
        <v>217668</v>
      </c>
      <c r="W7" s="1151">
        <f ca="1">Retire!W29</f>
        <v>224064</v>
      </c>
      <c r="X7" s="1151">
        <f ca="1">Retire!W30</f>
        <v>230652</v>
      </c>
      <c r="Y7" s="1151">
        <f ca="1">Retire!W31</f>
        <v>237420</v>
      </c>
      <c r="Z7" s="1151">
        <f ca="1">Retire!W32</f>
        <v>244404</v>
      </c>
      <c r="AA7" s="1151">
        <f ca="1">Retire!W33</f>
        <v>251568</v>
      </c>
      <c r="AB7" s="1151">
        <f ca="1">Retire!W34</f>
        <v>258960</v>
      </c>
      <c r="AC7" s="1151">
        <f ca="1">Retire!W35</f>
        <v>266556</v>
      </c>
      <c r="AD7" s="1151">
        <f ca="1">Retire!W36</f>
        <v>274368</v>
      </c>
      <c r="AE7" s="1151">
        <f ca="1">Retire!W37</f>
        <v>282408</v>
      </c>
      <c r="AF7" s="1154">
        <f ca="1">Retire!W38</f>
        <v>290688</v>
      </c>
      <c r="AG7" s="1837">
        <f ca="1">Retire!W39</f>
        <v>299208</v>
      </c>
      <c r="AH7" s="1837">
        <f ca="1">Retire!W40</f>
        <v>307968</v>
      </c>
      <c r="AI7" s="1837">
        <f ca="1">Retire!W41</f>
        <v>316992</v>
      </c>
      <c r="AJ7" s="1837">
        <f ca="1">Retire!W42</f>
        <v>326268</v>
      </c>
      <c r="AK7" s="1837">
        <f ca="1">Retire!W43</f>
        <v>335820</v>
      </c>
      <c r="AL7" s="1837">
        <f ca="1">Retire!W44</f>
        <v>345660</v>
      </c>
      <c r="AM7" s="1837">
        <f ca="1">Retire!W45</f>
        <v>355776</v>
      </c>
      <c r="AN7" s="1837">
        <f ca="1">Retire!W46</f>
        <v>366180</v>
      </c>
      <c r="AO7" s="1837">
        <f ca="1">Retire!W47</f>
        <v>376896</v>
      </c>
      <c r="AP7" s="1837">
        <f ca="1">Retire!W48</f>
        <v>387924</v>
      </c>
    </row>
    <row r="8" spans="1:43" ht="18" customHeight="1">
      <c r="A8" s="1878">
        <f ca="1">SUM(C8:AP8)</f>
        <v>10330517.412902342</v>
      </c>
      <c r="B8" s="1877" t="str">
        <f ca="1">IF(A8&gt;0,"House","no house")</f>
        <v>House</v>
      </c>
      <c r="C8" s="1151">
        <f ca="1">LOOKUP(C3,Housing!$E$81:$E$120,Housing!$H$81:$H$120)</f>
        <v>560718.53696510417</v>
      </c>
      <c r="D8" s="1151">
        <f ca="1">LOOKUP(D3,Housing!$E$81:$E$120,Housing!$H$81:$H$120)</f>
        <v>571091.82989895856</v>
      </c>
      <c r="E8" s="1151">
        <f ca="1">LOOKUP(E3,Housing!$E$81:$E$120,Housing!$H$81:$H$120)</f>
        <v>581657.02875208925</v>
      </c>
      <c r="F8" s="1151">
        <f ca="1">LOOKUP(F3,Housing!$E$81:$E$120,Housing!$H$81:$H$120)</f>
        <v>592417.6837840029</v>
      </c>
      <c r="G8" s="1151">
        <f ca="1">LOOKUP(G3,Housing!$E$81:$E$120,Housing!$H$81:$H$120)</f>
        <v>603377.41093400691</v>
      </c>
      <c r="H8" s="1151">
        <f ca="1">LOOKUP(H3,Housing!$E$81:$E$120,Housing!$H$81:$H$120)</f>
        <v>614539.893036286</v>
      </c>
      <c r="I8" s="1151">
        <f ca="1">LOOKUP(I3,Housing!$E$81:$E$120,Housing!$H$81:$H$120)</f>
        <v>625908.8810574573</v>
      </c>
      <c r="J8" s="1151">
        <f ca="1">LOOKUP(J3,Housing!$E$81:$E$120,Housing!$H$81:$H$120)</f>
        <v>637488.19535702025</v>
      </c>
      <c r="K8" s="1151">
        <f ca="1">LOOKUP(K3,Housing!$E$81:$E$120,Housing!$H$81:$H$120)</f>
        <v>649281.72697112511</v>
      </c>
      <c r="L8" s="1151">
        <f ca="1">LOOKUP(L3,Housing!$E$81:$E$120,Housing!$H$81:$H$120)</f>
        <v>661293.43892009091</v>
      </c>
      <c r="M8" s="1151">
        <f ca="1">LOOKUP(M3,Housing!$E$81:$E$120,Housing!$H$81:$H$120)</f>
        <v>673527.36754011258</v>
      </c>
      <c r="N8" s="1151">
        <f ca="1">LOOKUP(N3,Housing!$E$81:$E$120,Housing!$H$81:$H$120)</f>
        <v>685987.62383960467</v>
      </c>
      <c r="O8" s="1151">
        <f ca="1">LOOKUP(O3,Housing!$E$81:$E$120,Housing!$H$81:$H$120)</f>
        <v>698678.39488063741</v>
      </c>
      <c r="P8" s="1151">
        <f ca="1">LOOKUP(P3,Housing!$E$81:$E$120,Housing!$H$81:$H$120)</f>
        <v>711603.94518592919</v>
      </c>
      <c r="Q8" s="1151">
        <f ca="1">LOOKUP(Q3,Housing!$E$81:$E$120,Housing!$H$81:$H$120)</f>
        <v>724768.61817186885</v>
      </c>
      <c r="R8" s="1151">
        <f ca="1">LOOKUP(R3,Housing!$E$81:$E$120,Housing!$H$81:$H$120)</f>
        <v>738176.83760804846</v>
      </c>
      <c r="S8" s="1151">
        <f ca="1">LOOKUP(S3,Housing!$E$81:$E$120,Housing!$H$81:$H$120)</f>
        <v>0</v>
      </c>
      <c r="T8" s="1151">
        <f ca="1">LOOKUP(T3,Housing!$E$81:$E$120,Housing!$H$81:$H$120)</f>
        <v>0</v>
      </c>
      <c r="U8" s="1151">
        <f ca="1">LOOKUP(U3,Housing!$E$81:$E$120,Housing!$H$81:$H$120)</f>
        <v>0</v>
      </c>
      <c r="V8" s="1151">
        <f ca="1">LOOKUP(V3,Housing!$E$81:$E$120,Housing!$H$81:$H$120)</f>
        <v>0</v>
      </c>
      <c r="W8" s="1151">
        <f ca="1">LOOKUP(W3,Housing!$E$81:$E$120,Housing!$H$81:$H$120)</f>
        <v>0</v>
      </c>
      <c r="X8" s="1151">
        <f ca="1">LOOKUP(X3,Housing!$E$81:$E$120,Housing!$H$81:$H$120)</f>
        <v>0</v>
      </c>
      <c r="Y8" s="1151">
        <f ca="1">LOOKUP(Y3,Housing!$E$81:$E$120,Housing!$H$81:$H$120)</f>
        <v>0</v>
      </c>
      <c r="Z8" s="1151">
        <f ca="1">LOOKUP(Z3,Housing!$E$81:$E$120,Housing!$H$81:$H$120)</f>
        <v>0</v>
      </c>
      <c r="AA8" s="1151">
        <f ca="1">LOOKUP(AA3,Housing!$E$81:$E$120,Housing!$H$81:$H$120)</f>
        <v>0</v>
      </c>
      <c r="AB8" s="1151">
        <f ca="1">LOOKUP(AB3,Housing!$E$81:$E$120,Housing!$H$81:$H$120)</f>
        <v>0</v>
      </c>
      <c r="AC8" s="1151">
        <f ca="1">LOOKUP(AC3,Housing!$E$81:$E$120,Housing!$H$81:$H$120)</f>
        <v>0</v>
      </c>
      <c r="AD8" s="1151">
        <f ca="1">LOOKUP(AD3,Housing!$E$81:$E$120,Housing!$H$81:$H$120)</f>
        <v>0</v>
      </c>
      <c r="AE8" s="1151">
        <f ca="1">LOOKUP(AE3,Housing!$E$81:$E$120,Housing!$H$81:$H$120)</f>
        <v>0</v>
      </c>
      <c r="AF8" s="1154">
        <f ca="1">LOOKUP(AF3,Housing!$E$81:$E$120,Housing!$H$81:$H$120)</f>
        <v>0</v>
      </c>
      <c r="AG8" s="1837">
        <f ca="1">LOOKUP(AG3,Housing!$E$81:$E$120,Housing!$H$81:$H$120)</f>
        <v>0</v>
      </c>
      <c r="AH8" s="1837">
        <f ca="1">LOOKUP(AH3,Housing!$E$81:$E$120,Housing!$H$81:$H$120)</f>
        <v>0</v>
      </c>
      <c r="AI8" s="1837">
        <f ca="1">LOOKUP(AI3,Housing!$E$81:$E$120,Housing!$H$81:$H$120)</f>
        <v>0</v>
      </c>
      <c r="AJ8" s="1837">
        <f ca="1">LOOKUP(AJ3,Housing!$E$81:$E$120,Housing!$H$81:$H$120)</f>
        <v>0</v>
      </c>
      <c r="AK8" s="1837">
        <f ca="1">LOOKUP(AK3,Housing!$E$81:$E$120,Housing!$H$81:$H$120)</f>
        <v>0</v>
      </c>
      <c r="AL8" s="1837">
        <f ca="1">LOOKUP(AL3,Housing!$E$81:$E$120,Housing!$H$81:$H$120)</f>
        <v>0</v>
      </c>
      <c r="AM8" s="1837">
        <f ca="1">LOOKUP(AM3,Housing!$E$81:$E$205,Housing!$H$81:$H$205)</f>
        <v>0</v>
      </c>
      <c r="AN8" s="1837">
        <f ca="1">LOOKUP(AN3,Housing!$E$81:$E$205,Housing!$H$81:$H$205)</f>
        <v>0</v>
      </c>
      <c r="AO8" s="1837">
        <f ca="1">LOOKUP(AO3,Housing!$E$81:$E$205,Housing!$H$81:$H$205)</f>
        <v>0</v>
      </c>
      <c r="AP8" s="1837">
        <f ca="1">LOOKUP(AP3,Housing!$E$81:$E$205,Housing!$H$81:$H$205)</f>
        <v>0</v>
      </c>
      <c r="AQ8" s="1834">
        <f ca="1">AP8+(AP8*Housing!I35)</f>
        <v>0</v>
      </c>
    </row>
    <row r="9" spans="1:43" ht="18" customHeight="1">
      <c r="A9" s="1878">
        <f ca="1">SUM(C9:AP9)</f>
        <v>0</v>
      </c>
      <c r="B9" s="1153" t="str">
        <f ca="1">IF(A9&gt;0,Assets!C58,"no rental 1")</f>
        <v>no rental 1</v>
      </c>
      <c r="C9" s="1151">
        <f ca="1">LOOKUP(C3,Rental!$C$37:$C$76,Rental!$D$37:$D$76)</f>
        <v>0</v>
      </c>
      <c r="D9" s="1151">
        <f ca="1">LOOKUP(D3,Rental!$C$37:$C$76,Rental!$D$37:$D$76)</f>
        <v>0</v>
      </c>
      <c r="E9" s="1151">
        <f ca="1">LOOKUP(E3,Rental!$C$37:$C$76,Rental!$D$37:$D$76)</f>
        <v>0</v>
      </c>
      <c r="F9" s="1151">
        <f ca="1">LOOKUP(F3,Rental!$C$37:$C$76,Rental!$D$37:$D$76)</f>
        <v>0</v>
      </c>
      <c r="G9" s="1151">
        <f ca="1">LOOKUP(G3,Rental!$C$37:$C$76,Rental!$D$37:$D$76)</f>
        <v>0</v>
      </c>
      <c r="H9" s="1151">
        <f ca="1">LOOKUP(H3,Rental!$C$37:$C$76,Rental!$D$37:$D$76)</f>
        <v>0</v>
      </c>
      <c r="I9" s="1151">
        <f ca="1">LOOKUP(I3,Rental!$C$37:$C$76,Rental!$D$37:$D$76)</f>
        <v>0</v>
      </c>
      <c r="J9" s="1151">
        <f ca="1">LOOKUP(J3,Rental!$C$37:$C$76,Rental!$D$37:$D$76)</f>
        <v>0</v>
      </c>
      <c r="K9" s="1151">
        <f ca="1">LOOKUP(K3,Rental!$C$37:$C$76,Rental!$D$37:$D$76)</f>
        <v>0</v>
      </c>
      <c r="L9" s="1151">
        <f ca="1">LOOKUP(L3,Rental!$C$37:$C$76,Rental!$D$37:$D$76)</f>
        <v>0</v>
      </c>
      <c r="M9" s="1151">
        <f ca="1">LOOKUP(M3,Rental!$C$37:$C$76,Rental!$D$37:$D$76)</f>
        <v>0</v>
      </c>
      <c r="N9" s="1151">
        <f ca="1">LOOKUP(N3,Rental!$C$37:$C$76,Rental!$D$37:$D$76)</f>
        <v>0</v>
      </c>
      <c r="O9" s="1151">
        <f ca="1">LOOKUP(O3,Rental!$C$37:$C$76,Rental!$D$37:$D$76)</f>
        <v>0</v>
      </c>
      <c r="P9" s="1151">
        <f ca="1">LOOKUP(P3,Rental!$C$37:$C$76,Rental!$D$37:$D$76)</f>
        <v>0</v>
      </c>
      <c r="Q9" s="1151">
        <f ca="1">LOOKUP(Q3,Rental!$C$37:$C$76,Rental!$D$37:$D$76)</f>
        <v>0</v>
      </c>
      <c r="R9" s="1151">
        <f ca="1">LOOKUP(R3,Rental!$C$37:$C$76,Rental!$D$37:$D$76)</f>
        <v>0</v>
      </c>
      <c r="S9" s="1151">
        <f ca="1">LOOKUP(S3,Rental!$C$37:$C$76,Rental!$D$37:$D$76)</f>
        <v>0</v>
      </c>
      <c r="T9" s="1151">
        <f ca="1">LOOKUP(T3,Rental!$C$37:$C$76,Rental!$D$37:$D$76)</f>
        <v>0</v>
      </c>
      <c r="U9" s="1151">
        <f ca="1">LOOKUP(U3,Rental!$C$37:$C$76,Rental!$D$37:$D$76)</f>
        <v>0</v>
      </c>
      <c r="V9" s="1151">
        <f ca="1">LOOKUP(V3,Rental!$C$37:$C$76,Rental!$D$37:$D$76)</f>
        <v>0</v>
      </c>
      <c r="W9" s="1151">
        <f ca="1">LOOKUP(W3,Rental!$C$37:$C$76,Rental!$D$37:$D$76)</f>
        <v>0</v>
      </c>
      <c r="X9" s="1151">
        <f ca="1">LOOKUP(X3,Rental!$C$37:$C$76,Rental!$D$37:$D$76)</f>
        <v>0</v>
      </c>
      <c r="Y9" s="1151">
        <f ca="1">LOOKUP(Y3,Rental!$C$37:$C$76,Rental!$D$37:$D$76)</f>
        <v>0</v>
      </c>
      <c r="Z9" s="1151">
        <f ca="1">LOOKUP(Z3,Rental!$C$37:$C$76,Rental!$D$37:$D$76)</f>
        <v>0</v>
      </c>
      <c r="AA9" s="1151">
        <f ca="1">LOOKUP(AA3,Rental!$C$37:$C$76,Rental!$D$37:$D$76)</f>
        <v>0</v>
      </c>
      <c r="AB9" s="1151">
        <f ca="1">LOOKUP(AB3,Rental!$C$37:$C$76,Rental!$D$37:$D$76)</f>
        <v>0</v>
      </c>
      <c r="AC9" s="1151">
        <f ca="1">LOOKUP(AC3,Rental!$C$37:$C$76,Rental!$D$37:$D$76)</f>
        <v>0</v>
      </c>
      <c r="AD9" s="1151">
        <f ca="1">LOOKUP(AD3,Rental!$C$37:$C$76,Rental!$D$37:$D$76)</f>
        <v>0</v>
      </c>
      <c r="AE9" s="1151">
        <f ca="1">LOOKUP(AE3,Rental!$C$37:$C$76,Rental!$D$37:$D$76)</f>
        <v>0</v>
      </c>
      <c r="AF9" s="1154">
        <f ca="1">LOOKUP(AF3,Rental!$C$37:$C$76,Rental!$D$37:$D$76)</f>
        <v>0</v>
      </c>
      <c r="AG9" s="1837">
        <f ca="1">LOOKUP(AG3,Rental!$C$37:$C$76,Rental!$D$37:$D$76)</f>
        <v>0</v>
      </c>
      <c r="AH9" s="1837">
        <f ca="1">LOOKUP(AH3,Rental!$C$37:$C$76,Rental!$D$37:$D$76)</f>
        <v>0</v>
      </c>
      <c r="AI9" s="1837">
        <f ca="1">LOOKUP(AI3,Rental!$C$37:$C$76,Rental!$D$37:$D$76)</f>
        <v>0</v>
      </c>
      <c r="AJ9" s="1837">
        <f ca="1">LOOKUP(AJ3,Rental!$C$37:$C$76,Rental!$D$37:$D$76)</f>
        <v>0</v>
      </c>
      <c r="AK9" s="1837">
        <f ca="1">LOOKUP(AK3,Rental!$C$37:$C$76,Rental!$D$37:$D$76)</f>
        <v>0</v>
      </c>
      <c r="AL9" s="1837">
        <f ca="1">LOOKUP(AL3,Rental!$C$37:$C$76,Rental!$D$37:$D$76)</f>
        <v>0</v>
      </c>
      <c r="AM9" s="1837">
        <f ca="1">LOOKUP(AM3,Rental!$C$37:$C$76,Rental!$D$37:$D$76)</f>
        <v>0</v>
      </c>
      <c r="AN9" s="1837">
        <f ca="1">LOOKUP(AN3,Rental!$C$37:$C$76,Rental!$D$37:$D$76)</f>
        <v>0</v>
      </c>
      <c r="AO9" s="1837">
        <f ca="1">LOOKUP(AO3,Rental!$C$37:$C$76,Rental!$D$37:$D$76)</f>
        <v>0</v>
      </c>
      <c r="AP9" s="1837">
        <f ca="1">LOOKUP(AP3,Rental!$C$37:$C$76,Rental!$D$37:$D$76)</f>
        <v>0</v>
      </c>
    </row>
    <row r="10" spans="1:43" ht="18" customHeight="1">
      <c r="A10" s="1878">
        <f ca="1">SUM(C10:AP10)</f>
        <v>0</v>
      </c>
      <c r="B10" s="1153" t="str">
        <f ca="1">IF(A10&gt;0,Assets!C59,"no rental 2")</f>
        <v>no rental 2</v>
      </c>
      <c r="C10" s="1151">
        <f ca="1">LOOKUP(C3,Rental!$C$37:$C$76,Rental!$K$37:$K$76)</f>
        <v>0</v>
      </c>
      <c r="D10" s="1151">
        <f ca="1">LOOKUP(D3,Rental!$C$37:$C$76,Rental!$K$37:$K$76)</f>
        <v>0</v>
      </c>
      <c r="E10" s="1151">
        <f ca="1">LOOKUP(E3,Rental!$C$37:$C$76,Rental!$K$37:$K$76)</f>
        <v>0</v>
      </c>
      <c r="F10" s="1151">
        <f ca="1">LOOKUP(F3,Rental!$C$37:$C$76,Rental!$K$37:$K$76)</f>
        <v>0</v>
      </c>
      <c r="G10" s="1151">
        <f ca="1">LOOKUP(G3,Rental!$C$37:$C$76,Rental!$K$37:$K$76)</f>
        <v>0</v>
      </c>
      <c r="H10" s="1151">
        <f ca="1">LOOKUP(H3,Rental!$C$37:$C$76,Rental!$K$37:$K$76)</f>
        <v>0</v>
      </c>
      <c r="I10" s="1151">
        <f ca="1">LOOKUP(I3,Rental!$C$37:$C$76,Rental!$K$37:$K$76)</f>
        <v>0</v>
      </c>
      <c r="J10" s="1151">
        <f ca="1">LOOKUP(J3,Rental!$C$37:$C$76,Rental!$K$37:$K$76)</f>
        <v>0</v>
      </c>
      <c r="K10" s="1151">
        <f ca="1">LOOKUP(K3,Rental!$C$37:$C$76,Rental!$K$37:$K$76)</f>
        <v>0</v>
      </c>
      <c r="L10" s="1151">
        <f ca="1">LOOKUP(L3,Rental!$C$37:$C$76,Rental!$K$37:$K$76)</f>
        <v>0</v>
      </c>
      <c r="M10" s="1151">
        <f ca="1">LOOKUP(M3,Rental!$C$37:$C$76,Rental!$K$37:$K$76)</f>
        <v>0</v>
      </c>
      <c r="N10" s="1151">
        <f ca="1">LOOKUP(N3,Rental!$C$37:$C$76,Rental!$K$37:$K$76)</f>
        <v>0</v>
      </c>
      <c r="O10" s="1151">
        <f ca="1">LOOKUP(O3,Rental!$C$37:$C$76,Rental!$K$37:$K$76)</f>
        <v>0</v>
      </c>
      <c r="P10" s="1151">
        <f ca="1">LOOKUP(P3,Rental!$C$37:$C$76,Rental!$K$37:$K$76)</f>
        <v>0</v>
      </c>
      <c r="Q10" s="1151">
        <f ca="1">LOOKUP(Q3,Rental!$C$37:$C$76,Rental!$K$37:$K$76)</f>
        <v>0</v>
      </c>
      <c r="R10" s="1151">
        <f ca="1">LOOKUP(R3,Rental!$C$37:$C$76,Rental!$K$37:$K$76)</f>
        <v>0</v>
      </c>
      <c r="S10" s="1151">
        <f ca="1">LOOKUP(S3,Rental!$C$37:$C$76,Rental!$K$37:$K$76)</f>
        <v>0</v>
      </c>
      <c r="T10" s="1151">
        <f ca="1">LOOKUP(T3,Rental!$C$37:$C$76,Rental!$K$37:$K$76)</f>
        <v>0</v>
      </c>
      <c r="U10" s="1151">
        <f ca="1">LOOKUP(U3,Rental!$C$37:$C$76,Rental!$K$37:$K$76)</f>
        <v>0</v>
      </c>
      <c r="V10" s="1151">
        <f ca="1">LOOKUP(V3,Rental!$C$37:$C$76,Rental!$K$37:$K$76)</f>
        <v>0</v>
      </c>
      <c r="W10" s="1151">
        <f ca="1">LOOKUP(W3,Rental!$C$37:$C$76,Rental!$K$37:$K$76)</f>
        <v>0</v>
      </c>
      <c r="X10" s="1151">
        <f ca="1">LOOKUP(X3,Rental!$C$37:$C$76,Rental!$K$37:$K$76)</f>
        <v>0</v>
      </c>
      <c r="Y10" s="1151">
        <f ca="1">LOOKUP(Y3,Rental!$C$37:$C$76,Rental!$K$37:$K$76)</f>
        <v>0</v>
      </c>
      <c r="Z10" s="1151">
        <f ca="1">LOOKUP(Z3,Rental!$C$37:$C$76,Rental!$K$37:$K$76)</f>
        <v>0</v>
      </c>
      <c r="AA10" s="1151">
        <f ca="1">LOOKUP(AA3,Rental!$C$37:$C$76,Rental!$K$37:$K$76)</f>
        <v>0</v>
      </c>
      <c r="AB10" s="1151">
        <f ca="1">LOOKUP(AB3,Rental!$C$37:$C$76,Rental!$K$37:$K$76)</f>
        <v>0</v>
      </c>
      <c r="AC10" s="1151">
        <f ca="1">LOOKUP(AC3,Rental!$C$37:$C$76,Rental!$K$37:$K$76)</f>
        <v>0</v>
      </c>
      <c r="AD10" s="1151">
        <f ca="1">LOOKUP(AD3,Rental!$C$37:$C$76,Rental!$K$37:$K$76)</f>
        <v>0</v>
      </c>
      <c r="AE10" s="1151">
        <f ca="1">LOOKUP(AE3,Rental!$C$37:$C$76,Rental!$K$37:$K$76)</f>
        <v>0</v>
      </c>
      <c r="AF10" s="1154">
        <f ca="1">LOOKUP(AF3,Rental!$C$37:$C$76,Rental!$K$37:$K$76)</f>
        <v>0</v>
      </c>
      <c r="AG10" s="1837">
        <f ca="1">LOOKUP(AG3,Rental!$C$37:$C$76,Rental!$K$37:$K$76)</f>
        <v>0</v>
      </c>
      <c r="AH10" s="1837">
        <f ca="1">LOOKUP(AH3,Rental!$C$37:$C$76,Rental!$K$37:$K$76)</f>
        <v>0</v>
      </c>
      <c r="AI10" s="1837">
        <f ca="1">LOOKUP(AI3,Rental!$C$37:$C$76,Rental!$K$37:$K$76)</f>
        <v>0</v>
      </c>
      <c r="AJ10" s="1837">
        <f ca="1">LOOKUP(AJ3,Rental!$C$37:$C$76,Rental!$K$37:$K$76)</f>
        <v>0</v>
      </c>
      <c r="AK10" s="1837">
        <f ca="1">LOOKUP(AK3,Rental!$C$37:$C$76,Rental!$K$37:$K$76)</f>
        <v>0</v>
      </c>
      <c r="AL10" s="1837">
        <f ca="1">LOOKUP(AL3,Rental!$C$37:$C$76,Rental!$K$37:$K$76)</f>
        <v>0</v>
      </c>
      <c r="AM10" s="1837">
        <f ca="1">LOOKUP(AM3,Rental!$C$37:$C$76,Rental!$K$37:$K$76)</f>
        <v>0</v>
      </c>
      <c r="AN10" s="1837">
        <f ca="1">LOOKUP(AN3,Rental!$C$37:$C$76,Rental!$K$37:$K$76)</f>
        <v>0</v>
      </c>
      <c r="AO10" s="1837">
        <f ca="1">LOOKUP(AO3,Rental!$C$37:$C$76,Rental!$K$37:$K$76)</f>
        <v>0</v>
      </c>
      <c r="AP10" s="1837">
        <f ca="1">LOOKUP(AF3,Rental!$C$37:$C$76,Rental!$K$37:$K$76)</f>
        <v>0</v>
      </c>
    </row>
    <row r="11" spans="1:43" ht="18" customHeight="1">
      <c r="A11" s="1878">
        <f ca="1">SUM(C11:AP11)</f>
        <v>0</v>
      </c>
      <c r="B11" s="1877" t="str">
        <f ca="1">IF(A11&gt;0,"Replacement House","no replacement house")</f>
        <v>no replacement house</v>
      </c>
      <c r="C11" s="1151">
        <f ca="1">LOOKUP(C3,Housing!$E$219:$E$343,Housing!$H$219:$H343)</f>
        <v>0</v>
      </c>
      <c r="D11" s="1151">
        <f ca="1">LOOKUP(D3,Housing!$E$219:$E$343,Housing!$H$219:$H343)</f>
        <v>0</v>
      </c>
      <c r="E11" s="1151">
        <f ca="1">LOOKUP(E3,Housing!$E$219:$E$343,Housing!$H$219:$H343)</f>
        <v>0</v>
      </c>
      <c r="F11" s="1151">
        <f ca="1">LOOKUP(F3,Housing!$E$219:$E$343,Housing!$H$219:$H343)</f>
        <v>0</v>
      </c>
      <c r="G11" s="1151">
        <f ca="1">LOOKUP(G3,Housing!$E$219:$E$343,Housing!$H$219:$H343)</f>
        <v>0</v>
      </c>
      <c r="H11" s="1151">
        <f ca="1">LOOKUP(H3,Housing!$E$219:$E$343,Housing!$H$219:$H343)</f>
        <v>0</v>
      </c>
      <c r="I11" s="1151">
        <f ca="1">LOOKUP(I3,Housing!$E$219:$E$343,Housing!$H$219:$H343)</f>
        <v>0</v>
      </c>
      <c r="J11" s="1151">
        <f ca="1">LOOKUP(J3,Housing!$E$219:$E$343,Housing!$H$219:$H343)</f>
        <v>0</v>
      </c>
      <c r="K11" s="1151">
        <f ca="1">LOOKUP(K3,Housing!$E$219:$E$343,Housing!$H$219:$H343)</f>
        <v>0</v>
      </c>
      <c r="L11" s="1151">
        <f ca="1">LOOKUP(L3,Housing!$E$219:$E$343,Housing!$H$219:$H343)</f>
        <v>0</v>
      </c>
      <c r="M11" s="1151">
        <f ca="1">LOOKUP(M3,Housing!$E$219:$E$343,Housing!$H$219:$H343)</f>
        <v>0</v>
      </c>
      <c r="N11" s="1151">
        <f ca="1">LOOKUP(N3,Housing!$E$219:$E$343,Housing!$H$219:$H343)</f>
        <v>0</v>
      </c>
      <c r="O11" s="1151">
        <f ca="1">LOOKUP(O3,Housing!$E$219:$E$343,Housing!$H$219:$H343)</f>
        <v>0</v>
      </c>
      <c r="P11" s="1151">
        <f ca="1">LOOKUP(P3,Housing!$E$219:$E$343,Housing!$H$219:$H343)</f>
        <v>0</v>
      </c>
      <c r="Q11" s="1151">
        <f ca="1">LOOKUP(Q3,Housing!$E$219:$E$343,Housing!$H$219:$H343)</f>
        <v>0</v>
      </c>
      <c r="R11" s="1151">
        <f ca="1">LOOKUP(R3,Housing!$E$219:$E$343,Housing!$H$219:$H343)</f>
        <v>0</v>
      </c>
      <c r="S11" s="1151">
        <f ca="1">LOOKUP(S3,Housing!$E$219:$E$343,Housing!$H$219:$H343)</f>
        <v>0</v>
      </c>
      <c r="T11" s="1151">
        <f ca="1">LOOKUP(T3,Housing!$E$219:$E$343,Housing!$H$219:$H343)</f>
        <v>0</v>
      </c>
      <c r="U11" s="1151">
        <f ca="1">LOOKUP(U3,Housing!$E$219:$E$343,Housing!$H$219:$H343)</f>
        <v>0</v>
      </c>
      <c r="V11" s="1151">
        <f ca="1">LOOKUP(V3,Housing!$E$219:$E$343,Housing!$H$219:$H343)</f>
        <v>0</v>
      </c>
      <c r="W11" s="1151">
        <f ca="1">LOOKUP(W3,Housing!$E$219:$E$343,Housing!$H$219:$H343)</f>
        <v>0</v>
      </c>
      <c r="X11" s="1151">
        <f ca="1">LOOKUP(X3,Housing!$E$219:$E$343,Housing!$H$219:$H343)</f>
        <v>0</v>
      </c>
      <c r="Y11" s="1151">
        <f ca="1">LOOKUP(Y3,Housing!$E$219:$E$343,Housing!$H$219:$H343)</f>
        <v>0</v>
      </c>
      <c r="Z11" s="1151">
        <f ca="1">LOOKUP(Z3,Housing!$E$219:$E$343,Housing!$H$219:$H343)</f>
        <v>0</v>
      </c>
      <c r="AA11" s="1151">
        <f ca="1">LOOKUP(AA3,Housing!$E$219:$E$343,Housing!$H$219:$H343)</f>
        <v>0</v>
      </c>
      <c r="AB11" s="1151">
        <f ca="1">LOOKUP(AB3,Housing!$E$219:$E$343,Housing!$H$219:$H343)</f>
        <v>0</v>
      </c>
      <c r="AC11" s="1151">
        <f ca="1">LOOKUP(AC3,Housing!$E$219:$E$343,Housing!$H$219:$H343)</f>
        <v>0</v>
      </c>
      <c r="AD11" s="1151">
        <f ca="1">LOOKUP(AD3,Housing!$E$219:$E$343,Housing!$H$219:$H343)</f>
        <v>0</v>
      </c>
      <c r="AE11" s="1151">
        <f ca="1">LOOKUP(AE3,Housing!$E$219:$E$343,Housing!$H$219:$H343)</f>
        <v>0</v>
      </c>
      <c r="AF11" s="1151">
        <f ca="1">LOOKUP(AF3,Housing!$E$219:$E$343,Housing!$H$219:$H343)</f>
        <v>0</v>
      </c>
      <c r="AG11" s="1151">
        <f ca="1">LOOKUP(AG3,Housing!$E$219:$E$343,Housing!$H$219:$H343)</f>
        <v>0</v>
      </c>
      <c r="AH11" s="1151">
        <f ca="1">LOOKUP(AH3,Housing!$E$219:$E$343,Housing!$H$219:$H343)</f>
        <v>0</v>
      </c>
      <c r="AI11" s="1151">
        <f ca="1">LOOKUP(AI3,Housing!$E$219:$E$343,Housing!$H$219:$H343)</f>
        <v>0</v>
      </c>
      <c r="AJ11" s="1151">
        <f ca="1">LOOKUP(AJ3,Housing!$E$219:$E$343,Housing!$H$219:$H343)</f>
        <v>0</v>
      </c>
      <c r="AK11" s="1151">
        <f ca="1">LOOKUP(AK3,Housing!$E$219:$E$343,Housing!$H$219:$H343)</f>
        <v>0</v>
      </c>
      <c r="AL11" s="1151">
        <f ca="1">LOOKUP(AL3,Housing!$E$219:$E$343,Housing!$H$219:$H343)</f>
        <v>0</v>
      </c>
      <c r="AM11" s="1151">
        <f ca="1">LOOKUP(AM3,Housing!$E$219:$E$343,Housing!$H$219:$H343)</f>
        <v>0</v>
      </c>
      <c r="AN11" s="1151">
        <f ca="1">LOOKUP(AN3,Housing!$E$219:$E$343,Housing!$H$219:$H343)</f>
        <v>0</v>
      </c>
      <c r="AO11" s="1151">
        <f ca="1">LOOKUP(AO3,Housing!$E$219:$E$343,Housing!$H$219:$H343)</f>
        <v>0</v>
      </c>
      <c r="AP11" s="1151">
        <f ca="1">LOOKUP(AP3,Housing!$E$219:$E$343,Housing!$H$219:$H343)</f>
        <v>0</v>
      </c>
    </row>
    <row r="12" spans="1:43" ht="18" customHeight="1">
      <c r="A12" s="1878">
        <f ca="1">SUM(A8:A11)</f>
        <v>10330517.412902342</v>
      </c>
      <c r="B12" s="1150" t="s">
        <v>422</v>
      </c>
      <c r="C12" s="1155">
        <f ca="1">SUM(C4+C8+C9+C10+C11)</f>
        <v>1515398.4994758558</v>
      </c>
      <c r="D12" s="1155">
        <f t="shared" ref="D12:AP12" ca="1" si="5">SUM(D4+D8+D9+D10+D11)</f>
        <v>1545181.8809101402</v>
      </c>
      <c r="E12" s="1155">
        <f t="shared" ca="1" si="5"/>
        <v>1569178.5118037183</v>
      </c>
      <c r="F12" s="1155">
        <f t="shared" ca="1" si="5"/>
        <v>1527070.026157697</v>
      </c>
      <c r="G12" s="1155">
        <f t="shared" ca="1" si="5"/>
        <v>1478827.8470026487</v>
      </c>
      <c r="H12" s="1155">
        <f t="shared" ca="1" si="5"/>
        <v>1424400.3465476735</v>
      </c>
      <c r="I12" s="1155">
        <f t="shared" ca="1" si="5"/>
        <v>1363847.7527093003</v>
      </c>
      <c r="J12" s="1155">
        <f t="shared" ca="1" si="5"/>
        <v>1297352.6218749369</v>
      </c>
      <c r="K12" s="1155">
        <f t="shared" ca="1" si="5"/>
        <v>1225266.7305497585</v>
      </c>
      <c r="L12" s="1155">
        <f t="shared" ca="1" si="5"/>
        <v>1148135.8426418696</v>
      </c>
      <c r="M12" s="1155">
        <f t="shared" ca="1" si="5"/>
        <v>1066839.4674107626</v>
      </c>
      <c r="N12" s="1155">
        <f t="shared" ca="1" si="5"/>
        <v>982622.20770508051</v>
      </c>
      <c r="O12" s="1155">
        <f t="shared" ca="1" si="5"/>
        <v>897216.36210073228</v>
      </c>
      <c r="P12" s="1155">
        <f t="shared" ca="1" si="5"/>
        <v>812951.43109482795</v>
      </c>
      <c r="Q12" s="1155">
        <f t="shared" ca="1" si="5"/>
        <v>732766.00351712352</v>
      </c>
      <c r="R12" s="1155">
        <f t="shared" ca="1" si="5"/>
        <v>738496.73306711332</v>
      </c>
      <c r="S12" s="1155">
        <f t="shared" ca="1" si="5"/>
        <v>12.79577742745721</v>
      </c>
      <c r="T12" s="1155">
        <f t="shared" ca="1" si="5"/>
        <v>0.51180852455549797</v>
      </c>
      <c r="U12" s="1155">
        <f t="shared" ca="1" si="5"/>
        <v>2.0480865537717885E-2</v>
      </c>
      <c r="V12" s="1155">
        <f t="shared" ca="1" si="5"/>
        <v>8.0010015922659869E-4</v>
      </c>
      <c r="W12" s="1155">
        <f t="shared" ca="1" si="5"/>
        <v>3.2104165595662646E-5</v>
      </c>
      <c r="X12" s="1155">
        <f t="shared" ca="1" si="5"/>
        <v>3.3388332219489155E-5</v>
      </c>
      <c r="Y12" s="1155">
        <f t="shared" ca="1" si="5"/>
        <v>3.4723865508268719E-5</v>
      </c>
      <c r="Z12" s="1155">
        <f t="shared" ca="1" si="5"/>
        <v>3.6112820128599468E-5</v>
      </c>
      <c r="AA12" s="1155">
        <f t="shared" ca="1" si="5"/>
        <v>3.7557332933743447E-5</v>
      </c>
      <c r="AB12" s="1155">
        <f t="shared" ca="1" si="5"/>
        <v>3.9059626251093185E-5</v>
      </c>
      <c r="AC12" s="1155">
        <f t="shared" ca="1" si="5"/>
        <v>4.0622011301136911E-5</v>
      </c>
      <c r="AD12" s="1155">
        <f t="shared" ca="1" si="5"/>
        <v>4.2246891753182387E-5</v>
      </c>
      <c r="AE12" s="1155">
        <f t="shared" ca="1" si="5"/>
        <v>4.3936767423309681E-5</v>
      </c>
      <c r="AF12" s="1155">
        <f t="shared" ca="1" si="5"/>
        <v>4.5694238120242071E-5</v>
      </c>
      <c r="AG12" s="1155">
        <f t="shared" ca="1" si="5"/>
        <v>4.7522007645051757E-5</v>
      </c>
      <c r="AH12" s="1155">
        <f t="shared" ca="1" si="5"/>
        <v>4.9422887950853825E-5</v>
      </c>
      <c r="AI12" s="1155">
        <f t="shared" ca="1" si="5"/>
        <v>5.139980346888798E-5</v>
      </c>
      <c r="AJ12" s="1155">
        <f t="shared" ca="1" si="5"/>
        <v>5.3455795607643497E-5</v>
      </c>
      <c r="AK12" s="1155">
        <f t="shared" ca="1" si="5"/>
        <v>5.5594027431949239E-5</v>
      </c>
      <c r="AL12" s="1155">
        <f t="shared" ca="1" si="5"/>
        <v>5.781778852922721E-5</v>
      </c>
      <c r="AM12" s="1155">
        <f t="shared" ca="1" si="5"/>
        <v>6.0130500070396301E-5</v>
      </c>
      <c r="AN12" s="1155">
        <f t="shared" ca="1" si="5"/>
        <v>6.2535720073212154E-5</v>
      </c>
      <c r="AO12" s="1155">
        <f t="shared" ca="1" si="5"/>
        <v>6.5037148876140644E-5</v>
      </c>
      <c r="AP12" s="1155">
        <f t="shared" ca="1" si="5"/>
        <v>6.7638634831186268E-5</v>
      </c>
    </row>
    <row r="13" spans="1:43" ht="18" customHeight="1">
      <c r="B13" s="1835"/>
      <c r="C13" s="1840"/>
      <c r="D13" s="1840"/>
      <c r="E13" s="1840"/>
      <c r="F13" s="1840"/>
      <c r="G13" s="1840"/>
      <c r="H13" s="1840"/>
      <c r="I13" s="1840"/>
      <c r="J13" s="1840"/>
      <c r="K13" s="1840"/>
      <c r="L13" s="1840"/>
      <c r="M13" s="1840"/>
      <c r="N13" s="1840"/>
      <c r="O13" s="1840"/>
      <c r="P13" s="1840"/>
      <c r="Q13" s="1840"/>
      <c r="R13" s="1840"/>
      <c r="S13" s="1840"/>
      <c r="T13" s="1840"/>
      <c r="U13" s="1840"/>
      <c r="V13" s="1840"/>
      <c r="W13" s="1840"/>
      <c r="X13" s="1840"/>
      <c r="Y13" s="1840"/>
      <c r="Z13" s="1840"/>
      <c r="AA13" s="1840"/>
      <c r="AB13" s="1840"/>
      <c r="AC13" s="1840"/>
      <c r="AD13" s="1840"/>
      <c r="AE13" s="1840"/>
      <c r="AF13" s="1841"/>
      <c r="AG13" s="1841"/>
      <c r="AH13" s="1841"/>
      <c r="AI13" s="1841"/>
      <c r="AJ13" s="1841"/>
      <c r="AK13" s="1841"/>
      <c r="AL13" s="1841"/>
      <c r="AM13" s="1841"/>
      <c r="AN13" s="1841"/>
      <c r="AO13" s="1841"/>
      <c r="AP13" s="1841"/>
    </row>
    <row r="14" spans="1:43">
      <c r="B14" s="1842" t="s">
        <v>6</v>
      </c>
      <c r="C14" s="1843">
        <f>C3</f>
        <v>2034</v>
      </c>
      <c r="D14" s="1843">
        <f t="shared" ref="D14:AF14" si="6">C14+1</f>
        <v>2035</v>
      </c>
      <c r="E14" s="1843">
        <f t="shared" si="6"/>
        <v>2036</v>
      </c>
      <c r="F14" s="1843">
        <f t="shared" si="6"/>
        <v>2037</v>
      </c>
      <c r="G14" s="1843">
        <f t="shared" si="6"/>
        <v>2038</v>
      </c>
      <c r="H14" s="1843">
        <f t="shared" si="6"/>
        <v>2039</v>
      </c>
      <c r="I14" s="1843">
        <f t="shared" si="6"/>
        <v>2040</v>
      </c>
      <c r="J14" s="1843">
        <f t="shared" si="6"/>
        <v>2041</v>
      </c>
      <c r="K14" s="1843">
        <f t="shared" si="6"/>
        <v>2042</v>
      </c>
      <c r="L14" s="1843">
        <f t="shared" si="6"/>
        <v>2043</v>
      </c>
      <c r="M14" s="1843">
        <f t="shared" si="6"/>
        <v>2044</v>
      </c>
      <c r="N14" s="1843">
        <f t="shared" si="6"/>
        <v>2045</v>
      </c>
      <c r="O14" s="1843">
        <f t="shared" si="6"/>
        <v>2046</v>
      </c>
      <c r="P14" s="1843">
        <f t="shared" si="6"/>
        <v>2047</v>
      </c>
      <c r="Q14" s="1843">
        <f t="shared" si="6"/>
        <v>2048</v>
      </c>
      <c r="R14" s="1843">
        <f t="shared" si="6"/>
        <v>2049</v>
      </c>
      <c r="S14" s="1843">
        <f t="shared" si="6"/>
        <v>2050</v>
      </c>
      <c r="T14" s="1843">
        <f t="shared" si="6"/>
        <v>2051</v>
      </c>
      <c r="U14" s="1843">
        <f t="shared" si="6"/>
        <v>2052</v>
      </c>
      <c r="V14" s="1843">
        <f t="shared" si="6"/>
        <v>2053</v>
      </c>
      <c r="W14" s="1843">
        <f t="shared" si="6"/>
        <v>2054</v>
      </c>
      <c r="X14" s="1843">
        <f t="shared" si="6"/>
        <v>2055</v>
      </c>
      <c r="Y14" s="1843">
        <f t="shared" si="6"/>
        <v>2056</v>
      </c>
      <c r="Z14" s="1843">
        <f t="shared" si="6"/>
        <v>2057</v>
      </c>
      <c r="AA14" s="1843">
        <f t="shared" si="6"/>
        <v>2058</v>
      </c>
      <c r="AB14" s="1843">
        <f t="shared" si="6"/>
        <v>2059</v>
      </c>
      <c r="AC14" s="1843">
        <f t="shared" si="6"/>
        <v>2060</v>
      </c>
      <c r="AD14" s="1843">
        <f t="shared" si="6"/>
        <v>2061</v>
      </c>
      <c r="AE14" s="1843">
        <f t="shared" si="6"/>
        <v>2062</v>
      </c>
      <c r="AF14" s="1843">
        <f t="shared" si="6"/>
        <v>2063</v>
      </c>
      <c r="AG14" s="1843">
        <f t="shared" ref="AG14:AP14" si="7">AF14+1</f>
        <v>2064</v>
      </c>
      <c r="AH14" s="1843">
        <f t="shared" si="7"/>
        <v>2065</v>
      </c>
      <c r="AI14" s="1843">
        <f t="shared" si="7"/>
        <v>2066</v>
      </c>
      <c r="AJ14" s="1843">
        <f t="shared" si="7"/>
        <v>2067</v>
      </c>
      <c r="AK14" s="1843">
        <f t="shared" si="7"/>
        <v>2068</v>
      </c>
      <c r="AL14" s="1843">
        <f t="shared" si="7"/>
        <v>2069</v>
      </c>
      <c r="AM14" s="1843">
        <f t="shared" si="7"/>
        <v>2070</v>
      </c>
      <c r="AN14" s="1843">
        <f t="shared" si="7"/>
        <v>2071</v>
      </c>
      <c r="AO14" s="1843">
        <f t="shared" si="7"/>
        <v>2072</v>
      </c>
      <c r="AP14" s="1843">
        <f t="shared" si="7"/>
        <v>2073</v>
      </c>
    </row>
    <row r="17" spans="1:40">
      <c r="AN17" s="1152">
        <f ca="1">Housing!H121</f>
        <v>0</v>
      </c>
    </row>
    <row r="18" spans="1:40" s="1149" customFormat="1">
      <c r="B18" s="2152" t="s">
        <v>2591</v>
      </c>
      <c r="C18" s="2152"/>
      <c r="D18" s="2152"/>
      <c r="E18" s="2152"/>
      <c r="F18" s="2152"/>
      <c r="G18" s="2152"/>
    </row>
    <row r="19" spans="1:40" s="1158" customFormat="1" ht="27" customHeight="1">
      <c r="A19" s="1156" t="s">
        <v>454</v>
      </c>
      <c r="B19" s="1950" t="s">
        <v>2590</v>
      </c>
      <c r="C19" s="1901"/>
      <c r="D19" s="1901"/>
      <c r="E19" s="1901"/>
      <c r="F19" s="1901"/>
      <c r="G19" s="1901"/>
      <c r="H19" s="1157"/>
      <c r="I19" s="1157"/>
      <c r="J19" s="1157"/>
      <c r="K19" s="1157"/>
      <c r="L19" s="1157"/>
      <c r="M19" s="1157"/>
      <c r="N19" s="1157"/>
      <c r="O19" s="1157"/>
      <c r="P19" s="1157"/>
      <c r="Q19" s="1157"/>
      <c r="R19" s="1157"/>
      <c r="S19" s="1157"/>
      <c r="T19" s="1157"/>
      <c r="U19" s="1157"/>
      <c r="V19" s="1157"/>
      <c r="W19" s="1157"/>
      <c r="X19" s="1157"/>
      <c r="Y19" s="1157"/>
      <c r="Z19" s="1157"/>
      <c r="AA19" s="1157"/>
      <c r="AB19" s="1157"/>
      <c r="AC19" s="1157"/>
      <c r="AD19" s="1157"/>
    </row>
    <row r="20" spans="1:40">
      <c r="A20" s="1178">
        <v>1</v>
      </c>
      <c r="B20" s="1152">
        <v>2</v>
      </c>
    </row>
    <row r="21" spans="1:40">
      <c r="A21" s="1178">
        <f>A20+1</f>
        <v>2</v>
      </c>
      <c r="B21" s="1152">
        <v>7</v>
      </c>
    </row>
    <row r="22" spans="1:40">
      <c r="A22" s="1178">
        <f t="shared" ref="A22:A39" si="8">A21+1</f>
        <v>3</v>
      </c>
      <c r="B22" s="1152">
        <v>20</v>
      </c>
    </row>
    <row r="23" spans="1:40">
      <c r="A23" s="1178">
        <f t="shared" si="8"/>
        <v>4</v>
      </c>
    </row>
    <row r="24" spans="1:40">
      <c r="A24" s="1178">
        <f t="shared" si="8"/>
        <v>5</v>
      </c>
    </row>
    <row r="25" spans="1:40">
      <c r="A25" s="1178">
        <f t="shared" si="8"/>
        <v>6</v>
      </c>
    </row>
    <row r="26" spans="1:40">
      <c r="A26" s="1178">
        <f t="shared" si="8"/>
        <v>7</v>
      </c>
    </row>
    <row r="27" spans="1:40">
      <c r="A27" s="1178">
        <f t="shared" si="8"/>
        <v>8</v>
      </c>
    </row>
    <row r="28" spans="1:40">
      <c r="A28" s="1178">
        <f t="shared" si="8"/>
        <v>9</v>
      </c>
    </row>
    <row r="29" spans="1:40">
      <c r="A29" s="1178">
        <f t="shared" si="8"/>
        <v>10</v>
      </c>
    </row>
    <row r="30" spans="1:40">
      <c r="A30" s="1178">
        <f t="shared" si="8"/>
        <v>11</v>
      </c>
    </row>
    <row r="31" spans="1:40">
      <c r="A31" s="1178">
        <f t="shared" si="8"/>
        <v>12</v>
      </c>
    </row>
    <row r="32" spans="1:40">
      <c r="A32" s="1178">
        <f t="shared" si="8"/>
        <v>13</v>
      </c>
    </row>
    <row r="33" spans="1:3">
      <c r="A33" s="1178">
        <f t="shared" si="8"/>
        <v>14</v>
      </c>
    </row>
    <row r="34" spans="1:3">
      <c r="A34" s="1178">
        <f t="shared" si="8"/>
        <v>15</v>
      </c>
    </row>
    <row r="35" spans="1:3">
      <c r="A35" s="1178">
        <f t="shared" si="8"/>
        <v>16</v>
      </c>
    </row>
    <row r="36" spans="1:3">
      <c r="A36" s="1178">
        <f t="shared" si="8"/>
        <v>17</v>
      </c>
    </row>
    <row r="37" spans="1:3">
      <c r="A37" s="1178">
        <f t="shared" si="8"/>
        <v>18</v>
      </c>
    </row>
    <row r="38" spans="1:3">
      <c r="A38" s="1178">
        <f t="shared" si="8"/>
        <v>19</v>
      </c>
    </row>
    <row r="39" spans="1:3">
      <c r="A39" s="1178">
        <f t="shared" si="8"/>
        <v>20</v>
      </c>
    </row>
    <row r="41" spans="1:3" hidden="1">
      <c r="B41" s="1159"/>
      <c r="C41" s="1149"/>
    </row>
    <row r="42" spans="1:3" hidden="1">
      <c r="B42" s="1159"/>
      <c r="C42" s="1149"/>
    </row>
    <row r="43" spans="1:3" hidden="1">
      <c r="B43" s="1159"/>
      <c r="C43" s="1149"/>
    </row>
    <row r="44" spans="1:3" hidden="1">
      <c r="B44" s="1172"/>
      <c r="C44" s="1159"/>
    </row>
    <row r="45" spans="1:3" ht="17" hidden="1" customHeight="1">
      <c r="B45" s="1173"/>
      <c r="C45" s="1161"/>
    </row>
    <row r="46" spans="1:3" hidden="1">
      <c r="B46" s="1173"/>
      <c r="C46" s="1161"/>
    </row>
    <row r="47" spans="1:3" hidden="1"/>
    <row r="48" spans="1:3" hidden="1">
      <c r="B48" s="1173"/>
      <c r="C48" s="1161"/>
    </row>
    <row r="49" spans="2:63" hidden="1">
      <c r="B49" s="1173"/>
      <c r="C49" s="1161"/>
    </row>
    <row r="50" spans="2:63" hidden="1">
      <c r="B50" s="1173"/>
      <c r="C50" s="1161"/>
    </row>
    <row r="51" spans="2:63" hidden="1">
      <c r="B51" s="1173"/>
      <c r="C51" s="1159"/>
      <c r="D51" s="1160"/>
      <c r="E51" s="1160"/>
      <c r="F51" s="1160"/>
      <c r="G51" s="1160"/>
      <c r="H51" s="1160"/>
      <c r="I51" s="1160"/>
      <c r="J51" s="1160"/>
      <c r="K51" s="1160"/>
      <c r="L51" s="1160"/>
      <c r="M51" s="1160"/>
      <c r="N51" s="1160"/>
      <c r="O51" s="1160"/>
      <c r="P51" s="1160"/>
      <c r="Q51" s="1160"/>
      <c r="R51" s="1160"/>
      <c r="S51" s="1160"/>
      <c r="T51" s="1160"/>
      <c r="U51" s="1160"/>
      <c r="V51" s="1160"/>
      <c r="W51" s="1160"/>
      <c r="X51" s="1160"/>
      <c r="Y51" s="1160"/>
      <c r="Z51" s="1160"/>
      <c r="AA51" s="1160"/>
      <c r="AB51" s="1160"/>
      <c r="AC51" s="1160"/>
      <c r="AD51" s="1160"/>
      <c r="AE51" s="1160"/>
      <c r="AF51" s="1160"/>
      <c r="AG51" s="1160"/>
      <c r="AH51" s="1160"/>
      <c r="AI51" s="1160"/>
      <c r="AJ51" s="1160"/>
      <c r="AK51" s="1160"/>
      <c r="AL51" s="1160"/>
      <c r="AM51" s="1160"/>
      <c r="AN51" s="1160"/>
      <c r="AO51" s="1160"/>
      <c r="AP51" s="1160"/>
    </row>
    <row r="52" spans="2:63" hidden="1">
      <c r="B52" s="1173"/>
      <c r="C52" s="1159"/>
      <c r="D52" s="1160"/>
      <c r="E52" s="1160"/>
      <c r="F52" s="1160"/>
      <c r="G52" s="1160"/>
      <c r="H52" s="1160"/>
      <c r="I52" s="1160"/>
      <c r="J52" s="1160"/>
      <c r="K52" s="1160"/>
      <c r="L52" s="1160"/>
      <c r="M52" s="1160"/>
      <c r="N52" s="1160"/>
      <c r="O52" s="1160"/>
      <c r="P52" s="1160"/>
      <c r="Q52" s="1160"/>
      <c r="R52" s="1160"/>
      <c r="S52" s="1160"/>
      <c r="T52" s="1160"/>
      <c r="U52" s="1160"/>
      <c r="V52" s="1160"/>
      <c r="W52" s="1160"/>
      <c r="X52" s="1160"/>
      <c r="Y52" s="1160"/>
      <c r="Z52" s="1160"/>
      <c r="AA52" s="1160"/>
      <c r="AB52" s="1160"/>
      <c r="AC52" s="1160"/>
      <c r="AD52" s="1160"/>
      <c r="AE52" s="1160"/>
      <c r="AF52" s="1160"/>
      <c r="AG52" s="1160"/>
      <c r="AH52" s="1160"/>
      <c r="AI52" s="1160"/>
      <c r="AJ52" s="1160"/>
      <c r="AK52" s="1160"/>
      <c r="AL52" s="1160"/>
      <c r="AM52" s="1160"/>
      <c r="AN52" s="1160"/>
      <c r="AO52" s="1160"/>
      <c r="AP52" s="1160"/>
    </row>
    <row r="53" spans="2:63" hidden="1">
      <c r="B53" s="1173"/>
      <c r="C53" s="1159"/>
      <c r="D53" s="1160"/>
      <c r="E53" s="1160"/>
      <c r="F53" s="1160"/>
      <c r="G53" s="1160"/>
      <c r="H53" s="1160"/>
      <c r="I53" s="1160"/>
      <c r="J53" s="1160"/>
      <c r="K53" s="1160"/>
      <c r="L53" s="1160"/>
      <c r="M53" s="1160"/>
      <c r="N53" s="1160"/>
      <c r="O53" s="1160"/>
      <c r="P53" s="1160"/>
      <c r="Q53" s="1160"/>
      <c r="R53" s="1160"/>
      <c r="S53" s="1160"/>
      <c r="T53" s="1160"/>
      <c r="U53" s="1160"/>
      <c r="V53" s="1160"/>
      <c r="W53" s="1160"/>
      <c r="X53" s="1160"/>
      <c r="Y53" s="1160"/>
      <c r="Z53" s="1160"/>
      <c r="AA53" s="1160"/>
      <c r="AB53" s="1160"/>
      <c r="AC53" s="1160"/>
      <c r="AD53" s="1160"/>
      <c r="AE53" s="1160"/>
      <c r="AF53" s="1160"/>
      <c r="AG53" s="1160"/>
      <c r="AH53" s="1160"/>
      <c r="AI53" s="1160"/>
      <c r="AJ53" s="1160"/>
      <c r="AK53" s="1160"/>
      <c r="AL53" s="1160"/>
      <c r="AM53" s="1160"/>
      <c r="AN53" s="1160"/>
      <c r="AO53" s="1160"/>
      <c r="AP53" s="1160"/>
    </row>
    <row r="54" spans="2:63" hidden="1">
      <c r="B54" s="1159"/>
      <c r="C54" s="1159"/>
    </row>
    <row r="55" spans="2:63" hidden="1">
      <c r="C55" s="1159"/>
    </row>
    <row r="56" spans="2:63" hidden="1">
      <c r="C56" s="1159"/>
    </row>
    <row r="57" spans="2:63" hidden="1">
      <c r="B57" s="1174"/>
      <c r="C57" s="1161"/>
    </row>
    <row r="58" spans="2:63" hidden="1">
      <c r="B58" s="1173"/>
      <c r="C58" s="116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row>
    <row r="59" spans="2:63" hidden="1">
      <c r="B59" s="1173"/>
      <c r="C59" s="1161"/>
      <c r="D59" s="1171"/>
      <c r="E59" s="1171"/>
      <c r="F59" s="1171"/>
      <c r="G59" s="1171"/>
      <c r="H59" s="1171"/>
      <c r="I59" s="1171"/>
      <c r="J59" s="1171"/>
      <c r="K59" s="1171"/>
      <c r="L59" s="1171"/>
      <c r="M59" s="1171"/>
      <c r="N59" s="1171"/>
      <c r="O59" s="1171"/>
      <c r="P59" s="1171"/>
      <c r="Q59" s="1171"/>
      <c r="R59" s="1171"/>
      <c r="S59" s="1171"/>
      <c r="T59" s="1171"/>
      <c r="U59" s="1171"/>
      <c r="V59" s="1171"/>
      <c r="W59" s="1171"/>
      <c r="X59" s="1171"/>
      <c r="Y59" s="1171"/>
      <c r="Z59" s="1171"/>
      <c r="AA59" s="1171"/>
      <c r="AB59" s="1171"/>
      <c r="AC59" s="1171"/>
      <c r="AD59" s="1171"/>
      <c r="AE59" s="1171"/>
      <c r="AF59" s="1171"/>
      <c r="AG59" s="1171"/>
      <c r="AH59" s="1171"/>
      <c r="AI59" s="1171"/>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row>
    <row r="60" spans="2:63" hidden="1">
      <c r="B60" s="1174"/>
    </row>
    <row r="61" spans="2:63" hidden="1">
      <c r="B61" s="1174"/>
      <c r="C61" s="1159"/>
      <c r="D61" s="1160"/>
      <c r="E61" s="1160"/>
      <c r="F61" s="1160"/>
      <c r="G61" s="1160"/>
      <c r="H61" s="1160"/>
      <c r="I61" s="1160"/>
      <c r="J61" s="1160"/>
      <c r="K61" s="1160"/>
      <c r="L61" s="1160"/>
      <c r="M61" s="1160"/>
      <c r="N61" s="1160"/>
      <c r="O61" s="1160"/>
      <c r="P61" s="1160"/>
      <c r="Q61" s="1160"/>
      <c r="R61" s="1160"/>
      <c r="S61" s="1160"/>
      <c r="T61" s="1160"/>
      <c r="U61" s="1160"/>
      <c r="V61" s="1160"/>
      <c r="W61" s="1160"/>
      <c r="X61" s="1160"/>
      <c r="Y61" s="1160"/>
      <c r="Z61" s="1160"/>
      <c r="AA61" s="1160"/>
      <c r="AB61" s="1160"/>
      <c r="AC61" s="1160"/>
      <c r="AD61" s="1160"/>
      <c r="AE61" s="1160"/>
      <c r="AF61" s="1160"/>
      <c r="AG61" s="1160"/>
      <c r="AH61" s="1160"/>
      <c r="AI61" s="1160"/>
      <c r="AJ61" s="1160"/>
      <c r="AK61" s="1160"/>
      <c r="AL61" s="1160"/>
      <c r="AM61" s="1160"/>
      <c r="AN61" s="1160"/>
      <c r="AO61" s="1160"/>
      <c r="AP61" s="1160"/>
      <c r="AQ61" s="1160"/>
      <c r="AR61" s="1160"/>
      <c r="AS61" s="1160"/>
      <c r="AT61" s="1160"/>
      <c r="AU61" s="1160"/>
      <c r="AV61" s="1160"/>
      <c r="AW61" s="1160"/>
      <c r="AX61" s="1160"/>
      <c r="AY61" s="1160"/>
      <c r="AZ61" s="1160"/>
      <c r="BA61" s="1160"/>
      <c r="BB61" s="1160"/>
      <c r="BC61" s="1160"/>
      <c r="BD61" s="1160"/>
      <c r="BE61" s="1160"/>
      <c r="BF61" s="1160"/>
      <c r="BG61" s="1160"/>
      <c r="BH61" s="1160"/>
      <c r="BI61" s="1160"/>
      <c r="BJ61" s="1160"/>
      <c r="BK61" s="1160"/>
    </row>
    <row r="62" spans="2:63" hidden="1">
      <c r="B62" s="1174"/>
      <c r="C62" s="1159"/>
      <c r="D62" s="1160"/>
      <c r="E62" s="1160"/>
      <c r="F62" s="1160"/>
      <c r="G62" s="1160"/>
      <c r="H62" s="1160"/>
      <c r="I62" s="1160"/>
      <c r="J62" s="1160"/>
      <c r="K62" s="1160"/>
      <c r="L62" s="1160"/>
      <c r="M62" s="1160"/>
      <c r="N62" s="1160"/>
      <c r="O62" s="1160"/>
      <c r="P62" s="1160"/>
      <c r="Q62" s="1160"/>
      <c r="R62" s="1160"/>
      <c r="S62" s="1160"/>
      <c r="T62" s="1160"/>
      <c r="U62" s="1160"/>
      <c r="V62" s="1160"/>
      <c r="W62" s="1160"/>
      <c r="X62" s="1160"/>
      <c r="Y62" s="1160"/>
      <c r="Z62" s="1160"/>
      <c r="AA62" s="1160"/>
      <c r="AB62" s="1160"/>
      <c r="AC62" s="1160"/>
      <c r="AD62" s="1160"/>
      <c r="AE62" s="1160"/>
      <c r="AF62" s="1160"/>
      <c r="AG62" s="1160"/>
      <c r="AH62" s="1160"/>
      <c r="AI62" s="1160"/>
      <c r="AJ62" s="1160"/>
      <c r="AK62" s="1160"/>
      <c r="AL62" s="1160"/>
      <c r="AM62" s="1160"/>
      <c r="AN62" s="1160"/>
      <c r="AO62" s="1160"/>
      <c r="AP62" s="1160"/>
      <c r="AQ62" s="1160"/>
      <c r="AR62" s="1160"/>
      <c r="AS62" s="1160"/>
      <c r="AT62" s="1160"/>
      <c r="AU62" s="1160"/>
      <c r="AV62" s="1160"/>
      <c r="AW62" s="1160"/>
      <c r="AX62" s="1160"/>
      <c r="AY62" s="1160"/>
      <c r="AZ62" s="1160"/>
      <c r="BA62" s="1160"/>
      <c r="BB62" s="1160"/>
      <c r="BC62" s="1160"/>
      <c r="BD62" s="1160"/>
      <c r="BE62" s="1160"/>
      <c r="BF62" s="1160"/>
      <c r="BG62" s="1160"/>
      <c r="BH62" s="1160"/>
      <c r="BI62" s="1160"/>
      <c r="BJ62" s="1160"/>
      <c r="BK62" s="1160"/>
    </row>
    <row r="63" spans="2:63" hidden="1">
      <c r="C63" s="1159"/>
    </row>
    <row r="64" spans="2:63" hidden="1">
      <c r="C64" s="1159"/>
    </row>
    <row r="65" spans="1:92" hidden="1">
      <c r="C65" s="1159"/>
    </row>
    <row r="66" spans="1:92" hidden="1">
      <c r="B66" s="1174"/>
      <c r="C66" s="1175"/>
    </row>
    <row r="67" spans="1:92" hidden="1">
      <c r="B67" s="1174"/>
      <c r="C67" s="1173"/>
      <c r="D67" s="1160"/>
      <c r="E67" s="1160"/>
      <c r="F67" s="1160"/>
      <c r="G67" s="1160"/>
      <c r="H67" s="1160"/>
      <c r="I67" s="1160"/>
      <c r="J67" s="1160"/>
      <c r="K67" s="1160"/>
      <c r="L67" s="1160"/>
      <c r="M67" s="1160"/>
      <c r="N67" s="1160"/>
      <c r="O67" s="1160"/>
      <c r="P67" s="1160"/>
      <c r="Q67" s="1160"/>
      <c r="R67" s="1160"/>
      <c r="S67" s="1160"/>
      <c r="T67" s="1160"/>
      <c r="U67" s="1160"/>
      <c r="V67" s="1160"/>
      <c r="W67" s="1160"/>
      <c r="X67" s="1160"/>
      <c r="Y67" s="1160"/>
      <c r="Z67" s="1160"/>
      <c r="AA67" s="1160"/>
      <c r="AB67" s="1160"/>
      <c r="AC67" s="1160"/>
      <c r="AD67" s="1160"/>
      <c r="AE67" s="1160"/>
      <c r="AF67" s="1160"/>
      <c r="AG67" s="1160"/>
      <c r="AH67" s="1160"/>
      <c r="AI67" s="1160"/>
      <c r="AJ67" s="1160"/>
      <c r="AK67" s="1160"/>
      <c r="AL67" s="1160"/>
      <c r="AM67" s="1160"/>
      <c r="AN67" s="1160"/>
      <c r="AO67" s="1160"/>
      <c r="AP67" s="1160"/>
      <c r="AQ67" s="1160"/>
      <c r="AR67" s="1160"/>
      <c r="AS67" s="1160"/>
      <c r="AT67" s="1160"/>
      <c r="AU67" s="1160"/>
      <c r="AV67" s="1160"/>
      <c r="AW67" s="1160"/>
      <c r="AX67" s="1160"/>
      <c r="AY67" s="1160"/>
      <c r="AZ67" s="1160"/>
      <c r="BA67" s="1160"/>
      <c r="BB67" s="1160"/>
      <c r="BC67" s="1160"/>
      <c r="BD67" s="1160"/>
      <c r="BE67" s="1160"/>
      <c r="BF67" s="1160"/>
      <c r="BG67" s="1160"/>
      <c r="BH67" s="1160"/>
      <c r="BI67" s="1160"/>
      <c r="BJ67" s="1160"/>
      <c r="BK67" s="1160"/>
      <c r="BL67" s="1160"/>
      <c r="BM67" s="1160"/>
      <c r="BN67" s="1160"/>
      <c r="BO67" s="1160"/>
      <c r="BP67" s="1160"/>
      <c r="BQ67" s="1160"/>
      <c r="BR67" s="1160"/>
      <c r="BS67" s="1160"/>
      <c r="BT67" s="1160"/>
      <c r="BU67" s="1160"/>
      <c r="BV67" s="1160"/>
      <c r="BW67" s="1160"/>
      <c r="BX67" s="1160"/>
      <c r="BY67" s="1160"/>
      <c r="BZ67" s="1160"/>
      <c r="CA67" s="1160"/>
      <c r="CB67" s="1160"/>
      <c r="CC67" s="1160"/>
      <c r="CD67" s="1160"/>
      <c r="CE67" s="1160"/>
    </row>
    <row r="68" spans="1:92" s="1176" customFormat="1" hidden="1">
      <c r="B68" s="1263"/>
      <c r="C68" s="1264"/>
      <c r="D68" s="1265"/>
      <c r="E68" s="1265"/>
      <c r="F68" s="1265"/>
      <c r="G68" s="1265"/>
      <c r="H68" s="1265"/>
      <c r="I68" s="1265"/>
      <c r="J68" s="1265"/>
      <c r="K68" s="1265"/>
      <c r="L68" s="1265"/>
      <c r="M68" s="1265"/>
      <c r="N68" s="1265"/>
      <c r="O68" s="1265"/>
      <c r="P68" s="1265"/>
      <c r="Q68" s="1265"/>
      <c r="R68" s="1265"/>
      <c r="S68" s="1265"/>
      <c r="T68" s="1265"/>
      <c r="U68" s="1265"/>
      <c r="V68" s="1265"/>
      <c r="W68" s="1265"/>
      <c r="X68" s="1265"/>
      <c r="Y68" s="1265"/>
      <c r="Z68" s="1265"/>
      <c r="AA68" s="1265"/>
      <c r="AB68" s="1265"/>
      <c r="AC68" s="1265"/>
      <c r="AD68" s="1265"/>
      <c r="AE68" s="1265"/>
      <c r="AF68" s="1265"/>
      <c r="AG68" s="1265"/>
      <c r="AH68" s="1265"/>
      <c r="AI68" s="1265"/>
      <c r="AJ68" s="1265"/>
      <c r="AK68" s="1265"/>
      <c r="AL68" s="1265"/>
      <c r="AM68" s="1265"/>
      <c r="AN68" s="1265"/>
      <c r="AO68" s="1265"/>
      <c r="AP68" s="1265"/>
      <c r="AQ68" s="1265"/>
      <c r="AR68" s="1265"/>
      <c r="AS68" s="1265"/>
      <c r="AT68" s="1265"/>
      <c r="AU68" s="1265"/>
      <c r="AV68" s="1265"/>
      <c r="AW68" s="1265"/>
      <c r="AX68" s="1265"/>
      <c r="AY68" s="1265"/>
      <c r="AZ68" s="1265"/>
      <c r="BA68" s="1265"/>
      <c r="BB68" s="1265"/>
      <c r="BC68" s="1265"/>
      <c r="BD68" s="1265"/>
      <c r="BE68" s="1265"/>
      <c r="BF68" s="1265"/>
      <c r="BG68" s="1265"/>
      <c r="BH68" s="1265"/>
      <c r="BI68" s="1265"/>
      <c r="BJ68" s="1265"/>
      <c r="BK68" s="1265"/>
      <c r="BL68" s="1265"/>
      <c r="BM68" s="1265"/>
      <c r="BN68" s="1265"/>
      <c r="BO68" s="1265"/>
      <c r="BP68" s="1265"/>
      <c r="BQ68" s="1265"/>
      <c r="BR68" s="1265"/>
      <c r="BS68" s="1265"/>
      <c r="BT68" s="1265"/>
      <c r="BU68" s="1265"/>
      <c r="BV68" s="1265"/>
      <c r="BW68" s="1265"/>
      <c r="BX68" s="1265"/>
      <c r="BY68" s="1265"/>
      <c r="BZ68" s="1265"/>
      <c r="CA68" s="1265"/>
      <c r="CB68" s="1265"/>
      <c r="CC68" s="1265"/>
      <c r="CD68" s="1265"/>
      <c r="CE68" s="1265"/>
      <c r="CF68" s="1265"/>
      <c r="CG68" s="1265"/>
      <c r="CH68" s="1265"/>
      <c r="CI68" s="1265"/>
      <c r="CJ68" s="1265"/>
      <c r="CK68" s="1265"/>
      <c r="CL68" s="1265"/>
      <c r="CM68" s="1265"/>
      <c r="CN68" s="1265"/>
    </row>
    <row r="69" spans="1:92" s="1176" customFormat="1" hidden="1">
      <c r="B69" s="1263"/>
      <c r="C69" s="1266"/>
      <c r="D69" s="1177"/>
      <c r="E69" s="1177"/>
      <c r="F69" s="1177"/>
      <c r="G69" s="1177"/>
      <c r="H69" s="1177"/>
      <c r="I69" s="1177"/>
      <c r="J69" s="1177"/>
      <c r="K69" s="1177"/>
      <c r="L69" s="1177"/>
      <c r="M69" s="1177"/>
      <c r="N69" s="1177"/>
      <c r="O69" s="1177"/>
      <c r="P69" s="1177"/>
      <c r="Q69" s="1177"/>
      <c r="R69" s="1177"/>
      <c r="S69" s="1177"/>
      <c r="T69" s="1177"/>
      <c r="U69" s="1177"/>
      <c r="V69" s="1177"/>
      <c r="W69" s="1177"/>
      <c r="X69" s="1177"/>
      <c r="Y69" s="1177"/>
      <c r="Z69" s="1177"/>
      <c r="AA69" s="1177"/>
      <c r="AB69" s="1177"/>
      <c r="AC69" s="1177"/>
      <c r="AD69" s="1177"/>
      <c r="AE69" s="1177"/>
      <c r="AF69" s="1177"/>
      <c r="AG69" s="1177"/>
      <c r="AH69" s="1177"/>
      <c r="AI69" s="117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row>
    <row r="70" spans="1:92" s="1176" customFormat="1">
      <c r="B70" s="1263"/>
      <c r="C70" s="1266"/>
      <c r="D70" s="1177"/>
      <c r="E70" s="1177"/>
      <c r="F70" s="1177"/>
      <c r="G70" s="1177"/>
      <c r="H70" s="1177"/>
      <c r="I70" s="1177"/>
      <c r="J70" s="1177"/>
      <c r="K70" s="1177"/>
      <c r="L70" s="1177"/>
      <c r="M70" s="1177"/>
      <c r="N70" s="1177"/>
      <c r="O70" s="1177"/>
      <c r="P70" s="1177"/>
      <c r="Q70" s="1177"/>
      <c r="R70" s="1177"/>
      <c r="S70" s="1177"/>
      <c r="T70" s="1177"/>
      <c r="U70" s="1177"/>
      <c r="V70" s="1177"/>
      <c r="W70" s="1177"/>
      <c r="X70" s="1177"/>
      <c r="Y70" s="1177"/>
      <c r="Z70" s="1177"/>
      <c r="AA70" s="1177"/>
      <c r="AB70" s="1177"/>
      <c r="AC70" s="1177"/>
      <c r="AD70" s="1177"/>
      <c r="AE70" s="1177"/>
      <c r="AF70" s="1177"/>
      <c r="AG70" s="1177"/>
      <c r="AH70" s="1177"/>
      <c r="AI70" s="1177"/>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row>
    <row r="71" spans="1:92" s="1176" customFormat="1">
      <c r="B71" s="1263"/>
      <c r="C71" s="1266"/>
      <c r="D71" s="2153" t="s">
        <v>2145</v>
      </c>
      <c r="E71" s="2153"/>
      <c r="F71" s="1178" t="s">
        <v>2146</v>
      </c>
      <c r="G71" s="1177"/>
      <c r="H71" s="1177"/>
      <c r="I71" s="1177"/>
      <c r="J71" s="1177"/>
      <c r="K71" s="1177"/>
      <c r="L71" s="1177"/>
      <c r="M71" s="1177"/>
      <c r="N71" s="1177"/>
      <c r="O71" s="1177"/>
      <c r="P71" s="1177"/>
      <c r="Q71" s="1177"/>
      <c r="R71" s="1177"/>
      <c r="S71" s="1177"/>
      <c r="T71" s="1177"/>
      <c r="U71" s="1177"/>
      <c r="V71" s="1177"/>
      <c r="W71" s="1177"/>
      <c r="X71" s="1177"/>
      <c r="Y71" s="1177"/>
      <c r="Z71" s="1177"/>
      <c r="AA71" s="1177"/>
      <c r="AB71" s="1177"/>
      <c r="AC71" s="1177"/>
      <c r="AD71" s="1177"/>
      <c r="AE71" s="1177"/>
      <c r="AF71" s="1177"/>
      <c r="AG71" s="1177"/>
      <c r="AH71" s="1177"/>
      <c r="AI71" s="1177"/>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row>
    <row r="72" spans="1:92" ht="18" customHeight="1">
      <c r="D72" s="1267">
        <f ca="1">MATCH(100,D75:D135)+74</f>
        <v>121</v>
      </c>
      <c r="E72" s="1267">
        <f ca="1">IF(ISNUMBER(E75),MATCH(100,E75:E135)+74,"")</f>
        <v>123</v>
      </c>
      <c r="F72" s="1268">
        <f ca="1">MATCH(Individuals!G20,F75:F135)+74</f>
        <v>87</v>
      </c>
    </row>
    <row r="73" spans="1:92" s="1158" customFormat="1" ht="48" customHeight="1">
      <c r="D73" s="1178" t="s">
        <v>2093</v>
      </c>
      <c r="E73" s="1178" t="s">
        <v>2092</v>
      </c>
      <c r="F73" s="1178" t="s">
        <v>6</v>
      </c>
      <c r="G73" s="1178" t="s">
        <v>2099</v>
      </c>
      <c r="H73" s="1178" t="s">
        <v>2100</v>
      </c>
      <c r="I73" s="1178" t="s">
        <v>2098</v>
      </c>
      <c r="J73" s="1178" t="s">
        <v>2101</v>
      </c>
      <c r="K73" s="1227" t="s">
        <v>2143</v>
      </c>
      <c r="L73" s="1227" t="s">
        <v>2144</v>
      </c>
      <c r="M73" s="1274" t="s">
        <v>77</v>
      </c>
      <c r="N73" s="1178" t="str">
        <f>IF(Assets!C58&gt;"",Assets!C58,"n/a")</f>
        <v>n/a</v>
      </c>
      <c r="O73" s="1178" t="str">
        <f>IF(Assets!C59&gt;"",Assets!C59,"n/a")</f>
        <v>n/a</v>
      </c>
      <c r="P73" s="1178" t="s">
        <v>2102</v>
      </c>
      <c r="Q73" s="1178" t="s">
        <v>2103</v>
      </c>
      <c r="R73" s="1178" t="s">
        <v>76</v>
      </c>
      <c r="S73" s="1178" t="s">
        <v>2142</v>
      </c>
      <c r="T73" s="1178" t="s">
        <v>70</v>
      </c>
      <c r="U73" s="1880" t="s">
        <v>2541</v>
      </c>
    </row>
    <row r="74" spans="1:92">
      <c r="A74" s="1260"/>
      <c r="B74" s="1260"/>
      <c r="C74" s="1260"/>
      <c r="D74" s="1270"/>
      <c r="E74" s="1270"/>
      <c r="F74" s="1260"/>
      <c r="G74" s="1269"/>
      <c r="H74" s="1269"/>
      <c r="I74" s="1269"/>
      <c r="J74" s="1269"/>
      <c r="K74" s="1271"/>
      <c r="L74" s="1271"/>
      <c r="M74" s="1261"/>
      <c r="N74" s="1260"/>
      <c r="O74" s="1260"/>
      <c r="P74" s="1262"/>
      <c r="Q74" s="1262"/>
      <c r="R74" s="1260"/>
      <c r="S74" s="1260"/>
      <c r="T74" s="1260"/>
      <c r="U74" s="1275"/>
    </row>
    <row r="75" spans="1:92">
      <c r="D75" s="1179">
        <f ca="1">Individuals!F10</f>
        <v>54</v>
      </c>
      <c r="E75" s="1179">
        <f ca="1">Individuals!F15</f>
        <v>52</v>
      </c>
      <c r="F75" s="1178">
        <f ca="1">YEAR(TODAY())</f>
        <v>2022</v>
      </c>
      <c r="G75" s="1180" cm="1">
        <f t="array" ref="G75:G135">Investments!BX7:BX67</f>
        <v>475000</v>
      </c>
      <c r="H75" s="1180" cm="1">
        <f t="array" aca="1" ref="H75:H135" ca="1">Investments!BY7:BY67</f>
        <v>75000</v>
      </c>
      <c r="I75" s="1180"/>
      <c r="J75" s="1180"/>
      <c r="K75" s="1273"/>
      <c r="L75" s="1273"/>
      <c r="M75" s="1272" cm="1">
        <f t="array" aca="1" ref="M75:M199" ca="1">Housing!H81:'Housing'!H205</f>
        <v>450000</v>
      </c>
      <c r="N75" s="1180" cm="1">
        <f t="array" aca="1" ref="N75:N155" ca="1">Rental!D37:'Rental'!D117</f>
        <v>0</v>
      </c>
      <c r="O75" s="1180" cm="1">
        <f t="array" aca="1" ref="O75:O155" ca="1">Rental!K37:'Rental'!K117</f>
        <v>0</v>
      </c>
      <c r="P75" s="1180" cm="1">
        <f t="array" aca="1" ref="P75:P135" ca="1">Investments!DA7:DA67</f>
        <v>0</v>
      </c>
      <c r="Q75" s="1180" cm="1">
        <f t="array" aca="1" ref="Q75:Q135" ca="1">Investments!DB7:DB67</f>
        <v>0</v>
      </c>
      <c r="R75" s="1180" cm="1">
        <f t="array" aca="1" ref="R75:R199" ca="1">Income!Q16:Q140</f>
        <v>210000</v>
      </c>
      <c r="S75" s="1180"/>
      <c r="T75" s="1180">
        <f>Budget!I5</f>
        <v>106595</v>
      </c>
      <c r="U75" s="1180">
        <f ca="1">Housing!H219</f>
        <v>0</v>
      </c>
    </row>
    <row r="76" spans="1:92">
      <c r="D76" s="1179">
        <f ca="1">D75+1</f>
        <v>55</v>
      </c>
      <c r="E76" s="1179">
        <f ca="1">IF(ISNUMBER(E75),E75+1,"")</f>
        <v>53</v>
      </c>
      <c r="F76" s="1178">
        <f ca="1">F75+1</f>
        <v>2023</v>
      </c>
      <c r="G76" s="1180">
        <v>503500</v>
      </c>
      <c r="H76" s="1180">
        <f ca="1"/>
        <v>79750</v>
      </c>
      <c r="I76" s="1180"/>
      <c r="J76" s="1180"/>
      <c r="K76" s="1273"/>
      <c r="L76" s="1273"/>
      <c r="M76" s="1272">
        <f ca="1"/>
        <v>458325</v>
      </c>
      <c r="N76" s="1180">
        <f ca="1"/>
        <v>0</v>
      </c>
      <c r="O76" s="1180">
        <f ca="1"/>
        <v>0</v>
      </c>
      <c r="P76" s="1180">
        <f ca="1"/>
        <v>0</v>
      </c>
      <c r="Q76" s="1180">
        <f ca="1"/>
        <v>0</v>
      </c>
      <c r="R76" s="1180">
        <f ca="1"/>
        <v>214200</v>
      </c>
      <c r="S76" s="1180"/>
      <c r="T76" s="1180">
        <f>T75+(T75*Retire!$D$18)</f>
        <v>109792.85</v>
      </c>
      <c r="U76" s="1180">
        <f ca="1">Housing!H220</f>
        <v>0</v>
      </c>
    </row>
    <row r="77" spans="1:92">
      <c r="D77" s="1179">
        <f t="shared" ref="D77:D135" ca="1" si="9">D76+1</f>
        <v>56</v>
      </c>
      <c r="E77" s="1179">
        <f t="shared" ref="E77:E140" ca="1" si="10">IF(ISNUMBER(E76),E76+1,"")</f>
        <v>54</v>
      </c>
      <c r="F77" s="1178">
        <f t="shared" ref="F77:F140" ca="1" si="11">F76+1</f>
        <v>2024</v>
      </c>
      <c r="G77" s="1180">
        <v>533503.75</v>
      </c>
      <c r="H77" s="1180">
        <f ca="1"/>
        <v>84785</v>
      </c>
      <c r="I77" s="1180"/>
      <c r="J77" s="1180"/>
      <c r="K77" s="1273"/>
      <c r="L77" s="1273"/>
      <c r="M77" s="1272">
        <f ca="1"/>
        <v>466804.01250000001</v>
      </c>
      <c r="N77" s="1180">
        <f ca="1"/>
        <v>0</v>
      </c>
      <c r="O77" s="1180">
        <f ca="1"/>
        <v>0</v>
      </c>
      <c r="P77" s="1180">
        <f ca="1"/>
        <v>0</v>
      </c>
      <c r="Q77" s="1180">
        <f ca="1"/>
        <v>0</v>
      </c>
      <c r="R77" s="1180">
        <f ca="1"/>
        <v>218484</v>
      </c>
      <c r="S77" s="1180"/>
      <c r="T77" s="1180">
        <f>T76+(T76*Retire!$D$18)</f>
        <v>113086.6355</v>
      </c>
      <c r="U77" s="1180">
        <f ca="1">Housing!H221</f>
        <v>0</v>
      </c>
    </row>
    <row r="78" spans="1:92">
      <c r="D78" s="1179">
        <f t="shared" ca="1" si="9"/>
        <v>57</v>
      </c>
      <c r="E78" s="1179">
        <f t="shared" ca="1" si="10"/>
        <v>55</v>
      </c>
      <c r="F78" s="1178">
        <f t="shared" ca="1" si="11"/>
        <v>2025</v>
      </c>
      <c r="G78" s="1180">
        <v>565090.76875000005</v>
      </c>
      <c r="H78" s="1180">
        <f ca="1"/>
        <v>90122.1</v>
      </c>
      <c r="I78" s="1180"/>
      <c r="J78" s="1180"/>
      <c r="K78" s="1273"/>
      <c r="L78" s="1273"/>
      <c r="M78" s="1272">
        <f ca="1"/>
        <v>475439.88673125004</v>
      </c>
      <c r="N78" s="1180">
        <f ca="1"/>
        <v>0</v>
      </c>
      <c r="O78" s="1180">
        <f ca="1"/>
        <v>0</v>
      </c>
      <c r="P78" s="1180">
        <f ca="1"/>
        <v>0</v>
      </c>
      <c r="Q78" s="1180">
        <f ca="1"/>
        <v>0</v>
      </c>
      <c r="R78" s="1180">
        <f ca="1"/>
        <v>222853.68</v>
      </c>
      <c r="S78" s="1180"/>
      <c r="T78" s="1180">
        <f>T77+(T77*Retire!$D$18)</f>
        <v>116479.23456500001</v>
      </c>
      <c r="U78" s="1180">
        <f ca="1">Housing!H222</f>
        <v>0</v>
      </c>
    </row>
    <row r="79" spans="1:92">
      <c r="D79" s="1179">
        <f t="shared" ca="1" si="9"/>
        <v>58</v>
      </c>
      <c r="E79" s="1179">
        <f t="shared" ca="1" si="10"/>
        <v>56</v>
      </c>
      <c r="F79" s="1178">
        <f t="shared" ca="1" si="11"/>
        <v>2026</v>
      </c>
      <c r="G79" s="1180">
        <v>598344.78915624996</v>
      </c>
      <c r="H79" s="1180">
        <f ca="1"/>
        <v>95779.426000000007</v>
      </c>
      <c r="I79" s="1180"/>
      <c r="J79" s="1180"/>
      <c r="K79" s="1273"/>
      <c r="L79" s="1273"/>
      <c r="M79" s="1272">
        <f ca="1"/>
        <v>484235.52463577816</v>
      </c>
      <c r="N79" s="1180">
        <f ca="1"/>
        <v>0</v>
      </c>
      <c r="O79" s="1180">
        <f ca="1"/>
        <v>0</v>
      </c>
      <c r="P79" s="1180">
        <f ca="1"/>
        <v>0</v>
      </c>
      <c r="Q79" s="1180">
        <f ca="1"/>
        <v>0</v>
      </c>
      <c r="R79" s="1180">
        <f ca="1"/>
        <v>227310.7536</v>
      </c>
      <c r="S79" s="1180"/>
      <c r="T79" s="1180">
        <f>T78+(T78*Retire!$D$18)</f>
        <v>119973.61160195</v>
      </c>
      <c r="U79" s="1180">
        <f ca="1">Housing!H223</f>
        <v>0</v>
      </c>
    </row>
    <row r="80" spans="1:92">
      <c r="D80" s="1179">
        <f t="shared" ca="1" si="9"/>
        <v>59</v>
      </c>
      <c r="E80" s="1179">
        <f t="shared" ca="1" si="10"/>
        <v>57</v>
      </c>
      <c r="F80" s="1178">
        <f t="shared" ca="1" si="11"/>
        <v>2027</v>
      </c>
      <c r="G80" s="1180">
        <v>633353.98209109367</v>
      </c>
      <c r="H80" s="1180">
        <f ca="1"/>
        <v>101776.19156000001</v>
      </c>
      <c r="I80" s="1180"/>
      <c r="J80" s="1180"/>
      <c r="K80" s="1273"/>
      <c r="L80" s="1273"/>
      <c r="M80" s="1272">
        <f ca="1"/>
        <v>493193.88184154005</v>
      </c>
      <c r="N80" s="1180">
        <f ca="1"/>
        <v>0</v>
      </c>
      <c r="O80" s="1180">
        <f ca="1"/>
        <v>0</v>
      </c>
      <c r="P80" s="1180">
        <f ca="1"/>
        <v>0</v>
      </c>
      <c r="Q80" s="1180">
        <f ca="1"/>
        <v>0</v>
      </c>
      <c r="R80" s="1180">
        <f ca="1"/>
        <v>231856.96867199999</v>
      </c>
      <c r="S80" s="1180"/>
      <c r="T80" s="1180">
        <f>T79+(T79*Retire!$D$18)</f>
        <v>123572.8199500085</v>
      </c>
      <c r="U80" s="1180">
        <f ca="1">Housing!H224</f>
        <v>0</v>
      </c>
    </row>
    <row r="81" spans="3:21">
      <c r="D81" s="1179">
        <f t="shared" ca="1" si="9"/>
        <v>60</v>
      </c>
      <c r="E81" s="1179">
        <f t="shared" ca="1" si="10"/>
        <v>58</v>
      </c>
      <c r="F81" s="1178">
        <f t="shared" ca="1" si="11"/>
        <v>2028</v>
      </c>
      <c r="G81" s="1180">
        <v>670211.19211391639</v>
      </c>
      <c r="H81" s="1180">
        <f ca="1"/>
        <v>108132.76305360001</v>
      </c>
      <c r="I81" s="1180"/>
      <c r="J81" s="1180"/>
      <c r="K81" s="1273"/>
      <c r="L81" s="1273"/>
      <c r="M81" s="1272">
        <f ca="1"/>
        <v>502317.96865560854</v>
      </c>
      <c r="N81" s="1180">
        <f ca="1"/>
        <v>0</v>
      </c>
      <c r="O81" s="1180">
        <f ca="1"/>
        <v>0</v>
      </c>
      <c r="P81" s="1180">
        <f ca="1"/>
        <v>0</v>
      </c>
      <c r="Q81" s="1180">
        <f ca="1"/>
        <v>0</v>
      </c>
      <c r="R81" s="1180">
        <f ca="1"/>
        <v>236494.10804543999</v>
      </c>
      <c r="S81" s="1180"/>
      <c r="T81" s="1180">
        <f>T80+(T80*Retire!$D$18)</f>
        <v>127280.00454850876</v>
      </c>
      <c r="U81" s="1180">
        <f ca="1">Housing!H225</f>
        <v>0</v>
      </c>
    </row>
    <row r="82" spans="3:21">
      <c r="D82" s="1179">
        <f t="shared" ca="1" si="9"/>
        <v>61</v>
      </c>
      <c r="E82" s="1179">
        <f t="shared" ca="1" si="10"/>
        <v>59</v>
      </c>
      <c r="F82" s="1178">
        <f t="shared" ca="1" si="11"/>
        <v>2029</v>
      </c>
      <c r="G82" s="1180">
        <v>709014.18573838496</v>
      </c>
      <c r="H82" s="1180">
        <f ca="1"/>
        <v>114870.72883681601</v>
      </c>
      <c r="I82" s="1180"/>
      <c r="J82" s="1180"/>
      <c r="K82" s="1273"/>
      <c r="L82" s="1273"/>
      <c r="M82" s="1272">
        <f ca="1"/>
        <v>511610.85107573727</v>
      </c>
      <c r="N82" s="1180">
        <f ca="1"/>
        <v>0</v>
      </c>
      <c r="O82" s="1180">
        <f ca="1"/>
        <v>0</v>
      </c>
      <c r="P82" s="1180">
        <f ca="1"/>
        <v>0</v>
      </c>
      <c r="Q82" s="1180">
        <f ca="1"/>
        <v>0</v>
      </c>
      <c r="R82" s="1180">
        <f ca="1"/>
        <v>241223.9902063488</v>
      </c>
      <c r="S82" s="1180"/>
      <c r="T82" s="1180">
        <f>T81+(T81*Retire!$D$18)</f>
        <v>131098.40468496401</v>
      </c>
      <c r="U82" s="1180">
        <f ca="1">Housing!H226</f>
        <v>0</v>
      </c>
    </row>
    <row r="83" spans="3:21">
      <c r="D83" s="1179">
        <f t="shared" ca="1" si="9"/>
        <v>62</v>
      </c>
      <c r="E83" s="1179">
        <f t="shared" ca="1" si="10"/>
        <v>60</v>
      </c>
      <c r="F83" s="1178">
        <f t="shared" ca="1" si="11"/>
        <v>2030</v>
      </c>
      <c r="G83" s="1180">
        <v>749865.91291510942</v>
      </c>
      <c r="H83" s="1180">
        <f ca="1"/>
        <v>122012.97256702496</v>
      </c>
      <c r="I83" s="1180"/>
      <c r="J83" s="1180"/>
      <c r="K83" s="1273"/>
      <c r="L83" s="1273"/>
      <c r="M83" s="1272">
        <f ca="1"/>
        <v>521075.65182063839</v>
      </c>
      <c r="N83" s="1180">
        <f ca="1"/>
        <v>0</v>
      </c>
      <c r="O83" s="1180">
        <f ca="1"/>
        <v>0</v>
      </c>
      <c r="P83" s="1180">
        <f ca="1"/>
        <v>0</v>
      </c>
      <c r="Q83" s="1180">
        <f ca="1"/>
        <v>0</v>
      </c>
      <c r="R83" s="1180">
        <f ca="1"/>
        <v>246048.47001047578</v>
      </c>
      <c r="S83" s="1180"/>
      <c r="T83" s="1180">
        <f>T82+(T82*Retire!$D$18)</f>
        <v>135031.35682551292</v>
      </c>
      <c r="U83" s="1180">
        <f ca="1">Housing!H227</f>
        <v>0</v>
      </c>
    </row>
    <row r="84" spans="3:21">
      <c r="D84" s="1179">
        <f t="shared" ca="1" si="9"/>
        <v>63</v>
      </c>
      <c r="E84" s="1179">
        <f t="shared" ca="1" si="10"/>
        <v>61</v>
      </c>
      <c r="F84" s="1178">
        <f t="shared" ca="1" si="11"/>
        <v>2031</v>
      </c>
      <c r="G84" s="1180">
        <v>792874.78243460949</v>
      </c>
      <c r="H84" s="1180">
        <f ca="1"/>
        <v>129583.75092104646</v>
      </c>
      <c r="I84" s="1180"/>
      <c r="J84" s="1180"/>
      <c r="K84" s="1273"/>
      <c r="L84" s="1273"/>
      <c r="M84" s="1272">
        <f ca="1"/>
        <v>530715.55137932021</v>
      </c>
      <c r="N84" s="1180">
        <f ca="1"/>
        <v>0</v>
      </c>
      <c r="O84" s="1180">
        <f ca="1"/>
        <v>0</v>
      </c>
      <c r="P84" s="1180">
        <f ca="1"/>
        <v>0</v>
      </c>
      <c r="Q84" s="1180">
        <f ca="1"/>
        <v>0</v>
      </c>
      <c r="R84" s="1180">
        <f ca="1"/>
        <v>250969.43941068533</v>
      </c>
      <c r="S84" s="1180"/>
      <c r="T84" s="1180">
        <f>T83+(T83*Retire!$D$18)</f>
        <v>139082.2975302783</v>
      </c>
      <c r="U84" s="1180">
        <f ca="1">Housing!H228</f>
        <v>0</v>
      </c>
    </row>
    <row r="85" spans="3:21">
      <c r="C85" s="1176"/>
      <c r="D85" s="1179">
        <f t="shared" ca="1" si="9"/>
        <v>64</v>
      </c>
      <c r="E85" s="1179">
        <f t="shared" ca="1" si="10"/>
        <v>62</v>
      </c>
      <c r="F85" s="1178">
        <f t="shared" ca="1" si="11"/>
        <v>2032</v>
      </c>
      <c r="G85" s="1180">
        <v>838154.95199314039</v>
      </c>
      <c r="H85" s="1180">
        <f ca="1"/>
        <v>137608.77597630926</v>
      </c>
      <c r="I85" s="1180"/>
      <c r="J85" s="1180"/>
      <c r="K85" s="1273"/>
      <c r="L85" s="1273"/>
      <c r="M85" s="1272">
        <f ca="1"/>
        <v>540533.78907983762</v>
      </c>
      <c r="N85" s="1180">
        <f ca="1"/>
        <v>0</v>
      </c>
      <c r="O85" s="1180">
        <f ca="1"/>
        <v>0</v>
      </c>
      <c r="P85" s="1180">
        <f ca="1"/>
        <v>0</v>
      </c>
      <c r="Q85" s="1180">
        <f ca="1"/>
        <v>0</v>
      </c>
      <c r="R85" s="1180">
        <f ca="1"/>
        <v>255988.82819889899</v>
      </c>
      <c r="S85" s="1180"/>
      <c r="T85" s="1180">
        <f>T84+(T84*Retire!$D$18)</f>
        <v>143254.76645618665</v>
      </c>
      <c r="U85" s="1180">
        <f ca="1">Housing!H229</f>
        <v>0</v>
      </c>
    </row>
    <row r="86" spans="3:21">
      <c r="C86" s="1176"/>
      <c r="D86" s="1179">
        <f t="shared" ca="1" si="9"/>
        <v>65</v>
      </c>
      <c r="E86" s="1179">
        <f t="shared" ca="1" si="10"/>
        <v>63</v>
      </c>
      <c r="F86" s="1178">
        <f t="shared" ca="1" si="11"/>
        <v>2033</v>
      </c>
      <c r="G86" s="1180">
        <v>885826.6337036218</v>
      </c>
      <c r="H86" s="1180">
        <f ca="1"/>
        <v>146115.30253488783</v>
      </c>
      <c r="I86" s="1180"/>
      <c r="J86" s="1180"/>
      <c r="K86" s="1273"/>
      <c r="L86" s="1273"/>
      <c r="M86" s="1272">
        <f ca="1"/>
        <v>550533.66417781461</v>
      </c>
      <c r="N86" s="1180">
        <f ca="1"/>
        <v>0</v>
      </c>
      <c r="O86" s="1180">
        <f ca="1"/>
        <v>0</v>
      </c>
      <c r="P86" s="1180">
        <f ca="1"/>
        <v>0</v>
      </c>
      <c r="Q86" s="1180">
        <f ca="1"/>
        <v>0</v>
      </c>
      <c r="R86" s="1180">
        <f ca="1"/>
        <v>261108.60476287699</v>
      </c>
      <c r="S86" s="1180"/>
      <c r="T86" s="1180">
        <f>T85+(T85*Retire!$D$18)</f>
        <v>147552.40944987224</v>
      </c>
      <c r="U86" s="1180">
        <f ca="1">Housing!H230</f>
        <v>0</v>
      </c>
    </row>
    <row r="87" spans="3:21">
      <c r="C87" s="1176"/>
      <c r="D87" s="1179">
        <f t="shared" ca="1" si="9"/>
        <v>66</v>
      </c>
      <c r="E87" s="1179">
        <f t="shared" ca="1" si="10"/>
        <v>64</v>
      </c>
      <c r="F87" s="1178">
        <f t="shared" ca="1" si="11"/>
        <v>2034</v>
      </c>
      <c r="G87" s="1180">
        <v>936016.41587572265</v>
      </c>
      <c r="H87" s="1180">
        <f ca="1"/>
        <v>155132.22068698111</v>
      </c>
      <c r="I87" s="1277" cm="1">
        <f t="array" aca="1" ref="I87:I126" ca="1">Retire!BF9:'Retire'!BF48</f>
        <v>954679.96251075156</v>
      </c>
      <c r="J87" s="1277" cm="1">
        <f t="array" aca="1" ref="J87:J126" ca="1">Retire!BD9:'Retire'!BD48</f>
        <v>155132.22068698111</v>
      </c>
      <c r="K87" s="1277" cm="1">
        <f t="array" ref="K87:K126">Retire!BH9:'Retire'!BH48</f>
        <v>18777.11</v>
      </c>
      <c r="L87" s="1277" cm="1">
        <f t="array" ref="L87:L126">Retire!BB9:'Retire'!BB48</f>
        <v>0</v>
      </c>
      <c r="M87" s="1272">
        <f ca="1"/>
        <v>560718.53696510417</v>
      </c>
      <c r="N87" s="1180">
        <f ca="1"/>
        <v>0</v>
      </c>
      <c r="O87" s="1180">
        <f ca="1"/>
        <v>0</v>
      </c>
      <c r="P87" s="1180">
        <f ca="1"/>
        <v>0</v>
      </c>
      <c r="Q87" s="1180">
        <f ca="1"/>
        <v>0</v>
      </c>
      <c r="R87" s="1180">
        <f ca="1"/>
        <v>178151.21227800436</v>
      </c>
      <c r="S87" s="1180"/>
      <c r="T87" s="1180">
        <f>T86+(T86*Retire!$D$18)</f>
        <v>151978.98173336842</v>
      </c>
      <c r="U87" s="1180">
        <f ca="1">Housing!H231</f>
        <v>0</v>
      </c>
    </row>
    <row r="88" spans="3:21">
      <c r="C88" s="1176"/>
      <c r="D88" s="1179">
        <f t="shared" ca="1" si="9"/>
        <v>67</v>
      </c>
      <c r="E88" s="1179">
        <f t="shared" ca="1" si="10"/>
        <v>65</v>
      </c>
      <c r="F88" s="1178">
        <f t="shared" ca="1" si="11"/>
        <v>2035</v>
      </c>
      <c r="G88" s="1180">
        <v>988857.60193320923</v>
      </c>
      <c r="H88" s="1180">
        <f ca="1"/>
        <v>164690.15392819996</v>
      </c>
      <c r="I88" s="1180">
        <f ca="1"/>
        <v>974090.05101118167</v>
      </c>
      <c r="J88" s="1180">
        <f ca="1"/>
        <v>161337.50951446034</v>
      </c>
      <c r="K88" s="1273">
        <v>25532.17</v>
      </c>
      <c r="L88" s="1273">
        <v>0</v>
      </c>
      <c r="M88" s="1272">
        <f ca="1"/>
        <v>571091.82989895856</v>
      </c>
      <c r="N88" s="1180">
        <f ca="1"/>
        <v>0</v>
      </c>
      <c r="O88" s="1180">
        <f ca="1"/>
        <v>0</v>
      </c>
      <c r="P88" s="1180">
        <f ca="1"/>
        <v>0</v>
      </c>
      <c r="Q88" s="1180">
        <f ca="1"/>
        <v>0</v>
      </c>
      <c r="R88" s="1180">
        <f ca="1"/>
        <v>181449.27652356445</v>
      </c>
      <c r="S88" s="1180"/>
      <c r="T88" s="1180">
        <f>T87+(T87*Retire!$D$18)</f>
        <v>156538.35118536948</v>
      </c>
      <c r="U88" s="1180">
        <f ca="1">Housing!H232</f>
        <v>0</v>
      </c>
    </row>
    <row r="89" spans="3:21">
      <c r="C89" s="1176"/>
      <c r="D89" s="1179">
        <f t="shared" ca="1" si="9"/>
        <v>68</v>
      </c>
      <c r="E89" s="1179">
        <f t="shared" ca="1" si="10"/>
        <v>66</v>
      </c>
      <c r="F89" s="1178">
        <f t="shared" ca="1" si="11"/>
        <v>2036</v>
      </c>
      <c r="G89" s="1180">
        <v>1044490.5673830736</v>
      </c>
      <c r="H89" s="1180">
        <f ca="1"/>
        <v>174821.56316389196</v>
      </c>
      <c r="I89" s="1180">
        <f ca="1"/>
        <v>987521.48305162892</v>
      </c>
      <c r="J89" s="1180">
        <f ca="1"/>
        <v>167791.00989503876</v>
      </c>
      <c r="K89" s="1273">
        <v>92370</v>
      </c>
      <c r="L89" s="1273">
        <v>0</v>
      </c>
      <c r="M89" s="1272">
        <f ca="1"/>
        <v>581657.02875208925</v>
      </c>
      <c r="N89" s="1180">
        <f ca="1"/>
        <v>0</v>
      </c>
      <c r="O89" s="1180">
        <f ca="1"/>
        <v>0</v>
      </c>
      <c r="P89" s="1180">
        <f ca="1"/>
        <v>0</v>
      </c>
      <c r="Q89" s="1180">
        <f ca="1"/>
        <v>0</v>
      </c>
      <c r="R89" s="1180">
        <f ca="1"/>
        <v>94139.869824000009</v>
      </c>
      <c r="S89" s="1180"/>
      <c r="T89" s="1180">
        <f>T88+(T88*Retire!$D$18)</f>
        <v>161234.50172093057</v>
      </c>
      <c r="U89" s="1180">
        <f ca="1">Housing!H233</f>
        <v>0</v>
      </c>
    </row>
    <row r="90" spans="3:21">
      <c r="C90" s="1176"/>
      <c r="D90" s="1179">
        <f t="shared" ca="1" si="9"/>
        <v>69</v>
      </c>
      <c r="E90" s="1179">
        <f t="shared" ca="1" si="10"/>
        <v>67</v>
      </c>
      <c r="F90" s="1178">
        <f t="shared" ca="1" si="11"/>
        <v>2037</v>
      </c>
      <c r="G90" s="1180">
        <v>1103063.1357998573</v>
      </c>
      <c r="H90" s="1180">
        <f ca="1"/>
        <v>185560.85695372548</v>
      </c>
      <c r="I90" s="1180">
        <f ca="1"/>
        <v>934652.34237369406</v>
      </c>
      <c r="J90" s="1180">
        <f ca="1"/>
        <v>174502.65029084031</v>
      </c>
      <c r="K90" s="1273">
        <v>96588</v>
      </c>
      <c r="L90" s="1273">
        <v>0</v>
      </c>
      <c r="M90" s="1272">
        <f ca="1"/>
        <v>592417.6837840029</v>
      </c>
      <c r="N90" s="1180">
        <f ca="1"/>
        <v>0</v>
      </c>
      <c r="O90" s="1180">
        <f ca="1"/>
        <v>0</v>
      </c>
      <c r="P90" s="1180">
        <f ca="1"/>
        <v>0</v>
      </c>
      <c r="Q90" s="1180">
        <f ca="1"/>
        <v>0</v>
      </c>
      <c r="R90" s="1180">
        <f ca="1"/>
        <v>95502.3197986944</v>
      </c>
      <c r="S90" s="1180"/>
      <c r="T90" s="1180">
        <f>T89+(T89*Retire!$D$18)</f>
        <v>166071.53677255849</v>
      </c>
      <c r="U90" s="1180">
        <f ca="1">Housing!H234</f>
        <v>0</v>
      </c>
    </row>
    <row r="91" spans="3:21">
      <c r="C91" s="1176"/>
      <c r="D91" s="1179">
        <f t="shared" ca="1" si="9"/>
        <v>70</v>
      </c>
      <c r="E91" s="1179">
        <f t="shared" ca="1" si="10"/>
        <v>68</v>
      </c>
      <c r="F91" s="1178">
        <f t="shared" ca="1" si="11"/>
        <v>2038</v>
      </c>
      <c r="G91" s="1180">
        <v>1164730.9748400999</v>
      </c>
      <c r="H91" s="1180">
        <f ca="1"/>
        <v>196944.50837094901</v>
      </c>
      <c r="I91" s="1180">
        <f ca="1"/>
        <v>875450.43606864184</v>
      </c>
      <c r="J91" s="1180">
        <f ca="1"/>
        <v>181482.75630247392</v>
      </c>
      <c r="K91" s="1273">
        <v>100608</v>
      </c>
      <c r="L91" s="1273">
        <v>0</v>
      </c>
      <c r="M91" s="1272">
        <f ca="1"/>
        <v>603377.41093400691</v>
      </c>
      <c r="N91" s="1180">
        <f ca="1"/>
        <v>0</v>
      </c>
      <c r="O91" s="1180">
        <f ca="1"/>
        <v>0</v>
      </c>
      <c r="P91" s="1180">
        <f ca="1"/>
        <v>0</v>
      </c>
      <c r="Q91" s="1180">
        <f ca="1"/>
        <v>0</v>
      </c>
      <c r="R91" s="1180">
        <f ca="1"/>
        <v>96885.202221657295</v>
      </c>
      <c r="S91" s="1180"/>
      <c r="T91" s="1180">
        <f>T90+(T90*Retire!$D$18)</f>
        <v>171053.68287573525</v>
      </c>
      <c r="U91" s="1180">
        <f ca="1">Housing!H235</f>
        <v>0</v>
      </c>
    </row>
    <row r="92" spans="3:21">
      <c r="C92" s="1176"/>
      <c r="D92" s="1179">
        <f t="shared" ca="1" si="9"/>
        <v>71</v>
      </c>
      <c r="E92" s="1179">
        <f t="shared" ca="1" si="10"/>
        <v>69</v>
      </c>
      <c r="F92" s="1178">
        <f t="shared" ca="1" si="11"/>
        <v>2039</v>
      </c>
      <c r="G92" s="1180">
        <v>1229658.0133561185</v>
      </c>
      <c r="H92" s="1180">
        <f ca="1"/>
        <v>209011.17887320596</v>
      </c>
      <c r="I92" s="1180">
        <f ca="1"/>
        <v>809860.45351138746</v>
      </c>
      <c r="J92" s="1180">
        <f ca="1"/>
        <v>188742.06655457287</v>
      </c>
      <c r="K92" s="1273">
        <v>104316</v>
      </c>
      <c r="L92" s="1273">
        <v>0</v>
      </c>
      <c r="M92" s="1272">
        <f ca="1"/>
        <v>614539.893036286</v>
      </c>
      <c r="N92" s="1180">
        <f ca="1"/>
        <v>0</v>
      </c>
      <c r="O92" s="1180">
        <f ca="1"/>
        <v>0</v>
      </c>
      <c r="P92" s="1180">
        <f ca="1"/>
        <v>0</v>
      </c>
      <c r="Q92" s="1180">
        <f ca="1"/>
        <v>0</v>
      </c>
      <c r="R92" s="1180">
        <f ca="1"/>
        <v>98288.836445033012</v>
      </c>
      <c r="S92" s="1180"/>
      <c r="T92" s="1180">
        <f>T91+(T91*Retire!$D$18)</f>
        <v>176185.2933620073</v>
      </c>
      <c r="U92" s="1180">
        <f ca="1">Housing!H236</f>
        <v>0</v>
      </c>
    </row>
    <row r="93" spans="3:21">
      <c r="C93" s="1176"/>
      <c r="D93" s="1179">
        <f t="shared" ca="1" si="9"/>
        <v>72</v>
      </c>
      <c r="E93" s="1179">
        <f t="shared" ca="1" si="10"/>
        <v>70</v>
      </c>
      <c r="F93" s="1178">
        <f t="shared" ca="1" si="11"/>
        <v>2040</v>
      </c>
      <c r="G93" s="1180">
        <v>1298016.8807355086</v>
      </c>
      <c r="H93" s="1180">
        <f ca="1"/>
        <v>221801.84960559831</v>
      </c>
      <c r="I93" s="1180">
        <f ca="1"/>
        <v>737938.87165184296</v>
      </c>
      <c r="J93" s="1180">
        <f ca="1"/>
        <v>196291.74921675579</v>
      </c>
      <c r="K93" s="1273">
        <v>107592</v>
      </c>
      <c r="L93" s="1273">
        <v>0</v>
      </c>
      <c r="M93" s="1272">
        <f ca="1"/>
        <v>625908.8810574573</v>
      </c>
      <c r="N93" s="1180">
        <f ca="1"/>
        <v>0</v>
      </c>
      <c r="O93" s="1180">
        <f ca="1"/>
        <v>0</v>
      </c>
      <c r="P93" s="1180">
        <f ca="1"/>
        <v>0</v>
      </c>
      <c r="Q93" s="1180">
        <f ca="1"/>
        <v>0</v>
      </c>
      <c r="R93" s="1180">
        <f ca="1"/>
        <v>99713.547038220378</v>
      </c>
      <c r="S93" s="1180"/>
      <c r="T93" s="1180">
        <f>T92+(T92*Retire!$D$18)</f>
        <v>181470.85216286752</v>
      </c>
      <c r="U93" s="1180">
        <f ca="1">Housing!H237</f>
        <v>0</v>
      </c>
    </row>
    <row r="94" spans="3:21">
      <c r="C94" s="1176"/>
      <c r="D94" s="1179">
        <f t="shared" ca="1" si="9"/>
        <v>73</v>
      </c>
      <c r="E94" s="1179">
        <f t="shared" ca="1" si="10"/>
        <v>71</v>
      </c>
      <c r="F94" s="1178">
        <f t="shared" ca="1" si="11"/>
        <v>2041</v>
      </c>
      <c r="G94" s="1180">
        <v>1369989.3696530056</v>
      </c>
      <c r="H94" s="1180">
        <f ca="1"/>
        <v>235359.9605819342</v>
      </c>
      <c r="I94" s="1180">
        <f ca="1"/>
        <v>659864.42651791673</v>
      </c>
      <c r="J94" s="1180">
        <f ca="1"/>
        <v>204143.41918542603</v>
      </c>
      <c r="K94" s="1273">
        <v>110274</v>
      </c>
      <c r="L94" s="1273">
        <v>0</v>
      </c>
      <c r="M94" s="1272">
        <f ca="1"/>
        <v>637488.19535702025</v>
      </c>
      <c r="N94" s="1180">
        <f ca="1"/>
        <v>0</v>
      </c>
      <c r="O94" s="1180">
        <f ca="1"/>
        <v>0</v>
      </c>
      <c r="P94" s="1180">
        <f ca="1"/>
        <v>0</v>
      </c>
      <c r="Q94" s="1180">
        <f ca="1"/>
        <v>0</v>
      </c>
      <c r="R94" s="1180">
        <f ca="1"/>
        <v>101159.66387689367</v>
      </c>
      <c r="S94" s="1180"/>
      <c r="T94" s="1180">
        <f>T93+(T93*Retire!$D$18)</f>
        <v>186914.97772775355</v>
      </c>
      <c r="U94" s="1180">
        <f ca="1">Housing!H238</f>
        <v>0</v>
      </c>
    </row>
    <row r="95" spans="3:21">
      <c r="C95" s="1176"/>
      <c r="D95" s="1179">
        <f t="shared" ca="1" si="9"/>
        <v>74</v>
      </c>
      <c r="E95" s="1179">
        <f t="shared" ca="1" si="10"/>
        <v>72</v>
      </c>
      <c r="F95" s="1178">
        <f t="shared" ca="1" si="11"/>
        <v>2042</v>
      </c>
      <c r="G95" s="1180">
        <v>1445766.9234848171</v>
      </c>
      <c r="H95" s="1180">
        <f ca="1"/>
        <v>249731.55821685024</v>
      </c>
      <c r="I95" s="1180">
        <f ca="1"/>
        <v>575985.00357863342</v>
      </c>
      <c r="J95" s="1180">
        <f ca="1"/>
        <v>212309.15595284308</v>
      </c>
      <c r="K95" s="1273">
        <v>112182</v>
      </c>
      <c r="L95" s="1273">
        <v>0</v>
      </c>
      <c r="M95" s="1272">
        <f ca="1"/>
        <v>649281.72697112511</v>
      </c>
      <c r="N95" s="1180">
        <f ca="1"/>
        <v>0</v>
      </c>
      <c r="O95" s="1180">
        <f ca="1"/>
        <v>0</v>
      </c>
      <c r="P95" s="1180">
        <f ca="1"/>
        <v>0</v>
      </c>
      <c r="Q95" s="1180">
        <f ca="1"/>
        <v>0</v>
      </c>
      <c r="R95" s="1180">
        <f ca="1"/>
        <v>102627.522233603</v>
      </c>
      <c r="S95" s="1180"/>
      <c r="T95" s="1180">
        <f>T94+(T94*Retire!$D$18)</f>
        <v>192522.42705958616</v>
      </c>
      <c r="U95" s="1180">
        <f ca="1">Housing!H239</f>
        <v>0</v>
      </c>
    </row>
    <row r="96" spans="3:21">
      <c r="C96" s="1176"/>
      <c r="D96" s="1179">
        <f t="shared" ca="1" si="9"/>
        <v>75</v>
      </c>
      <c r="E96" s="1179">
        <f t="shared" ca="1" si="10"/>
        <v>73</v>
      </c>
      <c r="F96" s="1178">
        <f t="shared" ca="1" si="11"/>
        <v>2043</v>
      </c>
      <c r="G96" s="1180">
        <v>1525551.1497024228</v>
      </c>
      <c r="H96" s="1180">
        <f ca="1"/>
        <v>264965.45170986129</v>
      </c>
      <c r="I96" s="1180">
        <f ca="1"/>
        <v>486842.40372177877</v>
      </c>
      <c r="J96" s="1180">
        <f ca="1"/>
        <v>220801.52219095681</v>
      </c>
      <c r="K96" s="1273">
        <v>113004</v>
      </c>
      <c r="L96" s="1273">
        <v>0</v>
      </c>
      <c r="M96" s="1272">
        <f ca="1"/>
        <v>661293.43892009091</v>
      </c>
      <c r="N96" s="1180">
        <f ca="1"/>
        <v>0</v>
      </c>
      <c r="O96" s="1180">
        <f ca="1"/>
        <v>0</v>
      </c>
      <c r="P96" s="1180">
        <f ca="1"/>
        <v>0</v>
      </c>
      <c r="Q96" s="1180">
        <f ca="1"/>
        <v>0</v>
      </c>
      <c r="R96" s="1180">
        <f ca="1"/>
        <v>104117.46286998369</v>
      </c>
      <c r="S96" s="1180"/>
      <c r="T96" s="1180">
        <f>T95+(T95*Retire!$D$18)</f>
        <v>198298.09987137374</v>
      </c>
      <c r="U96" s="1180">
        <f ca="1">Housing!H240</f>
        <v>0</v>
      </c>
    </row>
    <row r="97" spans="3:21">
      <c r="C97" s="1176"/>
      <c r="D97" s="1179">
        <f t="shared" ca="1" si="9"/>
        <v>76</v>
      </c>
      <c r="E97" s="1179">
        <f t="shared" ca="1" si="10"/>
        <v>74</v>
      </c>
      <c r="F97" s="1178">
        <f t="shared" ca="1" si="11"/>
        <v>2044</v>
      </c>
      <c r="G97" s="1180">
        <v>1609554.3606332941</v>
      </c>
      <c r="H97" s="1180">
        <f ca="1"/>
        <v>281113.37881245295</v>
      </c>
      <c r="I97" s="1180">
        <f ca="1"/>
        <v>393312.09987064992</v>
      </c>
      <c r="J97" s="1180">
        <f ca="1"/>
        <v>229633.58307859508</v>
      </c>
      <c r="K97" s="1273">
        <v>112410</v>
      </c>
      <c r="L97" s="1273">
        <v>0</v>
      </c>
      <c r="M97" s="1272">
        <f ca="1"/>
        <v>673527.36754011258</v>
      </c>
      <c r="N97" s="1180">
        <f ca="1"/>
        <v>0</v>
      </c>
      <c r="O97" s="1180">
        <f ca="1"/>
        <v>0</v>
      </c>
      <c r="P97" s="1180">
        <f ca="1"/>
        <v>0</v>
      </c>
      <c r="Q97" s="1180">
        <f ca="1"/>
        <v>0</v>
      </c>
      <c r="R97" s="1180">
        <f ca="1"/>
        <v>105629.83213060338</v>
      </c>
      <c r="S97" s="1180"/>
      <c r="T97" s="1180">
        <f>T96+(T96*Retire!$D$18)</f>
        <v>204247.04286751495</v>
      </c>
      <c r="U97" s="1180">
        <f ca="1">Housing!H241</f>
        <v>0</v>
      </c>
    </row>
    <row r="98" spans="3:21">
      <c r="C98" s="1176"/>
      <c r="D98" s="1179">
        <f t="shared" ca="1" si="9"/>
        <v>77</v>
      </c>
      <c r="E98" s="1179">
        <f t="shared" ca="1" si="10"/>
        <v>75</v>
      </c>
      <c r="F98" s="1178">
        <f t="shared" ca="1" si="11"/>
        <v>2045</v>
      </c>
      <c r="G98" s="1180">
        <v>1698000.143050225</v>
      </c>
      <c r="H98" s="1180">
        <f ca="1"/>
        <v>298230.18154120015</v>
      </c>
      <c r="I98" s="1180">
        <f ca="1"/>
        <v>296634.5838654759</v>
      </c>
      <c r="J98" s="1180">
        <f ca="1"/>
        <v>238818.92640173889</v>
      </c>
      <c r="K98" s="1273">
        <v>109962</v>
      </c>
      <c r="L98" s="1273">
        <v>0</v>
      </c>
      <c r="M98" s="1272">
        <f ca="1"/>
        <v>685987.62383960467</v>
      </c>
      <c r="N98" s="1180">
        <f ca="1"/>
        <v>0</v>
      </c>
      <c r="O98" s="1180">
        <f ca="1"/>
        <v>0</v>
      </c>
      <c r="P98" s="1180">
        <f ca="1"/>
        <v>0</v>
      </c>
      <c r="Q98" s="1180">
        <f ca="1"/>
        <v>0</v>
      </c>
      <c r="R98" s="1180">
        <f ca="1"/>
        <v>107164.98203847764</v>
      </c>
      <c r="S98" s="1180"/>
      <c r="T98" s="1180">
        <f>T97+(T97*Retire!$D$18)</f>
        <v>210374.4541535404</v>
      </c>
      <c r="U98" s="1180">
        <f ca="1">Housing!H242</f>
        <v>0</v>
      </c>
    </row>
    <row r="99" spans="3:21">
      <c r="C99" s="1176"/>
      <c r="D99" s="1179">
        <f t="shared" ca="1" si="9"/>
        <v>78</v>
      </c>
      <c r="E99" s="1179">
        <f t="shared" ca="1" si="10"/>
        <v>76</v>
      </c>
      <c r="F99" s="1178">
        <f t="shared" ca="1" si="11"/>
        <v>2046</v>
      </c>
      <c r="G99" s="1180">
        <v>1791123.9581291922</v>
      </c>
      <c r="H99" s="1180">
        <f ca="1"/>
        <v>316373.99243367213</v>
      </c>
      <c r="I99" s="1180">
        <f ca="1"/>
        <v>198537.96722009493</v>
      </c>
      <c r="J99" s="1180">
        <f ca="1"/>
        <v>248371.68345780845</v>
      </c>
      <c r="K99" s="1273">
        <v>105132</v>
      </c>
      <c r="L99" s="1273">
        <v>0</v>
      </c>
      <c r="M99" s="1272">
        <f ca="1"/>
        <v>698678.39488063741</v>
      </c>
      <c r="N99" s="1180">
        <f ca="1"/>
        <v>0</v>
      </c>
      <c r="O99" s="1180">
        <f ca="1"/>
        <v>0</v>
      </c>
      <c r="P99" s="1180">
        <f ca="1"/>
        <v>0</v>
      </c>
      <c r="Q99" s="1180">
        <f ca="1"/>
        <v>0</v>
      </c>
      <c r="R99" s="1180">
        <f ca="1"/>
        <v>108723.27039228432</v>
      </c>
      <c r="S99" s="1180"/>
      <c r="T99" s="1180">
        <f>T98+(T98*Retire!$D$18)</f>
        <v>216685.68777814662</v>
      </c>
      <c r="U99" s="1180">
        <f ca="1">Housing!H243</f>
        <v>0</v>
      </c>
    </row>
    <row r="100" spans="3:21">
      <c r="C100" s="1176"/>
      <c r="D100" s="1179">
        <f t="shared" ca="1" si="9"/>
        <v>79</v>
      </c>
      <c r="E100" s="1179">
        <f t="shared" ca="1" si="10"/>
        <v>77</v>
      </c>
      <c r="F100" s="1178">
        <f t="shared" ca="1" si="11"/>
        <v>2047</v>
      </c>
      <c r="G100" s="1180">
        <v>1889173.7733980627</v>
      </c>
      <c r="H100" s="1180">
        <f ca="1"/>
        <v>335606.43197969248</v>
      </c>
      <c r="I100" s="1180">
        <f ca="1"/>
        <v>101347.48590889873</v>
      </c>
      <c r="J100" s="1180">
        <f ca="1"/>
        <v>258306.55079612078</v>
      </c>
      <c r="K100" s="1273">
        <v>97404</v>
      </c>
      <c r="L100" s="1273">
        <v>0</v>
      </c>
      <c r="M100" s="1272">
        <f ca="1"/>
        <v>711603.94518592919</v>
      </c>
      <c r="N100" s="1180">
        <f ca="1"/>
        <v>0</v>
      </c>
      <c r="O100" s="1180">
        <f ca="1"/>
        <v>0</v>
      </c>
      <c r="P100" s="1180">
        <f ca="1"/>
        <v>0</v>
      </c>
      <c r="Q100" s="1180">
        <f ca="1"/>
        <v>0</v>
      </c>
      <c r="R100" s="1180">
        <f ca="1"/>
        <v>110305.0608653079</v>
      </c>
      <c r="S100" s="1180"/>
      <c r="T100" s="1180">
        <f>T99+(T99*Retire!$D$18)</f>
        <v>223186.25841149103</v>
      </c>
      <c r="U100" s="1180">
        <f ca="1">Housing!H244</f>
        <v>0</v>
      </c>
    </row>
    <row r="101" spans="3:21">
      <c r="C101" s="1176"/>
      <c r="D101" s="1179">
        <f t="shared" ca="1" si="9"/>
        <v>80</v>
      </c>
      <c r="E101" s="1179">
        <f t="shared" ca="1" si="10"/>
        <v>78</v>
      </c>
      <c r="F101" s="1178">
        <f t="shared" ca="1" si="11"/>
        <v>2048</v>
      </c>
      <c r="G101" s="1180">
        <v>1992410.7283853092</v>
      </c>
      <c r="H101" s="1180">
        <f ca="1"/>
        <v>355992.81789847405</v>
      </c>
      <c r="I101" s="1180">
        <f ca="1"/>
        <v>7997.3853452546755</v>
      </c>
      <c r="J101" s="1180">
        <f ca="1"/>
        <v>268638.81282796559</v>
      </c>
      <c r="K101" s="1273">
        <v>7997.3852999999999</v>
      </c>
      <c r="L101" s="1273">
        <v>78426.61</v>
      </c>
      <c r="M101" s="1272">
        <f ca="1"/>
        <v>724768.61817186885</v>
      </c>
      <c r="N101" s="1180">
        <f ca="1"/>
        <v>0</v>
      </c>
      <c r="O101" s="1180">
        <f ca="1"/>
        <v>0</v>
      </c>
      <c r="P101" s="1180">
        <f ca="1"/>
        <v>0</v>
      </c>
      <c r="Q101" s="1180">
        <f ca="1"/>
        <v>0</v>
      </c>
      <c r="R101" s="1180">
        <f ca="1"/>
        <v>111910.72310614579</v>
      </c>
      <c r="S101" s="1180"/>
      <c r="T101" s="1180">
        <f>T100+(T100*Retire!$D$18)</f>
        <v>229881.84616383575</v>
      </c>
      <c r="U101" s="1180">
        <f ca="1">Housing!H245</f>
        <v>0</v>
      </c>
    </row>
    <row r="102" spans="3:21">
      <c r="C102" s="1176"/>
      <c r="D102" s="1179">
        <f t="shared" ca="1" si="9"/>
        <v>81</v>
      </c>
      <c r="E102" s="1179">
        <f t="shared" ca="1" si="10"/>
        <v>79</v>
      </c>
      <c r="F102" s="1178">
        <f t="shared" ca="1" si="11"/>
        <v>2049</v>
      </c>
      <c r="G102" s="1180">
        <v>2101109.8357693721</v>
      </c>
      <c r="H102" s="1180">
        <f ca="1"/>
        <v>377602.38697238249</v>
      </c>
      <c r="I102" s="1180">
        <f ca="1"/>
        <v>319.89545906486273</v>
      </c>
      <c r="J102" s="1180">
        <f ca="1"/>
        <v>200957.75534108421</v>
      </c>
      <c r="K102" s="1273">
        <v>319.89550000000003</v>
      </c>
      <c r="L102" s="1273">
        <v>88804.1</v>
      </c>
      <c r="M102" s="1272">
        <f ca="1"/>
        <v>738176.83760804846</v>
      </c>
      <c r="N102" s="1180">
        <f ca="1"/>
        <v>0</v>
      </c>
      <c r="O102" s="1180">
        <f ca="1"/>
        <v>0</v>
      </c>
      <c r="P102" s="1180">
        <f ca="1"/>
        <v>0</v>
      </c>
      <c r="Q102" s="1180">
        <f ca="1"/>
        <v>0</v>
      </c>
      <c r="R102" s="1180">
        <f ca="1"/>
        <v>113540.63284120872</v>
      </c>
      <c r="S102" s="1180"/>
      <c r="T102" s="1180">
        <f>T101+(T101*Retire!$D$18)</f>
        <v>236778.30154875084</v>
      </c>
      <c r="U102" s="1180">
        <f ca="1">Housing!H246</f>
        <v>0</v>
      </c>
    </row>
    <row r="103" spans="3:21">
      <c r="C103" s="1176"/>
      <c r="D103" s="1179">
        <f t="shared" ca="1" si="9"/>
        <v>82</v>
      </c>
      <c r="E103" s="1179">
        <f t="shared" ca="1" si="10"/>
        <v>80</v>
      </c>
      <c r="F103" s="1178">
        <f t="shared" ca="1" si="11"/>
        <v>2050</v>
      </c>
      <c r="G103" s="1180">
        <v>2215560.7199257021</v>
      </c>
      <c r="H103" s="1180">
        <f ca="1"/>
        <v>400508.53019072546</v>
      </c>
      <c r="I103" s="1180">
        <f ca="1"/>
        <v>12.79577742745721</v>
      </c>
      <c r="J103" s="1180">
        <f ca="1"/>
        <v>826868.80316277605</v>
      </c>
      <c r="K103" s="1273">
        <v>12.7958</v>
      </c>
      <c r="L103" s="1273">
        <v>102995.2</v>
      </c>
      <c r="M103" s="1272">
        <f ca="1"/>
        <v>0</v>
      </c>
      <c r="N103" s="1180">
        <f ca="1"/>
        <v>0</v>
      </c>
      <c r="O103" s="1180">
        <f ca="1"/>
        <v>0</v>
      </c>
      <c r="P103" s="1180">
        <f ca="1"/>
        <v>0</v>
      </c>
      <c r="Q103" s="1180">
        <f ca="1"/>
        <v>0</v>
      </c>
      <c r="R103" s="1180">
        <f ca="1"/>
        <v>115195.17197904839</v>
      </c>
      <c r="S103" s="1180"/>
      <c r="T103" s="1180">
        <f>T102+(T102*Retire!$D$18)</f>
        <v>243881.65059521337</v>
      </c>
      <c r="U103" s="1180">
        <f ca="1">Housing!H247</f>
        <v>0</v>
      </c>
    </row>
    <row r="104" spans="3:21">
      <c r="C104" s="1176"/>
      <c r="D104" s="1179">
        <f t="shared" ca="1" si="9"/>
        <v>83</v>
      </c>
      <c r="E104" s="1179">
        <f t="shared" ca="1" si="10"/>
        <v>81</v>
      </c>
      <c r="F104" s="1178">
        <f t="shared" ca="1" si="11"/>
        <v>2051</v>
      </c>
      <c r="G104" s="1180">
        <v>2336068.394870081</v>
      </c>
      <c r="H104" s="1180">
        <f ca="1"/>
        <v>424789.04200216901</v>
      </c>
      <c r="I104" s="1180">
        <f ca="1"/>
        <v>0.51180852455549797</v>
      </c>
      <c r="J104" s="1180">
        <f ca="1"/>
        <v>756948.35528928717</v>
      </c>
      <c r="K104" s="1273">
        <v>0.51180000000000003</v>
      </c>
      <c r="L104" s="1273">
        <v>107639.49</v>
      </c>
      <c r="M104" s="1272">
        <f ca="1"/>
        <v>0</v>
      </c>
      <c r="N104" s="1180">
        <f ca="1"/>
        <v>0</v>
      </c>
      <c r="O104" s="1180">
        <f ca="1"/>
        <v>0</v>
      </c>
      <c r="P104" s="1180">
        <f ca="1"/>
        <v>0</v>
      </c>
      <c r="Q104" s="1180">
        <f ca="1"/>
        <v>0</v>
      </c>
      <c r="R104" s="1180">
        <f ca="1"/>
        <v>116874.72871654617</v>
      </c>
      <c r="S104" s="1180"/>
      <c r="T104" s="1180">
        <f>T103+(T103*Retire!$D$18)</f>
        <v>251198.10011306978</v>
      </c>
      <c r="U104" s="1180">
        <f ca="1">Housing!H248</f>
        <v>0</v>
      </c>
    </row>
    <row r="105" spans="3:21">
      <c r="C105" s="1176"/>
      <c r="D105" s="1179">
        <f t="shared" ca="1" si="9"/>
        <v>84</v>
      </c>
      <c r="E105" s="1179">
        <f t="shared" ca="1" si="10"/>
        <v>82</v>
      </c>
      <c r="F105" s="1178">
        <f t="shared" ca="1" si="11"/>
        <v>2052</v>
      </c>
      <c r="G105" s="1180">
        <v>2462954.0837038243</v>
      </c>
      <c r="H105" s="1180">
        <f ca="1"/>
        <v>450526.38452229917</v>
      </c>
      <c r="I105" s="1180">
        <f ca="1"/>
        <v>2.0480865537717885E-2</v>
      </c>
      <c r="J105" s="1180">
        <f ca="1"/>
        <v>679586.79950085864</v>
      </c>
      <c r="K105" s="1273">
        <v>2.0500000000000001E-2</v>
      </c>
      <c r="L105" s="1273">
        <v>112439.98</v>
      </c>
      <c r="M105" s="1272">
        <f ca="1"/>
        <v>0</v>
      </c>
      <c r="N105" s="1180">
        <f ca="1"/>
        <v>0</v>
      </c>
      <c r="O105" s="1180">
        <f ca="1"/>
        <v>0</v>
      </c>
      <c r="P105" s="1180">
        <f ca="1"/>
        <v>0</v>
      </c>
      <c r="Q105" s="1180">
        <f ca="1"/>
        <v>0</v>
      </c>
      <c r="R105" s="1180">
        <f ca="1"/>
        <v>118579.69764699665</v>
      </c>
      <c r="S105" s="1180"/>
      <c r="T105" s="1180">
        <f>T104+(T104*Retire!$D$18)</f>
        <v>258734.04311646186</v>
      </c>
      <c r="U105" s="1180">
        <f ca="1">Housing!H249</f>
        <v>0</v>
      </c>
    </row>
    <row r="106" spans="3:21">
      <c r="C106" s="1176"/>
      <c r="D106" s="1179">
        <f t="shared" ca="1" si="9"/>
        <v>85</v>
      </c>
      <c r="E106" s="1179">
        <f t="shared" ca="1" si="10"/>
        <v>83</v>
      </c>
      <c r="F106" s="1178">
        <f t="shared" ca="1" si="11"/>
        <v>2053</v>
      </c>
      <c r="G106" s="1180">
        <v>2596556.0817792173</v>
      </c>
      <c r="H106" s="1180">
        <f ca="1"/>
        <v>477807.96759363712</v>
      </c>
      <c r="I106" s="1180">
        <f ca="1"/>
        <v>8.0010015922659869E-4</v>
      </c>
      <c r="J106" s="1180">
        <f ca="1"/>
        <v>594330.29148089304</v>
      </c>
      <c r="K106" s="1273">
        <v>8.0000000000000004E-4</v>
      </c>
      <c r="L106" s="1273">
        <v>117396</v>
      </c>
      <c r="M106" s="1272">
        <f ca="1"/>
        <v>0</v>
      </c>
      <c r="N106" s="1180">
        <f ca="1"/>
        <v>0</v>
      </c>
      <c r="O106" s="1180">
        <f ca="1"/>
        <v>0</v>
      </c>
      <c r="P106" s="1180">
        <f ca="1"/>
        <v>0</v>
      </c>
      <c r="Q106" s="1180">
        <f ca="1"/>
        <v>0</v>
      </c>
      <c r="R106" s="1180">
        <f ca="1"/>
        <v>120310.47987012127</v>
      </c>
      <c r="S106" s="1180"/>
      <c r="T106" s="1180">
        <f>T105+(T105*Retire!$D$18)</f>
        <v>266496.0644099557</v>
      </c>
      <c r="U106" s="1180">
        <f ca="1">Housing!H250</f>
        <v>0</v>
      </c>
    </row>
    <row r="107" spans="3:21">
      <c r="C107" s="1176"/>
      <c r="D107" s="1179">
        <f t="shared" ca="1" si="9"/>
        <v>86</v>
      </c>
      <c r="E107" s="1179">
        <f t="shared" ca="1" si="10"/>
        <v>84</v>
      </c>
      <c r="F107" s="1178">
        <f t="shared" ca="1" si="11"/>
        <v>2054</v>
      </c>
      <c r="G107" s="1180">
        <v>2737230.6659223414</v>
      </c>
      <c r="H107" s="1180">
        <f ca="1"/>
        <v>506726.44564925536</v>
      </c>
      <c r="I107" s="1180">
        <f ca="1"/>
        <v>3.2104165595662646E-5</v>
      </c>
      <c r="J107" s="1180">
        <f ca="1"/>
        <v>500707.5031401288</v>
      </c>
      <c r="K107" s="1273">
        <v>0</v>
      </c>
      <c r="L107" s="1273">
        <v>122508</v>
      </c>
      <c r="M107" s="1272">
        <f ca="1"/>
        <v>0</v>
      </c>
      <c r="N107" s="1180">
        <f ca="1"/>
        <v>0</v>
      </c>
      <c r="O107" s="1180">
        <f ca="1"/>
        <v>0</v>
      </c>
      <c r="P107" s="1180">
        <f ca="1"/>
        <v>0</v>
      </c>
      <c r="Q107" s="1180">
        <f ca="1"/>
        <v>0</v>
      </c>
      <c r="R107" s="1180">
        <f ca="1"/>
        <v>122067.48310404782</v>
      </c>
      <c r="S107" s="1180"/>
      <c r="T107" s="1180">
        <f>T106+(T106*Retire!$D$18)</f>
        <v>274490.94634225435</v>
      </c>
      <c r="U107" s="1180">
        <f ca="1">Housing!H251</f>
        <v>0</v>
      </c>
    </row>
    <row r="108" spans="3:21">
      <c r="C108" s="1176"/>
      <c r="D108" s="1179">
        <f t="shared" ca="1" si="9"/>
        <v>87</v>
      </c>
      <c r="E108" s="1179">
        <f t="shared" ca="1" si="10"/>
        <v>85</v>
      </c>
      <c r="F108" s="1178">
        <f t="shared" ca="1" si="11"/>
        <v>2055</v>
      </c>
      <c r="G108" s="1180">
        <v>2885353.0521756005</v>
      </c>
      <c r="H108" s="1180">
        <f ca="1"/>
        <v>537380.03238821065</v>
      </c>
      <c r="I108" s="1180">
        <f ca="1"/>
        <v>3.3388332219489155E-5</v>
      </c>
      <c r="J108" s="1180">
        <f ca="1"/>
        <v>398227.80326573394</v>
      </c>
      <c r="K108" s="1273">
        <v>0</v>
      </c>
      <c r="L108" s="1273">
        <v>127788</v>
      </c>
      <c r="M108" s="1272">
        <f ca="1"/>
        <v>0</v>
      </c>
      <c r="N108" s="1180">
        <f ca="1"/>
        <v>0</v>
      </c>
      <c r="O108" s="1180">
        <f ca="1"/>
        <v>0</v>
      </c>
      <c r="P108" s="1180">
        <f ca="1"/>
        <v>0</v>
      </c>
      <c r="Q108" s="1180">
        <f ca="1"/>
        <v>0</v>
      </c>
      <c r="R108" s="1180">
        <f ca="1"/>
        <v>123851.12179929137</v>
      </c>
      <c r="S108" s="1180"/>
      <c r="T108" s="1180">
        <f>T107+(T107*Retire!$D$18)</f>
        <v>282725.67473252199</v>
      </c>
      <c r="U108" s="1180">
        <f ca="1">Housing!H252</f>
        <v>0</v>
      </c>
    </row>
    <row r="109" spans="3:21">
      <c r="C109" s="1176"/>
      <c r="D109" s="1179">
        <f t="shared" ca="1" si="9"/>
        <v>88</v>
      </c>
      <c r="E109" s="1179">
        <f t="shared" ca="1" si="10"/>
        <v>86</v>
      </c>
      <c r="F109" s="1178">
        <f t="shared" ca="1" si="11"/>
        <v>2056</v>
      </c>
      <c r="G109" s="1180">
        <v>3041318.4046541657</v>
      </c>
      <c r="H109" s="1180">
        <f ca="1"/>
        <v>569872.83433150325</v>
      </c>
      <c r="I109" s="1180">
        <f ca="1"/>
        <v>3.4723865508268719E-5</v>
      </c>
      <c r="J109" s="1180">
        <f ca="1"/>
        <v>286368.9153963633</v>
      </c>
      <c r="K109" s="1273">
        <v>0</v>
      </c>
      <c r="L109" s="1273">
        <v>133236</v>
      </c>
      <c r="M109" s="1272">
        <f ca="1"/>
        <v>0</v>
      </c>
      <c r="N109" s="1180">
        <f ca="1"/>
        <v>0</v>
      </c>
      <c r="O109" s="1180">
        <f ca="1"/>
        <v>0</v>
      </c>
      <c r="P109" s="1180">
        <f ca="1"/>
        <v>0</v>
      </c>
      <c r="Q109" s="1180">
        <f ca="1"/>
        <v>0</v>
      </c>
      <c r="R109" s="1180">
        <f ca="1"/>
        <v>125661.8172547742</v>
      </c>
      <c r="S109" s="1180"/>
      <c r="T109" s="1180">
        <f>T108+(T108*Retire!$D$18)</f>
        <v>291207.44497449766</v>
      </c>
      <c r="U109" s="1180">
        <f ca="1">Housing!H253</f>
        <v>0</v>
      </c>
    </row>
    <row r="110" spans="3:21">
      <c r="C110" s="1176"/>
      <c r="D110" s="1179">
        <f t="shared" ca="1" si="9"/>
        <v>89</v>
      </c>
      <c r="E110" s="1179">
        <f t="shared" ca="1" si="10"/>
        <v>87</v>
      </c>
      <c r="F110" s="1178">
        <f t="shared" ca="1" si="11"/>
        <v>2057</v>
      </c>
      <c r="G110" s="1180">
        <v>3205542.8982494967</v>
      </c>
      <c r="H110" s="1180">
        <f ca="1"/>
        <v>604315.20439139346</v>
      </c>
      <c r="I110" s="1180">
        <f ca="1"/>
        <v>3.6112820128599468E-5</v>
      </c>
      <c r="J110" s="1180">
        <f ca="1"/>
        <v>164587.67201221781</v>
      </c>
      <c r="K110" s="1273">
        <v>0</v>
      </c>
      <c r="L110" s="1273">
        <v>138876</v>
      </c>
      <c r="M110" s="1272">
        <f ca="1"/>
        <v>0</v>
      </c>
      <c r="N110" s="1180">
        <f ca="1"/>
        <v>0</v>
      </c>
      <c r="O110" s="1180">
        <f ca="1"/>
        <v>0</v>
      </c>
      <c r="P110" s="1180">
        <f ca="1"/>
        <v>0</v>
      </c>
      <c r="Q110" s="1180">
        <f ca="1"/>
        <v>0</v>
      </c>
      <c r="R110" s="1180">
        <f ca="1"/>
        <v>127499.99773592209</v>
      </c>
      <c r="S110" s="1180"/>
      <c r="T110" s="1180">
        <f>T109+(T109*Retire!$D$18)</f>
        <v>299943.66832373256</v>
      </c>
      <c r="U110" s="1180">
        <f ca="1">Housing!H254</f>
        <v>0</v>
      </c>
    </row>
    <row r="111" spans="3:21">
      <c r="C111" s="1176"/>
      <c r="D111" s="1179">
        <f t="shared" ca="1" si="9"/>
        <v>90</v>
      </c>
      <c r="E111" s="1179">
        <f t="shared" ca="1" si="10"/>
        <v>88</v>
      </c>
      <c r="F111" s="1178">
        <f t="shared" ca="1" si="11"/>
        <v>2058</v>
      </c>
      <c r="G111" s="1180">
        <v>3378464.838059539</v>
      </c>
      <c r="H111" s="1180">
        <f ca="1"/>
        <v>640824.11665487709</v>
      </c>
      <c r="I111" s="1180">
        <f ca="1"/>
        <v>3.7557332933743447E-5</v>
      </c>
      <c r="J111" s="1180">
        <f ca="1"/>
        <v>32295.178892706521</v>
      </c>
      <c r="K111" s="1273">
        <v>0</v>
      </c>
      <c r="L111" s="1273">
        <v>0</v>
      </c>
      <c r="M111" s="1272">
        <f ca="1"/>
        <v>0</v>
      </c>
      <c r="N111" s="1180">
        <f ca="1"/>
        <v>0</v>
      </c>
      <c r="O111" s="1180">
        <f ca="1"/>
        <v>0</v>
      </c>
      <c r="P111" s="1180">
        <f ca="1"/>
        <v>0</v>
      </c>
      <c r="Q111" s="1180">
        <f ca="1"/>
        <v>0</v>
      </c>
      <c r="R111" s="1180">
        <f ca="1"/>
        <v>129366.09859487526</v>
      </c>
      <c r="S111" s="1180"/>
      <c r="T111" s="1180">
        <f>T110+(T110*Retire!$D$18)</f>
        <v>308941.97837344452</v>
      </c>
      <c r="U111" s="1180">
        <f ca="1">Housing!H255</f>
        <v>0</v>
      </c>
    </row>
    <row r="112" spans="3:21">
      <c r="C112" s="1176"/>
      <c r="D112" s="1179">
        <f t="shared" ca="1" si="9"/>
        <v>91</v>
      </c>
      <c r="E112" s="1179">
        <f t="shared" ca="1" si="10"/>
        <v>89</v>
      </c>
      <c r="F112" s="1178">
        <f t="shared" ca="1" si="11"/>
        <v>2059</v>
      </c>
      <c r="G112" s="1180">
        <v>3560545.8385794498</v>
      </c>
      <c r="H112" s="1180">
        <f ca="1"/>
        <v>679523.56365416967</v>
      </c>
      <c r="I112" s="1180">
        <f ca="1"/>
        <v>3.9059626251093185E-5</v>
      </c>
      <c r="J112" s="1180">
        <f ca="1"/>
        <v>33586.986048414779</v>
      </c>
      <c r="K112" s="1273">
        <v>0</v>
      </c>
      <c r="L112" s="1273">
        <v>0</v>
      </c>
      <c r="M112" s="1272">
        <f ca="1"/>
        <v>0</v>
      </c>
      <c r="N112" s="1180">
        <f ca="1"/>
        <v>0</v>
      </c>
      <c r="O112" s="1180">
        <f ca="1"/>
        <v>0</v>
      </c>
      <c r="P112" s="1180">
        <f ca="1"/>
        <v>0</v>
      </c>
      <c r="Q112" s="1180">
        <f ca="1"/>
        <v>0</v>
      </c>
      <c r="R112" s="1180">
        <f ca="1"/>
        <v>131260.56239285294</v>
      </c>
      <c r="S112" s="1180"/>
      <c r="T112" s="1180">
        <f>T111+(T111*Retire!$D$18)</f>
        <v>318210.23772464786</v>
      </c>
      <c r="U112" s="1180">
        <f ca="1">Housing!H256</f>
        <v>0</v>
      </c>
    </row>
    <row r="113" spans="3:21">
      <c r="C113" s="1176"/>
      <c r="D113" s="1179">
        <f t="shared" ca="1" si="9"/>
        <v>92</v>
      </c>
      <c r="E113" s="1179">
        <f t="shared" ca="1" si="10"/>
        <v>90</v>
      </c>
      <c r="F113" s="1178">
        <f t="shared" ca="1" si="11"/>
        <v>2060</v>
      </c>
      <c r="G113" s="1180">
        <v>3752272.0658492874</v>
      </c>
      <c r="H113" s="1180">
        <f ca="1"/>
        <v>720544.97747341986</v>
      </c>
      <c r="I113" s="1180">
        <f ca="1"/>
        <v>4.0622011301136911E-5</v>
      </c>
      <c r="J113" s="1180">
        <f ca="1"/>
        <v>34930.465490351373</v>
      </c>
      <c r="K113" s="1273">
        <v>0</v>
      </c>
      <c r="L113" s="1273">
        <v>0</v>
      </c>
      <c r="M113" s="1272">
        <f ca="1"/>
        <v>0</v>
      </c>
      <c r="N113" s="1180">
        <f ca="1"/>
        <v>0</v>
      </c>
      <c r="O113" s="1180">
        <f ca="1"/>
        <v>0</v>
      </c>
      <c r="P113" s="1180">
        <f ca="1"/>
        <v>0</v>
      </c>
      <c r="Q113" s="1180">
        <f ca="1"/>
        <v>0</v>
      </c>
      <c r="R113" s="1180">
        <f ca="1"/>
        <v>133183.83902471184</v>
      </c>
      <c r="S113" s="1180"/>
      <c r="T113" s="1180">
        <f>T112+(T112*Retire!$D$18)</f>
        <v>327756.54485638731</v>
      </c>
      <c r="U113" s="1180">
        <f ca="1">Housing!H257</f>
        <v>0</v>
      </c>
    </row>
    <row r="114" spans="3:21">
      <c r="C114" s="1176"/>
      <c r="D114" s="1179">
        <f t="shared" ca="1" si="9"/>
        <v>93</v>
      </c>
      <c r="E114" s="1179">
        <f t="shared" ca="1" si="10"/>
        <v>91</v>
      </c>
      <c r="F114" s="1178">
        <f t="shared" ca="1" si="11"/>
        <v>2061</v>
      </c>
      <c r="G114" s="1180">
        <v>3954155.5459263641</v>
      </c>
      <c r="H114" s="1180">
        <f ca="1"/>
        <v>764027.676121825</v>
      </c>
      <c r="I114" s="1180">
        <f ca="1"/>
        <v>4.2246891753182387E-5</v>
      </c>
      <c r="J114" s="1180">
        <f ca="1"/>
        <v>36327.684109965427</v>
      </c>
      <c r="K114" s="1273">
        <v>0</v>
      </c>
      <c r="L114" s="1273">
        <v>0</v>
      </c>
      <c r="M114" s="1272">
        <f ca="1"/>
        <v>0</v>
      </c>
      <c r="N114" s="1180">
        <f ca="1"/>
        <v>0</v>
      </c>
      <c r="O114" s="1180">
        <f ca="1"/>
        <v>0</v>
      </c>
      <c r="P114" s="1180">
        <f ca="1"/>
        <v>0</v>
      </c>
      <c r="Q114" s="1180">
        <f ca="1"/>
        <v>0</v>
      </c>
      <c r="R114" s="1180">
        <f ca="1"/>
        <v>135136.38584573835</v>
      </c>
      <c r="S114" s="1180"/>
      <c r="T114" s="1180">
        <f>T113+(T113*Retire!$D$18)</f>
        <v>337589.24120207893</v>
      </c>
      <c r="U114" s="1180">
        <f ca="1">Housing!H258</f>
        <v>0</v>
      </c>
    </row>
    <row r="115" spans="3:21">
      <c r="C115" s="1176"/>
      <c r="D115" s="1179">
        <f t="shared" ca="1" si="9"/>
        <v>94</v>
      </c>
      <c r="E115" s="1179">
        <f t="shared" ca="1" si="10"/>
        <v>92</v>
      </c>
      <c r="F115" s="1178">
        <f t="shared" ca="1" si="11"/>
        <v>2062</v>
      </c>
      <c r="G115" s="1180">
        <v>4166735.5432304488</v>
      </c>
      <c r="H115" s="1180">
        <f ca="1"/>
        <v>810119.33668913448</v>
      </c>
      <c r="I115" s="1180">
        <f ca="1"/>
        <v>4.3936767423309681E-5</v>
      </c>
      <c r="J115" s="1180">
        <f ca="1"/>
        <v>37780.791474364043</v>
      </c>
      <c r="K115" s="1273">
        <v>0</v>
      </c>
      <c r="L115" s="1273">
        <v>0</v>
      </c>
      <c r="M115" s="1272">
        <f ca="1"/>
        <v>0</v>
      </c>
      <c r="N115" s="1180">
        <f ca="1"/>
        <v>0</v>
      </c>
      <c r="O115" s="1180">
        <f ca="1"/>
        <v>0</v>
      </c>
      <c r="P115" s="1180">
        <f ca="1"/>
        <v>0</v>
      </c>
      <c r="Q115" s="1180">
        <f ca="1"/>
        <v>0</v>
      </c>
      <c r="R115" s="1180">
        <f ca="1"/>
        <v>137118.66780071636</v>
      </c>
      <c r="S115" s="1180"/>
      <c r="T115" s="1180">
        <f>T114+(T114*Retire!$D$18)</f>
        <v>347716.91843814129</v>
      </c>
      <c r="U115" s="1180">
        <f ca="1">Housing!H259</f>
        <v>0</v>
      </c>
    </row>
    <row r="116" spans="3:21">
      <c r="C116" s="1176"/>
      <c r="D116" s="1179">
        <f t="shared" ca="1" si="9"/>
        <v>95</v>
      </c>
      <c r="E116" s="1179">
        <f t="shared" ca="1" si="10"/>
        <v>93</v>
      </c>
      <c r="F116" s="1178">
        <f t="shared" ca="1" si="11"/>
        <v>2063</v>
      </c>
      <c r="G116" s="1180">
        <v>4390580.012500165</v>
      </c>
      <c r="H116" s="1180">
        <f ca="1"/>
        <v>858976.49689048249</v>
      </c>
      <c r="I116" s="1180">
        <f ca="1"/>
        <v>4.5694238120242071E-5</v>
      </c>
      <c r="J116" s="1180">
        <f ca="1"/>
        <v>39292.023133338604</v>
      </c>
      <c r="K116" s="1273">
        <v>0</v>
      </c>
      <c r="L116" s="1273">
        <v>0</v>
      </c>
      <c r="M116" s="1272">
        <f ca="1"/>
        <v>0</v>
      </c>
      <c r="N116" s="1180">
        <f ca="1"/>
        <v>0</v>
      </c>
      <c r="O116" s="1180">
        <f ca="1"/>
        <v>0</v>
      </c>
      <c r="P116" s="1180">
        <f ca="1"/>
        <v>0</v>
      </c>
      <c r="Q116" s="1180">
        <f ca="1"/>
        <v>0</v>
      </c>
      <c r="R116" s="1180">
        <f ca="1"/>
        <v>139131.15755531253</v>
      </c>
      <c r="S116" s="1180"/>
      <c r="T116" s="1180">
        <f>T115+(T115*Retire!$D$18)</f>
        <v>358148.42599128553</v>
      </c>
      <c r="U116" s="1180">
        <f ca="1">Housing!H260</f>
        <v>0</v>
      </c>
    </row>
    <row r="117" spans="3:21">
      <c r="C117" s="1176"/>
      <c r="D117" s="1179">
        <f t="shared" ca="1" si="9"/>
        <v>96</v>
      </c>
      <c r="E117" s="1179">
        <f t="shared" ca="1" si="10"/>
        <v>94</v>
      </c>
      <c r="F117" s="1178">
        <f t="shared" ca="1" si="11"/>
        <v>2064</v>
      </c>
      <c r="G117" s="1180">
        <v>4626287.1282993164</v>
      </c>
      <c r="H117" s="1180">
        <f ca="1"/>
        <v>910765.08670391142</v>
      </c>
      <c r="I117" s="1180">
        <f ca="1"/>
        <v>4.7522007645051757E-5</v>
      </c>
      <c r="J117" s="1180">
        <f ca="1"/>
        <v>40863.704058672149</v>
      </c>
      <c r="K117" s="1273">
        <v>0</v>
      </c>
      <c r="L117" s="1273">
        <v>0</v>
      </c>
      <c r="M117" s="1272">
        <f ca="1"/>
        <v>0</v>
      </c>
      <c r="N117" s="1180">
        <f ca="1"/>
        <v>0</v>
      </c>
      <c r="O117" s="1180">
        <f ca="1"/>
        <v>0</v>
      </c>
      <c r="P117" s="1180">
        <f ca="1"/>
        <v>0</v>
      </c>
      <c r="Q117" s="1180">
        <f ca="1"/>
        <v>0</v>
      </c>
      <c r="R117" s="1180">
        <f ca="1"/>
        <v>141174.33562982205</v>
      </c>
      <c r="S117" s="1180"/>
      <c r="T117" s="1180">
        <f>T116+(T116*Retire!$D$18)</f>
        <v>368892.87877102412</v>
      </c>
      <c r="U117" s="1180">
        <f ca="1">Housing!H261</f>
        <v>0</v>
      </c>
    </row>
    <row r="118" spans="3:21">
      <c r="C118" s="1176"/>
      <c r="D118" s="1179">
        <f t="shared" ca="1" si="9"/>
        <v>97</v>
      </c>
      <c r="E118" s="1179">
        <f t="shared" ca="1" si="10"/>
        <v>95</v>
      </c>
      <c r="F118" s="1178">
        <f t="shared" ca="1" si="11"/>
        <v>2065</v>
      </c>
      <c r="G118" s="1180">
        <v>4874486.8962230049</v>
      </c>
      <c r="H118" s="1180">
        <f ca="1"/>
        <v>965660.99190614605</v>
      </c>
      <c r="I118" s="1180">
        <f ca="1"/>
        <v>4.9422887950853825E-5</v>
      </c>
      <c r="J118" s="1180">
        <f ca="1"/>
        <v>42498.252221019036</v>
      </c>
      <c r="K118" s="1273">
        <v>0</v>
      </c>
      <c r="L118" s="1273">
        <v>0</v>
      </c>
      <c r="M118" s="1272">
        <f ca="1"/>
        <v>0</v>
      </c>
      <c r="N118" s="1180">
        <f ca="1"/>
        <v>0</v>
      </c>
      <c r="O118" s="1180">
        <f ca="1"/>
        <v>0</v>
      </c>
      <c r="P118" s="1180">
        <f ca="1"/>
        <v>0</v>
      </c>
      <c r="Q118" s="1180">
        <f ca="1"/>
        <v>0</v>
      </c>
      <c r="R118" s="1180">
        <f ca="1"/>
        <v>143248.69053531837</v>
      </c>
      <c r="S118" s="1180"/>
      <c r="T118" s="1180">
        <f>T117+(T117*Retire!$D$18)</f>
        <v>379959.66513415484</v>
      </c>
      <c r="U118" s="1180">
        <f ca="1">Housing!H262</f>
        <v>0</v>
      </c>
    </row>
    <row r="119" spans="3:21">
      <c r="C119" s="1176"/>
      <c r="D119" s="1179">
        <f t="shared" ca="1" si="9"/>
        <v>98</v>
      </c>
      <c r="E119" s="1179">
        <f t="shared" ca="1" si="10"/>
        <v>96</v>
      </c>
      <c r="F119" s="1178">
        <f t="shared" ca="1" si="11"/>
        <v>2066</v>
      </c>
      <c r="G119" s="1180">
        <v>5135842.8501758566</v>
      </c>
      <c r="H119" s="1180">
        <f ca="1"/>
        <v>1023850.6514205148</v>
      </c>
      <c r="I119" s="1180">
        <f ca="1"/>
        <v>5.139980346888798E-5</v>
      </c>
      <c r="J119" s="1180">
        <f ca="1"/>
        <v>44198.182309859796</v>
      </c>
      <c r="K119" s="1273">
        <v>0</v>
      </c>
      <c r="L119" s="1273">
        <v>0</v>
      </c>
      <c r="M119" s="1272">
        <f ca="1"/>
        <v>0</v>
      </c>
      <c r="N119" s="1180">
        <f ca="1"/>
        <v>0</v>
      </c>
      <c r="O119" s="1180">
        <f ca="1"/>
        <v>0</v>
      </c>
      <c r="P119" s="1180">
        <f ca="1"/>
        <v>0</v>
      </c>
      <c r="Q119" s="1180">
        <f ca="1"/>
        <v>0</v>
      </c>
      <c r="R119" s="1180">
        <f ca="1"/>
        <v>145354.71891225158</v>
      </c>
      <c r="S119" s="1180"/>
      <c r="T119" s="1180">
        <f>T118+(T118*Retire!$D$18)</f>
        <v>391358.4550881795</v>
      </c>
      <c r="U119" s="1180">
        <f ca="1">Housing!H263</f>
        <v>0</v>
      </c>
    </row>
    <row r="120" spans="3:21">
      <c r="C120" s="1176"/>
      <c r="D120" s="1179">
        <f t="shared" ca="1" si="9"/>
        <v>99</v>
      </c>
      <c r="E120" s="1179">
        <f t="shared" ca="1" si="10"/>
        <v>97</v>
      </c>
      <c r="F120" s="1178">
        <f t="shared" ca="1" si="11"/>
        <v>2067</v>
      </c>
      <c r="G120" s="1180">
        <v>5411053.8403291451</v>
      </c>
      <c r="H120" s="1180">
        <f ca="1"/>
        <v>1085531.6905057456</v>
      </c>
      <c r="I120" s="1180">
        <f ca="1"/>
        <v>5.3455795607643497E-5</v>
      </c>
      <c r="J120" s="1180">
        <f ca="1"/>
        <v>45966.10960225419</v>
      </c>
      <c r="K120" s="1273">
        <v>0</v>
      </c>
      <c r="L120" s="1273">
        <v>0</v>
      </c>
      <c r="M120" s="1272">
        <f ca="1"/>
        <v>0</v>
      </c>
      <c r="N120" s="1180">
        <f ca="1"/>
        <v>0</v>
      </c>
      <c r="O120" s="1180">
        <f ca="1"/>
        <v>0</v>
      </c>
      <c r="P120" s="1180">
        <f ca="1"/>
        <v>0</v>
      </c>
      <c r="Q120" s="1180">
        <f ca="1"/>
        <v>0</v>
      </c>
      <c r="R120" s="1180">
        <f ca="1"/>
        <v>147492.92567154104</v>
      </c>
      <c r="S120" s="1180"/>
      <c r="T120" s="1180">
        <f>T119+(T119*Retire!$D$18)</f>
        <v>403099.20874082489</v>
      </c>
      <c r="U120" s="1180">
        <f ca="1">Housing!H264</f>
        <v>0</v>
      </c>
    </row>
    <row r="121" spans="3:21">
      <c r="C121" s="1176"/>
      <c r="D121" s="1179">
        <f t="shared" ca="1" si="9"/>
        <v>100</v>
      </c>
      <c r="E121" s="1179">
        <f t="shared" ca="1" si="10"/>
        <v>98</v>
      </c>
      <c r="F121" s="1178">
        <f t="shared" ca="1" si="11"/>
        <v>2068</v>
      </c>
      <c r="G121" s="1180">
        <v>5700855.9166105445</v>
      </c>
      <c r="H121" s="1180">
        <f ca="1"/>
        <v>1150913.5919360903</v>
      </c>
      <c r="I121" s="1180">
        <f ca="1"/>
        <v>5.5594027431949239E-5</v>
      </c>
      <c r="J121" s="1180">
        <f ca="1"/>
        <v>47804.75398634436</v>
      </c>
      <c r="K121" s="1273">
        <v>0</v>
      </c>
      <c r="L121" s="1273">
        <v>0</v>
      </c>
      <c r="M121" s="1272">
        <f ca="1"/>
        <v>0</v>
      </c>
      <c r="N121" s="1180">
        <f ca="1"/>
        <v>0</v>
      </c>
      <c r="O121" s="1180">
        <f ca="1"/>
        <v>0</v>
      </c>
      <c r="P121" s="1180">
        <f ca="1"/>
        <v>0</v>
      </c>
      <c r="Q121" s="1180">
        <f ca="1"/>
        <v>0</v>
      </c>
      <c r="R121" s="1180">
        <f ca="1"/>
        <v>149663.82413820797</v>
      </c>
      <c r="S121" s="1180"/>
      <c r="T121" s="1180">
        <f>T120+(T120*Retire!$D$18)</f>
        <v>415192.18500304961</v>
      </c>
      <c r="U121" s="1180">
        <f ca="1">Housing!H265</f>
        <v>0</v>
      </c>
    </row>
    <row r="122" spans="3:21">
      <c r="C122" s="1176"/>
      <c r="D122" s="1179">
        <f t="shared" ca="1" si="9"/>
        <v>101</v>
      </c>
      <c r="E122" s="1179">
        <f t="shared" ca="1" si="10"/>
        <v>99</v>
      </c>
      <c r="F122" s="1178">
        <f t="shared" ca="1" si="11"/>
        <v>2069</v>
      </c>
      <c r="G122" s="1180">
        <v>6006024.3128405865</v>
      </c>
      <c r="H122" s="1180">
        <f ca="1"/>
        <v>1220218.4074522557</v>
      </c>
      <c r="I122" s="1180">
        <f ca="1"/>
        <v>5.781778852922721E-5</v>
      </c>
      <c r="J122" s="1180">
        <f ca="1"/>
        <v>49716.944145798137</v>
      </c>
      <c r="K122" s="1273">
        <v>0</v>
      </c>
      <c r="L122" s="1273">
        <v>0</v>
      </c>
      <c r="M122" s="1272">
        <f ca="1"/>
        <v>0</v>
      </c>
      <c r="N122" s="1180">
        <f ca="1"/>
        <v>0</v>
      </c>
      <c r="O122" s="1180">
        <f ca="1"/>
        <v>0</v>
      </c>
      <c r="P122" s="1180">
        <f ca="1"/>
        <v>0</v>
      </c>
      <c r="Q122" s="1180">
        <f ca="1"/>
        <v>0</v>
      </c>
      <c r="R122" s="1180">
        <f ca="1"/>
        <v>151867.93619759561</v>
      </c>
      <c r="S122" s="1180"/>
      <c r="T122" s="1180">
        <f>T121+(T121*Retire!$D$18)</f>
        <v>427647.95055314113</v>
      </c>
      <c r="U122" s="1180">
        <f ca="1">Housing!H266</f>
        <v>0</v>
      </c>
    </row>
    <row r="123" spans="3:21">
      <c r="C123" s="1176"/>
      <c r="D123" s="1179">
        <f t="shared" ca="1" si="9"/>
        <v>102</v>
      </c>
      <c r="E123" s="1179">
        <f t="shared" ca="1" si="10"/>
        <v>100</v>
      </c>
      <c r="F123" s="1178">
        <f t="shared" ca="1" si="11"/>
        <v>2070</v>
      </c>
      <c r="G123" s="1180">
        <v>6327375.5369041022</v>
      </c>
      <c r="H123" s="1180">
        <f ca="1"/>
        <v>1293681.511899391</v>
      </c>
      <c r="I123" s="1180">
        <f ca="1"/>
        <v>6.0130500070396301E-5</v>
      </c>
      <c r="J123" s="1180">
        <f ca="1"/>
        <v>51705.621911630064</v>
      </c>
      <c r="K123" s="1273">
        <v>0</v>
      </c>
      <c r="L123" s="1273">
        <v>0</v>
      </c>
      <c r="M123" s="1272">
        <f ca="1"/>
        <v>0</v>
      </c>
      <c r="N123" s="1180">
        <f ca="1"/>
        <v>0</v>
      </c>
      <c r="O123" s="1180">
        <f ca="1"/>
        <v>0</v>
      </c>
      <c r="P123" s="1180">
        <f ca="1"/>
        <v>0</v>
      </c>
      <c r="Q123" s="1180">
        <f ca="1"/>
        <v>0</v>
      </c>
      <c r="R123" s="1180">
        <f ca="1"/>
        <v>154105.79244422482</v>
      </c>
      <c r="S123" s="1180"/>
      <c r="T123" s="1180">
        <f>T122+(T122*Retire!$D$18)</f>
        <v>440477.38906973536</v>
      </c>
      <c r="U123" s="1180">
        <f ca="1">Housing!H267</f>
        <v>0</v>
      </c>
    </row>
    <row r="124" spans="3:21">
      <c r="C124" s="1176"/>
      <c r="D124" s="1179">
        <f t="shared" ca="1" si="9"/>
        <v>103</v>
      </c>
      <c r="E124" s="1179">
        <f t="shared" ca="1" si="10"/>
        <v>101</v>
      </c>
      <c r="F124" s="1178">
        <f t="shared" ca="1" si="11"/>
        <v>2071</v>
      </c>
      <c r="G124" s="1180">
        <v>6665769.572633977</v>
      </c>
      <c r="H124" s="1180">
        <f ca="1"/>
        <v>1371552.4026133544</v>
      </c>
      <c r="I124" s="1180">
        <f ca="1"/>
        <v>6.2535720073212154E-5</v>
      </c>
      <c r="J124" s="1180">
        <f ca="1"/>
        <v>53773.846788095267</v>
      </c>
      <c r="K124" s="1273">
        <v>0</v>
      </c>
      <c r="L124" s="1273">
        <v>0</v>
      </c>
      <c r="M124" s="1272">
        <f ca="1"/>
        <v>0</v>
      </c>
      <c r="N124" s="1180">
        <f ca="1"/>
        <v>0</v>
      </c>
      <c r="O124" s="1180">
        <f ca="1"/>
        <v>0</v>
      </c>
      <c r="P124" s="1180">
        <f ca="1"/>
        <v>0</v>
      </c>
      <c r="Q124" s="1180">
        <f ca="1"/>
        <v>0</v>
      </c>
      <c r="R124" s="1180">
        <f ca="1"/>
        <v>156377.93233333365</v>
      </c>
      <c r="S124" s="1180"/>
      <c r="T124" s="1180">
        <f>T123+(T123*Retire!$D$18)</f>
        <v>453691.71074182744</v>
      </c>
      <c r="U124" s="1180">
        <f ca="1">Housing!H268</f>
        <v>0</v>
      </c>
    </row>
    <row r="125" spans="3:21">
      <c r="C125" s="1176"/>
      <c r="D125" s="1179">
        <f t="shared" ca="1" si="9"/>
        <v>104</v>
      </c>
      <c r="E125" s="1179">
        <f t="shared" ca="1" si="10"/>
        <v>102</v>
      </c>
      <c r="F125" s="1178">
        <f t="shared" ca="1" si="11"/>
        <v>2072</v>
      </c>
      <c r="G125" s="1180">
        <v>7022112.1993890014</v>
      </c>
      <c r="H125" s="1180">
        <f ca="1"/>
        <v>1454095.5467701557</v>
      </c>
      <c r="I125" s="1180">
        <f ca="1"/>
        <v>6.5037148876140644E-5</v>
      </c>
      <c r="J125" s="1180">
        <f ca="1"/>
        <v>55924.800659619075</v>
      </c>
      <c r="K125" s="1273">
        <v>0</v>
      </c>
      <c r="L125" s="1273">
        <v>0</v>
      </c>
      <c r="M125" s="1272">
        <f ca="1"/>
        <v>0</v>
      </c>
      <c r="N125" s="1180">
        <f ca="1"/>
        <v>0</v>
      </c>
      <c r="O125" s="1180">
        <f ca="1"/>
        <v>0</v>
      </c>
      <c r="P125" s="1180">
        <f ca="1"/>
        <v>0</v>
      </c>
      <c r="Q125" s="1180">
        <f ca="1"/>
        <v>0</v>
      </c>
      <c r="R125" s="1180">
        <f ca="1"/>
        <v>158684.9043351516</v>
      </c>
      <c r="S125" s="1180"/>
      <c r="T125" s="1180">
        <f>T124+(T124*Retire!$D$18)</f>
        <v>467302.46206408227</v>
      </c>
      <c r="U125" s="1180">
        <f ca="1">Housing!H269</f>
        <v>0</v>
      </c>
    </row>
    <row r="126" spans="3:21">
      <c r="D126" s="1179">
        <f t="shared" ca="1" si="9"/>
        <v>105</v>
      </c>
      <c r="E126" s="1179">
        <f t="shared" ca="1" si="10"/>
        <v>103</v>
      </c>
      <c r="F126" s="1178">
        <f t="shared" ca="1" si="11"/>
        <v>2073</v>
      </c>
      <c r="G126" s="1180">
        <v>7397357.4356285613</v>
      </c>
      <c r="H126" s="1180">
        <f ca="1"/>
        <v>1541591.2795763649</v>
      </c>
      <c r="I126" s="1180">
        <f ca="1"/>
        <v>6.7638634831186268E-5</v>
      </c>
      <c r="J126" s="1180">
        <f ca="1"/>
        <v>58161.792686003835</v>
      </c>
      <c r="K126" s="1273">
        <v>0</v>
      </c>
      <c r="L126" s="1273">
        <v>0</v>
      </c>
      <c r="M126" s="1272">
        <f ca="1"/>
        <v>0</v>
      </c>
      <c r="N126" s="1180">
        <f ca="1"/>
        <v>0</v>
      </c>
      <c r="O126" s="1180">
        <f ca="1"/>
        <v>0</v>
      </c>
      <c r="P126" s="1180">
        <f ca="1"/>
        <v>0</v>
      </c>
      <c r="Q126" s="1180">
        <f ca="1"/>
        <v>0</v>
      </c>
      <c r="R126" s="1180">
        <f ca="1"/>
        <v>161027.26609195839</v>
      </c>
      <c r="S126" s="1180"/>
      <c r="T126" s="1180">
        <f>T125+(T125*Retire!$D$18)</f>
        <v>481321.53592600476</v>
      </c>
      <c r="U126" s="1180">
        <f ca="1">Housing!H270</f>
        <v>0</v>
      </c>
    </row>
    <row r="127" spans="3:21">
      <c r="D127" s="1179">
        <f t="shared" ca="1" si="9"/>
        <v>106</v>
      </c>
      <c r="E127" s="1179">
        <f t="shared" ca="1" si="10"/>
        <v>104</v>
      </c>
      <c r="F127" s="1178">
        <f t="shared" ca="1" si="11"/>
        <v>2074</v>
      </c>
      <c r="G127" s="1180">
        <v>7792510.1131249536</v>
      </c>
      <c r="H127" s="1180">
        <f ca="1"/>
        <v>1634336.7563509468</v>
      </c>
      <c r="I127" s="1180"/>
      <c r="J127" s="1180"/>
      <c r="K127" s="1273"/>
      <c r="L127" s="1273"/>
      <c r="M127" s="1272">
        <f ca="1"/>
        <v>0</v>
      </c>
      <c r="N127" s="1180">
        <f ca="1"/>
        <v>0</v>
      </c>
      <c r="O127" s="1180">
        <f ca="1"/>
        <v>0</v>
      </c>
      <c r="P127" s="1180">
        <f ca="1"/>
        <v>0</v>
      </c>
      <c r="Q127" s="1180">
        <f ca="1"/>
        <v>0</v>
      </c>
      <c r="R127" s="1180">
        <f ca="1"/>
        <v>163405.58457797967</v>
      </c>
      <c r="S127" s="1180"/>
      <c r="T127" s="1180">
        <f>T126+(T126*Retire!$D$18)</f>
        <v>495761.18200378492</v>
      </c>
      <c r="U127" s="1180">
        <f ca="1">Housing!H271</f>
        <v>0</v>
      </c>
    </row>
    <row r="128" spans="3:21">
      <c r="D128" s="1179">
        <f t="shared" ca="1" si="9"/>
        <v>107</v>
      </c>
      <c r="E128" s="1179">
        <f t="shared" ca="1" si="10"/>
        <v>105</v>
      </c>
      <c r="F128" s="1178">
        <f t="shared" ca="1" si="11"/>
        <v>2075</v>
      </c>
      <c r="G128" s="1180">
        <v>8208628.5888104904</v>
      </c>
      <c r="H128" s="1180">
        <f ca="1"/>
        <v>1732646.9617320036</v>
      </c>
      <c r="I128" s="1180"/>
      <c r="J128" s="1180"/>
      <c r="K128" s="1273"/>
      <c r="L128" s="1273"/>
      <c r="M128" s="1272">
        <f ca="1"/>
        <v>0</v>
      </c>
      <c r="N128" s="1180">
        <f ca="1"/>
        <v>0</v>
      </c>
      <c r="O128" s="1180">
        <f ca="1"/>
        <v>0</v>
      </c>
      <c r="P128" s="1180">
        <f ca="1"/>
        <v>0</v>
      </c>
      <c r="Q128" s="1180">
        <f ca="1"/>
        <v>0</v>
      </c>
      <c r="R128" s="1180">
        <f ca="1"/>
        <v>165820.43626217215</v>
      </c>
      <c r="S128" s="1180"/>
      <c r="T128" s="1180">
        <f>T127+(T127*Retire!$D$18)</f>
        <v>510634.01746389846</v>
      </c>
      <c r="U128" s="1180">
        <f ca="1">Housing!H272</f>
        <v>0</v>
      </c>
    </row>
    <row r="129" spans="4:21">
      <c r="D129" s="1179">
        <f t="shared" ca="1" si="9"/>
        <v>108</v>
      </c>
      <c r="E129" s="1179">
        <f t="shared" ca="1" si="10"/>
        <v>106</v>
      </c>
      <c r="F129" s="1178">
        <f t="shared" ca="1" si="11"/>
        <v>2076</v>
      </c>
      <c r="G129" s="1180">
        <v>8646827.6016319133</v>
      </c>
      <c r="H129" s="1180">
        <f ca="1"/>
        <v>1836855.7794359238</v>
      </c>
      <c r="I129" s="1180"/>
      <c r="J129" s="1180"/>
      <c r="K129" s="1273"/>
      <c r="L129" s="1273"/>
      <c r="M129" s="1272">
        <f ca="1"/>
        <v>0</v>
      </c>
      <c r="N129" s="1180">
        <f ca="1"/>
        <v>0</v>
      </c>
      <c r="O129" s="1180">
        <f ca="1"/>
        <v>0</v>
      </c>
      <c r="P129" s="1180">
        <f ca="1"/>
        <v>0</v>
      </c>
      <c r="Q129" s="1180">
        <f ca="1"/>
        <v>0</v>
      </c>
      <c r="R129" s="1180">
        <f ca="1"/>
        <v>168272.40727395201</v>
      </c>
      <c r="S129" s="1180"/>
      <c r="T129" s="1180">
        <f>T128+(T128*Retire!$D$18)</f>
        <v>525953.03798781545</v>
      </c>
      <c r="U129" s="1180">
        <f ca="1">Housing!H273</f>
        <v>0</v>
      </c>
    </row>
    <row r="130" spans="4:21">
      <c r="D130" s="1179">
        <f t="shared" ca="1" si="9"/>
        <v>109</v>
      </c>
      <c r="E130" s="1179">
        <f t="shared" ca="1" si="10"/>
        <v>107</v>
      </c>
      <c r="F130" s="1178">
        <f t="shared" ca="1" si="11"/>
        <v>2077</v>
      </c>
      <c r="G130" s="1180">
        <v>9108281.2821803577</v>
      </c>
      <c r="H130" s="1180">
        <f ca="1"/>
        <v>1947317.1262020792</v>
      </c>
      <c r="I130" s="1180"/>
      <c r="J130" s="1180"/>
      <c r="K130" s="1273"/>
      <c r="L130" s="1273"/>
      <c r="M130" s="1272">
        <f ca="1"/>
        <v>0</v>
      </c>
      <c r="N130" s="1180">
        <f ca="1"/>
        <v>0</v>
      </c>
      <c r="O130" s="1180">
        <f ca="1"/>
        <v>0</v>
      </c>
      <c r="P130" s="1180">
        <f ca="1"/>
        <v>0</v>
      </c>
      <c r="Q130" s="1180">
        <f ca="1"/>
        <v>0</v>
      </c>
      <c r="R130" s="1180">
        <f ca="1"/>
        <v>170762.09357192105</v>
      </c>
      <c r="S130" s="1180"/>
      <c r="T130" s="1180">
        <f>T129+(T129*Retire!$D$18)</f>
        <v>541731.62912744994</v>
      </c>
      <c r="U130" s="1180">
        <f ca="1">Housing!H274</f>
        <v>0</v>
      </c>
    </row>
    <row r="131" spans="4:21">
      <c r="D131" s="1179">
        <f t="shared" ca="1" si="9"/>
        <v>110</v>
      </c>
      <c r="E131" s="1179">
        <f t="shared" ca="1" si="10"/>
        <v>108</v>
      </c>
      <c r="F131" s="1178">
        <f t="shared" ca="1" si="11"/>
        <v>2078</v>
      </c>
      <c r="G131" s="1180">
        <v>9594226.323281901</v>
      </c>
      <c r="H131" s="1180">
        <f ca="1"/>
        <v>2064406.153774204</v>
      </c>
      <c r="I131" s="1180"/>
      <c r="J131" s="1180"/>
      <c r="K131" s="1273"/>
      <c r="L131" s="1273"/>
      <c r="M131" s="1272">
        <f ca="1"/>
        <v>0</v>
      </c>
      <c r="N131" s="1180">
        <f ca="1"/>
        <v>0</v>
      </c>
      <c r="O131" s="1180">
        <f ca="1"/>
        <v>0</v>
      </c>
      <c r="P131" s="1180">
        <f ca="1"/>
        <v>0</v>
      </c>
      <c r="Q131" s="1180">
        <f ca="1"/>
        <v>0</v>
      </c>
      <c r="R131" s="1180">
        <f ca="1"/>
        <v>173290.10111564712</v>
      </c>
      <c r="S131" s="1180"/>
      <c r="T131" s="1180">
        <f>T130+(T130*Retire!$D$18)</f>
        <v>557983.57800127345</v>
      </c>
      <c r="U131" s="1180">
        <f ca="1">Housing!H275</f>
        <v>0</v>
      </c>
    </row>
    <row r="132" spans="4:21">
      <c r="D132" s="1179">
        <f t="shared" ca="1" si="9"/>
        <v>111</v>
      </c>
      <c r="E132" s="1179">
        <f t="shared" ca="1" si="10"/>
        <v>109</v>
      </c>
      <c r="F132" s="1178">
        <f t="shared" ca="1" si="11"/>
        <v>2079</v>
      </c>
      <c r="G132" s="1180">
        <v>10105965.320173109</v>
      </c>
      <c r="H132" s="1180">
        <f ca="1"/>
        <v>2188520.5230006562</v>
      </c>
      <c r="I132" s="1180"/>
      <c r="J132" s="1180"/>
      <c r="K132" s="1273"/>
      <c r="L132" s="1273"/>
      <c r="M132" s="1272">
        <f ca="1"/>
        <v>0</v>
      </c>
      <c r="N132" s="1180">
        <f ca="1"/>
        <v>0</v>
      </c>
      <c r="O132" s="1180">
        <f ca="1"/>
        <v>0</v>
      </c>
      <c r="P132" s="1180">
        <f ca="1"/>
        <v>0</v>
      </c>
      <c r="Q132" s="1180">
        <f ca="1"/>
        <v>0</v>
      </c>
      <c r="R132" s="1180">
        <f ca="1"/>
        <v>175857.04604055468</v>
      </c>
      <c r="S132" s="1180"/>
      <c r="T132" s="1180">
        <f>T131+(T131*Retire!$D$18)</f>
        <v>574723.08534131164</v>
      </c>
      <c r="U132" s="1180">
        <f ca="1">Housing!H276</f>
        <v>0</v>
      </c>
    </row>
    <row r="133" spans="4:21">
      <c r="D133" s="1179">
        <f t="shared" ca="1" si="9"/>
        <v>112</v>
      </c>
      <c r="E133" s="1179">
        <f t="shared" ca="1" si="10"/>
        <v>110</v>
      </c>
      <c r="F133" s="1178">
        <f t="shared" ca="1" si="11"/>
        <v>2080</v>
      </c>
      <c r="G133" s="1180">
        <v>10644870.289348871</v>
      </c>
      <c r="H133" s="1180">
        <f ca="1"/>
        <v>2320081.7543806955</v>
      </c>
      <c r="I133" s="1180"/>
      <c r="J133" s="1180"/>
      <c r="K133" s="1273"/>
      <c r="L133" s="1273"/>
      <c r="M133" s="1272">
        <f ca="1"/>
        <v>0</v>
      </c>
      <c r="N133" s="1180">
        <f ca="1"/>
        <v>0</v>
      </c>
      <c r="O133" s="1180">
        <f ca="1"/>
        <v>0</v>
      </c>
      <c r="P133" s="1180">
        <f ca="1"/>
        <v>0</v>
      </c>
      <c r="Q133" s="1180">
        <f ca="1"/>
        <v>0</v>
      </c>
      <c r="R133" s="1180">
        <f ca="1"/>
        <v>178463.55483598437</v>
      </c>
      <c r="S133" s="1180"/>
      <c r="T133" s="1180">
        <f>T132+(T132*Retire!$D$18)</f>
        <v>591964.77790155099</v>
      </c>
      <c r="U133" s="1180">
        <f ca="1">Housing!H277</f>
        <v>0</v>
      </c>
    </row>
    <row r="134" spans="4:21">
      <c r="D134" s="1179">
        <f t="shared" ca="1" si="9"/>
        <v>113</v>
      </c>
      <c r="E134" s="1179">
        <f t="shared" ca="1" si="10"/>
        <v>111</v>
      </c>
      <c r="F134" s="1178">
        <f t="shared" ca="1" si="11"/>
        <v>2081</v>
      </c>
      <c r="G134" s="1180">
        <v>11212386.375657611</v>
      </c>
      <c r="H134" s="1180">
        <f ca="1"/>
        <v>2459536.6596435374</v>
      </c>
      <c r="I134" s="1180"/>
      <c r="J134" s="1180"/>
      <c r="K134" s="1273"/>
      <c r="L134" s="1273"/>
      <c r="M134" s="1272">
        <f ca="1"/>
        <v>0</v>
      </c>
      <c r="N134" s="1180">
        <f ca="1"/>
        <v>0</v>
      </c>
      <c r="O134" s="1180">
        <f ca="1"/>
        <v>0</v>
      </c>
      <c r="P134" s="1180">
        <f ca="1"/>
        <v>0</v>
      </c>
      <c r="Q134" s="1180">
        <f ca="1"/>
        <v>0</v>
      </c>
      <c r="R134" s="1180">
        <f ca="1"/>
        <v>181110.26452648017</v>
      </c>
      <c r="S134" s="1180"/>
      <c r="T134" s="1180">
        <f>T133+(T133*Retire!$D$18)</f>
        <v>609723.72123859753</v>
      </c>
      <c r="U134" s="1180">
        <f ca="1">Housing!H278</f>
        <v>0</v>
      </c>
    </row>
    <row r="135" spans="4:21">
      <c r="D135" s="1179">
        <f t="shared" ca="1" si="9"/>
        <v>114</v>
      </c>
      <c r="E135" s="1179">
        <f t="shared" ca="1" si="10"/>
        <v>112</v>
      </c>
      <c r="F135" s="1178">
        <f t="shared" ca="1" si="11"/>
        <v>2082</v>
      </c>
      <c r="G135" s="1180">
        <v>11810035.757733058</v>
      </c>
      <c r="H135" s="1180">
        <f ca="1"/>
        <v>2607358.8592221495</v>
      </c>
      <c r="I135" s="1180"/>
      <c r="J135" s="1180"/>
      <c r="K135" s="1273"/>
      <c r="L135" s="1273"/>
      <c r="M135" s="1272">
        <f ca="1"/>
        <v>0</v>
      </c>
      <c r="N135" s="1180">
        <f ca="1"/>
        <v>0</v>
      </c>
      <c r="O135" s="1180">
        <f ca="1"/>
        <v>0</v>
      </c>
      <c r="P135" s="1180">
        <f ca="1"/>
        <v>0</v>
      </c>
      <c r="Q135" s="1180">
        <f ca="1"/>
        <v>0</v>
      </c>
      <c r="R135" s="1180">
        <f ca="1"/>
        <v>183797.82285636434</v>
      </c>
      <c r="S135" s="1180"/>
      <c r="T135" s="1180">
        <f>T134+(T134*Retire!$D$18)</f>
        <v>628015.43287575548</v>
      </c>
      <c r="U135" s="1180">
        <f ca="1">Housing!H279</f>
        <v>0</v>
      </c>
    </row>
    <row r="136" spans="4:21">
      <c r="D136" s="1179">
        <f t="shared" ref="D136:D155" ca="1" si="12">D135+1</f>
        <v>115</v>
      </c>
      <c r="E136" s="1179">
        <f t="shared" ca="1" si="10"/>
        <v>113</v>
      </c>
      <c r="F136" s="1178">
        <f t="shared" ca="1" si="11"/>
        <v>2083</v>
      </c>
      <c r="G136" s="1180"/>
      <c r="H136" s="1180"/>
      <c r="I136" s="1180"/>
      <c r="J136" s="1180"/>
      <c r="K136" s="1273"/>
      <c r="L136" s="1273"/>
      <c r="M136" s="1272">
        <f ca="1"/>
        <v>0</v>
      </c>
      <c r="N136" s="1180">
        <f ca="1"/>
        <v>0</v>
      </c>
      <c r="O136" s="1180">
        <f ca="1"/>
        <v>0</v>
      </c>
      <c r="P136" s="1180"/>
      <c r="Q136" s="1180"/>
      <c r="R136" s="1180">
        <f ca="1"/>
        <v>186526.88847766173</v>
      </c>
      <c r="S136" s="1180"/>
      <c r="T136" s="1180">
        <f>T135+(T135*Retire!$D$18)</f>
        <v>646855.89586202812</v>
      </c>
      <c r="U136" s="1180">
        <f ca="1">Housing!H280</f>
        <v>0</v>
      </c>
    </row>
    <row r="137" spans="4:21">
      <c r="D137" s="1179">
        <f t="shared" ca="1" si="12"/>
        <v>116</v>
      </c>
      <c r="E137" s="1179">
        <f t="shared" ca="1" si="10"/>
        <v>114</v>
      </c>
      <c r="F137" s="1178">
        <f t="shared" ca="1" si="11"/>
        <v>2084</v>
      </c>
      <c r="G137" s="1180"/>
      <c r="H137" s="1180"/>
      <c r="I137" s="1180"/>
      <c r="J137" s="1180"/>
      <c r="K137" s="1273"/>
      <c r="L137" s="1273"/>
      <c r="M137" s="1272">
        <f ca="1"/>
        <v>0</v>
      </c>
      <c r="N137" s="1180">
        <f ca="1"/>
        <v>0</v>
      </c>
      <c r="O137" s="1180">
        <f ca="1"/>
        <v>0</v>
      </c>
      <c r="P137" s="1180"/>
      <c r="Q137" s="1180"/>
      <c r="R137" s="1180">
        <f ca="1"/>
        <v>189298.1311414357</v>
      </c>
      <c r="S137" s="1180"/>
      <c r="T137" s="1180">
        <f>T136+(T136*Retire!$D$18)</f>
        <v>666261.57273788902</v>
      </c>
      <c r="U137" s="1180">
        <f ca="1">Housing!H281</f>
        <v>0</v>
      </c>
    </row>
    <row r="138" spans="4:21">
      <c r="D138" s="1179">
        <f t="shared" ca="1" si="12"/>
        <v>117</v>
      </c>
      <c r="E138" s="1179">
        <f t="shared" ca="1" si="10"/>
        <v>115</v>
      </c>
      <c r="F138" s="1178">
        <f t="shared" ca="1" si="11"/>
        <v>2085</v>
      </c>
      <c r="G138" s="1180"/>
      <c r="H138" s="1180"/>
      <c r="I138" s="1180"/>
      <c r="J138" s="1180"/>
      <c r="K138" s="1273"/>
      <c r="L138" s="1273"/>
      <c r="M138" s="1272">
        <f ca="1"/>
        <v>0</v>
      </c>
      <c r="N138" s="1180">
        <f ca="1"/>
        <v>0</v>
      </c>
      <c r="O138" s="1180">
        <f ca="1"/>
        <v>0</v>
      </c>
      <c r="P138" s="1180"/>
      <c r="Q138" s="1180"/>
      <c r="R138" s="1180">
        <f ca="1"/>
        <v>192112.23189259946</v>
      </c>
      <c r="S138" s="1180"/>
      <c r="T138" s="1180">
        <f>T137+(T137*Retire!$D$18)</f>
        <v>686249.41992002563</v>
      </c>
      <c r="U138" s="1180">
        <f ca="1">Housing!H282</f>
        <v>0</v>
      </c>
    </row>
    <row r="139" spans="4:21">
      <c r="D139" s="1179">
        <f t="shared" ca="1" si="12"/>
        <v>118</v>
      </c>
      <c r="E139" s="1179">
        <f t="shared" ca="1" si="10"/>
        <v>116</v>
      </c>
      <c r="F139" s="1178">
        <f t="shared" ca="1" si="11"/>
        <v>2086</v>
      </c>
      <c r="G139" s="1180"/>
      <c r="H139" s="1180"/>
      <c r="I139" s="1180"/>
      <c r="J139" s="1180"/>
      <c r="K139" s="1273"/>
      <c r="L139" s="1273"/>
      <c r="M139" s="1272">
        <f ca="1"/>
        <v>0</v>
      </c>
      <c r="N139" s="1180">
        <f ca="1"/>
        <v>0</v>
      </c>
      <c r="O139" s="1180">
        <f ca="1"/>
        <v>0</v>
      </c>
      <c r="P139" s="1180"/>
      <c r="Q139" s="1180"/>
      <c r="R139" s="1180">
        <f ca="1"/>
        <v>194969.88326826767</v>
      </c>
      <c r="S139" s="1180"/>
      <c r="T139" s="1180">
        <f>T138+(T138*Retire!$D$18)</f>
        <v>706836.90251762641</v>
      </c>
      <c r="U139" s="1180">
        <f ca="1">Housing!H283</f>
        <v>0</v>
      </c>
    </row>
    <row r="140" spans="4:21">
      <c r="D140" s="1179">
        <f t="shared" ca="1" si="12"/>
        <v>119</v>
      </c>
      <c r="E140" s="1179">
        <f t="shared" ca="1" si="10"/>
        <v>117</v>
      </c>
      <c r="F140" s="1178">
        <f t="shared" ca="1" si="11"/>
        <v>2087</v>
      </c>
      <c r="G140" s="1180"/>
      <c r="H140" s="1180"/>
      <c r="I140" s="1180"/>
      <c r="J140" s="1180"/>
      <c r="K140" s="1273"/>
      <c r="L140" s="1273"/>
      <c r="M140" s="1272">
        <f ca="1"/>
        <v>0</v>
      </c>
      <c r="N140" s="1180">
        <f ca="1"/>
        <v>0</v>
      </c>
      <c r="O140" s="1180">
        <f ca="1"/>
        <v>0</v>
      </c>
      <c r="P140" s="1180"/>
      <c r="Q140" s="1180"/>
      <c r="R140" s="1180">
        <f ca="1"/>
        <v>197871.78949971465</v>
      </c>
      <c r="S140" s="1180"/>
      <c r="T140" s="1180">
        <f>T139+(T139*Retire!$D$18)</f>
        <v>728042.00959315524</v>
      </c>
      <c r="U140" s="1180">
        <f ca="1">Housing!H284</f>
        <v>0</v>
      </c>
    </row>
    <row r="141" spans="4:21">
      <c r="D141" s="1179">
        <f t="shared" ca="1" si="12"/>
        <v>120</v>
      </c>
      <c r="E141" s="1179">
        <f t="shared" ref="E141:E199" ca="1" si="13">IF(ISNUMBER(E140),E140+1,"")</f>
        <v>118</v>
      </c>
      <c r="F141" s="1178">
        <f t="shared" ref="F141:F155" ca="1" si="14">F140+1</f>
        <v>2088</v>
      </c>
      <c r="G141" s="1180"/>
      <c r="H141" s="1180"/>
      <c r="I141" s="1180"/>
      <c r="J141" s="1180"/>
      <c r="K141" s="1273"/>
      <c r="L141" s="1273"/>
      <c r="M141" s="1272">
        <f ca="1"/>
        <v>0</v>
      </c>
      <c r="N141" s="1180">
        <f ca="1"/>
        <v>0</v>
      </c>
      <c r="O141" s="1180">
        <f ca="1"/>
        <v>0</v>
      </c>
      <c r="P141" s="1180"/>
      <c r="Q141" s="1180"/>
      <c r="R141" s="1180">
        <f ca="1"/>
        <v>200818.66671800625</v>
      </c>
      <c r="S141" s="1180"/>
      <c r="T141" s="1180">
        <f>T140+(T140*Retire!$D$18)</f>
        <v>749883.26988094987</v>
      </c>
      <c r="U141" s="1180">
        <f ca="1">Housing!H285</f>
        <v>0</v>
      </c>
    </row>
    <row r="142" spans="4:21">
      <c r="D142" s="1179">
        <f t="shared" ca="1" si="12"/>
        <v>121</v>
      </c>
      <c r="E142" s="1179">
        <f t="shared" ca="1" si="13"/>
        <v>119</v>
      </c>
      <c r="F142" s="1178">
        <f t="shared" ca="1" si="14"/>
        <v>2089</v>
      </c>
      <c r="G142" s="1180"/>
      <c r="H142" s="1180"/>
      <c r="I142" s="1180"/>
      <c r="J142" s="1180"/>
      <c r="K142" s="1273"/>
      <c r="L142" s="1273"/>
      <c r="M142" s="1272">
        <f ca="1"/>
        <v>0</v>
      </c>
      <c r="N142" s="1180">
        <f ca="1"/>
        <v>0</v>
      </c>
      <c r="O142" s="1180">
        <f ca="1"/>
        <v>0</v>
      </c>
      <c r="P142" s="1180"/>
      <c r="Q142" s="1180"/>
      <c r="R142" s="1180">
        <f ca="1"/>
        <v>203811.24316337431</v>
      </c>
      <c r="S142" s="1180"/>
      <c r="T142" s="1180">
        <f>T141+(T141*Retire!$D$18)</f>
        <v>772379.76797737833</v>
      </c>
      <c r="U142" s="1180">
        <f ca="1">Housing!H286</f>
        <v>0</v>
      </c>
    </row>
    <row r="143" spans="4:21">
      <c r="D143" s="1179">
        <f t="shared" ca="1" si="12"/>
        <v>122</v>
      </c>
      <c r="E143" s="1179">
        <f t="shared" ca="1" si="13"/>
        <v>120</v>
      </c>
      <c r="F143" s="1178">
        <f t="shared" ca="1" si="14"/>
        <v>2090</v>
      </c>
      <c r="G143" s="1180"/>
      <c r="H143" s="1180"/>
      <c r="I143" s="1180"/>
      <c r="J143" s="1180"/>
      <c r="K143" s="1273"/>
      <c r="L143" s="1273"/>
      <c r="M143" s="1272">
        <f ca="1"/>
        <v>0</v>
      </c>
      <c r="N143" s="1180">
        <f ca="1"/>
        <v>0</v>
      </c>
      <c r="O143" s="1180">
        <f ca="1"/>
        <v>0</v>
      </c>
      <c r="P143" s="1180"/>
      <c r="Q143" s="1180"/>
      <c r="R143" s="1180">
        <f ca="1"/>
        <v>206850.25939840398</v>
      </c>
      <c r="S143" s="1180"/>
      <c r="T143" s="1180">
        <f>T142+(T142*Retire!$D$18)</f>
        <v>795551.16101669963</v>
      </c>
      <c r="U143" s="1180">
        <f ca="1">Housing!H287</f>
        <v>0</v>
      </c>
    </row>
    <row r="144" spans="4:21">
      <c r="D144" s="1179">
        <f t="shared" ca="1" si="12"/>
        <v>123</v>
      </c>
      <c r="E144" s="1179">
        <f t="shared" ca="1" si="13"/>
        <v>121</v>
      </c>
      <c r="F144" s="1178">
        <f t="shared" ca="1" si="14"/>
        <v>2091</v>
      </c>
      <c r="G144" s="1180"/>
      <c r="H144" s="1180"/>
      <c r="I144" s="1180"/>
      <c r="J144" s="1180"/>
      <c r="K144" s="1273"/>
      <c r="L144" s="1273"/>
      <c r="M144" s="1272">
        <f ca="1"/>
        <v>0</v>
      </c>
      <c r="N144" s="1180">
        <f ca="1"/>
        <v>0</v>
      </c>
      <c r="O144" s="1180">
        <f ca="1"/>
        <v>0</v>
      </c>
      <c r="P144" s="1180"/>
      <c r="Q144" s="1180"/>
      <c r="R144" s="1180">
        <f ca="1"/>
        <v>209936.46852510434</v>
      </c>
      <c r="S144" s="1180"/>
      <c r="T144" s="1180">
        <f>T143+(T143*Retire!$D$18)</f>
        <v>819417.69584720058</v>
      </c>
      <c r="U144" s="1180">
        <f ca="1">Housing!H288</f>
        <v>0</v>
      </c>
    </row>
    <row r="145" spans="4:21">
      <c r="D145" s="1179">
        <f t="shared" ca="1" si="12"/>
        <v>124</v>
      </c>
      <c r="E145" s="1179">
        <f t="shared" ca="1" si="13"/>
        <v>122</v>
      </c>
      <c r="F145" s="1178">
        <f t="shared" ca="1" si="14"/>
        <v>2092</v>
      </c>
      <c r="G145" s="1180"/>
      <c r="H145" s="1180"/>
      <c r="I145" s="1180"/>
      <c r="J145" s="1180"/>
      <c r="K145" s="1273"/>
      <c r="L145" s="1273"/>
      <c r="M145" s="1272">
        <f ca="1"/>
        <v>0</v>
      </c>
      <c r="N145" s="1180">
        <f ca="1"/>
        <v>0</v>
      </c>
      <c r="O145" s="1180">
        <f ca="1"/>
        <v>0</v>
      </c>
      <c r="P145" s="1180"/>
      <c r="Q145" s="1180"/>
      <c r="R145" s="1180">
        <f ca="1"/>
        <v>213070.63640593609</v>
      </c>
      <c r="S145" s="1180"/>
      <c r="T145" s="1180">
        <f>T144+(T144*Retire!$D$18)</f>
        <v>844000.22672261659</v>
      </c>
      <c r="U145" s="1180">
        <f ca="1">Housing!H289</f>
        <v>0</v>
      </c>
    </row>
    <row r="146" spans="4:21">
      <c r="D146" s="1179">
        <f t="shared" ca="1" si="12"/>
        <v>125</v>
      </c>
      <c r="E146" s="1179">
        <f t="shared" ca="1" si="13"/>
        <v>123</v>
      </c>
      <c r="F146" s="1178">
        <f t="shared" ca="1" si="14"/>
        <v>2093</v>
      </c>
      <c r="G146" s="1180"/>
      <c r="H146" s="1180"/>
      <c r="I146" s="1180"/>
      <c r="J146" s="1180"/>
      <c r="K146" s="1273"/>
      <c r="L146" s="1273"/>
      <c r="M146" s="1272">
        <f ca="1"/>
        <v>0</v>
      </c>
      <c r="N146" s="1180">
        <f ca="1"/>
        <v>0</v>
      </c>
      <c r="O146" s="1180">
        <f ca="1"/>
        <v>0</v>
      </c>
      <c r="P146" s="1180"/>
      <c r="Q146" s="1180"/>
      <c r="R146" s="1180">
        <f ca="1"/>
        <v>216253.54188886977</v>
      </c>
      <c r="S146" s="1180"/>
      <c r="T146" s="1180">
        <f>T145+(T145*Retire!$D$18)</f>
        <v>869320.23352429504</v>
      </c>
      <c r="U146" s="1180">
        <f ca="1">Housing!H290</f>
        <v>0</v>
      </c>
    </row>
    <row r="147" spans="4:21">
      <c r="D147" s="1179">
        <f t="shared" ca="1" si="12"/>
        <v>126</v>
      </c>
      <c r="E147" s="1179">
        <f t="shared" ca="1" si="13"/>
        <v>124</v>
      </c>
      <c r="F147" s="1178">
        <f t="shared" ca="1" si="14"/>
        <v>2094</v>
      </c>
      <c r="G147" s="1180"/>
      <c r="H147" s="1180"/>
      <c r="I147" s="1180"/>
      <c r="J147" s="1180"/>
      <c r="K147" s="1273"/>
      <c r="L147" s="1273"/>
      <c r="M147" s="1272">
        <f ca="1"/>
        <v>0</v>
      </c>
      <c r="N147" s="1180">
        <f ca="1"/>
        <v>0</v>
      </c>
      <c r="O147" s="1180">
        <f ca="1"/>
        <v>0</v>
      </c>
      <c r="P147" s="1180"/>
      <c r="Q147" s="1180"/>
      <c r="R147" s="1180">
        <f ca="1"/>
        <v>219485.97703655023</v>
      </c>
      <c r="S147" s="1180"/>
      <c r="T147" s="1180">
        <f>T146+(T146*Retire!$D$18)</f>
        <v>895399.84053002391</v>
      </c>
      <c r="U147" s="1180">
        <f ca="1">Housing!H291</f>
        <v>0</v>
      </c>
    </row>
    <row r="148" spans="4:21">
      <c r="D148" s="1179">
        <f t="shared" ca="1" si="12"/>
        <v>127</v>
      </c>
      <c r="E148" s="1179">
        <f t="shared" ca="1" si="13"/>
        <v>125</v>
      </c>
      <c r="F148" s="1178">
        <f t="shared" ca="1" si="14"/>
        <v>2095</v>
      </c>
      <c r="G148" s="1180"/>
      <c r="H148" s="1180"/>
      <c r="I148" s="1180"/>
      <c r="J148" s="1180"/>
      <c r="K148" s="1273"/>
      <c r="L148" s="1273"/>
      <c r="M148" s="1272">
        <f ca="1"/>
        <v>0</v>
      </c>
      <c r="N148" s="1180">
        <f ca="1"/>
        <v>0</v>
      </c>
      <c r="O148" s="1180">
        <f ca="1"/>
        <v>0</v>
      </c>
      <c r="P148" s="1180"/>
      <c r="Q148" s="1180"/>
      <c r="R148" s="1180">
        <f ca="1"/>
        <v>222768.74735964401</v>
      </c>
      <c r="S148" s="1180"/>
      <c r="T148" s="1180">
        <f>T147+(T147*Retire!$D$18)</f>
        <v>922261.83574592462</v>
      </c>
      <c r="U148" s="1180">
        <f ca="1">Housing!H292</f>
        <v>0</v>
      </c>
    </row>
    <row r="149" spans="4:21">
      <c r="D149" s="1179">
        <f t="shared" ca="1" si="12"/>
        <v>128</v>
      </c>
      <c r="E149" s="1179">
        <f t="shared" ca="1" si="13"/>
        <v>126</v>
      </c>
      <c r="F149" s="1178">
        <f t="shared" ca="1" si="14"/>
        <v>2096</v>
      </c>
      <c r="G149" s="1180"/>
      <c r="H149" s="1180"/>
      <c r="I149" s="1180"/>
      <c r="J149" s="1180"/>
      <c r="K149" s="1273"/>
      <c r="L149" s="1273"/>
      <c r="M149" s="1272">
        <f ca="1"/>
        <v>0</v>
      </c>
      <c r="N149" s="1180">
        <f ca="1"/>
        <v>0</v>
      </c>
      <c r="O149" s="1180">
        <f ca="1"/>
        <v>0</v>
      </c>
      <c r="P149" s="1180"/>
      <c r="Q149" s="1180"/>
      <c r="R149" s="1180">
        <f ca="1"/>
        <v>226102.67205444866</v>
      </c>
      <c r="S149" s="1180"/>
      <c r="T149" s="1180">
        <f>T148+(T148*Retire!$D$18)</f>
        <v>949929.69081830233</v>
      </c>
      <c r="U149" s="1180">
        <f ca="1">Housing!H293</f>
        <v>0</v>
      </c>
    </row>
    <row r="150" spans="4:21">
      <c r="D150" s="1179">
        <f t="shared" ca="1" si="12"/>
        <v>129</v>
      </c>
      <c r="E150" s="1179">
        <f t="shared" ca="1" si="13"/>
        <v>127</v>
      </c>
      <c r="F150" s="1178">
        <f t="shared" ca="1" si="14"/>
        <v>2097</v>
      </c>
      <c r="G150" s="1180"/>
      <c r="H150" s="1180"/>
      <c r="I150" s="1180"/>
      <c r="J150" s="1180"/>
      <c r="K150" s="1273"/>
      <c r="L150" s="1273"/>
      <c r="M150" s="1272">
        <f ca="1"/>
        <v>0</v>
      </c>
      <c r="N150" s="1180">
        <f ca="1"/>
        <v>0</v>
      </c>
      <c r="O150" s="1180">
        <f ca="1"/>
        <v>0</v>
      </c>
      <c r="P150" s="1180"/>
      <c r="Q150" s="1180"/>
      <c r="R150" s="1180">
        <f ca="1"/>
        <v>229488.58424484305</v>
      </c>
      <c r="S150" s="1180"/>
      <c r="T150" s="1180">
        <f>T149+(T149*Retire!$D$18)</f>
        <v>978427.5815428514</v>
      </c>
      <c r="U150" s="1180">
        <f ca="1">Housing!H294</f>
        <v>0</v>
      </c>
    </row>
    <row r="151" spans="4:21">
      <c r="D151" s="1179">
        <f t="shared" ca="1" si="12"/>
        <v>130</v>
      </c>
      <c r="E151" s="1179">
        <f t="shared" ca="1" si="13"/>
        <v>128</v>
      </c>
      <c r="F151" s="1178">
        <f t="shared" ca="1" si="14"/>
        <v>2098</v>
      </c>
      <c r="G151" s="1180"/>
      <c r="H151" s="1180"/>
      <c r="I151" s="1180"/>
      <c r="J151" s="1180"/>
      <c r="K151" s="1273"/>
      <c r="L151" s="1273"/>
      <c r="M151" s="1272">
        <f ca="1"/>
        <v>0</v>
      </c>
      <c r="N151" s="1180">
        <f ca="1"/>
        <v>0</v>
      </c>
      <c r="O151" s="1180">
        <f ca="1"/>
        <v>0</v>
      </c>
      <c r="P151" s="1180"/>
      <c r="Q151" s="1180"/>
      <c r="R151" s="1180">
        <f ca="1"/>
        <v>232927.33122866129</v>
      </c>
      <c r="S151" s="1180"/>
      <c r="T151" s="1180">
        <f>T150+(T150*Retire!$D$18)</f>
        <v>1007780.4089891369</v>
      </c>
      <c r="U151" s="1180">
        <f ca="1">Housing!H295</f>
        <v>0</v>
      </c>
    </row>
    <row r="152" spans="4:21">
      <c r="D152" s="1179">
        <f t="shared" ca="1" si="12"/>
        <v>131</v>
      </c>
      <c r="E152" s="1179">
        <f t="shared" ca="1" si="13"/>
        <v>129</v>
      </c>
      <c r="F152" s="1178">
        <f t="shared" ca="1" si="14"/>
        <v>2099</v>
      </c>
      <c r="G152" s="1180"/>
      <c r="H152" s="1180"/>
      <c r="I152" s="1180"/>
      <c r="J152" s="1180"/>
      <c r="K152" s="1273"/>
      <c r="L152" s="1273"/>
      <c r="M152" s="1272">
        <f ca="1"/>
        <v>0</v>
      </c>
      <c r="N152" s="1180">
        <f ca="1"/>
        <v>0</v>
      </c>
      <c r="O152" s="1180">
        <f ca="1"/>
        <v>0</v>
      </c>
      <c r="P152" s="1180"/>
      <c r="Q152" s="1180"/>
      <c r="R152" s="1180">
        <f ca="1"/>
        <v>236419.77472857176</v>
      </c>
      <c r="S152" s="1180"/>
      <c r="T152" s="1180">
        <f>T151+(T151*Retire!$D$18)</f>
        <v>1038013.821258811</v>
      </c>
      <c r="U152" s="1180">
        <f ca="1">Housing!H296</f>
        <v>0</v>
      </c>
    </row>
    <row r="153" spans="4:21">
      <c r="D153" s="1179">
        <f t="shared" ca="1" si="12"/>
        <v>132</v>
      </c>
      <c r="E153" s="1179">
        <f t="shared" ca="1" si="13"/>
        <v>130</v>
      </c>
      <c r="F153" s="1178">
        <f t="shared" ca="1" si="14"/>
        <v>2100</v>
      </c>
      <c r="G153" s="1180"/>
      <c r="H153" s="1180"/>
      <c r="I153" s="1180"/>
      <c r="J153" s="1180"/>
      <c r="K153" s="1273"/>
      <c r="L153" s="1273"/>
      <c r="M153" s="1272">
        <f ca="1"/>
        <v>0</v>
      </c>
      <c r="N153" s="1180">
        <f ca="1"/>
        <v>0</v>
      </c>
      <c r="O153" s="1180">
        <f ca="1"/>
        <v>0</v>
      </c>
      <c r="P153" s="1180"/>
      <c r="Q153" s="1180"/>
      <c r="R153" s="1180">
        <f ca="1"/>
        <v>239966.79114754734</v>
      </c>
      <c r="S153" s="1180"/>
      <c r="T153" s="1180">
        <f>T152+(T152*Retire!$D$18)</f>
        <v>1069154.2358965753</v>
      </c>
      <c r="U153" s="1180">
        <f ca="1">Housing!H297</f>
        <v>0</v>
      </c>
    </row>
    <row r="154" spans="4:21">
      <c r="D154" s="1179">
        <f t="shared" ca="1" si="12"/>
        <v>133</v>
      </c>
      <c r="E154" s="1179">
        <f t="shared" ca="1" si="13"/>
        <v>131</v>
      </c>
      <c r="F154" s="1178">
        <f t="shared" ca="1" si="14"/>
        <v>2101</v>
      </c>
      <c r="G154" s="1180"/>
      <c r="H154" s="1180"/>
      <c r="I154" s="1180"/>
      <c r="J154" s="1180"/>
      <c r="K154" s="1273"/>
      <c r="L154" s="1273"/>
      <c r="M154" s="1272">
        <f ca="1"/>
        <v>0</v>
      </c>
      <c r="N154" s="1180">
        <f ca="1"/>
        <v>0</v>
      </c>
      <c r="O154" s="1180">
        <f ca="1"/>
        <v>0</v>
      </c>
      <c r="P154" s="1180"/>
      <c r="Q154" s="1180"/>
      <c r="R154" s="1180">
        <f ca="1"/>
        <v>243569.27182901211</v>
      </c>
      <c r="S154" s="1180"/>
      <c r="T154" s="1180">
        <f>T153+(T153*Retire!$D$18)</f>
        <v>1101228.8629734726</v>
      </c>
      <c r="U154" s="1180">
        <f ca="1">Housing!H298</f>
        <v>0</v>
      </c>
    </row>
    <row r="155" spans="4:21">
      <c r="D155" s="1179">
        <f t="shared" ca="1" si="12"/>
        <v>134</v>
      </c>
      <c r="E155" s="1179">
        <f t="shared" ca="1" si="13"/>
        <v>132</v>
      </c>
      <c r="F155" s="1178">
        <f t="shared" ca="1" si="14"/>
        <v>2102</v>
      </c>
      <c r="G155" s="1180"/>
      <c r="H155" s="1180"/>
      <c r="I155" s="1180"/>
      <c r="J155" s="1180"/>
      <c r="K155" s="1273"/>
      <c r="L155" s="1273"/>
      <c r="M155" s="1272">
        <f ca="1"/>
        <v>0</v>
      </c>
      <c r="N155" s="1180">
        <f ca="1"/>
        <v>0</v>
      </c>
      <c r="O155" s="1180">
        <f ca="1"/>
        <v>0</v>
      </c>
      <c r="P155" s="1180"/>
      <c r="Q155" s="1180"/>
      <c r="R155" s="1180">
        <f ca="1"/>
        <v>247228.1233217527</v>
      </c>
      <c r="S155" s="1180"/>
      <c r="T155" s="1180"/>
      <c r="U155" s="1180">
        <f ca="1">Housing!H299</f>
        <v>0</v>
      </c>
    </row>
    <row r="156" spans="4:21">
      <c r="D156" s="1179">
        <f t="shared" ref="D156:D199" ca="1" si="15">D155+1</f>
        <v>135</v>
      </c>
      <c r="E156" s="1179">
        <f t="shared" ca="1" si="13"/>
        <v>133</v>
      </c>
      <c r="F156" s="1178">
        <f t="shared" ref="F156:F199" ca="1" si="16">F155+1</f>
        <v>2103</v>
      </c>
      <c r="G156" s="1180"/>
      <c r="H156" s="1180"/>
      <c r="I156" s="1180"/>
      <c r="J156" s="1180"/>
      <c r="K156" s="1273"/>
      <c r="L156" s="1273"/>
      <c r="M156" s="1272">
        <f ca="1"/>
        <v>0</v>
      </c>
      <c r="N156" s="1180"/>
      <c r="O156" s="1180"/>
      <c r="P156" s="1180"/>
      <c r="Q156" s="1180"/>
      <c r="R156" s="1180">
        <f ca="1"/>
        <v>250944.26764968384</v>
      </c>
      <c r="S156" s="1180"/>
      <c r="T156" s="1180"/>
      <c r="U156" s="1180">
        <f ca="1">Housing!H300</f>
        <v>0</v>
      </c>
    </row>
    <row r="157" spans="4:21">
      <c r="D157" s="1179">
        <f t="shared" ca="1" si="15"/>
        <v>136</v>
      </c>
      <c r="E157" s="1179">
        <f t="shared" ca="1" si="13"/>
        <v>134</v>
      </c>
      <c r="F157" s="1178">
        <f t="shared" ca="1" si="16"/>
        <v>2104</v>
      </c>
      <c r="G157" s="1180"/>
      <c r="H157" s="1180"/>
      <c r="I157" s="1180"/>
      <c r="J157" s="1180"/>
      <c r="K157" s="1273"/>
      <c r="L157" s="1273"/>
      <c r="M157" s="1272">
        <f ca="1"/>
        <v>0</v>
      </c>
      <c r="N157" s="1180"/>
      <c r="O157" s="1180"/>
      <c r="P157" s="1180"/>
      <c r="Q157" s="1180"/>
      <c r="R157" s="1180">
        <f ca="1"/>
        <v>254718.6425865592</v>
      </c>
      <c r="S157" s="1180"/>
      <c r="T157" s="1180"/>
      <c r="U157" s="1180">
        <f ca="1">Housing!H301</f>
        <v>0</v>
      </c>
    </row>
    <row r="158" spans="4:21">
      <c r="D158" s="1179">
        <f t="shared" ca="1" si="15"/>
        <v>137</v>
      </c>
      <c r="E158" s="1179">
        <f t="shared" ca="1" si="13"/>
        <v>135</v>
      </c>
      <c r="F158" s="1178">
        <f t="shared" ca="1" si="16"/>
        <v>2105</v>
      </c>
      <c r="G158" s="1180"/>
      <c r="H158" s="1180"/>
      <c r="I158" s="1180"/>
      <c r="J158" s="1180"/>
      <c r="K158" s="1273"/>
      <c r="L158" s="1273"/>
      <c r="M158" s="1272">
        <f ca="1"/>
        <v>0</v>
      </c>
      <c r="N158" s="1180"/>
      <c r="O158" s="1180"/>
      <c r="P158" s="1180"/>
      <c r="Q158" s="1180"/>
      <c r="R158" s="1180">
        <f ca="1"/>
        <v>258552.20193572089</v>
      </c>
      <c r="S158" s="1180"/>
      <c r="T158" s="1180"/>
      <c r="U158" s="1180">
        <f ca="1">Housing!H302</f>
        <v>0</v>
      </c>
    </row>
    <row r="159" spans="4:21">
      <c r="D159" s="1179">
        <f t="shared" ca="1" si="15"/>
        <v>138</v>
      </c>
      <c r="E159" s="1179">
        <f t="shared" ca="1" si="13"/>
        <v>136</v>
      </c>
      <c r="F159" s="1178">
        <f t="shared" ca="1" si="16"/>
        <v>2106</v>
      </c>
      <c r="G159" s="1180"/>
      <c r="H159" s="1180"/>
      <c r="I159" s="1180"/>
      <c r="J159" s="1180"/>
      <c r="K159" s="1273"/>
      <c r="L159" s="1273"/>
      <c r="M159" s="1272">
        <f ca="1"/>
        <v>0</v>
      </c>
      <c r="N159" s="1180"/>
      <c r="O159" s="1180"/>
      <c r="P159" s="1180"/>
      <c r="Q159" s="1180"/>
      <c r="R159" s="1180">
        <f ca="1"/>
        <v>262445.91581498215</v>
      </c>
      <c r="S159" s="1180"/>
      <c r="T159" s="1180"/>
      <c r="U159" s="1180">
        <f ca="1">Housing!H303</f>
        <v>0</v>
      </c>
    </row>
    <row r="160" spans="4:21">
      <c r="D160" s="1179">
        <f t="shared" ca="1" si="15"/>
        <v>139</v>
      </c>
      <c r="E160" s="1179">
        <f t="shared" ca="1" si="13"/>
        <v>137</v>
      </c>
      <c r="F160" s="1178">
        <f t="shared" ca="1" si="16"/>
        <v>2107</v>
      </c>
      <c r="G160" s="1180"/>
      <c r="H160" s="1180"/>
      <c r="I160" s="1180"/>
      <c r="J160" s="1180"/>
      <c r="K160" s="1273"/>
      <c r="L160" s="1273"/>
      <c r="M160" s="1272">
        <f ca="1"/>
        <v>0</v>
      </c>
      <c r="N160" s="1180"/>
      <c r="O160" s="1180"/>
      <c r="P160" s="1180"/>
      <c r="Q160" s="1180"/>
      <c r="R160" s="1180">
        <f ca="1"/>
        <v>266400.77094673982</v>
      </c>
      <c r="S160" s="1180"/>
      <c r="T160" s="1180"/>
      <c r="U160" s="1180">
        <f ca="1">Housing!H304</f>
        <v>0</v>
      </c>
    </row>
    <row r="161" spans="4:21">
      <c r="D161" s="1179">
        <f t="shared" ca="1" si="15"/>
        <v>140</v>
      </c>
      <c r="E161" s="1179">
        <f t="shared" ca="1" si="13"/>
        <v>138</v>
      </c>
      <c r="F161" s="1178">
        <f t="shared" ca="1" si="16"/>
        <v>2108</v>
      </c>
      <c r="G161" s="1180"/>
      <c r="H161" s="1180"/>
      <c r="I161" s="1180"/>
      <c r="J161" s="1180"/>
      <c r="K161" s="1273"/>
      <c r="L161" s="1273"/>
      <c r="M161" s="1272">
        <f ca="1"/>
        <v>0</v>
      </c>
      <c r="N161" s="1180"/>
      <c r="O161" s="1180"/>
      <c r="P161" s="1180"/>
      <c r="Q161" s="1180"/>
      <c r="R161" s="1180">
        <f ca="1"/>
        <v>270417.77095341514</v>
      </c>
      <c r="S161" s="1180"/>
      <c r="T161" s="1180"/>
      <c r="U161" s="1180">
        <f ca="1">Housing!H305</f>
        <v>0</v>
      </c>
    </row>
    <row r="162" spans="4:21">
      <c r="D162" s="1179">
        <f t="shared" ca="1" si="15"/>
        <v>141</v>
      </c>
      <c r="E162" s="1179">
        <f t="shared" ca="1" si="13"/>
        <v>139</v>
      </c>
      <c r="F162" s="1178">
        <f t="shared" ca="1" si="16"/>
        <v>2109</v>
      </c>
      <c r="G162" s="1180"/>
      <c r="H162" s="1180"/>
      <c r="I162" s="1180"/>
      <c r="J162" s="1180"/>
      <c r="K162" s="1273"/>
      <c r="L162" s="1273"/>
      <c r="M162" s="1272">
        <f ca="1"/>
        <v>0</v>
      </c>
      <c r="N162" s="1180"/>
      <c r="O162" s="1180"/>
      <c r="P162" s="1180"/>
      <c r="Q162" s="1180"/>
      <c r="R162" s="1180">
        <f ca="1"/>
        <v>274497.93665832339</v>
      </c>
      <c r="S162" s="1180"/>
      <c r="T162" s="1180"/>
      <c r="U162" s="1180">
        <f ca="1">Housing!H306</f>
        <v>0</v>
      </c>
    </row>
    <row r="163" spans="4:21">
      <c r="D163" s="1179">
        <f t="shared" ca="1" si="15"/>
        <v>142</v>
      </c>
      <c r="E163" s="1179">
        <f t="shared" ca="1" si="13"/>
        <v>140</v>
      </c>
      <c r="F163" s="1178">
        <f t="shared" ca="1" si="16"/>
        <v>2110</v>
      </c>
      <c r="G163" s="1180"/>
      <c r="H163" s="1180"/>
      <c r="I163" s="1180"/>
      <c r="J163" s="1180"/>
      <c r="K163" s="1273"/>
      <c r="L163" s="1273"/>
      <c r="M163" s="1272">
        <f ca="1"/>
        <v>0</v>
      </c>
      <c r="N163" s="1180"/>
      <c r="O163" s="1180"/>
      <c r="P163" s="1180"/>
      <c r="Q163" s="1180"/>
      <c r="R163" s="1180">
        <f ca="1"/>
        <v>278642.30639207427</v>
      </c>
      <c r="S163" s="1180"/>
      <c r="T163" s="1180"/>
      <c r="U163" s="1180">
        <f ca="1">Housing!H307</f>
        <v>0</v>
      </c>
    </row>
    <row r="164" spans="4:21">
      <c r="D164" s="1179">
        <f t="shared" ca="1" si="15"/>
        <v>143</v>
      </c>
      <c r="E164" s="1179">
        <f t="shared" ca="1" si="13"/>
        <v>141</v>
      </c>
      <c r="F164" s="1178">
        <f t="shared" ca="1" si="16"/>
        <v>2111</v>
      </c>
      <c r="G164" s="1180"/>
      <c r="H164" s="1180"/>
      <c r="I164" s="1180"/>
      <c r="J164" s="1180"/>
      <c r="K164" s="1273"/>
      <c r="L164" s="1273"/>
      <c r="M164" s="1272">
        <f ca="1"/>
        <v>0</v>
      </c>
      <c r="N164" s="1180"/>
      <c r="O164" s="1180"/>
      <c r="P164" s="1180"/>
      <c r="Q164" s="1180"/>
      <c r="R164" s="1180">
        <f ca="1"/>
        <v>282851.93630460784</v>
      </c>
      <c r="S164" s="1180"/>
      <c r="T164" s="1180"/>
      <c r="U164" s="1180">
        <f ca="1">Housing!H308</f>
        <v>0</v>
      </c>
    </row>
    <row r="165" spans="4:21">
      <c r="D165" s="1179">
        <f t="shared" ca="1" si="15"/>
        <v>144</v>
      </c>
      <c r="E165" s="1179">
        <f t="shared" ca="1" si="13"/>
        <v>142</v>
      </c>
      <c r="F165" s="1178">
        <f t="shared" ca="1" si="16"/>
        <v>2112</v>
      </c>
      <c r="G165" s="1180"/>
      <c r="H165" s="1180"/>
      <c r="I165" s="1180"/>
      <c r="J165" s="1180"/>
      <c r="K165" s="1273"/>
      <c r="L165" s="1273"/>
      <c r="M165" s="1272">
        <f ca="1"/>
        <v>0</v>
      </c>
      <c r="N165" s="1180"/>
      <c r="O165" s="1180"/>
      <c r="P165" s="1180"/>
      <c r="Q165" s="1180"/>
      <c r="R165" s="1180">
        <f ca="1"/>
        <v>287127.90068297152</v>
      </c>
      <c r="S165" s="1180"/>
      <c r="T165" s="1180"/>
      <c r="U165" s="1180">
        <f ca="1">Housing!H309</f>
        <v>0</v>
      </c>
    </row>
    <row r="166" spans="4:21">
      <c r="D166" s="1179">
        <f t="shared" ca="1" si="15"/>
        <v>145</v>
      </c>
      <c r="E166" s="1179">
        <f t="shared" ca="1" si="13"/>
        <v>143</v>
      </c>
      <c r="F166" s="1178">
        <f t="shared" ca="1" si="16"/>
        <v>2113</v>
      </c>
      <c r="G166" s="1180"/>
      <c r="H166" s="1180"/>
      <c r="I166" s="1180"/>
      <c r="J166" s="1180"/>
      <c r="K166" s="1273"/>
      <c r="L166" s="1273"/>
      <c r="M166" s="1272">
        <f ca="1"/>
        <v>0</v>
      </c>
      <c r="N166" s="1180"/>
      <c r="O166" s="1180"/>
      <c r="P166" s="1180"/>
      <c r="Q166" s="1180"/>
      <c r="R166" s="1180">
        <f ca="1"/>
        <v>291471.29227494728</v>
      </c>
      <c r="S166" s="1180"/>
      <c r="T166" s="1180"/>
      <c r="U166" s="1180">
        <f ca="1">Housing!H310</f>
        <v>0</v>
      </c>
    </row>
    <row r="167" spans="4:21">
      <c r="D167" s="1179">
        <f t="shared" ca="1" si="15"/>
        <v>146</v>
      </c>
      <c r="E167" s="1179">
        <f t="shared" ca="1" si="13"/>
        <v>144</v>
      </c>
      <c r="F167" s="1178">
        <f t="shared" ca="1" si="16"/>
        <v>2114</v>
      </c>
      <c r="G167" s="1180"/>
      <c r="H167" s="1180"/>
      <c r="I167" s="1180"/>
      <c r="J167" s="1180"/>
      <c r="K167" s="1273"/>
      <c r="L167" s="1273"/>
      <c r="M167" s="1272">
        <f ca="1"/>
        <v>0</v>
      </c>
      <c r="N167" s="1180"/>
      <c r="O167" s="1180"/>
      <c r="P167" s="1180"/>
      <c r="Q167" s="1180"/>
      <c r="R167" s="1180">
        <f ca="1"/>
        <v>295883.22261863848</v>
      </c>
      <c r="S167" s="1180"/>
      <c r="T167" s="1180"/>
      <c r="U167" s="1180">
        <f ca="1">Housing!H311</f>
        <v>0</v>
      </c>
    </row>
    <row r="168" spans="4:21">
      <c r="D168" s="1179">
        <f t="shared" ca="1" si="15"/>
        <v>147</v>
      </c>
      <c r="E168" s="1179">
        <f t="shared" ca="1" si="13"/>
        <v>145</v>
      </c>
      <c r="F168" s="1178">
        <f t="shared" ca="1" si="16"/>
        <v>2115</v>
      </c>
      <c r="G168" s="1180"/>
      <c r="H168" s="1180"/>
      <c r="I168" s="1180"/>
      <c r="J168" s="1180"/>
      <c r="K168" s="1273"/>
      <c r="L168" s="1273"/>
      <c r="M168" s="1272">
        <f ca="1"/>
        <v>0</v>
      </c>
      <c r="N168" s="1180"/>
      <c r="O168" s="1180"/>
      <c r="P168" s="1180"/>
      <c r="Q168" s="1180"/>
      <c r="R168" s="1180">
        <f ca="1"/>
        <v>300364.82237812981</v>
      </c>
      <c r="S168" s="1180"/>
      <c r="T168" s="1180"/>
      <c r="U168" s="1180">
        <f ca="1">Housing!H312</f>
        <v>0</v>
      </c>
    </row>
    <row r="169" spans="4:21">
      <c r="D169" s="1179">
        <f t="shared" ca="1" si="15"/>
        <v>148</v>
      </c>
      <c r="E169" s="1179">
        <f t="shared" ca="1" si="13"/>
        <v>146</v>
      </c>
      <c r="F169" s="1178">
        <f t="shared" ca="1" si="16"/>
        <v>2116</v>
      </c>
      <c r="G169" s="1180"/>
      <c r="H169" s="1180"/>
      <c r="I169" s="1180"/>
      <c r="J169" s="1180"/>
      <c r="K169" s="1273"/>
      <c r="L169" s="1273"/>
      <c r="M169" s="1272">
        <f ca="1"/>
        <v>0</v>
      </c>
      <c r="N169" s="1180"/>
      <c r="O169" s="1180"/>
      <c r="P169" s="1180"/>
      <c r="Q169" s="1180"/>
      <c r="R169" s="1180">
        <f ca="1"/>
        <v>304917.24168533424</v>
      </c>
      <c r="S169" s="1180"/>
      <c r="T169" s="1180"/>
      <c r="U169" s="1180">
        <f ca="1">Housing!H313</f>
        <v>0</v>
      </c>
    </row>
    <row r="170" spans="4:21">
      <c r="D170" s="1179">
        <f t="shared" ca="1" si="15"/>
        <v>149</v>
      </c>
      <c r="E170" s="1179">
        <f t="shared" ca="1" si="13"/>
        <v>147</v>
      </c>
      <c r="F170" s="1178">
        <f t="shared" ca="1" si="16"/>
        <v>2117</v>
      </c>
      <c r="G170" s="1180"/>
      <c r="H170" s="1180"/>
      <c r="I170" s="1180"/>
      <c r="J170" s="1180"/>
      <c r="K170" s="1273"/>
      <c r="L170" s="1273"/>
      <c r="M170" s="1272">
        <f ca="1"/>
        <v>0</v>
      </c>
      <c r="N170" s="1180"/>
      <c r="O170" s="1180"/>
      <c r="P170" s="1180"/>
      <c r="Q170" s="1180"/>
      <c r="R170" s="1180">
        <f ca="1"/>
        <v>309541.65048814408</v>
      </c>
      <c r="S170" s="1180"/>
      <c r="T170" s="1180"/>
      <c r="U170" s="1180">
        <f ca="1">Housing!H314</f>
        <v>0</v>
      </c>
    </row>
    <row r="171" spans="4:21">
      <c r="D171" s="1179">
        <f t="shared" ca="1" si="15"/>
        <v>150</v>
      </c>
      <c r="E171" s="1179">
        <f t="shared" ca="1" si="13"/>
        <v>148</v>
      </c>
      <c r="F171" s="1178">
        <f t="shared" ca="1" si="16"/>
        <v>2118</v>
      </c>
      <c r="G171" s="1180"/>
      <c r="H171" s="1180"/>
      <c r="I171" s="1180"/>
      <c r="J171" s="1180"/>
      <c r="K171" s="1273"/>
      <c r="L171" s="1273"/>
      <c r="M171" s="1272">
        <f ca="1"/>
        <v>0</v>
      </c>
      <c r="N171" s="1180"/>
      <c r="O171" s="1180"/>
      <c r="P171" s="1180"/>
      <c r="Q171" s="1180"/>
      <c r="R171" s="1180">
        <f ca="1"/>
        <v>314239.23890500533</v>
      </c>
      <c r="S171" s="1180"/>
      <c r="T171" s="1180"/>
      <c r="U171" s="1180">
        <f ca="1">Housing!H315</f>
        <v>0</v>
      </c>
    </row>
    <row r="172" spans="4:21">
      <c r="D172" s="1179">
        <f t="shared" ca="1" si="15"/>
        <v>151</v>
      </c>
      <c r="E172" s="1179">
        <f t="shared" ca="1" si="13"/>
        <v>149</v>
      </c>
      <c r="F172" s="1178">
        <f t="shared" ca="1" si="16"/>
        <v>2119</v>
      </c>
      <c r="G172" s="1180"/>
      <c r="H172" s="1180"/>
      <c r="I172" s="1180"/>
      <c r="J172" s="1180"/>
      <c r="K172" s="1273"/>
      <c r="L172" s="1273"/>
      <c r="M172" s="1272">
        <f ca="1"/>
        <v>0</v>
      </c>
      <c r="N172" s="1180"/>
      <c r="O172" s="1180"/>
      <c r="P172" s="1180"/>
      <c r="Q172" s="1180"/>
      <c r="R172" s="1180">
        <f ca="1"/>
        <v>319011.21758603677</v>
      </c>
      <c r="S172" s="1180"/>
      <c r="T172" s="1180"/>
      <c r="U172" s="1180">
        <f ca="1">Housing!H316</f>
        <v>0</v>
      </c>
    </row>
    <row r="173" spans="4:21">
      <c r="D173" s="1179">
        <f t="shared" ca="1" si="15"/>
        <v>152</v>
      </c>
      <c r="E173" s="1179">
        <f t="shared" ca="1" si="13"/>
        <v>150</v>
      </c>
      <c r="F173" s="1178">
        <f t="shared" ca="1" si="16"/>
        <v>2120</v>
      </c>
      <c r="G173" s="1180"/>
      <c r="H173" s="1180"/>
      <c r="I173" s="1180"/>
      <c r="J173" s="1180"/>
      <c r="K173" s="1273"/>
      <c r="L173" s="1273"/>
      <c r="M173" s="1272">
        <f ca="1"/>
        <v>0</v>
      </c>
      <c r="N173" s="1180"/>
      <c r="O173" s="1180"/>
      <c r="P173" s="1180"/>
      <c r="Q173" s="1180"/>
      <c r="R173" s="1180">
        <f ca="1"/>
        <v>323858.81808081735</v>
      </c>
      <c r="S173" s="1180"/>
      <c r="T173" s="1180"/>
      <c r="U173" s="1180">
        <f ca="1">Housing!H317</f>
        <v>0</v>
      </c>
    </row>
    <row r="174" spans="4:21">
      <c r="D174" s="1179">
        <f t="shared" ca="1" si="15"/>
        <v>153</v>
      </c>
      <c r="E174" s="1179">
        <f t="shared" ca="1" si="13"/>
        <v>151</v>
      </c>
      <c r="F174" s="1178">
        <f t="shared" ca="1" si="16"/>
        <v>2121</v>
      </c>
      <c r="G174" s="1180"/>
      <c r="H174" s="1180"/>
      <c r="I174" s="1180"/>
      <c r="J174" s="1180"/>
      <c r="K174" s="1273"/>
      <c r="L174" s="1273"/>
      <c r="M174" s="1272">
        <f ca="1"/>
        <v>0</v>
      </c>
      <c r="N174" s="1180"/>
      <c r="O174" s="1180"/>
      <c r="P174" s="1180"/>
      <c r="Q174" s="1180"/>
      <c r="R174" s="1180">
        <f ca="1"/>
        <v>328783.29321296752</v>
      </c>
      <c r="S174" s="1180"/>
      <c r="T174" s="1180"/>
      <c r="U174" s="1180">
        <f ca="1">Housing!H318</f>
        <v>0</v>
      </c>
    </row>
    <row r="175" spans="4:21">
      <c r="D175" s="1179">
        <f t="shared" ca="1" si="15"/>
        <v>154</v>
      </c>
      <c r="E175" s="1179">
        <f t="shared" ca="1" si="13"/>
        <v>152</v>
      </c>
      <c r="F175" s="1178">
        <f t="shared" ca="1" si="16"/>
        <v>2122</v>
      </c>
      <c r="G175" s="1180"/>
      <c r="H175" s="1180"/>
      <c r="I175" s="1180"/>
      <c r="J175" s="1180"/>
      <c r="K175" s="1273"/>
      <c r="L175" s="1273"/>
      <c r="M175" s="1272">
        <f ca="1"/>
        <v>0</v>
      </c>
      <c r="N175" s="1180"/>
      <c r="O175" s="1180"/>
      <c r="P175" s="1180"/>
      <c r="Q175" s="1180"/>
      <c r="R175" s="1180">
        <f ca="1"/>
        <v>333785.91746165475</v>
      </c>
      <c r="S175" s="1180"/>
      <c r="T175" s="1180"/>
      <c r="U175" s="1180">
        <f ca="1">Housing!H319</f>
        <v>0</v>
      </c>
    </row>
    <row r="176" spans="4:21">
      <c r="D176" s="1179">
        <f t="shared" ca="1" si="15"/>
        <v>155</v>
      </c>
      <c r="E176" s="1179">
        <f t="shared" ca="1" si="13"/>
        <v>153</v>
      </c>
      <c r="F176" s="1178">
        <f t="shared" ca="1" si="16"/>
        <v>2123</v>
      </c>
      <c r="G176" s="1180"/>
      <c r="H176" s="1180"/>
      <c r="I176" s="1180"/>
      <c r="J176" s="1180"/>
      <c r="K176" s="1273"/>
      <c r="L176" s="1273"/>
      <c r="M176" s="1272">
        <f ca="1"/>
        <v>0</v>
      </c>
      <c r="N176" s="1180"/>
      <c r="O176" s="1180"/>
      <c r="P176" s="1180"/>
      <c r="Q176" s="1180"/>
      <c r="R176" s="1180">
        <f ca="1"/>
        <v>338867.98735015164</v>
      </c>
      <c r="S176" s="1180"/>
      <c r="T176" s="1180"/>
      <c r="U176" s="1180">
        <f ca="1">Housing!H320</f>
        <v>0</v>
      </c>
    </row>
    <row r="177" spans="4:21">
      <c r="D177" s="1179">
        <f t="shared" ca="1" si="15"/>
        <v>156</v>
      </c>
      <c r="E177" s="1179">
        <f t="shared" ca="1" si="13"/>
        <v>154</v>
      </c>
      <c r="F177" s="1178">
        <f t="shared" ca="1" si="16"/>
        <v>2124</v>
      </c>
      <c r="G177" s="1180"/>
      <c r="H177" s="1180"/>
      <c r="I177" s="1180"/>
      <c r="J177" s="1180"/>
      <c r="K177" s="1273"/>
      <c r="L177" s="1273"/>
      <c r="M177" s="1272">
        <f ca="1"/>
        <v>0</v>
      </c>
      <c r="N177" s="1180"/>
      <c r="O177" s="1180"/>
      <c r="P177" s="1180"/>
      <c r="Q177" s="1180"/>
      <c r="R177" s="1180">
        <f ca="1"/>
        <v>344030.82184158289</v>
      </c>
      <c r="S177" s="1180"/>
      <c r="T177" s="1180"/>
      <c r="U177" s="1180">
        <f ca="1">Housing!H321</f>
        <v>0</v>
      </c>
    </row>
    <row r="178" spans="4:21">
      <c r="D178" s="1179">
        <f t="shared" ca="1" si="15"/>
        <v>157</v>
      </c>
      <c r="E178" s="1179">
        <f t="shared" ca="1" si="13"/>
        <v>155</v>
      </c>
      <c r="F178" s="1178">
        <f t="shared" ca="1" si="16"/>
        <v>2125</v>
      </c>
      <c r="G178" s="1180"/>
      <c r="H178" s="1180"/>
      <c r="I178" s="1180"/>
      <c r="J178" s="1180"/>
      <c r="K178" s="1273"/>
      <c r="L178" s="1273"/>
      <c r="M178" s="1272">
        <f ca="1"/>
        <v>0</v>
      </c>
      <c r="N178" s="1180"/>
      <c r="O178" s="1180"/>
      <c r="P178" s="1180"/>
      <c r="Q178" s="1180"/>
      <c r="R178" s="1180">
        <f ca="1"/>
        <v>349275.76274199475</v>
      </c>
      <c r="S178" s="1180"/>
      <c r="T178" s="1180"/>
      <c r="U178" s="1180">
        <f ca="1">Housing!H322</f>
        <v>0</v>
      </c>
    </row>
    <row r="179" spans="4:21">
      <c r="D179" s="1179">
        <f t="shared" ca="1" si="15"/>
        <v>158</v>
      </c>
      <c r="E179" s="1179">
        <f t="shared" ca="1" si="13"/>
        <v>156</v>
      </c>
      <c r="F179" s="1178">
        <f t="shared" ca="1" si="16"/>
        <v>2126</v>
      </c>
      <c r="G179" s="1180"/>
      <c r="H179" s="1180"/>
      <c r="I179" s="1180"/>
      <c r="J179" s="1180"/>
      <c r="K179" s="1273"/>
      <c r="L179" s="1273"/>
      <c r="M179" s="1272">
        <f ca="1"/>
        <v>0</v>
      </c>
      <c r="N179" s="1180"/>
      <c r="O179" s="1180"/>
      <c r="P179" s="1180"/>
      <c r="Q179" s="1180"/>
      <c r="R179" s="1180">
        <f ca="1"/>
        <v>354604.17511088774</v>
      </c>
      <c r="S179" s="1180"/>
      <c r="T179" s="1180"/>
      <c r="U179" s="1180">
        <f ca="1">Housing!H323</f>
        <v>0</v>
      </c>
    </row>
    <row r="180" spans="4:21">
      <c r="D180" s="1179">
        <f t="shared" ca="1" si="15"/>
        <v>159</v>
      </c>
      <c r="E180" s="1179">
        <f t="shared" ca="1" si="13"/>
        <v>157</v>
      </c>
      <c r="F180" s="1178">
        <f t="shared" ca="1" si="16"/>
        <v>2127</v>
      </c>
      <c r="G180" s="1180"/>
      <c r="H180" s="1180"/>
      <c r="I180" s="1180"/>
      <c r="J180" s="1180"/>
      <c r="K180" s="1273"/>
      <c r="L180" s="1273"/>
      <c r="M180" s="1272">
        <f ca="1"/>
        <v>0</v>
      </c>
      <c r="N180" s="1180"/>
      <c r="O180" s="1180"/>
      <c r="P180" s="1180"/>
      <c r="Q180" s="1180"/>
      <c r="R180" s="1180">
        <f ca="1"/>
        <v>360017.44767935271</v>
      </c>
      <c r="S180" s="1180"/>
      <c r="T180" s="1180"/>
      <c r="U180" s="1180">
        <f ca="1">Housing!H324</f>
        <v>0</v>
      </c>
    </row>
    <row r="181" spans="4:21">
      <c r="D181" s="1179">
        <f t="shared" ca="1" si="15"/>
        <v>160</v>
      </c>
      <c r="E181" s="1179">
        <f t="shared" ca="1" si="13"/>
        <v>158</v>
      </c>
      <c r="F181" s="1178">
        <f t="shared" ca="1" si="16"/>
        <v>2128</v>
      </c>
      <c r="G181" s="1180"/>
      <c r="H181" s="1180"/>
      <c r="I181" s="1180"/>
      <c r="J181" s="1180"/>
      <c r="K181" s="1273"/>
      <c r="L181" s="1273"/>
      <c r="M181" s="1272">
        <f ca="1"/>
        <v>0</v>
      </c>
      <c r="N181" s="1180"/>
      <c r="O181" s="1180"/>
      <c r="P181" s="1180"/>
      <c r="Q181" s="1180"/>
      <c r="R181" s="1180">
        <f ca="1"/>
        <v>365516.99327595485</v>
      </c>
      <c r="S181" s="1180"/>
      <c r="T181" s="1180"/>
      <c r="U181" s="1180">
        <f ca="1">Housing!H325</f>
        <v>0</v>
      </c>
    </row>
    <row r="182" spans="4:21">
      <c r="D182" s="1179">
        <f t="shared" ca="1" si="15"/>
        <v>161</v>
      </c>
      <c r="E182" s="1179">
        <f t="shared" ca="1" si="13"/>
        <v>159</v>
      </c>
      <c r="F182" s="1178">
        <f t="shared" ca="1" si="16"/>
        <v>2129</v>
      </c>
      <c r="G182" s="1180"/>
      <c r="H182" s="1180"/>
      <c r="I182" s="1180"/>
      <c r="J182" s="1180"/>
      <c r="K182" s="1273"/>
      <c r="L182" s="1273"/>
      <c r="M182" s="1272">
        <f ca="1"/>
        <v>0</v>
      </c>
      <c r="N182" s="1180"/>
      <c r="O182" s="1180"/>
      <c r="P182" s="1180"/>
      <c r="Q182" s="1180"/>
      <c r="R182" s="1180">
        <f ca="1"/>
        <v>371104.24926051253</v>
      </c>
      <c r="S182" s="1180"/>
      <c r="T182" s="1180"/>
      <c r="U182" s="1180">
        <f ca="1">Housing!H326</f>
        <v>0</v>
      </c>
    </row>
    <row r="183" spans="4:21">
      <c r="D183" s="1179">
        <f t="shared" ca="1" si="15"/>
        <v>162</v>
      </c>
      <c r="E183" s="1179">
        <f t="shared" ca="1" si="13"/>
        <v>160</v>
      </c>
      <c r="F183" s="1178">
        <f t="shared" ca="1" si="16"/>
        <v>2130</v>
      </c>
      <c r="G183" s="1180"/>
      <c r="H183" s="1180"/>
      <c r="I183" s="1180"/>
      <c r="J183" s="1180"/>
      <c r="K183" s="1273"/>
      <c r="L183" s="1273"/>
      <c r="M183" s="1272">
        <f ca="1"/>
        <v>0</v>
      </c>
      <c r="N183" s="1180"/>
      <c r="O183" s="1180"/>
      <c r="P183" s="1180"/>
      <c r="Q183" s="1180"/>
      <c r="R183" s="1180">
        <f ca="1"/>
        <v>376780.67796592071</v>
      </c>
      <c r="S183" s="1180"/>
      <c r="T183" s="1180"/>
      <c r="U183" s="1180">
        <f ca="1">Housing!H327</f>
        <v>0</v>
      </c>
    </row>
    <row r="184" spans="4:21">
      <c r="D184" s="1179">
        <f t="shared" ca="1" si="15"/>
        <v>163</v>
      </c>
      <c r="E184" s="1179">
        <f t="shared" ca="1" si="13"/>
        <v>161</v>
      </c>
      <c r="F184" s="1178">
        <f t="shared" ca="1" si="16"/>
        <v>2131</v>
      </c>
      <c r="G184" s="1180"/>
      <c r="H184" s="1180"/>
      <c r="I184" s="1180"/>
      <c r="J184" s="1180"/>
      <c r="K184" s="1273"/>
      <c r="L184" s="1273"/>
      <c r="M184" s="1272">
        <f ca="1"/>
        <v>0</v>
      </c>
      <c r="N184" s="1180"/>
      <c r="O184" s="1180"/>
      <c r="P184" s="1180"/>
      <c r="Q184" s="1180"/>
      <c r="R184" s="1180">
        <f ca="1"/>
        <v>382547.76714817167</v>
      </c>
      <c r="S184" s="1180"/>
      <c r="T184" s="1180"/>
      <c r="U184" s="1180">
        <f ca="1">Housing!H328</f>
        <v>0</v>
      </c>
    </row>
    <row r="185" spans="4:21">
      <c r="D185" s="1179">
        <f t="shared" ca="1" si="15"/>
        <v>164</v>
      </c>
      <c r="E185" s="1179">
        <f t="shared" ca="1" si="13"/>
        <v>162</v>
      </c>
      <c r="F185" s="1178">
        <f t="shared" ca="1" si="16"/>
        <v>2132</v>
      </c>
      <c r="G185" s="1180"/>
      <c r="H185" s="1180"/>
      <c r="I185" s="1180"/>
      <c r="J185" s="1180"/>
      <c r="K185" s="1273"/>
      <c r="L185" s="1273"/>
      <c r="M185" s="1272">
        <f ca="1"/>
        <v>0</v>
      </c>
      <c r="N185" s="1180"/>
      <c r="O185" s="1180"/>
      <c r="P185" s="1180"/>
      <c r="Q185" s="1180"/>
      <c r="R185" s="1180">
        <f ca="1"/>
        <v>388407.03044472804</v>
      </c>
      <c r="S185" s="1180"/>
      <c r="T185" s="1180"/>
      <c r="U185" s="1180">
        <f ca="1">Housing!H329</f>
        <v>0</v>
      </c>
    </row>
    <row r="186" spans="4:21">
      <c r="D186" s="1179">
        <f t="shared" ca="1" si="15"/>
        <v>165</v>
      </c>
      <c r="E186" s="1179">
        <f t="shared" ca="1" si="13"/>
        <v>163</v>
      </c>
      <c r="F186" s="1178">
        <f t="shared" ca="1" si="16"/>
        <v>2133</v>
      </c>
      <c r="G186" s="1180"/>
      <c r="H186" s="1180"/>
      <c r="I186" s="1180"/>
      <c r="J186" s="1180"/>
      <c r="K186" s="1273"/>
      <c r="L186" s="1273"/>
      <c r="M186" s="1272">
        <f ca="1"/>
        <v>0</v>
      </c>
      <c r="N186" s="1180"/>
      <c r="O186" s="1180"/>
      <c r="P186" s="1180"/>
      <c r="Q186" s="1180"/>
      <c r="R186" s="1180">
        <f ca="1"/>
        <v>394360.00784140761</v>
      </c>
      <c r="S186" s="1180"/>
      <c r="T186" s="1180"/>
      <c r="U186" s="1180">
        <f ca="1">Housing!H330</f>
        <v>0</v>
      </c>
    </row>
    <row r="187" spans="4:21">
      <c r="D187" s="1179">
        <f t="shared" ca="1" si="15"/>
        <v>166</v>
      </c>
      <c r="E187" s="1179">
        <f t="shared" ca="1" si="13"/>
        <v>164</v>
      </c>
      <c r="F187" s="1178">
        <f t="shared" ca="1" si="16"/>
        <v>2134</v>
      </c>
      <c r="G187" s="1180"/>
      <c r="H187" s="1180"/>
      <c r="I187" s="1180"/>
      <c r="J187" s="1180"/>
      <c r="K187" s="1273"/>
      <c r="L187" s="1273"/>
      <c r="M187" s="1272">
        <f ca="1"/>
        <v>0</v>
      </c>
      <c r="N187" s="1180"/>
      <c r="O187" s="1180"/>
      <c r="P187" s="1180"/>
      <c r="Q187" s="1180"/>
      <c r="R187" s="1180">
        <f ca="1"/>
        <v>400408.26614794077</v>
      </c>
      <c r="S187" s="1180"/>
      <c r="T187" s="1180"/>
      <c r="U187" s="1180">
        <f ca="1">Housing!H331</f>
        <v>0</v>
      </c>
    </row>
    <row r="188" spans="4:21">
      <c r="D188" s="1179">
        <f t="shared" ca="1" si="15"/>
        <v>167</v>
      </c>
      <c r="E188" s="1179">
        <f t="shared" ca="1" si="13"/>
        <v>165</v>
      </c>
      <c r="F188" s="1178">
        <f t="shared" ca="1" si="16"/>
        <v>2135</v>
      </c>
      <c r="G188" s="1180"/>
      <c r="H188" s="1180"/>
      <c r="I188" s="1180"/>
      <c r="J188" s="1180"/>
      <c r="K188" s="1273"/>
      <c r="L188" s="1273"/>
      <c r="M188" s="1272">
        <f ca="1"/>
        <v>0</v>
      </c>
      <c r="N188" s="1180"/>
      <c r="O188" s="1180"/>
      <c r="P188" s="1180"/>
      <c r="Q188" s="1180"/>
      <c r="R188" s="1180">
        <f ca="1"/>
        <v>406553.3994823657</v>
      </c>
      <c r="S188" s="1180"/>
      <c r="T188" s="1180"/>
      <c r="U188" s="1180">
        <f ca="1">Housing!H332</f>
        <v>0</v>
      </c>
    </row>
    <row r="189" spans="4:21">
      <c r="D189" s="1179">
        <f t="shared" ca="1" si="15"/>
        <v>168</v>
      </c>
      <c r="E189" s="1179">
        <f t="shared" ca="1" si="13"/>
        <v>166</v>
      </c>
      <c r="F189" s="1178">
        <f t="shared" ca="1" si="16"/>
        <v>2136</v>
      </c>
      <c r="G189" s="1180"/>
      <c r="H189" s="1180"/>
      <c r="I189" s="1180"/>
      <c r="J189" s="1180"/>
      <c r="K189" s="1273"/>
      <c r="L189" s="1273"/>
      <c r="M189" s="1272">
        <f ca="1"/>
        <v>0</v>
      </c>
      <c r="N189" s="1180"/>
      <c r="O189" s="1180"/>
      <c r="P189" s="1180"/>
      <c r="Q189" s="1180"/>
      <c r="R189" s="1180">
        <f ca="1"/>
        <v>412797.02976442943</v>
      </c>
      <c r="S189" s="1180"/>
      <c r="T189" s="1180"/>
      <c r="U189" s="1180">
        <f ca="1">Housing!H333</f>
        <v>0</v>
      </c>
    </row>
    <row r="190" spans="4:21">
      <c r="D190" s="1179">
        <f t="shared" ca="1" si="15"/>
        <v>169</v>
      </c>
      <c r="E190" s="1179">
        <f t="shared" ca="1" si="13"/>
        <v>167</v>
      </c>
      <c r="F190" s="1178">
        <f t="shared" ca="1" si="16"/>
        <v>2137</v>
      </c>
      <c r="G190" s="1180"/>
      <c r="H190" s="1180"/>
      <c r="I190" s="1180"/>
      <c r="J190" s="1180"/>
      <c r="K190" s="1273"/>
      <c r="L190" s="1273"/>
      <c r="M190" s="1272">
        <f ca="1"/>
        <v>0</v>
      </c>
      <c r="N190" s="1180"/>
      <c r="O190" s="1180"/>
      <c r="P190" s="1180"/>
      <c r="Q190" s="1180"/>
      <c r="R190" s="1180">
        <f ca="1"/>
        <v>419140.80721816502</v>
      </c>
      <c r="S190" s="1180"/>
      <c r="T190" s="1180"/>
      <c r="U190" s="1180">
        <f ca="1">Housing!H334</f>
        <v>0</v>
      </c>
    </row>
    <row r="191" spans="4:21">
      <c r="D191" s="1179">
        <f t="shared" ca="1" si="15"/>
        <v>170</v>
      </c>
      <c r="E191" s="1179">
        <f t="shared" ca="1" si="13"/>
        <v>168</v>
      </c>
      <c r="F191" s="1178">
        <f t="shared" ca="1" si="16"/>
        <v>2138</v>
      </c>
      <c r="G191" s="1180"/>
      <c r="H191" s="1180"/>
      <c r="I191" s="1180"/>
      <c r="J191" s="1180"/>
      <c r="K191" s="1273"/>
      <c r="L191" s="1273"/>
      <c r="M191" s="1272">
        <f ca="1"/>
        <v>0</v>
      </c>
      <c r="N191" s="1180"/>
      <c r="O191" s="1180"/>
      <c r="P191" s="1180"/>
      <c r="Q191" s="1180"/>
      <c r="R191" s="1180">
        <f ca="1"/>
        <v>425586.41088382096</v>
      </c>
      <c r="S191" s="1180"/>
      <c r="T191" s="1180"/>
      <c r="U191" s="1180">
        <f ca="1">Housing!H335</f>
        <v>0</v>
      </c>
    </row>
    <row r="192" spans="4:21">
      <c r="D192" s="1179">
        <f t="shared" ca="1" si="15"/>
        <v>171</v>
      </c>
      <c r="E192" s="1179">
        <f t="shared" ca="1" si="13"/>
        <v>169</v>
      </c>
      <c r="F192" s="1178">
        <f t="shared" ca="1" si="16"/>
        <v>2139</v>
      </c>
      <c r="G192" s="1180"/>
      <c r="H192" s="1180"/>
      <c r="I192" s="1180"/>
      <c r="J192" s="1180"/>
      <c r="K192" s="1273"/>
      <c r="L192" s="1273"/>
      <c r="M192" s="1272">
        <f ca="1"/>
        <v>0</v>
      </c>
      <c r="N192" s="1180"/>
      <c r="O192" s="1180"/>
      <c r="P192" s="1180"/>
      <c r="Q192" s="1180"/>
      <c r="R192" s="1180">
        <f ca="1"/>
        <v>432135.54913931905</v>
      </c>
      <c r="S192" s="1180"/>
      <c r="T192" s="1180"/>
      <c r="U192" s="1180">
        <f ca="1">Housing!H336</f>
        <v>0</v>
      </c>
    </row>
    <row r="193" spans="4:21">
      <c r="D193" s="1179">
        <f t="shared" ca="1" si="15"/>
        <v>172</v>
      </c>
      <c r="E193" s="1179">
        <f t="shared" ca="1" si="13"/>
        <v>170</v>
      </c>
      <c r="F193" s="1178">
        <f t="shared" ca="1" si="16"/>
        <v>2140</v>
      </c>
      <c r="G193" s="1180"/>
      <c r="H193" s="1180"/>
      <c r="I193" s="1180"/>
      <c r="J193" s="1180"/>
      <c r="K193" s="1273"/>
      <c r="L193" s="1273"/>
      <c r="M193" s="1272">
        <f ca="1"/>
        <v>0</v>
      </c>
      <c r="N193" s="1180"/>
      <c r="O193" s="1180"/>
      <c r="P193" s="1180"/>
      <c r="Q193" s="1180"/>
      <c r="R193" s="1180">
        <f ca="1"/>
        <v>438789.9602314225</v>
      </c>
      <c r="S193" s="1180"/>
      <c r="T193" s="1180"/>
      <c r="U193" s="1180">
        <f ca="1">Housing!H337</f>
        <v>0</v>
      </c>
    </row>
    <row r="194" spans="4:21">
      <c r="D194" s="1179">
        <f t="shared" ca="1" si="15"/>
        <v>173</v>
      </c>
      <c r="E194" s="1179">
        <f t="shared" ca="1" si="13"/>
        <v>171</v>
      </c>
      <c r="F194" s="1178">
        <f t="shared" ca="1" si="16"/>
        <v>2141</v>
      </c>
      <c r="G194" s="1180"/>
      <c r="H194" s="1180"/>
      <c r="I194" s="1180"/>
      <c r="J194" s="1180"/>
      <c r="K194" s="1273"/>
      <c r="L194" s="1273"/>
      <c r="M194" s="1272">
        <f ca="1"/>
        <v>0</v>
      </c>
      <c r="N194" s="1180"/>
      <c r="O194" s="1180"/>
      <c r="P194" s="1180"/>
      <c r="Q194" s="1180"/>
      <c r="R194" s="1180">
        <f ca="1"/>
        <v>445551.41281680006</v>
      </c>
      <c r="S194" s="1180"/>
      <c r="T194" s="1180"/>
      <c r="U194" s="1180">
        <f ca="1">Housing!H338</f>
        <v>0</v>
      </c>
    </row>
    <row r="195" spans="4:21">
      <c r="D195" s="1179">
        <f t="shared" ca="1" si="15"/>
        <v>174</v>
      </c>
      <c r="E195" s="1179">
        <f t="shared" ca="1" si="13"/>
        <v>172</v>
      </c>
      <c r="F195" s="1178">
        <f t="shared" ca="1" si="16"/>
        <v>2142</v>
      </c>
      <c r="G195" s="1180"/>
      <c r="H195" s="1180"/>
      <c r="I195" s="1180"/>
      <c r="J195" s="1180"/>
      <c r="K195" s="1273"/>
      <c r="L195" s="1273"/>
      <c r="M195" s="1272">
        <f ca="1"/>
        <v>0</v>
      </c>
      <c r="N195" s="1180"/>
      <c r="O195" s="1180"/>
      <c r="P195" s="1180"/>
      <c r="Q195" s="1180"/>
      <c r="R195" s="1180">
        <f ca="1"/>
        <v>452421.70651317301</v>
      </c>
      <c r="S195" s="1180"/>
      <c r="T195" s="1180"/>
      <c r="U195" s="1180">
        <f ca="1">Housing!H339</f>
        <v>0</v>
      </c>
    </row>
    <row r="196" spans="4:21">
      <c r="D196" s="1179">
        <f t="shared" ca="1" si="15"/>
        <v>175</v>
      </c>
      <c r="E196" s="1179">
        <f t="shared" ca="1" si="13"/>
        <v>173</v>
      </c>
      <c r="F196" s="1178">
        <f t="shared" ca="1" si="16"/>
        <v>2143</v>
      </c>
      <c r="G196" s="1180"/>
      <c r="H196" s="1180"/>
      <c r="I196" s="1180"/>
      <c r="J196" s="1180"/>
      <c r="K196" s="1273"/>
      <c r="L196" s="1273"/>
      <c r="M196" s="1272">
        <f ca="1"/>
        <v>0</v>
      </c>
      <c r="N196" s="1180"/>
      <c r="O196" s="1180"/>
      <c r="P196" s="1180"/>
      <c r="Q196" s="1180"/>
      <c r="R196" s="1180">
        <f ca="1"/>
        <v>459402.67246073787</v>
      </c>
      <c r="S196" s="1180"/>
      <c r="T196" s="1180"/>
      <c r="U196" s="1180">
        <f ca="1">Housing!H340</f>
        <v>0</v>
      </c>
    </row>
    <row r="197" spans="4:21">
      <c r="D197" s="1179">
        <f t="shared" ca="1" si="15"/>
        <v>176</v>
      </c>
      <c r="E197" s="1179">
        <f t="shared" ca="1" si="13"/>
        <v>174</v>
      </c>
      <c r="F197" s="1178">
        <f t="shared" ca="1" si="16"/>
        <v>2144</v>
      </c>
      <c r="G197" s="1180"/>
      <c r="H197" s="1180"/>
      <c r="I197" s="1180"/>
      <c r="J197" s="1180"/>
      <c r="K197" s="1273"/>
      <c r="L197" s="1273"/>
      <c r="M197" s="1272">
        <f ca="1"/>
        <v>0</v>
      </c>
      <c r="N197" s="1180"/>
      <c r="O197" s="1180"/>
      <c r="P197" s="1180"/>
      <c r="Q197" s="1180"/>
      <c r="R197" s="1180">
        <f ca="1"/>
        <v>466496.17389406066</v>
      </c>
      <c r="S197" s="1180"/>
      <c r="T197" s="1180"/>
      <c r="U197" s="1180">
        <f ca="1">Housing!H341</f>
        <v>0</v>
      </c>
    </row>
    <row r="198" spans="4:21">
      <c r="D198" s="1179">
        <f t="shared" ca="1" si="15"/>
        <v>177</v>
      </c>
      <c r="E198" s="1179">
        <f t="shared" ca="1" si="13"/>
        <v>175</v>
      </c>
      <c r="F198" s="1178">
        <f t="shared" ca="1" si="16"/>
        <v>2145</v>
      </c>
      <c r="G198" s="1180"/>
      <c r="H198" s="1180"/>
      <c r="I198" s="1180"/>
      <c r="J198" s="1180"/>
      <c r="K198" s="1273"/>
      <c r="L198" s="1273"/>
      <c r="M198" s="1272">
        <f ca="1"/>
        <v>0</v>
      </c>
      <c r="N198" s="1180"/>
      <c r="O198" s="1180"/>
      <c r="P198" s="1180"/>
      <c r="Q198" s="1180"/>
      <c r="R198" s="1180">
        <f ca="1"/>
        <v>473704.10672464175</v>
      </c>
      <c r="S198" s="1180"/>
      <c r="T198" s="1180"/>
      <c r="U198" s="1180">
        <f ca="1">Housing!H342</f>
        <v>0</v>
      </c>
    </row>
    <row r="199" spans="4:21">
      <c r="D199" s="1179">
        <f t="shared" ca="1" si="15"/>
        <v>178</v>
      </c>
      <c r="E199" s="1179">
        <f t="shared" ca="1" si="13"/>
        <v>176</v>
      </c>
      <c r="F199" s="1178">
        <f t="shared" ca="1" si="16"/>
        <v>2146</v>
      </c>
      <c r="G199" s="1180"/>
      <c r="H199" s="1180"/>
      <c r="I199" s="1180"/>
      <c r="J199" s="1180"/>
      <c r="K199" s="1273"/>
      <c r="L199" s="1273"/>
      <c r="M199" s="1272">
        <f ca="1"/>
        <v>0</v>
      </c>
      <c r="N199" s="1180"/>
      <c r="O199" s="1180"/>
      <c r="P199" s="1180"/>
      <c r="Q199" s="1180"/>
      <c r="R199" s="1180">
        <f ca="1"/>
        <v>481028.40013435489</v>
      </c>
      <c r="S199" s="1180"/>
      <c r="T199" s="1180"/>
      <c r="U199" s="1180">
        <f ca="1">Housing!H343</f>
        <v>0</v>
      </c>
    </row>
    <row r="201" spans="4:21">
      <c r="M201" s="1152">
        <v>0</v>
      </c>
    </row>
    <row r="202" spans="4:21">
      <c r="M202" s="1340" t="s">
        <v>2153</v>
      </c>
    </row>
    <row r="205" spans="4:21" ht="29" customHeight="1">
      <c r="D205" s="1158"/>
      <c r="E205" s="1158" t="s">
        <v>6</v>
      </c>
      <c r="F205" s="1881" t="s">
        <v>498</v>
      </c>
      <c r="G205" s="1881" t="s">
        <v>497</v>
      </c>
      <c r="H205" s="1879"/>
      <c r="I205" s="1879"/>
      <c r="J205" s="1149"/>
    </row>
    <row r="206" spans="4:21">
      <c r="D206" s="1157"/>
      <c r="E206" s="1276" cm="1">
        <f t="array" aca="1" ref="E206:E331" ca="1">F75:F200</f>
        <v>2022</v>
      </c>
      <c r="F206" s="728" cm="1">
        <f t="array" ref="F206:F217">G75:G86</f>
        <v>475000</v>
      </c>
      <c r="G206" s="728" cm="1">
        <f t="array" aca="1" ref="G206:G217" ca="1">H75:H86</f>
        <v>75000</v>
      </c>
      <c r="H206" s="728" cm="1">
        <f t="array" aca="1" ref="H206:H254" ca="1">M75:M123</f>
        <v>450000</v>
      </c>
      <c r="I206" s="728"/>
      <c r="J206" s="1160"/>
      <c r="K206" s="1160"/>
    </row>
    <row r="207" spans="4:21">
      <c r="D207" s="1158"/>
      <c r="E207" s="1276">
        <f ca="1"/>
        <v>2023</v>
      </c>
      <c r="F207" s="728">
        <v>503500</v>
      </c>
      <c r="G207" s="728">
        <f ca="1"/>
        <v>79750</v>
      </c>
      <c r="H207" s="728">
        <f ca="1"/>
        <v>458325</v>
      </c>
      <c r="I207" s="728"/>
      <c r="J207" s="1160"/>
      <c r="K207" s="1160"/>
    </row>
    <row r="208" spans="4:21">
      <c r="D208" s="1158"/>
      <c r="E208" s="1276">
        <f ca="1"/>
        <v>2024</v>
      </c>
      <c r="F208" s="728">
        <v>533503.75</v>
      </c>
      <c r="G208" s="728">
        <f ca="1"/>
        <v>84785</v>
      </c>
      <c r="H208" s="728">
        <f ca="1"/>
        <v>466804.01250000001</v>
      </c>
      <c r="I208" s="728"/>
      <c r="J208" s="1160"/>
      <c r="K208" s="1160"/>
    </row>
    <row r="209" spans="4:11">
      <c r="D209" s="1158"/>
      <c r="E209" s="1276">
        <f ca="1"/>
        <v>2025</v>
      </c>
      <c r="F209" s="728">
        <v>565090.76875000005</v>
      </c>
      <c r="G209" s="728">
        <f ca="1"/>
        <v>90122.1</v>
      </c>
      <c r="H209" s="728">
        <f ca="1"/>
        <v>475439.88673125004</v>
      </c>
      <c r="I209" s="728"/>
      <c r="J209" s="1160"/>
      <c r="K209" s="1160"/>
    </row>
    <row r="210" spans="4:11">
      <c r="D210" s="1158"/>
      <c r="E210" s="1276">
        <f ca="1"/>
        <v>2026</v>
      </c>
      <c r="F210" s="728">
        <v>598344.78915624996</v>
      </c>
      <c r="G210" s="728">
        <f ca="1"/>
        <v>95779.426000000007</v>
      </c>
      <c r="H210" s="728">
        <f ca="1"/>
        <v>484235.52463577816</v>
      </c>
      <c r="I210" s="728"/>
      <c r="J210" s="1160"/>
      <c r="K210" s="1160"/>
    </row>
    <row r="211" spans="4:11">
      <c r="D211" s="1158"/>
      <c r="E211" s="1276">
        <f ca="1"/>
        <v>2027</v>
      </c>
      <c r="F211" s="728">
        <v>633353.98209109367</v>
      </c>
      <c r="G211" s="728">
        <f ca="1"/>
        <v>101776.19156000001</v>
      </c>
      <c r="H211" s="728">
        <f ca="1"/>
        <v>493193.88184154005</v>
      </c>
      <c r="I211" s="728"/>
      <c r="J211" s="1160"/>
      <c r="K211" s="1160"/>
    </row>
    <row r="212" spans="4:11">
      <c r="D212" s="1158"/>
      <c r="E212" s="1276">
        <f ca="1"/>
        <v>2028</v>
      </c>
      <c r="F212" s="728">
        <v>670211.19211391639</v>
      </c>
      <c r="G212" s="728">
        <f ca="1"/>
        <v>108132.76305360001</v>
      </c>
      <c r="H212" s="728">
        <f ca="1"/>
        <v>502317.96865560854</v>
      </c>
      <c r="I212" s="728"/>
      <c r="J212" s="1160"/>
      <c r="K212" s="1160"/>
    </row>
    <row r="213" spans="4:11">
      <c r="D213" s="1158"/>
      <c r="E213" s="1276">
        <f ca="1"/>
        <v>2029</v>
      </c>
      <c r="F213" s="728">
        <v>709014.18573838496</v>
      </c>
      <c r="G213" s="728">
        <f ca="1"/>
        <v>114870.72883681601</v>
      </c>
      <c r="H213" s="728">
        <f ca="1"/>
        <v>511610.85107573727</v>
      </c>
      <c r="I213" s="728"/>
      <c r="J213" s="1160"/>
      <c r="K213" s="1160"/>
    </row>
    <row r="214" spans="4:11">
      <c r="D214" s="1158"/>
      <c r="E214" s="1276">
        <f ca="1"/>
        <v>2030</v>
      </c>
      <c r="F214" s="728">
        <v>749865.91291510942</v>
      </c>
      <c r="G214" s="728">
        <f ca="1"/>
        <v>122012.97256702496</v>
      </c>
      <c r="H214" s="728">
        <f ca="1"/>
        <v>521075.65182063839</v>
      </c>
      <c r="I214" s="728"/>
      <c r="J214" s="1160"/>
      <c r="K214" s="1160"/>
    </row>
    <row r="215" spans="4:11">
      <c r="D215" s="1158"/>
      <c r="E215" s="1276">
        <f ca="1"/>
        <v>2031</v>
      </c>
      <c r="F215" s="728">
        <v>792874.78243460949</v>
      </c>
      <c r="G215" s="728">
        <f ca="1"/>
        <v>129583.75092104646</v>
      </c>
      <c r="H215" s="728">
        <f ca="1"/>
        <v>530715.55137932021</v>
      </c>
      <c r="I215" s="728"/>
      <c r="J215" s="1160"/>
      <c r="K215" s="1160"/>
    </row>
    <row r="216" spans="4:11">
      <c r="D216" s="1158"/>
      <c r="E216" s="1276">
        <f ca="1"/>
        <v>2032</v>
      </c>
      <c r="F216" s="728">
        <v>838154.95199314039</v>
      </c>
      <c r="G216" s="728">
        <f ca="1"/>
        <v>137608.77597630926</v>
      </c>
      <c r="H216" s="728">
        <f ca="1"/>
        <v>540533.78907983762</v>
      </c>
      <c r="I216" s="728"/>
      <c r="J216" s="1160"/>
      <c r="K216" s="1160"/>
    </row>
    <row r="217" spans="4:11">
      <c r="D217" s="1158"/>
      <c r="E217" s="1276">
        <f ca="1"/>
        <v>2033</v>
      </c>
      <c r="F217" s="728">
        <v>885826.6337036218</v>
      </c>
      <c r="G217" s="728">
        <f ca="1"/>
        <v>146115.30253488783</v>
      </c>
      <c r="H217" s="728">
        <f ca="1"/>
        <v>550533.66417781461</v>
      </c>
      <c r="I217" s="728"/>
      <c r="J217" s="1160"/>
      <c r="K217" s="1160"/>
    </row>
    <row r="218" spans="4:11">
      <c r="D218" s="1158"/>
      <c r="E218" s="1276">
        <f ca="1"/>
        <v>2034</v>
      </c>
      <c r="F218" s="728" cm="1">
        <f t="array" aca="1" ref="F218:F254" ca="1">I87:I123</f>
        <v>954679.96251075156</v>
      </c>
      <c r="G218" s="728" cm="1">
        <f t="array" aca="1" ref="G218:G254" ca="1">J87:J123</f>
        <v>155132.22068698111</v>
      </c>
      <c r="H218" s="728">
        <f ca="1"/>
        <v>560718.53696510417</v>
      </c>
      <c r="I218" s="728"/>
      <c r="J218" s="1160"/>
      <c r="K218" s="1160"/>
    </row>
    <row r="219" spans="4:11">
      <c r="D219" s="1158"/>
      <c r="E219" s="1276">
        <f ca="1"/>
        <v>2035</v>
      </c>
      <c r="F219" s="728">
        <f ca="1"/>
        <v>974090.05101118167</v>
      </c>
      <c r="G219" s="728">
        <f ca="1"/>
        <v>161337.50951446034</v>
      </c>
      <c r="H219" s="728">
        <f ca="1"/>
        <v>571091.82989895856</v>
      </c>
      <c r="I219" s="728"/>
      <c r="J219" s="1160"/>
      <c r="K219" s="1160"/>
    </row>
    <row r="220" spans="4:11">
      <c r="D220" s="1158"/>
      <c r="E220" s="1276">
        <f ca="1"/>
        <v>2036</v>
      </c>
      <c r="F220" s="728">
        <f ca="1"/>
        <v>987521.48305162892</v>
      </c>
      <c r="G220" s="728">
        <f ca="1"/>
        <v>167791.00989503876</v>
      </c>
      <c r="H220" s="728">
        <f ca="1"/>
        <v>581657.02875208925</v>
      </c>
      <c r="I220" s="728"/>
      <c r="J220" s="1160"/>
      <c r="K220" s="1160"/>
    </row>
    <row r="221" spans="4:11">
      <c r="D221" s="1158"/>
      <c r="E221" s="1276">
        <f ca="1"/>
        <v>2037</v>
      </c>
      <c r="F221" s="728">
        <f ca="1"/>
        <v>934652.34237369406</v>
      </c>
      <c r="G221" s="728">
        <f ca="1"/>
        <v>174502.65029084031</v>
      </c>
      <c r="H221" s="728">
        <f ca="1"/>
        <v>592417.6837840029</v>
      </c>
      <c r="I221" s="728"/>
      <c r="J221" s="1160"/>
      <c r="K221" s="1160"/>
    </row>
    <row r="222" spans="4:11">
      <c r="D222" s="1158"/>
      <c r="E222" s="1276">
        <f ca="1"/>
        <v>2038</v>
      </c>
      <c r="F222" s="728">
        <f ca="1"/>
        <v>875450.43606864184</v>
      </c>
      <c r="G222" s="728">
        <f ca="1"/>
        <v>181482.75630247392</v>
      </c>
      <c r="H222" s="728">
        <f ca="1"/>
        <v>603377.41093400691</v>
      </c>
      <c r="I222" s="728"/>
      <c r="J222" s="1160"/>
      <c r="K222" s="1160"/>
    </row>
    <row r="223" spans="4:11">
      <c r="D223" s="1158"/>
      <c r="E223" s="1276">
        <f ca="1"/>
        <v>2039</v>
      </c>
      <c r="F223" s="728">
        <f ca="1"/>
        <v>809860.45351138746</v>
      </c>
      <c r="G223" s="728">
        <f ca="1"/>
        <v>188742.06655457287</v>
      </c>
      <c r="H223" s="728">
        <f ca="1"/>
        <v>614539.893036286</v>
      </c>
      <c r="I223" s="728"/>
      <c r="J223" s="1160"/>
      <c r="K223" s="1160"/>
    </row>
    <row r="224" spans="4:11">
      <c r="D224" s="1158"/>
      <c r="E224" s="1276">
        <f ca="1"/>
        <v>2040</v>
      </c>
      <c r="F224" s="728">
        <f ca="1"/>
        <v>737938.87165184296</v>
      </c>
      <c r="G224" s="728">
        <f ca="1"/>
        <v>196291.74921675579</v>
      </c>
      <c r="H224" s="728">
        <f ca="1"/>
        <v>625908.8810574573</v>
      </c>
      <c r="I224" s="728"/>
      <c r="J224" s="1160"/>
      <c r="K224" s="1160"/>
    </row>
    <row r="225" spans="4:11">
      <c r="D225" s="1158"/>
      <c r="E225" s="1276">
        <f ca="1"/>
        <v>2041</v>
      </c>
      <c r="F225" s="728">
        <f ca="1"/>
        <v>659864.42651791673</v>
      </c>
      <c r="G225" s="728">
        <f ca="1"/>
        <v>204143.41918542603</v>
      </c>
      <c r="H225" s="728">
        <f ca="1"/>
        <v>637488.19535702025</v>
      </c>
      <c r="I225" s="728"/>
      <c r="J225" s="1160"/>
      <c r="K225" s="1160"/>
    </row>
    <row r="226" spans="4:11">
      <c r="D226" s="1158"/>
      <c r="E226" s="1276">
        <f ca="1"/>
        <v>2042</v>
      </c>
      <c r="F226" s="728">
        <f ca="1"/>
        <v>575985.00357863342</v>
      </c>
      <c r="G226" s="728">
        <f ca="1"/>
        <v>212309.15595284308</v>
      </c>
      <c r="H226" s="728">
        <f ca="1"/>
        <v>649281.72697112511</v>
      </c>
      <c r="I226" s="728"/>
      <c r="J226" s="1160"/>
      <c r="K226" s="1160"/>
    </row>
    <row r="227" spans="4:11">
      <c r="D227" s="1158"/>
      <c r="E227" s="1276">
        <f ca="1"/>
        <v>2043</v>
      </c>
      <c r="F227" s="728">
        <f ca="1"/>
        <v>486842.40372177877</v>
      </c>
      <c r="G227" s="728">
        <f ca="1"/>
        <v>220801.52219095681</v>
      </c>
      <c r="H227" s="728">
        <f ca="1"/>
        <v>661293.43892009091</v>
      </c>
      <c r="I227" s="728"/>
      <c r="J227" s="1160"/>
      <c r="K227" s="1160"/>
    </row>
    <row r="228" spans="4:11">
      <c r="D228" s="1158"/>
      <c r="E228" s="1276">
        <f ca="1"/>
        <v>2044</v>
      </c>
      <c r="F228" s="728">
        <f ca="1"/>
        <v>393312.09987064992</v>
      </c>
      <c r="G228" s="728">
        <f ca="1"/>
        <v>229633.58307859508</v>
      </c>
      <c r="H228" s="728">
        <f ca="1"/>
        <v>673527.36754011258</v>
      </c>
      <c r="I228" s="728"/>
      <c r="J228" s="1160"/>
      <c r="K228" s="1160"/>
    </row>
    <row r="229" spans="4:11">
      <c r="D229" s="1158"/>
      <c r="E229" s="1276">
        <f ca="1"/>
        <v>2045</v>
      </c>
      <c r="F229" s="728">
        <f ca="1"/>
        <v>296634.5838654759</v>
      </c>
      <c r="G229" s="728">
        <f ca="1"/>
        <v>238818.92640173889</v>
      </c>
      <c r="H229" s="728">
        <f ca="1"/>
        <v>685987.62383960467</v>
      </c>
      <c r="I229" s="728"/>
      <c r="J229" s="1160"/>
      <c r="K229" s="1160"/>
    </row>
    <row r="230" spans="4:11">
      <c r="D230" s="1158"/>
      <c r="E230" s="1276">
        <f ca="1"/>
        <v>2046</v>
      </c>
      <c r="F230" s="728">
        <f ca="1"/>
        <v>198537.96722009493</v>
      </c>
      <c r="G230" s="728">
        <f ca="1"/>
        <v>248371.68345780845</v>
      </c>
      <c r="H230" s="728">
        <f ca="1"/>
        <v>698678.39488063741</v>
      </c>
      <c r="I230" s="728"/>
      <c r="J230" s="1160"/>
      <c r="K230" s="1160"/>
    </row>
    <row r="231" spans="4:11">
      <c r="D231" s="1158"/>
      <c r="E231" s="1276">
        <f ca="1"/>
        <v>2047</v>
      </c>
      <c r="F231" s="728">
        <f ca="1"/>
        <v>101347.48590889873</v>
      </c>
      <c r="G231" s="728">
        <f ca="1"/>
        <v>258306.55079612078</v>
      </c>
      <c r="H231" s="728">
        <f ca="1"/>
        <v>711603.94518592919</v>
      </c>
      <c r="I231" s="728"/>
      <c r="J231" s="1160"/>
      <c r="K231" s="1160"/>
    </row>
    <row r="232" spans="4:11">
      <c r="D232" s="1158"/>
      <c r="E232" s="1276">
        <f ca="1"/>
        <v>2048</v>
      </c>
      <c r="F232" s="728">
        <f ca="1"/>
        <v>7997.3853452546755</v>
      </c>
      <c r="G232" s="728">
        <f ca="1"/>
        <v>268638.81282796559</v>
      </c>
      <c r="H232" s="728">
        <f ca="1"/>
        <v>724768.61817186885</v>
      </c>
      <c r="I232" s="728"/>
      <c r="J232" s="1160"/>
      <c r="K232" s="1160"/>
    </row>
    <row r="233" spans="4:11">
      <c r="D233" s="1158"/>
      <c r="E233" s="1276">
        <f ca="1"/>
        <v>2049</v>
      </c>
      <c r="F233" s="728">
        <f ca="1"/>
        <v>319.89545906486273</v>
      </c>
      <c r="G233" s="728">
        <f ca="1"/>
        <v>200957.75534108421</v>
      </c>
      <c r="H233" s="728">
        <f ca="1"/>
        <v>738176.83760804846</v>
      </c>
      <c r="I233" s="728"/>
      <c r="J233" s="1160"/>
      <c r="K233" s="1160"/>
    </row>
    <row r="234" spans="4:11">
      <c r="D234" s="1158"/>
      <c r="E234" s="1276">
        <f ca="1"/>
        <v>2050</v>
      </c>
      <c r="F234" s="728">
        <f ca="1"/>
        <v>12.79577742745721</v>
      </c>
      <c r="G234" s="728">
        <f ca="1"/>
        <v>826868.80316277605</v>
      </c>
      <c r="H234" s="728">
        <f ca="1"/>
        <v>0</v>
      </c>
      <c r="I234" s="728"/>
      <c r="J234" s="1160"/>
      <c r="K234" s="1160"/>
    </row>
    <row r="235" spans="4:11">
      <c r="D235" s="1158"/>
      <c r="E235" s="1276">
        <f ca="1"/>
        <v>2051</v>
      </c>
      <c r="F235" s="728">
        <f ca="1"/>
        <v>0.51180852455549797</v>
      </c>
      <c r="G235" s="728">
        <f ca="1"/>
        <v>756948.35528928717</v>
      </c>
      <c r="H235" s="728">
        <f ca="1"/>
        <v>0</v>
      </c>
      <c r="I235" s="728"/>
      <c r="J235" s="1160"/>
      <c r="K235" s="1160"/>
    </row>
    <row r="236" spans="4:11">
      <c r="D236" s="1158"/>
      <c r="E236" s="1276">
        <f ca="1"/>
        <v>2052</v>
      </c>
      <c r="F236" s="728">
        <f ca="1"/>
        <v>2.0480865537717885E-2</v>
      </c>
      <c r="G236" s="728">
        <f ca="1"/>
        <v>679586.79950085864</v>
      </c>
      <c r="H236" s="728">
        <f ca="1"/>
        <v>0</v>
      </c>
      <c r="I236" s="728"/>
      <c r="J236" s="1160"/>
      <c r="K236" s="1160"/>
    </row>
    <row r="237" spans="4:11">
      <c r="D237" s="1158"/>
      <c r="E237" s="1276">
        <f ca="1"/>
        <v>2053</v>
      </c>
      <c r="F237" s="728">
        <f ca="1"/>
        <v>8.0010015922659869E-4</v>
      </c>
      <c r="G237" s="728">
        <f ca="1"/>
        <v>594330.29148089304</v>
      </c>
      <c r="H237" s="728">
        <f ca="1"/>
        <v>0</v>
      </c>
      <c r="I237" s="728"/>
      <c r="J237" s="1160"/>
      <c r="K237" s="1160"/>
    </row>
    <row r="238" spans="4:11">
      <c r="D238" s="1158"/>
      <c r="E238" s="1276">
        <f ca="1"/>
        <v>2054</v>
      </c>
      <c r="F238" s="728">
        <f ca="1"/>
        <v>3.2104165595662646E-5</v>
      </c>
      <c r="G238" s="728">
        <f ca="1"/>
        <v>500707.5031401288</v>
      </c>
      <c r="H238" s="728">
        <f ca="1"/>
        <v>0</v>
      </c>
      <c r="I238" s="728"/>
      <c r="J238" s="1160"/>
      <c r="K238" s="1160"/>
    </row>
    <row r="239" spans="4:11">
      <c r="D239" s="1158"/>
      <c r="E239" s="1276">
        <f ca="1"/>
        <v>2055</v>
      </c>
      <c r="F239" s="728">
        <f ca="1"/>
        <v>3.3388332219489155E-5</v>
      </c>
      <c r="G239" s="728">
        <f ca="1"/>
        <v>398227.80326573394</v>
      </c>
      <c r="H239" s="728">
        <f ca="1"/>
        <v>0</v>
      </c>
      <c r="I239" s="728"/>
      <c r="J239" s="1160"/>
      <c r="K239" s="1160"/>
    </row>
    <row r="240" spans="4:11">
      <c r="E240" s="1158">
        <f ca="1"/>
        <v>2056</v>
      </c>
      <c r="F240" s="1160">
        <f ca="1"/>
        <v>3.4723865508268719E-5</v>
      </c>
      <c r="G240" s="1160">
        <f ca="1"/>
        <v>286368.9153963633</v>
      </c>
      <c r="H240" s="1160">
        <f ca="1"/>
        <v>0</v>
      </c>
      <c r="I240" s="1160"/>
      <c r="J240" s="1160"/>
      <c r="K240" s="1160"/>
    </row>
    <row r="241" spans="5:11">
      <c r="E241" s="1158">
        <f ca="1"/>
        <v>2057</v>
      </c>
      <c r="F241" s="1160">
        <f ca="1"/>
        <v>3.6112820128599468E-5</v>
      </c>
      <c r="G241" s="1160">
        <f ca="1"/>
        <v>164587.67201221781</v>
      </c>
      <c r="H241" s="1160">
        <f ca="1"/>
        <v>0</v>
      </c>
      <c r="I241" s="1160"/>
      <c r="J241" s="1160"/>
      <c r="K241" s="1160"/>
    </row>
    <row r="242" spans="5:11">
      <c r="E242" s="1158">
        <f ca="1"/>
        <v>2058</v>
      </c>
      <c r="F242" s="1160">
        <f ca="1"/>
        <v>3.7557332933743447E-5</v>
      </c>
      <c r="G242" s="1160">
        <f ca="1"/>
        <v>32295.178892706521</v>
      </c>
      <c r="H242" s="1160">
        <f ca="1"/>
        <v>0</v>
      </c>
      <c r="I242" s="1160"/>
      <c r="J242" s="1160"/>
      <c r="K242" s="1160"/>
    </row>
    <row r="243" spans="5:11">
      <c r="E243" s="1158">
        <f ca="1"/>
        <v>2059</v>
      </c>
      <c r="F243" s="1160">
        <f ca="1"/>
        <v>3.9059626251093185E-5</v>
      </c>
      <c r="G243" s="1160">
        <f ca="1"/>
        <v>33586.986048414779</v>
      </c>
      <c r="H243" s="1160">
        <f ca="1"/>
        <v>0</v>
      </c>
      <c r="I243" s="1160"/>
      <c r="J243" s="1160"/>
      <c r="K243" s="1160"/>
    </row>
    <row r="244" spans="5:11">
      <c r="E244" s="1158">
        <f ca="1"/>
        <v>2060</v>
      </c>
      <c r="F244" s="1160">
        <f ca="1"/>
        <v>4.0622011301136911E-5</v>
      </c>
      <c r="G244" s="1160">
        <f ca="1"/>
        <v>34930.465490351373</v>
      </c>
      <c r="H244" s="1160">
        <f ca="1"/>
        <v>0</v>
      </c>
      <c r="I244" s="1160"/>
      <c r="J244" s="1160"/>
      <c r="K244" s="1160"/>
    </row>
    <row r="245" spans="5:11">
      <c r="E245" s="1158">
        <f ca="1"/>
        <v>2061</v>
      </c>
      <c r="F245" s="1160">
        <f ca="1"/>
        <v>4.2246891753182387E-5</v>
      </c>
      <c r="G245" s="1160">
        <f ca="1"/>
        <v>36327.684109965427</v>
      </c>
      <c r="H245" s="1160">
        <f ca="1"/>
        <v>0</v>
      </c>
      <c r="I245" s="1160"/>
      <c r="J245" s="1160"/>
      <c r="K245" s="1160"/>
    </row>
    <row r="246" spans="5:11">
      <c r="E246" s="1158">
        <f ca="1"/>
        <v>2062</v>
      </c>
      <c r="F246" s="1160">
        <f ca="1"/>
        <v>4.3936767423309681E-5</v>
      </c>
      <c r="G246" s="1160">
        <f ca="1"/>
        <v>37780.791474364043</v>
      </c>
      <c r="H246" s="1160">
        <f ca="1"/>
        <v>0</v>
      </c>
      <c r="I246" s="1160"/>
      <c r="J246" s="1160"/>
      <c r="K246" s="1160"/>
    </row>
    <row r="247" spans="5:11">
      <c r="E247" s="1158">
        <f ca="1"/>
        <v>2063</v>
      </c>
      <c r="F247" s="1160">
        <f ca="1"/>
        <v>4.5694238120242071E-5</v>
      </c>
      <c r="G247" s="1160">
        <f ca="1"/>
        <v>39292.023133338604</v>
      </c>
      <c r="H247" s="1160">
        <f ca="1"/>
        <v>0</v>
      </c>
      <c r="I247" s="1160"/>
      <c r="J247" s="1160"/>
      <c r="K247" s="1160"/>
    </row>
    <row r="248" spans="5:11">
      <c r="E248" s="1158">
        <f ca="1"/>
        <v>2064</v>
      </c>
      <c r="F248" s="1160">
        <f ca="1"/>
        <v>4.7522007645051757E-5</v>
      </c>
      <c r="G248" s="1160">
        <f ca="1"/>
        <v>40863.704058672149</v>
      </c>
      <c r="H248" s="1160">
        <f ca="1"/>
        <v>0</v>
      </c>
      <c r="I248" s="1160"/>
      <c r="J248" s="1160"/>
      <c r="K248" s="1160"/>
    </row>
    <row r="249" spans="5:11">
      <c r="E249" s="1158">
        <f ca="1"/>
        <v>2065</v>
      </c>
      <c r="F249" s="1160">
        <f ca="1"/>
        <v>4.9422887950853825E-5</v>
      </c>
      <c r="G249" s="1160">
        <f ca="1"/>
        <v>42498.252221019036</v>
      </c>
      <c r="H249" s="1160">
        <f ca="1"/>
        <v>0</v>
      </c>
      <c r="I249" s="1160"/>
      <c r="J249" s="1160"/>
      <c r="K249" s="1160"/>
    </row>
    <row r="250" spans="5:11">
      <c r="E250" s="1158">
        <f ca="1"/>
        <v>2066</v>
      </c>
      <c r="F250" s="1160">
        <f ca="1"/>
        <v>5.139980346888798E-5</v>
      </c>
      <c r="G250" s="1160">
        <f ca="1"/>
        <v>44198.182309859796</v>
      </c>
      <c r="H250" s="1160">
        <f ca="1"/>
        <v>0</v>
      </c>
      <c r="I250" s="1160"/>
      <c r="J250" s="1160"/>
      <c r="K250" s="1160"/>
    </row>
    <row r="251" spans="5:11">
      <c r="E251" s="1158">
        <f ca="1"/>
        <v>2067</v>
      </c>
      <c r="F251" s="1160">
        <f ca="1"/>
        <v>5.3455795607643497E-5</v>
      </c>
      <c r="G251" s="1160">
        <f ca="1"/>
        <v>45966.10960225419</v>
      </c>
      <c r="H251" s="1160">
        <f ca="1"/>
        <v>0</v>
      </c>
      <c r="I251" s="1160"/>
      <c r="J251" s="1160"/>
      <c r="K251" s="1160"/>
    </row>
    <row r="252" spans="5:11">
      <c r="E252" s="1158">
        <f ca="1"/>
        <v>2068</v>
      </c>
      <c r="F252" s="1160">
        <f ca="1"/>
        <v>5.5594027431949239E-5</v>
      </c>
      <c r="G252" s="1160">
        <f ca="1"/>
        <v>47804.75398634436</v>
      </c>
      <c r="H252" s="1160">
        <f ca="1"/>
        <v>0</v>
      </c>
      <c r="I252" s="1160"/>
      <c r="J252" s="1160"/>
      <c r="K252" s="1160"/>
    </row>
    <row r="253" spans="5:11">
      <c r="E253" s="1158">
        <f ca="1"/>
        <v>2069</v>
      </c>
      <c r="F253" s="1160">
        <f ca="1"/>
        <v>5.781778852922721E-5</v>
      </c>
      <c r="G253" s="1160">
        <f ca="1"/>
        <v>49716.944145798137</v>
      </c>
      <c r="H253" s="1160">
        <f ca="1"/>
        <v>0</v>
      </c>
      <c r="I253" s="1160"/>
      <c r="J253" s="1160"/>
      <c r="K253" s="1160"/>
    </row>
    <row r="254" spans="5:11">
      <c r="E254" s="1158">
        <f ca="1"/>
        <v>2070</v>
      </c>
      <c r="F254" s="1160">
        <f ca="1"/>
        <v>6.0130500070396301E-5</v>
      </c>
      <c r="G254" s="1160">
        <f ca="1"/>
        <v>51705.621911630064</v>
      </c>
      <c r="H254" s="1160">
        <f ca="1"/>
        <v>0</v>
      </c>
      <c r="I254" s="1160"/>
      <c r="J254" s="1160"/>
      <c r="K254" s="1160"/>
    </row>
    <row r="255" spans="5:11">
      <c r="E255" s="1158">
        <f ca="1"/>
        <v>2071</v>
      </c>
      <c r="F255" s="1160"/>
      <c r="G255" s="1160"/>
      <c r="H255" s="1160"/>
      <c r="I255" s="1160"/>
      <c r="J255" s="1160"/>
      <c r="K255" s="1160"/>
    </row>
    <row r="256" spans="5:11">
      <c r="E256" s="1158">
        <f ca="1"/>
        <v>2072</v>
      </c>
      <c r="F256" s="1160"/>
      <c r="G256" s="1160"/>
      <c r="H256" s="1160"/>
      <c r="I256" s="1160"/>
      <c r="J256" s="1160"/>
      <c r="K256" s="1160"/>
    </row>
    <row r="257" spans="5:11">
      <c r="E257" s="1158">
        <f ca="1"/>
        <v>2073</v>
      </c>
      <c r="F257" s="1160"/>
      <c r="G257" s="1160"/>
      <c r="H257" s="1160"/>
      <c r="I257" s="1160"/>
      <c r="J257" s="1160"/>
      <c r="K257" s="1160"/>
    </row>
    <row r="258" spans="5:11">
      <c r="E258" s="1158">
        <f ca="1"/>
        <v>2074</v>
      </c>
      <c r="F258" s="1160"/>
      <c r="G258" s="1160"/>
      <c r="H258" s="1160"/>
      <c r="I258" s="1160"/>
      <c r="J258" s="1160"/>
      <c r="K258" s="1160"/>
    </row>
    <row r="259" spans="5:11">
      <c r="E259" s="1158">
        <f ca="1"/>
        <v>2075</v>
      </c>
      <c r="F259" s="1160"/>
      <c r="G259" s="1160"/>
      <c r="H259" s="1160"/>
      <c r="I259" s="1160"/>
      <c r="J259" s="1160"/>
      <c r="K259" s="1160"/>
    </row>
    <row r="260" spans="5:11">
      <c r="E260" s="1158">
        <f ca="1"/>
        <v>2076</v>
      </c>
      <c r="F260" s="1160"/>
      <c r="G260" s="1160"/>
      <c r="H260" s="1160"/>
      <c r="I260" s="1160"/>
      <c r="J260" s="1160"/>
      <c r="K260" s="1160"/>
    </row>
    <row r="261" spans="5:11">
      <c r="E261" s="1158">
        <f ca="1"/>
        <v>2077</v>
      </c>
      <c r="F261" s="1160"/>
      <c r="G261" s="1160"/>
      <c r="H261" s="1160"/>
      <c r="I261" s="1160"/>
      <c r="J261" s="1160"/>
      <c r="K261" s="1160"/>
    </row>
    <row r="262" spans="5:11">
      <c r="E262" s="1158">
        <f ca="1"/>
        <v>2078</v>
      </c>
      <c r="F262" s="1160"/>
      <c r="G262" s="1160"/>
      <c r="H262" s="1160"/>
      <c r="I262" s="1160"/>
      <c r="J262" s="1160"/>
      <c r="K262" s="1160"/>
    </row>
    <row r="263" spans="5:11">
      <c r="E263" s="1158">
        <f ca="1"/>
        <v>2079</v>
      </c>
      <c r="F263" s="1160"/>
      <c r="G263" s="1160"/>
      <c r="H263" s="1160"/>
      <c r="I263" s="1160"/>
      <c r="J263" s="1160"/>
      <c r="K263" s="1160"/>
    </row>
    <row r="264" spans="5:11">
      <c r="E264" s="1158">
        <f ca="1"/>
        <v>2080</v>
      </c>
      <c r="F264" s="1160"/>
      <c r="G264" s="1160"/>
      <c r="H264" s="1160"/>
      <c r="I264" s="1160"/>
      <c r="J264" s="1160"/>
      <c r="K264" s="1160"/>
    </row>
    <row r="265" spans="5:11">
      <c r="E265" s="1158">
        <f ca="1"/>
        <v>2081</v>
      </c>
      <c r="F265" s="1160"/>
      <c r="G265" s="1160"/>
      <c r="H265" s="1160"/>
      <c r="I265" s="1160"/>
      <c r="J265" s="1160"/>
      <c r="K265" s="1160"/>
    </row>
    <row r="266" spans="5:11">
      <c r="E266" s="1158">
        <f ca="1"/>
        <v>2082</v>
      </c>
      <c r="F266" s="1160"/>
      <c r="G266" s="1160"/>
      <c r="H266" s="1160"/>
      <c r="I266" s="1160"/>
      <c r="J266" s="1160"/>
      <c r="K266" s="1160"/>
    </row>
    <row r="267" spans="5:11">
      <c r="E267" s="1158">
        <f ca="1"/>
        <v>2083</v>
      </c>
      <c r="F267" s="1160"/>
      <c r="G267" s="1160"/>
      <c r="H267" s="1160"/>
      <c r="I267" s="1160"/>
      <c r="J267" s="1160"/>
      <c r="K267" s="1160"/>
    </row>
    <row r="268" spans="5:11">
      <c r="E268" s="1158">
        <f ca="1"/>
        <v>2084</v>
      </c>
      <c r="F268" s="1160"/>
      <c r="G268" s="1160"/>
      <c r="H268" s="1160"/>
      <c r="I268" s="1160"/>
      <c r="J268" s="1160"/>
      <c r="K268" s="1160"/>
    </row>
    <row r="269" spans="5:11">
      <c r="E269" s="1158">
        <f ca="1"/>
        <v>2085</v>
      </c>
      <c r="F269" s="1160"/>
      <c r="G269" s="1160"/>
      <c r="H269" s="1160"/>
      <c r="I269" s="1160"/>
      <c r="J269" s="1160"/>
      <c r="K269" s="1160"/>
    </row>
    <row r="270" spans="5:11">
      <c r="E270" s="1158">
        <f ca="1"/>
        <v>2086</v>
      </c>
      <c r="F270" s="1160"/>
      <c r="G270" s="1160"/>
      <c r="H270" s="1160"/>
      <c r="I270" s="1160"/>
      <c r="J270" s="1160"/>
      <c r="K270" s="1160"/>
    </row>
    <row r="271" spans="5:11">
      <c r="E271" s="1158">
        <f ca="1"/>
        <v>2087</v>
      </c>
      <c r="F271" s="1160"/>
      <c r="G271" s="1160"/>
      <c r="H271" s="1160"/>
      <c r="I271" s="1160"/>
      <c r="J271" s="1160"/>
      <c r="K271" s="1160"/>
    </row>
    <row r="272" spans="5:11">
      <c r="E272" s="1158">
        <f ca="1"/>
        <v>2088</v>
      </c>
      <c r="F272" s="1160"/>
      <c r="G272" s="1160"/>
      <c r="H272" s="1160"/>
      <c r="I272" s="1160"/>
      <c r="J272" s="1160"/>
      <c r="K272" s="1160"/>
    </row>
    <row r="273" spans="5:11">
      <c r="E273" s="1158">
        <f ca="1"/>
        <v>2089</v>
      </c>
      <c r="F273" s="1160"/>
      <c r="G273" s="1160"/>
      <c r="H273" s="1160"/>
      <c r="I273" s="1160"/>
      <c r="J273" s="1160"/>
      <c r="K273" s="1160"/>
    </row>
    <row r="274" spans="5:11">
      <c r="E274" s="1158">
        <f ca="1"/>
        <v>2090</v>
      </c>
      <c r="F274" s="1160"/>
      <c r="G274" s="1160"/>
      <c r="H274" s="1160"/>
      <c r="I274" s="1160"/>
      <c r="J274" s="1160"/>
      <c r="K274" s="1160"/>
    </row>
    <row r="275" spans="5:11">
      <c r="E275" s="1158">
        <f ca="1"/>
        <v>2091</v>
      </c>
      <c r="F275" s="1160"/>
      <c r="G275" s="1160"/>
      <c r="H275" s="1160"/>
      <c r="I275" s="1160"/>
      <c r="J275" s="1160"/>
      <c r="K275" s="1160"/>
    </row>
    <row r="276" spans="5:11">
      <c r="E276" s="1158">
        <f ca="1"/>
        <v>2092</v>
      </c>
      <c r="F276" s="1160"/>
      <c r="G276" s="1160"/>
      <c r="H276" s="1160"/>
      <c r="I276" s="1160"/>
      <c r="J276" s="1160"/>
      <c r="K276" s="1160"/>
    </row>
    <row r="277" spans="5:11">
      <c r="E277" s="1158">
        <f ca="1"/>
        <v>2093</v>
      </c>
      <c r="F277" s="1160"/>
      <c r="G277" s="1160"/>
      <c r="H277" s="1160"/>
      <c r="I277" s="1160"/>
      <c r="J277" s="1160"/>
      <c r="K277" s="1160"/>
    </row>
    <row r="278" spans="5:11">
      <c r="E278" s="1158">
        <f ca="1"/>
        <v>2094</v>
      </c>
      <c r="F278" s="1160"/>
      <c r="G278" s="1160"/>
      <c r="H278" s="1160"/>
      <c r="I278" s="1160"/>
      <c r="J278" s="1160"/>
      <c r="K278" s="1160"/>
    </row>
    <row r="279" spans="5:11">
      <c r="E279" s="1158">
        <f ca="1"/>
        <v>2095</v>
      </c>
      <c r="F279" s="1160"/>
      <c r="G279" s="1160"/>
      <c r="H279" s="1160"/>
      <c r="I279" s="1160"/>
      <c r="J279" s="1160"/>
      <c r="K279" s="1160"/>
    </row>
    <row r="280" spans="5:11">
      <c r="E280" s="1158">
        <f ca="1"/>
        <v>2096</v>
      </c>
      <c r="F280" s="1160"/>
      <c r="G280" s="1160"/>
      <c r="H280" s="1160"/>
      <c r="I280" s="1160"/>
      <c r="J280" s="1160"/>
      <c r="K280" s="1160"/>
    </row>
    <row r="281" spans="5:11">
      <c r="E281" s="1158">
        <f ca="1"/>
        <v>2097</v>
      </c>
      <c r="F281" s="1160"/>
      <c r="G281" s="1160"/>
      <c r="H281" s="1160"/>
      <c r="I281" s="1160"/>
      <c r="J281" s="1160"/>
      <c r="K281" s="1160"/>
    </row>
    <row r="282" spans="5:11">
      <c r="E282" s="1158">
        <f ca="1"/>
        <v>2098</v>
      </c>
      <c r="F282" s="1160"/>
      <c r="G282" s="1160"/>
      <c r="H282" s="1160"/>
      <c r="I282" s="1160"/>
      <c r="J282" s="1160"/>
      <c r="K282" s="1160"/>
    </row>
    <row r="283" spans="5:11">
      <c r="E283" s="1158">
        <f ca="1"/>
        <v>2099</v>
      </c>
      <c r="F283" s="1160"/>
      <c r="G283" s="1160"/>
      <c r="H283" s="1160"/>
      <c r="I283" s="1160"/>
      <c r="J283" s="1160"/>
      <c r="K283" s="1160"/>
    </row>
    <row r="284" spans="5:11">
      <c r="E284" s="1158">
        <f ca="1"/>
        <v>2100</v>
      </c>
      <c r="F284" s="1160"/>
      <c r="G284" s="1160"/>
      <c r="H284" s="1160"/>
      <c r="I284" s="1160"/>
      <c r="J284" s="1160"/>
      <c r="K284" s="1160"/>
    </row>
    <row r="285" spans="5:11">
      <c r="E285" s="1158">
        <f ca="1"/>
        <v>2101</v>
      </c>
      <c r="F285" s="1160"/>
      <c r="G285" s="1160"/>
      <c r="H285" s="1160"/>
      <c r="I285" s="1160"/>
      <c r="J285" s="1160"/>
      <c r="K285" s="1160"/>
    </row>
    <row r="286" spans="5:11">
      <c r="E286" s="1158">
        <f ca="1"/>
        <v>2102</v>
      </c>
      <c r="F286" s="1160"/>
      <c r="G286" s="1160"/>
      <c r="H286" s="1160"/>
      <c r="I286" s="1160"/>
      <c r="J286" s="1160"/>
      <c r="K286" s="1160"/>
    </row>
    <row r="287" spans="5:11">
      <c r="E287" s="1158">
        <f ca="1"/>
        <v>2103</v>
      </c>
      <c r="F287" s="1160"/>
      <c r="G287" s="1160"/>
      <c r="H287" s="1160"/>
      <c r="I287" s="1160"/>
      <c r="J287" s="1160"/>
      <c r="K287" s="1160"/>
    </row>
    <row r="288" spans="5:11">
      <c r="E288" s="1158">
        <f ca="1"/>
        <v>2104</v>
      </c>
      <c r="F288" s="1160"/>
      <c r="G288" s="1160"/>
      <c r="H288" s="1160"/>
      <c r="I288" s="1160"/>
      <c r="J288" s="1160"/>
      <c r="K288" s="1160"/>
    </row>
    <row r="289" spans="5:11">
      <c r="E289" s="1158">
        <f ca="1"/>
        <v>2105</v>
      </c>
      <c r="F289" s="1160"/>
      <c r="G289" s="1160"/>
      <c r="H289" s="1160"/>
      <c r="I289" s="1160"/>
      <c r="J289" s="1160"/>
      <c r="K289" s="1160"/>
    </row>
    <row r="290" spans="5:11">
      <c r="E290" s="1158">
        <f ca="1"/>
        <v>2106</v>
      </c>
      <c r="F290" s="1160"/>
      <c r="G290" s="1160"/>
      <c r="H290" s="1160"/>
      <c r="I290" s="1160"/>
      <c r="J290" s="1160"/>
      <c r="K290" s="1160"/>
    </row>
    <row r="291" spans="5:11">
      <c r="E291" s="1158">
        <f ca="1"/>
        <v>2107</v>
      </c>
      <c r="F291" s="1160"/>
      <c r="G291" s="1160"/>
      <c r="H291" s="1160"/>
      <c r="I291" s="1160"/>
      <c r="J291" s="1160"/>
      <c r="K291" s="1160"/>
    </row>
    <row r="292" spans="5:11">
      <c r="E292" s="1158">
        <f ca="1"/>
        <v>2108</v>
      </c>
      <c r="F292" s="1160"/>
      <c r="G292" s="1160"/>
      <c r="H292" s="1160"/>
      <c r="I292" s="1160"/>
      <c r="J292" s="1160"/>
      <c r="K292" s="1160"/>
    </row>
    <row r="293" spans="5:11">
      <c r="E293" s="1158">
        <f ca="1"/>
        <v>2109</v>
      </c>
      <c r="F293" s="1160"/>
      <c r="G293" s="1160"/>
      <c r="H293" s="1160"/>
      <c r="I293" s="1160"/>
      <c r="J293" s="1160"/>
      <c r="K293" s="1160"/>
    </row>
    <row r="294" spans="5:11">
      <c r="E294" s="1158">
        <f ca="1"/>
        <v>2110</v>
      </c>
      <c r="F294" s="1160"/>
      <c r="G294" s="1160"/>
      <c r="H294" s="1160"/>
      <c r="I294" s="1160"/>
      <c r="J294" s="1160"/>
      <c r="K294" s="1160"/>
    </row>
    <row r="295" spans="5:11">
      <c r="E295" s="1158">
        <f ca="1"/>
        <v>2111</v>
      </c>
      <c r="F295" s="1160"/>
      <c r="G295" s="1160"/>
      <c r="H295" s="1160"/>
      <c r="I295" s="1160"/>
      <c r="J295" s="1160"/>
      <c r="K295" s="1160"/>
    </row>
    <row r="296" spans="5:11">
      <c r="E296" s="1158">
        <f ca="1"/>
        <v>2112</v>
      </c>
      <c r="F296" s="1160"/>
      <c r="G296" s="1160"/>
      <c r="H296" s="1160"/>
      <c r="I296" s="1160"/>
      <c r="J296" s="1160"/>
      <c r="K296" s="1160"/>
    </row>
    <row r="297" spans="5:11">
      <c r="E297" s="1158">
        <f ca="1"/>
        <v>2113</v>
      </c>
      <c r="F297" s="1160"/>
      <c r="G297" s="1160"/>
      <c r="H297" s="1160"/>
      <c r="I297" s="1160"/>
      <c r="J297" s="1160"/>
      <c r="K297" s="1160"/>
    </row>
    <row r="298" spans="5:11">
      <c r="E298" s="1158">
        <f ca="1"/>
        <v>2114</v>
      </c>
      <c r="F298" s="1160"/>
      <c r="G298" s="1160"/>
      <c r="H298" s="1160"/>
      <c r="I298" s="1160"/>
      <c r="J298" s="1160"/>
      <c r="K298" s="1160"/>
    </row>
    <row r="299" spans="5:11">
      <c r="E299" s="1158">
        <f ca="1"/>
        <v>2115</v>
      </c>
      <c r="F299" s="1160"/>
      <c r="G299" s="1160"/>
      <c r="H299" s="1160"/>
      <c r="I299" s="1160"/>
      <c r="J299" s="1160"/>
      <c r="K299" s="1160"/>
    </row>
    <row r="300" spans="5:11">
      <c r="E300" s="1158">
        <f ca="1"/>
        <v>2116</v>
      </c>
      <c r="F300" s="1160"/>
      <c r="G300" s="1160"/>
      <c r="H300" s="1160"/>
      <c r="I300" s="1160"/>
      <c r="J300" s="1160"/>
      <c r="K300" s="1160"/>
    </row>
    <row r="301" spans="5:11">
      <c r="E301" s="1158">
        <f ca="1"/>
        <v>2117</v>
      </c>
      <c r="F301" s="1160"/>
      <c r="G301" s="1160"/>
      <c r="H301" s="1160"/>
      <c r="I301" s="1160"/>
      <c r="J301" s="1160"/>
      <c r="K301" s="1160"/>
    </row>
    <row r="302" spans="5:11">
      <c r="E302" s="1158">
        <f ca="1"/>
        <v>2118</v>
      </c>
      <c r="F302" s="1160"/>
      <c r="G302" s="1160"/>
      <c r="H302" s="1160"/>
      <c r="I302" s="1160"/>
      <c r="J302" s="1160"/>
      <c r="K302" s="1160"/>
    </row>
    <row r="303" spans="5:11">
      <c r="E303" s="1158">
        <f ca="1"/>
        <v>2119</v>
      </c>
      <c r="F303" s="1160"/>
      <c r="G303" s="1160"/>
      <c r="H303" s="1160"/>
      <c r="I303" s="1160"/>
      <c r="J303" s="1160"/>
      <c r="K303" s="1160"/>
    </row>
    <row r="304" spans="5:11">
      <c r="E304" s="1158">
        <f ca="1"/>
        <v>2120</v>
      </c>
      <c r="F304" s="1160"/>
      <c r="G304" s="1160"/>
      <c r="H304" s="1160"/>
      <c r="I304" s="1160"/>
      <c r="J304" s="1160"/>
      <c r="K304" s="1160"/>
    </row>
    <row r="305" spans="5:11">
      <c r="E305" s="1158">
        <f ca="1"/>
        <v>2121</v>
      </c>
      <c r="F305" s="1160"/>
      <c r="G305" s="1160"/>
      <c r="H305" s="1160"/>
      <c r="I305" s="1160"/>
      <c r="J305" s="1160"/>
      <c r="K305" s="1160"/>
    </row>
    <row r="306" spans="5:11">
      <c r="E306" s="1158">
        <f ca="1"/>
        <v>2122</v>
      </c>
      <c r="F306" s="1160"/>
      <c r="G306" s="1160"/>
      <c r="H306" s="1160"/>
      <c r="I306" s="1160"/>
      <c r="J306" s="1160"/>
      <c r="K306" s="1160"/>
    </row>
    <row r="307" spans="5:11">
      <c r="E307" s="1158">
        <f ca="1"/>
        <v>2123</v>
      </c>
      <c r="F307" s="1160"/>
      <c r="G307" s="1160"/>
      <c r="H307" s="1160"/>
      <c r="I307" s="1160"/>
      <c r="J307" s="1160"/>
      <c r="K307" s="1160"/>
    </row>
    <row r="308" spans="5:11">
      <c r="E308" s="1158">
        <f ca="1"/>
        <v>2124</v>
      </c>
      <c r="F308" s="1160"/>
      <c r="G308" s="1160"/>
      <c r="H308" s="1160"/>
      <c r="I308" s="1160"/>
      <c r="J308" s="1160"/>
      <c r="K308" s="1160"/>
    </row>
    <row r="309" spans="5:11">
      <c r="E309" s="1158">
        <f ca="1"/>
        <v>2125</v>
      </c>
      <c r="F309" s="1160"/>
      <c r="G309" s="1160"/>
      <c r="H309" s="1160"/>
      <c r="I309" s="1160"/>
      <c r="J309" s="1160"/>
      <c r="K309" s="1160"/>
    </row>
    <row r="310" spans="5:11">
      <c r="E310" s="1158">
        <f ca="1"/>
        <v>2126</v>
      </c>
      <c r="F310" s="1160"/>
      <c r="G310" s="1160"/>
      <c r="H310" s="1160"/>
      <c r="I310" s="1160"/>
      <c r="J310" s="1160"/>
      <c r="K310" s="1160"/>
    </row>
    <row r="311" spans="5:11">
      <c r="E311" s="1158">
        <f ca="1"/>
        <v>2127</v>
      </c>
      <c r="F311" s="1160"/>
      <c r="G311" s="1160"/>
      <c r="H311" s="1160"/>
      <c r="I311" s="1160"/>
      <c r="J311" s="1160"/>
      <c r="K311" s="1160"/>
    </row>
    <row r="312" spans="5:11">
      <c r="E312" s="1158">
        <f ca="1"/>
        <v>2128</v>
      </c>
      <c r="F312" s="1160"/>
      <c r="G312" s="1160"/>
      <c r="H312" s="1160"/>
      <c r="I312" s="1160"/>
      <c r="J312" s="1160"/>
      <c r="K312" s="1160"/>
    </row>
    <row r="313" spans="5:11">
      <c r="E313" s="1158">
        <f ca="1"/>
        <v>2129</v>
      </c>
      <c r="F313" s="1160"/>
      <c r="G313" s="1160"/>
      <c r="H313" s="1160"/>
      <c r="I313" s="1160"/>
      <c r="J313" s="1160"/>
      <c r="K313" s="1160"/>
    </row>
    <row r="314" spans="5:11">
      <c r="E314" s="1158">
        <f ca="1"/>
        <v>2130</v>
      </c>
      <c r="F314" s="1160"/>
      <c r="G314" s="1160"/>
      <c r="H314" s="1160"/>
      <c r="I314" s="1160"/>
      <c r="J314" s="1160"/>
      <c r="K314" s="1160"/>
    </row>
    <row r="315" spans="5:11">
      <c r="E315" s="1158">
        <f ca="1"/>
        <v>2131</v>
      </c>
      <c r="F315" s="1160"/>
      <c r="G315" s="1160"/>
      <c r="H315" s="1160"/>
      <c r="I315" s="1160"/>
      <c r="J315" s="1160"/>
      <c r="K315" s="1160"/>
    </row>
    <row r="316" spans="5:11">
      <c r="E316" s="1158">
        <f ca="1"/>
        <v>2132</v>
      </c>
      <c r="F316" s="1160"/>
      <c r="G316" s="1160"/>
      <c r="H316" s="1160"/>
      <c r="I316" s="1160"/>
      <c r="J316" s="1160"/>
      <c r="K316" s="1160"/>
    </row>
    <row r="317" spans="5:11">
      <c r="E317" s="1158">
        <f ca="1"/>
        <v>2133</v>
      </c>
      <c r="F317" s="1160"/>
      <c r="G317" s="1160"/>
      <c r="H317" s="1160"/>
      <c r="I317" s="1160"/>
      <c r="J317" s="1160"/>
      <c r="K317" s="1160"/>
    </row>
    <row r="318" spans="5:11">
      <c r="E318" s="1158">
        <f ca="1"/>
        <v>2134</v>
      </c>
      <c r="F318" s="1160"/>
      <c r="G318" s="1160"/>
      <c r="H318" s="1160"/>
      <c r="I318" s="1160"/>
      <c r="J318" s="1160"/>
      <c r="K318" s="1160"/>
    </row>
    <row r="319" spans="5:11">
      <c r="E319" s="1158">
        <f ca="1"/>
        <v>2135</v>
      </c>
      <c r="F319" s="1160"/>
      <c r="G319" s="1160"/>
      <c r="H319" s="1160"/>
      <c r="I319" s="1160"/>
      <c r="J319" s="1160"/>
      <c r="K319" s="1160"/>
    </row>
    <row r="320" spans="5:11">
      <c r="E320" s="1158">
        <f ca="1"/>
        <v>2136</v>
      </c>
      <c r="F320" s="1160"/>
      <c r="G320" s="1160"/>
      <c r="H320" s="1160"/>
      <c r="I320" s="1160"/>
      <c r="J320" s="1160"/>
      <c r="K320" s="1160"/>
    </row>
    <row r="321" spans="5:11">
      <c r="E321" s="1158">
        <f ca="1"/>
        <v>2137</v>
      </c>
      <c r="F321" s="1160"/>
      <c r="G321" s="1160"/>
      <c r="H321" s="1160"/>
      <c r="I321" s="1160"/>
      <c r="J321" s="1160"/>
      <c r="K321" s="1160"/>
    </row>
    <row r="322" spans="5:11">
      <c r="E322" s="1158">
        <f ca="1"/>
        <v>2138</v>
      </c>
      <c r="F322" s="1160"/>
      <c r="G322" s="1160"/>
      <c r="H322" s="1160"/>
      <c r="I322" s="1160"/>
      <c r="J322" s="1160"/>
      <c r="K322" s="1160"/>
    </row>
    <row r="323" spans="5:11">
      <c r="E323" s="1158">
        <f ca="1"/>
        <v>2139</v>
      </c>
      <c r="F323" s="1160"/>
      <c r="G323" s="1160"/>
      <c r="H323" s="1160"/>
      <c r="I323" s="1160"/>
      <c r="J323" s="1160"/>
      <c r="K323" s="1160"/>
    </row>
    <row r="324" spans="5:11">
      <c r="E324" s="1158">
        <f ca="1"/>
        <v>2140</v>
      </c>
      <c r="F324" s="1160"/>
      <c r="G324" s="1160"/>
      <c r="H324" s="1160"/>
      <c r="I324" s="1160"/>
      <c r="J324" s="1160"/>
      <c r="K324" s="1160"/>
    </row>
    <row r="325" spans="5:11">
      <c r="E325" s="1158">
        <f ca="1"/>
        <v>2141</v>
      </c>
      <c r="F325" s="1160"/>
      <c r="G325" s="1160"/>
      <c r="H325" s="1160"/>
      <c r="I325" s="1160"/>
      <c r="J325" s="1160"/>
      <c r="K325" s="1160"/>
    </row>
    <row r="326" spans="5:11">
      <c r="E326" s="1158">
        <f ca="1"/>
        <v>2142</v>
      </c>
      <c r="F326" s="1160"/>
      <c r="G326" s="1160"/>
      <c r="H326" s="1160"/>
      <c r="I326" s="1160"/>
      <c r="J326" s="1160"/>
      <c r="K326" s="1160"/>
    </row>
    <row r="327" spans="5:11">
      <c r="E327" s="1158">
        <f ca="1"/>
        <v>2143</v>
      </c>
      <c r="F327" s="1160"/>
      <c r="G327" s="1160"/>
      <c r="H327" s="1160"/>
      <c r="I327" s="1160"/>
      <c r="J327" s="1160"/>
      <c r="K327" s="1160"/>
    </row>
    <row r="328" spans="5:11">
      <c r="E328" s="1158">
        <f ca="1"/>
        <v>2144</v>
      </c>
      <c r="F328" s="1160"/>
      <c r="G328" s="1160"/>
      <c r="H328" s="1160"/>
      <c r="I328" s="1160"/>
      <c r="J328" s="1160"/>
      <c r="K328" s="1160"/>
    </row>
    <row r="329" spans="5:11">
      <c r="E329" s="1158">
        <f ca="1"/>
        <v>2145</v>
      </c>
      <c r="F329" s="1160"/>
      <c r="G329" s="1160"/>
      <c r="H329" s="1160"/>
      <c r="I329" s="1160"/>
      <c r="J329" s="1160"/>
      <c r="K329" s="1160"/>
    </row>
    <row r="330" spans="5:11">
      <c r="E330" s="1158">
        <f ca="1"/>
        <v>2146</v>
      </c>
      <c r="F330" s="1160"/>
      <c r="G330" s="1160"/>
      <c r="H330" s="1160"/>
      <c r="I330" s="1160"/>
      <c r="J330" s="1160"/>
      <c r="K330" s="1160"/>
    </row>
    <row r="331" spans="5:11" ht="17" customHeight="1">
      <c r="E331" s="1158">
        <f ca="1"/>
        <v>0</v>
      </c>
      <c r="F331" s="1160"/>
      <c r="G331" s="1160"/>
      <c r="H331" s="1160"/>
      <c r="I331" s="1160"/>
      <c r="J331" s="1160"/>
    </row>
    <row r="332" spans="5:11">
      <c r="F332" s="1160">
        <f t="shared" ref="F332:K332" ca="1" si="17">SUM(F206:F331)</f>
        <v>16949789.13019073</v>
      </c>
      <c r="G332" s="1160">
        <f t="shared" ca="1" si="17"/>
        <v>9337391.2237763256</v>
      </c>
      <c r="H332" s="1160">
        <f t="shared" ca="1" si="17"/>
        <v>16315303.194799867</v>
      </c>
      <c r="I332" s="1160">
        <f t="shared" si="17"/>
        <v>0</v>
      </c>
      <c r="J332" s="1160">
        <f t="shared" si="17"/>
        <v>0</v>
      </c>
      <c r="K332" s="1160">
        <f t="shared" si="17"/>
        <v>0</v>
      </c>
    </row>
    <row r="343" spans="1:43">
      <c r="A343" s="1346" t="s">
        <v>2174</v>
      </c>
      <c r="B343" s="1346" t="s">
        <v>2175</v>
      </c>
    </row>
    <row r="344" spans="1:43">
      <c r="A344" s="1158">
        <v>5</v>
      </c>
      <c r="B344" s="1158" t="str">
        <f>HLOOKUP(A344,A346:AP347,2)</f>
        <v>E</v>
      </c>
    </row>
    <row r="346" spans="1:43" s="1158" customFormat="1" ht="17" customHeight="1">
      <c r="A346" s="1158">
        <v>1</v>
      </c>
      <c r="B346" s="1158">
        <f>A346+1</f>
        <v>2</v>
      </c>
      <c r="C346" s="1158">
        <f t="shared" ref="C346:AP346" si="18">B346+1</f>
        <v>3</v>
      </c>
      <c r="D346" s="1158">
        <f t="shared" si="18"/>
        <v>4</v>
      </c>
      <c r="E346" s="1158">
        <f t="shared" si="18"/>
        <v>5</v>
      </c>
      <c r="F346" s="1158">
        <f t="shared" si="18"/>
        <v>6</v>
      </c>
      <c r="G346" s="1158">
        <f t="shared" si="18"/>
        <v>7</v>
      </c>
      <c r="H346" s="1158">
        <f t="shared" si="18"/>
        <v>8</v>
      </c>
      <c r="I346" s="1158">
        <f t="shared" si="18"/>
        <v>9</v>
      </c>
      <c r="J346" s="1158">
        <f t="shared" si="18"/>
        <v>10</v>
      </c>
      <c r="K346" s="1158">
        <f t="shared" si="18"/>
        <v>11</v>
      </c>
      <c r="L346" s="1158">
        <f t="shared" si="18"/>
        <v>12</v>
      </c>
      <c r="M346" s="1158">
        <f t="shared" si="18"/>
        <v>13</v>
      </c>
      <c r="N346" s="1158">
        <f t="shared" si="18"/>
        <v>14</v>
      </c>
      <c r="O346" s="1158">
        <f t="shared" si="18"/>
        <v>15</v>
      </c>
      <c r="P346" s="1158">
        <f t="shared" si="18"/>
        <v>16</v>
      </c>
      <c r="Q346" s="1158">
        <f t="shared" si="18"/>
        <v>17</v>
      </c>
      <c r="R346" s="1158">
        <f t="shared" si="18"/>
        <v>18</v>
      </c>
      <c r="S346" s="1158">
        <f t="shared" si="18"/>
        <v>19</v>
      </c>
      <c r="T346" s="1158">
        <f t="shared" si="18"/>
        <v>20</v>
      </c>
      <c r="U346" s="1158">
        <f t="shared" si="18"/>
        <v>21</v>
      </c>
      <c r="V346" s="1158">
        <f t="shared" si="18"/>
        <v>22</v>
      </c>
      <c r="W346" s="1158">
        <f t="shared" si="18"/>
        <v>23</v>
      </c>
      <c r="X346" s="1158">
        <f t="shared" si="18"/>
        <v>24</v>
      </c>
      <c r="Y346" s="1158">
        <f t="shared" si="18"/>
        <v>25</v>
      </c>
      <c r="Z346" s="1158">
        <f t="shared" si="18"/>
        <v>26</v>
      </c>
      <c r="AA346" s="1158">
        <f t="shared" si="18"/>
        <v>27</v>
      </c>
      <c r="AB346" s="1158">
        <f t="shared" si="18"/>
        <v>28</v>
      </c>
      <c r="AC346" s="1158">
        <f t="shared" si="18"/>
        <v>29</v>
      </c>
      <c r="AD346" s="1158">
        <f t="shared" si="18"/>
        <v>30</v>
      </c>
      <c r="AE346" s="1158">
        <f t="shared" si="18"/>
        <v>31</v>
      </c>
      <c r="AF346" s="1158">
        <f t="shared" si="18"/>
        <v>32</v>
      </c>
      <c r="AG346" s="1158">
        <f t="shared" si="18"/>
        <v>33</v>
      </c>
      <c r="AH346" s="1158">
        <f t="shared" si="18"/>
        <v>34</v>
      </c>
      <c r="AI346" s="1158">
        <f t="shared" si="18"/>
        <v>35</v>
      </c>
      <c r="AJ346" s="1158">
        <f t="shared" si="18"/>
        <v>36</v>
      </c>
      <c r="AK346" s="1158">
        <f t="shared" si="18"/>
        <v>37</v>
      </c>
      <c r="AL346" s="1158">
        <f t="shared" si="18"/>
        <v>38</v>
      </c>
      <c r="AM346" s="1158">
        <f t="shared" si="18"/>
        <v>39</v>
      </c>
      <c r="AN346" s="1158">
        <f t="shared" si="18"/>
        <v>40</v>
      </c>
      <c r="AO346" s="1158">
        <f t="shared" si="18"/>
        <v>41</v>
      </c>
      <c r="AP346" s="1158">
        <f t="shared" si="18"/>
        <v>42</v>
      </c>
    </row>
    <row r="347" spans="1:43" s="1158" customFormat="1">
      <c r="A347" s="1346" t="s">
        <v>2173</v>
      </c>
      <c r="B347" s="1346" t="s">
        <v>2170</v>
      </c>
      <c r="C347" s="1346" t="s">
        <v>546</v>
      </c>
      <c r="D347" s="1346" t="s">
        <v>538</v>
      </c>
      <c r="E347" s="1346" t="s">
        <v>455</v>
      </c>
      <c r="F347" s="1346" t="s">
        <v>541</v>
      </c>
      <c r="G347" s="1346" t="s">
        <v>539</v>
      </c>
      <c r="H347" s="1346" t="s">
        <v>548</v>
      </c>
      <c r="I347" s="1346" t="s">
        <v>449</v>
      </c>
      <c r="J347" s="1346" t="s">
        <v>545</v>
      </c>
      <c r="K347" s="1346" t="s">
        <v>550</v>
      </c>
      <c r="L347" s="1346" t="s">
        <v>450</v>
      </c>
      <c r="M347" s="1346" t="s">
        <v>542</v>
      </c>
      <c r="N347" s="1346" t="s">
        <v>43</v>
      </c>
      <c r="O347" s="1346" t="s">
        <v>543</v>
      </c>
      <c r="P347" s="1346" t="s">
        <v>568</v>
      </c>
      <c r="Q347" s="1346" t="s">
        <v>2171</v>
      </c>
      <c r="R347" s="1346" t="s">
        <v>547</v>
      </c>
      <c r="S347" s="1346" t="s">
        <v>481</v>
      </c>
      <c r="T347" s="1346" t="s">
        <v>477</v>
      </c>
      <c r="U347" s="1346" t="s">
        <v>480</v>
      </c>
      <c r="V347" s="1346" t="s">
        <v>2106</v>
      </c>
      <c r="W347" s="1346" t="s">
        <v>448</v>
      </c>
      <c r="X347" s="1346" t="s">
        <v>2107</v>
      </c>
      <c r="Y347" s="1346" t="s">
        <v>42</v>
      </c>
      <c r="Z347" s="1346" t="s">
        <v>2108</v>
      </c>
      <c r="AA347" s="1346" t="s">
        <v>436</v>
      </c>
      <c r="AB347" s="1346" t="s">
        <v>475</v>
      </c>
      <c r="AC347" s="1346" t="s">
        <v>2109</v>
      </c>
      <c r="AD347" s="1346" t="s">
        <v>478</v>
      </c>
      <c r="AE347" s="1346" t="s">
        <v>2110</v>
      </c>
      <c r="AF347" s="1346" t="s">
        <v>2111</v>
      </c>
      <c r="AG347" s="1346" t="s">
        <v>2112</v>
      </c>
      <c r="AH347" s="1346" t="s">
        <v>437</v>
      </c>
      <c r="AI347" s="1346" t="s">
        <v>2113</v>
      </c>
      <c r="AJ347" s="1346" t="s">
        <v>2114</v>
      </c>
      <c r="AK347" s="1346" t="s">
        <v>97</v>
      </c>
      <c r="AL347" s="1346" t="s">
        <v>96</v>
      </c>
      <c r="AM347" s="1346" t="s">
        <v>1387</v>
      </c>
      <c r="AN347" s="1346" t="s">
        <v>2115</v>
      </c>
      <c r="AO347" s="1346" t="s">
        <v>549</v>
      </c>
      <c r="AP347" s="1346" t="s">
        <v>2172</v>
      </c>
    </row>
    <row r="349" spans="1:43" s="1158" customFormat="1">
      <c r="B349" s="1158" cm="1">
        <f t="array" aca="1" ref="B349:AP349" ca="1">TRANSPOSE(Investments!E7:E47)</f>
        <v>2022</v>
      </c>
      <c r="C349" s="1158">
        <f ca="1"/>
        <v>2023</v>
      </c>
      <c r="D349" s="1347">
        <f ca="1"/>
        <v>2024</v>
      </c>
      <c r="E349" s="1347">
        <f ca="1"/>
        <v>2025</v>
      </c>
      <c r="F349" s="1347">
        <f ca="1"/>
        <v>2026</v>
      </c>
      <c r="G349" s="1347">
        <f ca="1"/>
        <v>2027</v>
      </c>
      <c r="H349" s="1347">
        <f ca="1"/>
        <v>2028</v>
      </c>
      <c r="I349" s="1347">
        <f ca="1"/>
        <v>2029</v>
      </c>
      <c r="J349" s="1347">
        <f ca="1"/>
        <v>2030</v>
      </c>
      <c r="K349" s="1347">
        <f ca="1"/>
        <v>2031</v>
      </c>
      <c r="L349" s="1347">
        <f ca="1"/>
        <v>2032</v>
      </c>
      <c r="M349" s="1347">
        <f ca="1"/>
        <v>2033</v>
      </c>
      <c r="N349" s="1347">
        <f ca="1"/>
        <v>2034</v>
      </c>
      <c r="O349" s="1347">
        <f ca="1"/>
        <v>2035</v>
      </c>
      <c r="P349" s="1347">
        <f ca="1"/>
        <v>2036</v>
      </c>
      <c r="Q349" s="1347">
        <f ca="1"/>
        <v>2037</v>
      </c>
      <c r="R349" s="1347">
        <f ca="1"/>
        <v>2038</v>
      </c>
      <c r="S349" s="1347">
        <f ca="1"/>
        <v>2039</v>
      </c>
      <c r="T349" s="1158">
        <f ca="1"/>
        <v>2040</v>
      </c>
      <c r="U349" s="1158">
        <f ca="1"/>
        <v>2041</v>
      </c>
      <c r="V349" s="1158">
        <f ca="1"/>
        <v>2042</v>
      </c>
      <c r="W349" s="1158">
        <f ca="1"/>
        <v>2043</v>
      </c>
      <c r="X349" s="1158">
        <f ca="1"/>
        <v>2044</v>
      </c>
      <c r="Y349" s="1158">
        <f ca="1"/>
        <v>2045</v>
      </c>
      <c r="Z349" s="1158">
        <f ca="1"/>
        <v>2046</v>
      </c>
      <c r="AA349" s="1158">
        <f ca="1"/>
        <v>2047</v>
      </c>
      <c r="AB349" s="1158">
        <f ca="1"/>
        <v>2048</v>
      </c>
      <c r="AC349" s="1158">
        <f ca="1"/>
        <v>2049</v>
      </c>
      <c r="AD349" s="1158">
        <f ca="1"/>
        <v>2050</v>
      </c>
      <c r="AE349" s="1158">
        <f ca="1"/>
        <v>2051</v>
      </c>
      <c r="AF349" s="1158">
        <f ca="1"/>
        <v>2052</v>
      </c>
      <c r="AG349" s="1158">
        <f ca="1"/>
        <v>2053</v>
      </c>
      <c r="AH349" s="1158">
        <f ca="1"/>
        <v>2054</v>
      </c>
      <c r="AI349" s="1158">
        <f ca="1"/>
        <v>2055</v>
      </c>
      <c r="AJ349" s="1158">
        <f ca="1"/>
        <v>2056</v>
      </c>
      <c r="AK349" s="1158">
        <f ca="1"/>
        <v>2057</v>
      </c>
      <c r="AL349" s="1158">
        <f ca="1"/>
        <v>2058</v>
      </c>
      <c r="AM349" s="1158">
        <f ca="1"/>
        <v>2059</v>
      </c>
      <c r="AN349" s="1158">
        <f ca="1"/>
        <v>2060</v>
      </c>
      <c r="AO349" s="1158">
        <f ca="1"/>
        <v>2061</v>
      </c>
      <c r="AP349" s="1158">
        <f ca="1"/>
        <v>2062</v>
      </c>
    </row>
    <row r="350" spans="1:43">
      <c r="A350" s="1152" t="str" cm="1">
        <f t="array" ref="A350:E350">TRANSPOSE(Investments!BG6:BG10)</f>
        <v>Jon</v>
      </c>
      <c r="B350" s="1160">
        <v>250000</v>
      </c>
      <c r="C350" s="1160">
        <v>265750</v>
      </c>
      <c r="D350" s="1160">
        <v>282366.25</v>
      </c>
      <c r="E350" s="1160">
        <v>299896.39374999999</v>
      </c>
      <c r="F350" s="1160"/>
      <c r="G350" s="1160"/>
      <c r="H350" s="1160"/>
      <c r="I350" s="1160"/>
      <c r="J350" s="1160"/>
      <c r="K350" s="1160"/>
      <c r="L350" s="1160"/>
      <c r="M350" s="1160"/>
      <c r="N350" s="1160"/>
      <c r="O350" s="1160"/>
      <c r="P350" s="1160"/>
      <c r="Q350" s="1160"/>
      <c r="R350" s="1160"/>
      <c r="S350" s="1160"/>
      <c r="T350" s="1160"/>
      <c r="U350" s="1160"/>
      <c r="V350" s="1160"/>
      <c r="W350" s="1160"/>
      <c r="X350" s="1160"/>
      <c r="Y350" s="1160"/>
      <c r="Z350" s="1160"/>
      <c r="AA350" s="1160"/>
      <c r="AB350" s="1160"/>
      <c r="AC350" s="1160"/>
      <c r="AD350" s="1160"/>
      <c r="AE350" s="1160"/>
      <c r="AF350" s="1160"/>
      <c r="AG350" s="1160"/>
      <c r="AH350" s="1160"/>
      <c r="AI350" s="1160"/>
      <c r="AJ350" s="1160"/>
      <c r="AK350" s="1160"/>
      <c r="AL350" s="1160"/>
      <c r="AM350" s="1160"/>
      <c r="AN350" s="1160"/>
      <c r="AO350" s="1160"/>
      <c r="AP350" s="1160"/>
      <c r="AQ350" s="1160"/>
    </row>
    <row r="351" spans="1:43">
      <c r="A351" s="1152" t="str" cm="1">
        <f t="array" ref="A351:E351">TRANSPOSE(Investments!BH6:BH10)</f>
        <v>Sally</v>
      </c>
      <c r="B351" s="1160">
        <v>225000</v>
      </c>
      <c r="C351" s="1160">
        <v>237750</v>
      </c>
      <c r="D351" s="1160">
        <v>251137.5</v>
      </c>
      <c r="E351" s="1160">
        <v>265194.375</v>
      </c>
      <c r="F351" s="1160"/>
      <c r="G351" s="1160"/>
      <c r="H351" s="1160"/>
      <c r="I351" s="1160"/>
      <c r="J351" s="1160"/>
      <c r="K351" s="1160"/>
      <c r="L351" s="1160"/>
      <c r="M351" s="1160"/>
      <c r="N351" s="1160"/>
      <c r="O351" s="1160"/>
      <c r="P351" s="1160"/>
      <c r="Q351" s="1160"/>
      <c r="R351" s="1160"/>
      <c r="S351" s="1160"/>
      <c r="T351" s="1160"/>
      <c r="U351" s="1160"/>
      <c r="V351" s="1160"/>
      <c r="W351" s="1160"/>
      <c r="X351" s="1160"/>
      <c r="Y351" s="1160"/>
      <c r="Z351" s="1160"/>
      <c r="AA351" s="1160"/>
      <c r="AB351" s="1160"/>
      <c r="AC351" s="1160"/>
      <c r="AD351" s="1160"/>
      <c r="AE351" s="1160"/>
      <c r="AF351" s="1160"/>
      <c r="AG351" s="1160"/>
      <c r="AH351" s="1160"/>
      <c r="AI351" s="1160"/>
      <c r="AJ351" s="1160"/>
      <c r="AK351" s="1160"/>
      <c r="AL351" s="1160"/>
      <c r="AM351" s="1160"/>
      <c r="AN351" s="1160"/>
      <c r="AO351" s="1160"/>
      <c r="AP351" s="1160"/>
      <c r="AQ351" s="1160"/>
    </row>
    <row r="352" spans="1:43">
      <c r="A352" s="1152" t="str" cm="1">
        <f t="array" ref="A352:E352">TRANSPOSE(Investments!BI6:BI10)</f>
        <v>Sally</v>
      </c>
      <c r="B352" s="1160">
        <v>75000</v>
      </c>
      <c r="C352" s="1160">
        <v>79750</v>
      </c>
      <c r="D352" s="1160">
        <v>84785</v>
      </c>
      <c r="E352" s="1160">
        <v>90122.1</v>
      </c>
      <c r="F352" s="1160"/>
      <c r="G352" s="1160"/>
      <c r="H352" s="1160"/>
      <c r="I352" s="1160"/>
      <c r="J352" s="1160"/>
      <c r="K352" s="1160"/>
      <c r="L352" s="1160"/>
      <c r="M352" s="1160"/>
      <c r="N352" s="1160"/>
      <c r="O352" s="1160"/>
      <c r="P352" s="1160"/>
      <c r="Q352" s="1160"/>
      <c r="R352" s="1160"/>
      <c r="S352" s="1160"/>
      <c r="T352" s="1160"/>
      <c r="U352" s="1160"/>
      <c r="V352" s="1160"/>
      <c r="W352" s="1160"/>
      <c r="X352" s="1160"/>
      <c r="Y352" s="1160"/>
      <c r="Z352" s="1160"/>
      <c r="AA352" s="1160"/>
      <c r="AB352" s="1160"/>
      <c r="AC352" s="1160"/>
      <c r="AD352" s="1160"/>
      <c r="AE352" s="1160"/>
      <c r="AF352" s="1160"/>
      <c r="AG352" s="1160"/>
      <c r="AH352" s="1160"/>
      <c r="AI352" s="1160"/>
      <c r="AJ352" s="1160"/>
      <c r="AK352" s="1160"/>
      <c r="AL352" s="1160"/>
      <c r="AM352" s="1160"/>
      <c r="AN352" s="1160"/>
      <c r="AO352" s="1160"/>
      <c r="AP352" s="1160"/>
      <c r="AQ352" s="1160"/>
    </row>
    <row r="353" spans="1:43">
      <c r="A353" s="1152" t="str" cm="1">
        <f t="array" ref="A353:E353">TRANSPOSE(Investments!BR6:BR10)</f>
        <v/>
      </c>
      <c r="B353" s="1160">
        <v>0</v>
      </c>
      <c r="C353" s="1160">
        <v>0</v>
      </c>
      <c r="D353" s="1160">
        <v>0</v>
      </c>
      <c r="E353" s="1160">
        <v>0</v>
      </c>
      <c r="F353" s="1160"/>
      <c r="G353" s="1160"/>
      <c r="H353" s="1160"/>
      <c r="I353" s="1160"/>
      <c r="J353" s="1160"/>
      <c r="K353" s="1160"/>
      <c r="L353" s="1160"/>
      <c r="M353" s="1160"/>
      <c r="N353" s="1160"/>
      <c r="O353" s="1160"/>
      <c r="P353" s="1160"/>
      <c r="Q353" s="1160"/>
      <c r="R353" s="1160"/>
      <c r="S353" s="1160"/>
      <c r="T353" s="1160"/>
      <c r="U353" s="1160"/>
      <c r="V353" s="1160"/>
      <c r="W353" s="1160"/>
      <c r="X353" s="1160"/>
      <c r="Y353" s="1160"/>
      <c r="Z353" s="1160"/>
      <c r="AA353" s="1160"/>
      <c r="AB353" s="1160"/>
      <c r="AC353" s="1160"/>
      <c r="AD353" s="1160"/>
      <c r="AE353" s="1160"/>
      <c r="AF353" s="1160"/>
      <c r="AG353" s="1160"/>
      <c r="AH353" s="1160"/>
      <c r="AI353" s="1160"/>
      <c r="AJ353" s="1160"/>
      <c r="AK353" s="1160"/>
      <c r="AL353" s="1160"/>
      <c r="AM353" s="1160"/>
      <c r="AN353" s="1160"/>
      <c r="AO353" s="1160"/>
      <c r="AP353" s="1160"/>
      <c r="AQ353" s="1160"/>
    </row>
    <row r="354" spans="1:43">
      <c r="B354" s="1160"/>
      <c r="C354" s="1160"/>
      <c r="D354" s="1160"/>
      <c r="E354" s="1160"/>
      <c r="F354" s="1160"/>
      <c r="G354" s="1160"/>
      <c r="H354" s="1160"/>
      <c r="I354" s="1160"/>
      <c r="J354" s="1160"/>
      <c r="K354" s="1160"/>
      <c r="L354" s="1160"/>
      <c r="M354" s="1160"/>
      <c r="N354" s="1160"/>
      <c r="O354" s="1160"/>
      <c r="P354" s="1160"/>
      <c r="Q354" s="1160"/>
      <c r="R354" s="1160"/>
      <c r="S354" s="1160"/>
      <c r="T354" s="1160"/>
      <c r="U354" s="1160"/>
      <c r="V354" s="1160"/>
      <c r="W354" s="1160"/>
      <c r="X354" s="1160"/>
      <c r="Y354" s="1160"/>
      <c r="Z354" s="1160"/>
      <c r="AA354" s="1160"/>
      <c r="AB354" s="1160"/>
      <c r="AC354" s="1160"/>
      <c r="AD354" s="1160"/>
      <c r="AE354" s="1160"/>
      <c r="AF354" s="1160"/>
      <c r="AG354" s="1160"/>
      <c r="AH354" s="1160"/>
      <c r="AI354" s="1160"/>
      <c r="AJ354" s="1160"/>
      <c r="AK354" s="1160"/>
      <c r="AL354" s="1160"/>
      <c r="AM354" s="1160"/>
      <c r="AN354" s="1160"/>
      <c r="AO354" s="1160"/>
      <c r="AP354" s="1160"/>
      <c r="AQ354" s="1160"/>
    </row>
    <row r="355" spans="1:43">
      <c r="B355" s="1160"/>
      <c r="C355" s="1160"/>
      <c r="D355" s="1160"/>
      <c r="E355" s="1160"/>
      <c r="F355" s="1160"/>
      <c r="G355" s="1160"/>
      <c r="H355" s="1160"/>
      <c r="I355" s="1160"/>
      <c r="J355" s="1160"/>
      <c r="K355" s="1160"/>
      <c r="L355" s="1160"/>
      <c r="M355" s="1160"/>
      <c r="N355" s="1160"/>
      <c r="O355" s="1160"/>
      <c r="P355" s="1160"/>
      <c r="Q355" s="1160"/>
      <c r="R355" s="1160"/>
      <c r="S355" s="1160"/>
      <c r="T355" s="1160"/>
      <c r="U355" s="1160"/>
      <c r="V355" s="1160"/>
      <c r="W355" s="1160"/>
      <c r="X355" s="1160"/>
      <c r="Y355" s="1160"/>
      <c r="Z355" s="1160"/>
      <c r="AA355" s="1160"/>
      <c r="AB355" s="1160"/>
      <c r="AC355" s="1160"/>
      <c r="AD355" s="1160"/>
      <c r="AE355" s="1160"/>
      <c r="AF355" s="1160"/>
      <c r="AG355" s="1160"/>
      <c r="AH355" s="1160"/>
      <c r="AI355" s="1160"/>
      <c r="AJ355" s="1160"/>
      <c r="AK355" s="1160"/>
      <c r="AL355" s="1160"/>
      <c r="AM355" s="1160"/>
      <c r="AN355" s="1160"/>
      <c r="AO355" s="1160"/>
      <c r="AP355" s="1160"/>
      <c r="AQ355" s="1160"/>
    </row>
    <row r="356" spans="1:43">
      <c r="B356" s="1160"/>
      <c r="C356" s="1160"/>
      <c r="D356" s="1160"/>
      <c r="E356" s="1160"/>
      <c r="F356" s="1160"/>
      <c r="G356" s="1160"/>
      <c r="H356" s="1160"/>
      <c r="I356" s="1160"/>
      <c r="J356" s="1160"/>
      <c r="K356" s="1160"/>
      <c r="L356" s="1160"/>
      <c r="M356" s="1160"/>
      <c r="N356" s="1160"/>
      <c r="O356" s="1160"/>
      <c r="P356" s="1160"/>
      <c r="Q356" s="1160"/>
      <c r="R356" s="1160"/>
      <c r="S356" s="1160"/>
      <c r="T356" s="1160"/>
      <c r="U356" s="1160"/>
      <c r="V356" s="1160"/>
      <c r="W356" s="1160"/>
      <c r="X356" s="1160"/>
      <c r="Y356" s="1160"/>
      <c r="Z356" s="1160"/>
      <c r="AA356" s="1160"/>
      <c r="AB356" s="1160"/>
      <c r="AC356" s="1160"/>
      <c r="AD356" s="1160"/>
      <c r="AE356" s="1160"/>
      <c r="AF356" s="1160"/>
      <c r="AG356" s="1160"/>
      <c r="AH356" s="1160"/>
      <c r="AI356" s="1160"/>
      <c r="AJ356" s="1160"/>
      <c r="AK356" s="1160"/>
      <c r="AL356" s="1160"/>
      <c r="AM356" s="1160"/>
      <c r="AN356" s="1160"/>
      <c r="AO356" s="1160"/>
      <c r="AP356" s="1160"/>
      <c r="AQ356" s="1160"/>
    </row>
    <row r="357" spans="1:43">
      <c r="B357" s="1160"/>
      <c r="C357" s="1160"/>
      <c r="D357" s="1160"/>
      <c r="E357" s="1160"/>
      <c r="F357" s="1160"/>
      <c r="G357" s="1160"/>
      <c r="H357" s="1160"/>
      <c r="I357" s="1160"/>
      <c r="J357" s="1160"/>
      <c r="K357" s="1160"/>
      <c r="L357" s="1160"/>
      <c r="M357" s="1160"/>
      <c r="N357" s="1160"/>
      <c r="O357" s="1160"/>
      <c r="P357" s="1160"/>
      <c r="Q357" s="1160"/>
      <c r="R357" s="1160"/>
      <c r="S357" s="1160"/>
      <c r="T357" s="1160"/>
      <c r="U357" s="1160"/>
      <c r="V357" s="1160"/>
      <c r="W357" s="1160"/>
      <c r="X357" s="1160"/>
      <c r="Y357" s="1160"/>
      <c r="Z357" s="1160"/>
      <c r="AA357" s="1160"/>
      <c r="AB357" s="1160"/>
      <c r="AC357" s="1160"/>
      <c r="AD357" s="1160"/>
      <c r="AE357" s="1160"/>
      <c r="AF357" s="1160"/>
      <c r="AG357" s="1160"/>
      <c r="AH357" s="1160"/>
      <c r="AI357" s="1160"/>
      <c r="AJ357" s="1160"/>
      <c r="AK357" s="1160"/>
      <c r="AL357" s="1160"/>
      <c r="AM357" s="1160"/>
      <c r="AN357" s="1160"/>
      <c r="AO357" s="1160"/>
      <c r="AP357" s="1160"/>
      <c r="AQ357" s="1160"/>
    </row>
    <row r="358" spans="1:43">
      <c r="B358" s="1160"/>
      <c r="C358" s="1160"/>
      <c r="D358" s="1160"/>
      <c r="E358" s="1160"/>
      <c r="F358" s="1160"/>
      <c r="G358" s="1160"/>
      <c r="H358" s="1160"/>
      <c r="I358" s="1160"/>
      <c r="J358" s="1160"/>
      <c r="K358" s="1160"/>
      <c r="L358" s="1160"/>
      <c r="M358" s="1160"/>
      <c r="N358" s="1160"/>
      <c r="O358" s="1160"/>
      <c r="P358" s="1160"/>
      <c r="Q358" s="1160"/>
      <c r="R358" s="1160"/>
      <c r="S358" s="1160"/>
      <c r="T358" s="1160"/>
      <c r="U358" s="1160"/>
      <c r="V358" s="1160"/>
      <c r="W358" s="1160"/>
      <c r="X358" s="1160"/>
      <c r="Y358" s="1160"/>
      <c r="Z358" s="1160"/>
      <c r="AA358" s="1160"/>
      <c r="AB358" s="1160"/>
      <c r="AC358" s="1160"/>
      <c r="AD358" s="1160"/>
      <c r="AE358" s="1160"/>
      <c r="AF358" s="1160"/>
      <c r="AG358" s="1160"/>
      <c r="AH358" s="1160"/>
      <c r="AI358" s="1160"/>
      <c r="AJ358" s="1160"/>
      <c r="AK358" s="1160"/>
      <c r="AL358" s="1160"/>
      <c r="AM358" s="1160"/>
      <c r="AN358" s="1160"/>
      <c r="AO358" s="1160"/>
      <c r="AP358" s="1160"/>
      <c r="AQ358" s="1160"/>
    </row>
    <row r="359" spans="1:43">
      <c r="B359" s="1160"/>
      <c r="C359" s="1160"/>
      <c r="D359" s="1160"/>
      <c r="E359" s="1160"/>
      <c r="F359" s="1160"/>
      <c r="G359" s="1160"/>
      <c r="H359" s="1160"/>
      <c r="I359" s="1160"/>
      <c r="J359" s="1160"/>
      <c r="K359" s="1160"/>
      <c r="L359" s="1160"/>
      <c r="M359" s="1160"/>
      <c r="N359" s="1160"/>
      <c r="O359" s="1160"/>
      <c r="P359" s="1160"/>
      <c r="Q359" s="1160"/>
      <c r="R359" s="1160"/>
      <c r="S359" s="1160"/>
      <c r="T359" s="1160"/>
      <c r="U359" s="1160"/>
      <c r="V359" s="1160"/>
      <c r="W359" s="1160"/>
      <c r="X359" s="1160"/>
      <c r="Y359" s="1160"/>
      <c r="Z359" s="1160"/>
      <c r="AA359" s="1160"/>
      <c r="AB359" s="1160"/>
      <c r="AC359" s="1160"/>
      <c r="AD359" s="1160"/>
      <c r="AE359" s="1160"/>
      <c r="AF359" s="1160"/>
      <c r="AG359" s="1160"/>
      <c r="AH359" s="1160"/>
      <c r="AI359" s="1160"/>
      <c r="AJ359" s="1160"/>
      <c r="AK359" s="1160"/>
      <c r="AL359" s="1160"/>
      <c r="AM359" s="1160"/>
      <c r="AN359" s="1160"/>
      <c r="AO359" s="1160"/>
      <c r="AP359" s="1160"/>
      <c r="AQ359" s="1160"/>
    </row>
    <row r="360" spans="1:43">
      <c r="B360" s="1160"/>
      <c r="C360" s="1160"/>
      <c r="D360" s="1160"/>
      <c r="E360" s="1160"/>
      <c r="F360" s="1160"/>
      <c r="G360" s="1160"/>
      <c r="H360" s="1160"/>
      <c r="I360" s="1160"/>
      <c r="J360" s="1160"/>
      <c r="K360" s="1160"/>
      <c r="L360" s="1160"/>
      <c r="M360" s="1160"/>
      <c r="N360" s="1160"/>
      <c r="O360" s="1160"/>
      <c r="P360" s="1160"/>
      <c r="Q360" s="1160"/>
      <c r="R360" s="1160"/>
      <c r="S360" s="1160"/>
      <c r="T360" s="1160"/>
      <c r="U360" s="1160"/>
      <c r="V360" s="1160"/>
      <c r="W360" s="1160"/>
      <c r="X360" s="1160"/>
      <c r="Y360" s="1160"/>
      <c r="Z360" s="1160"/>
      <c r="AA360" s="1160"/>
      <c r="AB360" s="1160"/>
      <c r="AC360" s="1160"/>
      <c r="AD360" s="1160"/>
      <c r="AE360" s="1160"/>
      <c r="AF360" s="1160"/>
      <c r="AG360" s="1160"/>
      <c r="AH360" s="1160"/>
      <c r="AI360" s="1160"/>
      <c r="AJ360" s="1160"/>
      <c r="AK360" s="1160"/>
      <c r="AL360" s="1160"/>
      <c r="AM360" s="1160"/>
      <c r="AN360" s="1160"/>
      <c r="AO360" s="1160"/>
      <c r="AP360" s="1160"/>
      <c r="AQ360" s="1160"/>
    </row>
    <row r="361" spans="1:43">
      <c r="B361" s="1160"/>
      <c r="C361" s="1160"/>
      <c r="D361" s="1160"/>
      <c r="E361" s="1160"/>
      <c r="F361" s="1160"/>
      <c r="G361" s="1160"/>
      <c r="H361" s="1160"/>
      <c r="I361" s="1160"/>
      <c r="J361" s="1160"/>
      <c r="K361" s="1160"/>
      <c r="L361" s="1160"/>
      <c r="M361" s="1160"/>
      <c r="N361" s="1160"/>
      <c r="O361" s="1160"/>
      <c r="P361" s="1160"/>
      <c r="Q361" s="1160"/>
      <c r="R361" s="1160"/>
      <c r="S361" s="1160"/>
      <c r="T361" s="1160"/>
      <c r="U361" s="1160"/>
      <c r="V361" s="1160"/>
      <c r="W361" s="1160"/>
      <c r="X361" s="1160"/>
      <c r="Y361" s="1160"/>
      <c r="Z361" s="1160"/>
      <c r="AA361" s="1160"/>
      <c r="AB361" s="1160"/>
      <c r="AC361" s="1160"/>
      <c r="AD361" s="1160"/>
      <c r="AE361" s="1160"/>
      <c r="AF361" s="1160"/>
      <c r="AG361" s="1160"/>
      <c r="AH361" s="1160"/>
      <c r="AI361" s="1160"/>
      <c r="AJ361" s="1160"/>
      <c r="AK361" s="1160"/>
      <c r="AL361" s="1160"/>
      <c r="AM361" s="1160"/>
      <c r="AN361" s="1160"/>
      <c r="AO361" s="1160"/>
      <c r="AP361" s="1160"/>
      <c r="AQ361" s="1160"/>
    </row>
    <row r="362" spans="1:43">
      <c r="B362" s="1160"/>
      <c r="C362" s="1160"/>
      <c r="D362" s="1160"/>
      <c r="E362" s="1160"/>
      <c r="F362" s="1160"/>
      <c r="G362" s="1160"/>
      <c r="H362" s="1160"/>
      <c r="I362" s="1160"/>
      <c r="J362" s="1160"/>
      <c r="K362" s="1160"/>
      <c r="L362" s="1160"/>
      <c r="M362" s="1160"/>
      <c r="N362" s="1160"/>
      <c r="O362" s="1160"/>
      <c r="P362" s="1160"/>
      <c r="Q362" s="1160"/>
      <c r="R362" s="1160"/>
      <c r="S362" s="1160"/>
      <c r="T362" s="1160"/>
      <c r="U362" s="1160"/>
      <c r="V362" s="1160"/>
      <c r="W362" s="1160"/>
      <c r="X362" s="1160"/>
      <c r="Y362" s="1160"/>
      <c r="Z362" s="1160"/>
      <c r="AA362" s="1160"/>
      <c r="AB362" s="1160"/>
      <c r="AC362" s="1160"/>
      <c r="AD362" s="1160"/>
      <c r="AE362" s="1160"/>
      <c r="AF362" s="1160"/>
      <c r="AG362" s="1160"/>
      <c r="AH362" s="1160"/>
      <c r="AI362" s="1160"/>
      <c r="AJ362" s="1160"/>
      <c r="AK362" s="1160"/>
      <c r="AL362" s="1160"/>
      <c r="AM362" s="1160"/>
      <c r="AN362" s="1160"/>
      <c r="AO362" s="1160"/>
      <c r="AP362" s="1160"/>
      <c r="AQ362" s="1160"/>
    </row>
    <row r="363" spans="1:43">
      <c r="B363" s="1160"/>
      <c r="C363" s="1160"/>
      <c r="D363" s="1160"/>
      <c r="E363" s="1160"/>
      <c r="F363" s="1160"/>
      <c r="G363" s="1160"/>
      <c r="H363" s="1160"/>
      <c r="I363" s="1160"/>
      <c r="J363" s="1160"/>
      <c r="K363" s="1160"/>
      <c r="L363" s="1160"/>
      <c r="M363" s="1160"/>
      <c r="N363" s="1160"/>
      <c r="O363" s="1160"/>
      <c r="P363" s="1160"/>
      <c r="Q363" s="1160"/>
      <c r="R363" s="1160"/>
      <c r="S363" s="1160"/>
      <c r="T363" s="1160"/>
      <c r="U363" s="1160"/>
      <c r="V363" s="1160"/>
      <c r="W363" s="1160"/>
      <c r="X363" s="1160"/>
      <c r="Y363" s="1160"/>
      <c r="Z363" s="1160"/>
      <c r="AA363" s="1160"/>
      <c r="AB363" s="1160"/>
      <c r="AC363" s="1160"/>
      <c r="AD363" s="1160"/>
      <c r="AE363" s="1160"/>
      <c r="AF363" s="1160"/>
      <c r="AG363" s="1160"/>
      <c r="AH363" s="1160"/>
      <c r="AI363" s="1160"/>
      <c r="AJ363" s="1160"/>
      <c r="AK363" s="1160"/>
      <c r="AL363" s="1160"/>
      <c r="AM363" s="1160"/>
      <c r="AN363" s="1160"/>
      <c r="AO363" s="1160"/>
      <c r="AP363" s="1160"/>
      <c r="AQ363" s="1160"/>
    </row>
  </sheetData>
  <sheetProtection algorithmName="SHA-512" hashValue="ly/BUhQUOPPDwYAs557WiH+T+1NdkoiWrAnbs15Oxz6q3fzZxIv5llPhK7pmOyXNVwaeGOjx5xUnQlLbA4EHbA==" saltValue="REWT4qZtcaO5xewvIe+lSg==" spinCount="100000" sheet="1" objects="1" scenarios="1" formatCells="0" formatColumns="0" formatRows="0" selectLockedCells="1"/>
  <mergeCells count="2">
    <mergeCell ref="B18:G18"/>
    <mergeCell ref="D71:E71"/>
  </mergeCells>
  <pageMargins left="0.7" right="0.7" top="0.75" bottom="0.75" header="0.3" footer="0.3"/>
  <pageSetup orientation="portrait" horizontalDpi="0" verticalDpi="0"/>
  <ignoredErrors>
    <ignoredError sqref="E77:E199"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E164"/>
  <sheetViews>
    <sheetView showRowColHeaders="0" zoomScale="125" zoomScaleNormal="125" workbookViewId="0">
      <pane ySplit="7" topLeftCell="A8" activePane="bottomLeft" state="frozen"/>
      <selection pane="bottomLeft" activeCell="D32" sqref="D32"/>
    </sheetView>
  </sheetViews>
  <sheetFormatPr baseColWidth="10" defaultColWidth="10.7109375" defaultRowHeight="16"/>
  <cols>
    <col min="1" max="1" width="5.7109375" style="427" customWidth="1"/>
    <col min="2" max="2" width="4.7109375" style="427" customWidth="1"/>
    <col min="3" max="3" width="17" style="427" customWidth="1"/>
    <col min="4" max="4" width="9.85546875" style="427" customWidth="1"/>
    <col min="5" max="5" width="11" style="427" customWidth="1"/>
    <col min="6" max="6" width="9.7109375" style="427" customWidth="1"/>
    <col min="7" max="7" width="9.5703125" style="427" customWidth="1"/>
    <col min="8" max="8" width="10.85546875" style="427" customWidth="1"/>
    <col min="9" max="9" width="4.140625" style="427" customWidth="1"/>
    <col min="10" max="10" width="17" style="427" customWidth="1"/>
    <col min="11" max="11" width="9.42578125" style="427" customWidth="1"/>
    <col min="12" max="12" width="11.140625" style="427" customWidth="1"/>
    <col min="13" max="13" width="10" style="427" customWidth="1"/>
    <col min="14" max="15" width="10.7109375" style="427" customWidth="1"/>
    <col min="16" max="16" width="5.28515625" style="431" customWidth="1"/>
    <col min="17" max="17" width="11.7109375" style="431" customWidth="1"/>
    <col min="18" max="18" width="8.7109375" style="431" customWidth="1"/>
    <col min="19" max="20" width="8.7109375" style="431" hidden="1" customWidth="1"/>
    <col min="21" max="21" width="2.42578125" style="431" customWidth="1"/>
    <col min="22" max="24" width="10.7109375" style="431" customWidth="1"/>
    <col min="25" max="25" width="10.7109375" style="431"/>
    <col min="26" max="26" width="2.7109375" style="431" customWidth="1"/>
    <col min="27" max="29" width="10.7109375" style="431" customWidth="1"/>
    <col min="30" max="31" width="10.7109375" style="431"/>
    <col min="32" max="16384" width="10.7109375" style="427"/>
  </cols>
  <sheetData>
    <row r="1" spans="1:30" ht="8" customHeight="1">
      <c r="A1" s="526"/>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row>
    <row r="2" spans="1:30" ht="29" customHeight="1">
      <c r="A2" s="619"/>
      <c r="C2" s="201" t="s">
        <v>1357</v>
      </c>
      <c r="D2" s="620"/>
      <c r="E2" s="621"/>
      <c r="F2" s="620"/>
      <c r="I2" s="429"/>
    </row>
    <row r="3" spans="1:30" ht="29" customHeight="1">
      <c r="A3" s="636" t="s">
        <v>1348</v>
      </c>
      <c r="C3" s="2249" t="s">
        <v>2438</v>
      </c>
      <c r="D3" s="2250"/>
      <c r="E3" s="2250"/>
      <c r="F3" s="2250"/>
      <c r="G3" s="2250"/>
      <c r="H3" s="2250"/>
      <c r="I3" s="2250"/>
      <c r="J3" s="2250"/>
      <c r="K3" s="2250"/>
      <c r="L3" s="2250"/>
      <c r="M3" s="2250"/>
      <c r="N3" s="2250"/>
      <c r="O3" s="2250"/>
      <c r="P3" s="2250"/>
      <c r="Q3" s="2250"/>
      <c r="R3" s="2250"/>
      <c r="S3" s="1961"/>
      <c r="T3" s="1961"/>
    </row>
    <row r="4" spans="1:30" ht="9" customHeight="1">
      <c r="A4" s="619"/>
      <c r="D4" s="620"/>
      <c r="E4" s="621"/>
      <c r="F4" s="620"/>
      <c r="I4" s="429"/>
    </row>
    <row r="5" spans="1:30" ht="8" customHeight="1">
      <c r="A5" s="619"/>
      <c r="D5" s="620"/>
      <c r="E5" s="621"/>
      <c r="F5" s="620"/>
      <c r="I5" s="429"/>
    </row>
    <row r="6" spans="1:30" ht="8" customHeight="1">
      <c r="A6" s="2248"/>
      <c r="E6" s="429"/>
      <c r="H6" s="429"/>
      <c r="I6" s="429"/>
    </row>
    <row r="7" spans="1:30" ht="8" customHeight="1">
      <c r="A7" s="2248"/>
      <c r="E7" s="429"/>
      <c r="H7" s="429"/>
      <c r="I7" s="429"/>
    </row>
    <row r="8" spans="1:30" ht="8" customHeight="1">
      <c r="A8" s="600"/>
      <c r="E8" s="429"/>
      <c r="H8" s="429"/>
      <c r="I8" s="429"/>
    </row>
    <row r="9" spans="1:30" ht="25" customHeight="1">
      <c r="C9" s="2260" t="str">
        <f>IF(Assets!C58&gt;"",Assets!C58,"")</f>
        <v/>
      </c>
      <c r="D9" s="2261"/>
      <c r="E9" s="2261"/>
      <c r="F9" s="2262"/>
      <c r="G9" s="421"/>
      <c r="H9" s="429"/>
      <c r="I9" s="429"/>
      <c r="J9" s="2263" t="str">
        <f>IF(Assets!C59&gt;"",Assets!C59,"")</f>
        <v/>
      </c>
      <c r="K9" s="2264"/>
      <c r="L9" s="2264"/>
      <c r="M9" s="2265"/>
      <c r="N9" s="421"/>
      <c r="O9" s="2254" t="s">
        <v>236</v>
      </c>
      <c r="P9" s="2254"/>
      <c r="Q9" s="2254"/>
      <c r="R9" s="427"/>
      <c r="S9" s="427"/>
      <c r="T9" s="427"/>
      <c r="U9" s="427"/>
    </row>
    <row r="10" spans="1:30" ht="16" customHeight="1">
      <c r="C10" s="1694" t="s">
        <v>2439</v>
      </c>
      <c r="D10" s="2266" t="str">
        <f>IF(Assets!D58&gt;"",Assets!D58,"")</f>
        <v/>
      </c>
      <c r="E10" s="2266"/>
      <c r="F10" s="2267"/>
      <c r="G10" s="421"/>
      <c r="H10" s="429"/>
      <c r="I10" s="429"/>
      <c r="J10" s="1695" t="s">
        <v>2439</v>
      </c>
      <c r="K10" s="2268" t="str">
        <f>IF(Assets!D59&gt;"",Assets!D59,"")</f>
        <v/>
      </c>
      <c r="L10" s="2268"/>
      <c r="M10" s="2269"/>
      <c r="N10" s="421"/>
      <c r="O10" s="643"/>
      <c r="P10" s="644" t="s">
        <v>235</v>
      </c>
      <c r="Q10" s="645"/>
      <c r="R10" s="427"/>
      <c r="S10" s="427"/>
      <c r="T10" s="427"/>
      <c r="U10" s="427"/>
    </row>
    <row r="11" spans="1:30" ht="18" customHeight="1">
      <c r="C11" s="1141" t="s">
        <v>212</v>
      </c>
      <c r="D11" s="2255"/>
      <c r="E11" s="2256"/>
      <c r="F11" s="2256"/>
      <c r="G11" s="421"/>
      <c r="H11" s="421"/>
      <c r="I11" s="421"/>
      <c r="J11" s="1141" t="s">
        <v>212</v>
      </c>
      <c r="K11" s="2259"/>
      <c r="L11" s="2259"/>
      <c r="M11" s="2259"/>
      <c r="N11" s="421"/>
      <c r="O11" s="637"/>
      <c r="P11" s="563" t="s">
        <v>237</v>
      </c>
      <c r="Q11" s="639"/>
    </row>
    <row r="12" spans="1:30" ht="18" customHeight="1">
      <c r="C12" s="1141" t="s">
        <v>213</v>
      </c>
      <c r="D12" s="2258"/>
      <c r="E12" s="2256"/>
      <c r="F12" s="2256"/>
      <c r="G12" s="421"/>
      <c r="H12" s="421"/>
      <c r="I12" s="421"/>
      <c r="J12" s="1141" t="s">
        <v>213</v>
      </c>
      <c r="K12" s="2259"/>
      <c r="L12" s="2259"/>
      <c r="M12" s="2259"/>
      <c r="N12" s="421"/>
      <c r="O12" s="637"/>
      <c r="P12" s="563" t="s">
        <v>238</v>
      </c>
      <c r="Q12" s="638"/>
    </row>
    <row r="13" spans="1:30" ht="18" customHeight="1">
      <c r="C13" s="1141" t="s">
        <v>206</v>
      </c>
      <c r="D13" s="1568">
        <v>43831</v>
      </c>
      <c r="E13" s="1074" t="s">
        <v>225</v>
      </c>
      <c r="F13" s="1140" t="s">
        <v>226</v>
      </c>
      <c r="G13" s="622"/>
      <c r="H13" s="622"/>
      <c r="I13" s="622"/>
      <c r="J13" s="1141" t="s">
        <v>206</v>
      </c>
      <c r="K13" s="1143">
        <v>43831</v>
      </c>
      <c r="L13" s="580" t="s">
        <v>225</v>
      </c>
      <c r="M13" s="1140" t="s">
        <v>226</v>
      </c>
      <c r="N13" s="622"/>
      <c r="O13" s="637"/>
      <c r="P13" s="563" t="s">
        <v>239</v>
      </c>
      <c r="Q13" s="638"/>
    </row>
    <row r="14" spans="1:30" ht="18" customHeight="1">
      <c r="C14" s="1141" t="s">
        <v>232</v>
      </c>
      <c r="D14" s="1132"/>
      <c r="E14" s="629" t="s">
        <v>220</v>
      </c>
      <c r="F14" s="1138"/>
      <c r="G14" s="622"/>
      <c r="H14" s="622"/>
      <c r="I14" s="622"/>
      <c r="J14" s="1141" t="s">
        <v>232</v>
      </c>
      <c r="K14" s="1132"/>
      <c r="L14" s="629" t="s">
        <v>220</v>
      </c>
      <c r="M14" s="1138"/>
      <c r="N14" s="622"/>
      <c r="O14" s="637"/>
      <c r="P14" s="563" t="s">
        <v>2440</v>
      </c>
      <c r="Q14" s="638"/>
    </row>
    <row r="15" spans="1:30" ht="18" customHeight="1">
      <c r="C15" s="1141" t="s">
        <v>210</v>
      </c>
      <c r="D15" s="1133">
        <v>0</v>
      </c>
      <c r="E15" s="629" t="s">
        <v>221</v>
      </c>
      <c r="F15" s="1138"/>
      <c r="G15" s="578"/>
      <c r="H15" s="578"/>
      <c r="I15" s="578"/>
      <c r="J15" s="1141" t="s">
        <v>210</v>
      </c>
      <c r="K15" s="1133">
        <v>0</v>
      </c>
      <c r="L15" s="629" t="s">
        <v>221</v>
      </c>
      <c r="M15" s="1138"/>
      <c r="N15" s="578"/>
      <c r="O15" s="637"/>
      <c r="P15" s="563" t="s">
        <v>240</v>
      </c>
      <c r="Q15" s="638"/>
    </row>
    <row r="16" spans="1:30" ht="18" customHeight="1">
      <c r="C16" s="1141" t="s">
        <v>218</v>
      </c>
      <c r="D16" s="1137">
        <f>Assets!E58</f>
        <v>0</v>
      </c>
      <c r="E16" s="630" t="s">
        <v>222</v>
      </c>
      <c r="F16" s="1139"/>
      <c r="G16" s="578"/>
      <c r="H16" s="578"/>
      <c r="I16" s="578"/>
      <c r="J16" s="1141" t="s">
        <v>218</v>
      </c>
      <c r="K16" s="1137">
        <f>Assets!E59</f>
        <v>0</v>
      </c>
      <c r="L16" s="630" t="s">
        <v>222</v>
      </c>
      <c r="M16" s="1139"/>
      <c r="N16" s="578"/>
      <c r="O16" s="637"/>
      <c r="P16" s="563" t="s">
        <v>277</v>
      </c>
      <c r="Q16" s="638"/>
    </row>
    <row r="17" spans="1:20" ht="18" customHeight="1">
      <c r="C17" s="1141" t="s">
        <v>1350</v>
      </c>
      <c r="D17" s="1135">
        <v>0.03</v>
      </c>
      <c r="E17" s="631" t="s">
        <v>223</v>
      </c>
      <c r="F17" s="1132"/>
      <c r="G17" s="572"/>
      <c r="H17" s="572"/>
      <c r="I17" s="572"/>
      <c r="J17" s="1141" t="s">
        <v>1350</v>
      </c>
      <c r="K17" s="1135">
        <v>0.03</v>
      </c>
      <c r="L17" s="631" t="s">
        <v>223</v>
      </c>
      <c r="M17" s="1132"/>
      <c r="N17" s="572"/>
      <c r="O17" s="640"/>
      <c r="P17" s="641" t="s">
        <v>241</v>
      </c>
      <c r="Q17" s="642"/>
    </row>
    <row r="18" spans="1:20" ht="18" customHeight="1">
      <c r="C18" s="1141" t="s">
        <v>209</v>
      </c>
      <c r="D18" s="1134" t="str">
        <f ca="1">IF(D13&lt;&gt;"",IF(D15&gt;0,(YEAR(TODAY())-YEAR(D13)),""),0)</f>
        <v/>
      </c>
      <c r="E18" s="632" t="s">
        <v>224</v>
      </c>
      <c r="F18" s="1139"/>
      <c r="G18" s="518"/>
      <c r="H18" s="518"/>
      <c r="I18" s="518"/>
      <c r="J18" s="1141" t="s">
        <v>209</v>
      </c>
      <c r="K18" s="1134">
        <f ca="1">IF(K13&lt;&gt;"",IF(K15&gt;0,(YEAR(TODAY())-YEAR(K13)),0),0)</f>
        <v>0</v>
      </c>
      <c r="L18" s="632" t="s">
        <v>224</v>
      </c>
      <c r="M18" s="1139"/>
      <c r="N18" s="518"/>
      <c r="P18" s="427"/>
      <c r="Q18" s="427"/>
    </row>
    <row r="19" spans="1:20" ht="18" customHeight="1">
      <c r="C19" s="1695" t="s">
        <v>2441</v>
      </c>
      <c r="D19" s="1135">
        <v>0</v>
      </c>
      <c r="E19" s="633" t="s">
        <v>227</v>
      </c>
      <c r="F19" s="1139"/>
      <c r="G19" s="624"/>
      <c r="H19" s="572"/>
      <c r="I19" s="624"/>
      <c r="J19" s="1695" t="s">
        <v>2441</v>
      </c>
      <c r="K19" s="1135">
        <v>0</v>
      </c>
      <c r="L19" s="633" t="s">
        <v>227</v>
      </c>
      <c r="M19" s="1139"/>
      <c r="N19" s="572"/>
      <c r="O19" s="572"/>
    </row>
    <row r="20" spans="1:20" ht="18" customHeight="1">
      <c r="C20" s="1141" t="s">
        <v>215</v>
      </c>
      <c r="D20" s="1133">
        <v>0</v>
      </c>
      <c r="E20" s="629" t="s">
        <v>228</v>
      </c>
      <c r="F20" s="1138"/>
      <c r="G20" s="578"/>
      <c r="H20" s="578"/>
      <c r="I20" s="578"/>
      <c r="J20" s="1141" t="s">
        <v>215</v>
      </c>
      <c r="K20" s="1133">
        <v>0</v>
      </c>
      <c r="L20" s="629" t="s">
        <v>228</v>
      </c>
      <c r="M20" s="1138"/>
      <c r="N20" s="578"/>
    </row>
    <row r="21" spans="1:20" ht="18" customHeight="1">
      <c r="C21" s="1695" t="s">
        <v>2442</v>
      </c>
      <c r="D21" s="1135">
        <v>0</v>
      </c>
      <c r="E21" s="629" t="s">
        <v>233</v>
      </c>
      <c r="F21" s="1132"/>
      <c r="G21" s="625"/>
      <c r="H21" s="625"/>
      <c r="I21" s="625"/>
      <c r="J21" s="1695" t="s">
        <v>2442</v>
      </c>
      <c r="K21" s="1135">
        <v>0</v>
      </c>
      <c r="L21" s="629" t="s">
        <v>233</v>
      </c>
      <c r="M21" s="1132"/>
      <c r="N21" s="625"/>
    </row>
    <row r="22" spans="1:20" ht="18" customHeight="1">
      <c r="C22" s="1695" t="s">
        <v>2443</v>
      </c>
      <c r="D22" s="1138" t="s">
        <v>51</v>
      </c>
      <c r="E22" s="629" t="s">
        <v>234</v>
      </c>
      <c r="F22" s="1139"/>
      <c r="G22" s="578"/>
      <c r="H22" s="626"/>
      <c r="I22" s="578"/>
      <c r="J22" s="1695" t="s">
        <v>2443</v>
      </c>
      <c r="K22" s="1139" t="s">
        <v>51</v>
      </c>
      <c r="L22" s="629" t="s">
        <v>234</v>
      </c>
      <c r="M22" s="1139"/>
      <c r="N22" s="626"/>
      <c r="O22" s="626"/>
      <c r="Q22" s="568"/>
      <c r="R22" s="432"/>
      <c r="S22" s="432"/>
      <c r="T22" s="432"/>
    </row>
    <row r="23" spans="1:20" ht="18" customHeight="1">
      <c r="C23" s="1141" t="s">
        <v>214</v>
      </c>
      <c r="D23" s="1133">
        <v>0</v>
      </c>
      <c r="E23" s="634" t="s">
        <v>229</v>
      </c>
      <c r="F23" s="1138"/>
      <c r="G23" s="578"/>
      <c r="H23" s="578"/>
      <c r="I23" s="578"/>
      <c r="J23" s="1141" t="s">
        <v>214</v>
      </c>
      <c r="K23" s="1133">
        <v>0</v>
      </c>
      <c r="L23" s="634" t="s">
        <v>229</v>
      </c>
      <c r="M23" s="1138"/>
      <c r="N23" s="578"/>
      <c r="O23" s="578"/>
      <c r="Q23" s="568"/>
      <c r="R23" s="432"/>
      <c r="S23" s="432"/>
      <c r="T23" s="432"/>
    </row>
    <row r="24" spans="1:20" ht="18" customHeight="1">
      <c r="C24" s="1141" t="s">
        <v>211</v>
      </c>
      <c r="D24" s="1133">
        <v>0</v>
      </c>
      <c r="E24" s="634" t="s">
        <v>230</v>
      </c>
      <c r="F24" s="1138"/>
      <c r="G24" s="578"/>
      <c r="H24" s="578"/>
      <c r="I24" s="578"/>
      <c r="J24" s="1141" t="s">
        <v>211</v>
      </c>
      <c r="K24" s="1133">
        <v>10</v>
      </c>
      <c r="L24" s="634" t="s">
        <v>230</v>
      </c>
      <c r="M24" s="1138"/>
      <c r="N24" s="578"/>
      <c r="O24" s="578"/>
      <c r="Q24" s="568"/>
      <c r="R24" s="623"/>
      <c r="S24" s="623"/>
      <c r="T24" s="623"/>
    </row>
    <row r="25" spans="1:20" ht="18" customHeight="1">
      <c r="C25" s="1141" t="s">
        <v>207</v>
      </c>
      <c r="D25" s="1133">
        <v>0</v>
      </c>
      <c r="E25" s="629" t="s">
        <v>231</v>
      </c>
      <c r="F25" s="1138"/>
      <c r="G25" s="578"/>
      <c r="H25" s="578"/>
      <c r="I25" s="578"/>
      <c r="J25" s="1141" t="s">
        <v>207</v>
      </c>
      <c r="K25" s="1133">
        <v>0</v>
      </c>
      <c r="L25" s="1145" t="s">
        <v>231</v>
      </c>
      <c r="M25" s="1138"/>
      <c r="N25" s="578"/>
      <c r="O25" s="578"/>
      <c r="Q25" s="568"/>
    </row>
    <row r="26" spans="1:20" ht="18" customHeight="1">
      <c r="C26" s="1141" t="s">
        <v>208</v>
      </c>
      <c r="D26" s="1133">
        <v>0</v>
      </c>
      <c r="G26" s="578"/>
      <c r="H26" s="578"/>
      <c r="I26" s="578"/>
      <c r="J26" s="1141" t="s">
        <v>208</v>
      </c>
      <c r="K26" s="1133">
        <v>0</v>
      </c>
      <c r="N26" s="578"/>
      <c r="O26" s="578"/>
    </row>
    <row r="27" spans="1:20" ht="18" customHeight="1">
      <c r="C27" s="1141" t="s">
        <v>216</v>
      </c>
      <c r="D27" s="1133">
        <v>0</v>
      </c>
      <c r="G27" s="578"/>
      <c r="H27" s="578"/>
      <c r="I27" s="578"/>
      <c r="J27" s="1141" t="s">
        <v>216</v>
      </c>
      <c r="K27" s="1133">
        <v>0</v>
      </c>
      <c r="N27" s="578"/>
      <c r="O27" s="578"/>
    </row>
    <row r="28" spans="1:20" ht="18" customHeight="1">
      <c r="C28" s="1695" t="s">
        <v>2444</v>
      </c>
      <c r="D28" s="1133">
        <v>0</v>
      </c>
      <c r="E28" s="578"/>
      <c r="G28" s="578"/>
      <c r="H28" s="578"/>
      <c r="I28" s="578"/>
      <c r="J28" s="1695" t="s">
        <v>2444</v>
      </c>
      <c r="K28" s="1133">
        <v>0</v>
      </c>
      <c r="L28" s="578"/>
      <c r="M28" s="578"/>
      <c r="N28" s="578"/>
      <c r="O28" s="578"/>
    </row>
    <row r="29" spans="1:20" ht="18" customHeight="1">
      <c r="C29" s="1141" t="s">
        <v>217</v>
      </c>
      <c r="D29" s="1137">
        <f>D23*12</f>
        <v>0</v>
      </c>
      <c r="F29" s="1696" t="s">
        <v>2445</v>
      </c>
      <c r="G29" s="578"/>
      <c r="H29" s="627"/>
      <c r="I29" s="578"/>
      <c r="J29" s="1141" t="s">
        <v>217</v>
      </c>
      <c r="K29" s="1144">
        <f>K23*12</f>
        <v>0</v>
      </c>
      <c r="M29" s="1696" t="s">
        <v>2445</v>
      </c>
      <c r="N29" s="627"/>
      <c r="O29" s="2244" t="s">
        <v>2096</v>
      </c>
      <c r="P29" s="2244"/>
      <c r="Q29" s="2244"/>
      <c r="R29" s="1135">
        <v>0.05</v>
      </c>
      <c r="S29" s="1968"/>
      <c r="T29" s="1968"/>
    </row>
    <row r="30" spans="1:20" ht="18" customHeight="1">
      <c r="C30" s="1695" t="s">
        <v>2446</v>
      </c>
      <c r="D30" s="1136">
        <f>(D24*D19)*12</f>
        <v>0</v>
      </c>
      <c r="F30" s="1139"/>
      <c r="J30" s="1695" t="s">
        <v>2446</v>
      </c>
      <c r="K30" s="1136">
        <f>(K24*K19)*12</f>
        <v>0</v>
      </c>
      <c r="M30" s="1139"/>
      <c r="O30" s="2245" t="s">
        <v>2097</v>
      </c>
      <c r="P30" s="2245"/>
      <c r="Q30" s="2245"/>
      <c r="R30" s="1135">
        <v>0.15</v>
      </c>
      <c r="S30" s="1968"/>
      <c r="T30" s="1968"/>
    </row>
    <row r="31" spans="1:20" ht="18" customHeight="1">
      <c r="C31" s="1141" t="s">
        <v>1351</v>
      </c>
      <c r="D31" s="1135">
        <v>0</v>
      </c>
      <c r="J31" s="1141" t="s">
        <v>1351</v>
      </c>
      <c r="K31" s="1135">
        <v>0</v>
      </c>
      <c r="M31" s="628"/>
      <c r="O31" s="2246"/>
      <c r="P31" s="2246"/>
      <c r="Q31" s="2246"/>
      <c r="R31" s="2003"/>
      <c r="S31" s="1968"/>
      <c r="T31" s="1968"/>
    </row>
    <row r="32" spans="1:20" ht="18" customHeight="1">
      <c r="A32" s="2257" t="s">
        <v>2459</v>
      </c>
      <c r="C32" s="1142" t="s">
        <v>1352</v>
      </c>
      <c r="D32" s="1135">
        <v>0</v>
      </c>
      <c r="J32" s="1142" t="s">
        <v>1352</v>
      </c>
      <c r="K32" s="1135">
        <v>0</v>
      </c>
      <c r="M32" s="628"/>
    </row>
    <row r="33" spans="1:30" ht="18" customHeight="1">
      <c r="A33" s="2257"/>
      <c r="D33" s="1651">
        <f ca="1">SUM(D15:D32)</f>
        <v>0.03</v>
      </c>
      <c r="E33" s="451"/>
      <c r="F33" s="451"/>
      <c r="G33" s="451"/>
      <c r="H33" s="451"/>
      <c r="I33" s="451"/>
      <c r="J33" s="451"/>
      <c r="K33" s="1651">
        <f ca="1">SUM(K15:K32)</f>
        <v>10.029999999999999</v>
      </c>
      <c r="L33" s="451"/>
      <c r="M33" s="853">
        <f ca="1">SUM(D33+K33+R33)</f>
        <v>10.259999999999998</v>
      </c>
      <c r="R33" s="1652">
        <f>SUM(R29:R31)</f>
        <v>0.2</v>
      </c>
      <c r="S33" s="1652"/>
      <c r="T33" s="1652"/>
    </row>
    <row r="34" spans="1:30" ht="18" hidden="1" customHeight="1">
      <c r="M34" s="628"/>
    </row>
    <row r="35" spans="1:30" ht="18" hidden="1" customHeight="1">
      <c r="B35" s="2253" t="s">
        <v>2437</v>
      </c>
      <c r="C35" s="2252" t="s">
        <v>6</v>
      </c>
      <c r="D35" s="2247" t="s">
        <v>1354</v>
      </c>
      <c r="E35" s="2247" t="s">
        <v>1358</v>
      </c>
      <c r="F35" s="2247" t="s">
        <v>1355</v>
      </c>
      <c r="G35" s="2247" t="s">
        <v>1356</v>
      </c>
      <c r="H35" s="2247" t="s">
        <v>1353</v>
      </c>
      <c r="I35" s="635"/>
      <c r="J35" s="416"/>
      <c r="K35" s="2247" t="s">
        <v>1354</v>
      </c>
      <c r="L35" s="2251" t="s">
        <v>1358</v>
      </c>
      <c r="M35" s="2247" t="s">
        <v>1355</v>
      </c>
      <c r="N35" s="2247" t="s">
        <v>1356</v>
      </c>
      <c r="O35" s="2247" t="s">
        <v>1353</v>
      </c>
      <c r="P35" s="580"/>
      <c r="Q35" s="2247" t="s">
        <v>1359</v>
      </c>
      <c r="R35" s="2243" t="s">
        <v>2095</v>
      </c>
      <c r="S35" s="1963"/>
      <c r="T35" s="1963"/>
      <c r="U35" s="1962"/>
      <c r="V35" s="2270" t="s">
        <v>2599</v>
      </c>
      <c r="W35" s="2270" t="s">
        <v>2601</v>
      </c>
      <c r="X35" s="2270" t="s">
        <v>2611</v>
      </c>
      <c r="Y35" s="2270" t="s">
        <v>2610</v>
      </c>
      <c r="Z35" s="1962"/>
      <c r="AA35" s="2270" t="s">
        <v>2600</v>
      </c>
      <c r="AB35" s="2270" t="s">
        <v>2602</v>
      </c>
      <c r="AC35" s="2270" t="s">
        <v>2612</v>
      </c>
      <c r="AD35" s="2270" t="s">
        <v>2613</v>
      </c>
    </row>
    <row r="36" spans="1:30" ht="18" hidden="1" customHeight="1">
      <c r="B36" s="2252"/>
      <c r="C36" s="2252"/>
      <c r="D36" s="2247"/>
      <c r="E36" s="2247"/>
      <c r="F36" s="2247"/>
      <c r="G36" s="2252"/>
      <c r="H36" s="2247"/>
      <c r="I36" s="580"/>
      <c r="J36" s="580"/>
      <c r="K36" s="2247"/>
      <c r="L36" s="2247"/>
      <c r="M36" s="2247"/>
      <c r="N36" s="2252"/>
      <c r="O36" s="2247"/>
      <c r="P36" s="580"/>
      <c r="Q36" s="2247"/>
      <c r="R36" s="2243"/>
      <c r="S36" s="1963"/>
      <c r="T36" s="1963"/>
      <c r="U36" s="1035"/>
      <c r="V36" s="2243"/>
      <c r="W36" s="2243"/>
      <c r="X36" s="2243"/>
      <c r="Y36" s="2243"/>
      <c r="Z36" s="1035"/>
      <c r="AA36" s="2243"/>
      <c r="AB36" s="2243"/>
      <c r="AC36" s="2243"/>
      <c r="AD36" s="2243"/>
    </row>
    <row r="37" spans="1:30" ht="18" hidden="1" customHeight="1">
      <c r="B37" s="563">
        <v>1</v>
      </c>
      <c r="C37" s="563">
        <f ca="1">YEAR(TODAY())</f>
        <v>2022</v>
      </c>
      <c r="D37" s="505">
        <f>D16</f>
        <v>0</v>
      </c>
      <c r="E37" s="505">
        <f>SUM(D25:D30)</f>
        <v>0</v>
      </c>
      <c r="F37" s="505">
        <f>D24*12</f>
        <v>0</v>
      </c>
      <c r="G37" s="505">
        <f>F37-E37</f>
        <v>0</v>
      </c>
      <c r="H37" s="505">
        <f t="shared" ref="H37:H76" si="0">IF(D37&gt;0,D37-$D$15,0)</f>
        <v>0</v>
      </c>
      <c r="I37" s="505"/>
      <c r="J37" s="505"/>
      <c r="K37" s="505">
        <f>K16</f>
        <v>0</v>
      </c>
      <c r="L37" s="505">
        <f>SUM(K25:K30)</f>
        <v>0</v>
      </c>
      <c r="M37" s="505">
        <f>K24*12</f>
        <v>120</v>
      </c>
      <c r="N37" s="505">
        <f>M37-L37</f>
        <v>120</v>
      </c>
      <c r="O37" s="505">
        <f>IF(K37&gt;0,K37-$K$15,0)</f>
        <v>0</v>
      </c>
      <c r="P37" s="563"/>
      <c r="Q37" s="505">
        <f t="shared" ref="Q37:Q76" si="1">G37+O37</f>
        <v>0</v>
      </c>
      <c r="R37" s="505">
        <f t="shared" ref="R37:R68" si="2">D37+K37</f>
        <v>0</v>
      </c>
      <c r="S37" s="505"/>
      <c r="T37" s="505"/>
      <c r="U37" s="505"/>
      <c r="V37" s="505">
        <f ca="1">IF($F$30=C37,D16,0)</f>
        <v>0</v>
      </c>
      <c r="W37" s="505">
        <f t="shared" ref="W37:W68" ca="1" si="3">IF(V37&gt;0,V37*$R$29,0)</f>
        <v>0</v>
      </c>
      <c r="X37" s="505">
        <f t="shared" ref="X37:X68" ca="1" si="4">IF(V37&gt;0,V37*$R$30,0)</f>
        <v>0</v>
      </c>
      <c r="Y37" s="505">
        <f t="shared" ref="Y37:Y68" ca="1" si="5">IF(V37&gt;0,V37-(W37+X37),0)</f>
        <v>0</v>
      </c>
      <c r="Z37" s="505"/>
      <c r="AA37" s="505">
        <f ca="1">IF($M$30=C37,K15,0)</f>
        <v>0</v>
      </c>
      <c r="AB37" s="505">
        <f ca="1">IF(AA37&gt;0,AA37*$R$29,0)</f>
        <v>0</v>
      </c>
      <c r="AC37" s="505">
        <f ca="1">IF(AA37&gt;0,AA37*$R$30,0)</f>
        <v>0</v>
      </c>
      <c r="AD37" s="505">
        <f t="shared" ref="AD37:AD68" ca="1" si="6">IF(AA37&gt;0,AA37-(AB37+AC37),0)</f>
        <v>0</v>
      </c>
    </row>
    <row r="38" spans="1:30" ht="18" hidden="1" customHeight="1">
      <c r="B38" s="564">
        <f>B37+1</f>
        <v>2</v>
      </c>
      <c r="C38" s="564">
        <f ca="1">C37+1</f>
        <v>2023</v>
      </c>
      <c r="D38" s="513">
        <f t="shared" ref="D38:D76" ca="1" si="7">IF(C37&lt;$F$30,(D37*$D$17)+D37,0)</f>
        <v>0</v>
      </c>
      <c r="E38" s="513">
        <f t="shared" ref="E38:E76" ca="1" si="8">IF(D38&gt;0,(E37*$D$31)+E37,0)</f>
        <v>0</v>
      </c>
      <c r="F38" s="513">
        <f t="shared" ref="F38:F76" ca="1" si="9">IF(D38&gt;0,(F37*$D$32)+F37,0)</f>
        <v>0</v>
      </c>
      <c r="G38" s="513">
        <f ca="1">F38-E38</f>
        <v>0</v>
      </c>
      <c r="H38" s="513">
        <f t="shared" ca="1" si="0"/>
        <v>0</v>
      </c>
      <c r="I38" s="513"/>
      <c r="J38" s="513"/>
      <c r="K38" s="513">
        <f t="shared" ref="K38:K76" ca="1" si="10">IF(C37&lt;$M$30,(K37*$K$17)+K37,0)</f>
        <v>0</v>
      </c>
      <c r="L38" s="513">
        <f ca="1">IF(K38&gt;0,(L37*$K$31)+L37,0)</f>
        <v>0</v>
      </c>
      <c r="M38" s="513">
        <f t="shared" ref="M38:M76" ca="1" si="11">IF(K38&gt;0,(M37*$K$32)+M37,0)</f>
        <v>0</v>
      </c>
      <c r="N38" s="513">
        <f ca="1">M38-L38</f>
        <v>0</v>
      </c>
      <c r="O38" s="513">
        <f t="shared" ref="O38:O76" ca="1" si="12">IF(K38&gt;0,K38-$K$15,0)</f>
        <v>0</v>
      </c>
      <c r="P38" s="564"/>
      <c r="Q38" s="513">
        <f t="shared" ca="1" si="1"/>
        <v>0</v>
      </c>
      <c r="R38" s="513">
        <f t="shared" ca="1" si="2"/>
        <v>0</v>
      </c>
      <c r="S38" s="505"/>
      <c r="T38" s="505"/>
      <c r="U38" s="513"/>
      <c r="V38" s="513">
        <f t="shared" ref="V38:V54" ca="1" si="13">IF($F$30=C37,D37,0)</f>
        <v>0</v>
      </c>
      <c r="W38" s="513">
        <f t="shared" ca="1" si="3"/>
        <v>0</v>
      </c>
      <c r="X38" s="513">
        <f t="shared" ca="1" si="4"/>
        <v>0</v>
      </c>
      <c r="Y38" s="513">
        <f t="shared" ca="1" si="5"/>
        <v>0</v>
      </c>
      <c r="Z38" s="513"/>
      <c r="AA38" s="513">
        <f t="shared" ref="AA38:AA62" ca="1" si="14">IF($M$30=C37,K37,0)</f>
        <v>0</v>
      </c>
      <c r="AB38" s="513">
        <f t="shared" ref="AB38:AB54" ca="1" si="15">IF(AA38&gt;0,AA38*$R$29,0)</f>
        <v>0</v>
      </c>
      <c r="AC38" s="513">
        <f t="shared" ref="AC38:AC54" ca="1" si="16">IF(AA38&gt;0,AA38*$R$30,0)</f>
        <v>0</v>
      </c>
      <c r="AD38" s="513">
        <f t="shared" ca="1" si="6"/>
        <v>0</v>
      </c>
    </row>
    <row r="39" spans="1:30" ht="18" hidden="1" customHeight="1">
      <c r="B39" s="563">
        <f t="shared" ref="B39:B67" si="17">B38+1</f>
        <v>3</v>
      </c>
      <c r="C39" s="563">
        <f t="shared" ref="C39:C67" ca="1" si="18">C38+1</f>
        <v>2024</v>
      </c>
      <c r="D39" s="505">
        <f t="shared" ca="1" si="7"/>
        <v>0</v>
      </c>
      <c r="E39" s="505">
        <f t="shared" ca="1" si="8"/>
        <v>0</v>
      </c>
      <c r="F39" s="505">
        <f t="shared" ca="1" si="9"/>
        <v>0</v>
      </c>
      <c r="G39" s="505">
        <f t="shared" ref="G39:G76" ca="1" si="19">F39-E39</f>
        <v>0</v>
      </c>
      <c r="H39" s="505">
        <f t="shared" ca="1" si="0"/>
        <v>0</v>
      </c>
      <c r="I39" s="505"/>
      <c r="J39" s="505"/>
      <c r="K39" s="505">
        <f t="shared" ca="1" si="10"/>
        <v>0</v>
      </c>
      <c r="L39" s="505">
        <f t="shared" ref="L39:L76" ca="1" si="20">IF(K39&gt;0,(L38*$K$31)+L38,0)</f>
        <v>0</v>
      </c>
      <c r="M39" s="505">
        <f t="shared" ca="1" si="11"/>
        <v>0</v>
      </c>
      <c r="N39" s="505">
        <f t="shared" ref="N39:N76" ca="1" si="21">M39-L39</f>
        <v>0</v>
      </c>
      <c r="O39" s="505">
        <f t="shared" ca="1" si="12"/>
        <v>0</v>
      </c>
      <c r="P39" s="563"/>
      <c r="Q39" s="505">
        <f t="shared" ca="1" si="1"/>
        <v>0</v>
      </c>
      <c r="R39" s="505">
        <f t="shared" ca="1" si="2"/>
        <v>0</v>
      </c>
      <c r="S39" s="505"/>
      <c r="T39" s="505"/>
      <c r="U39" s="505"/>
      <c r="V39" s="505">
        <f t="shared" ca="1" si="13"/>
        <v>0</v>
      </c>
      <c r="W39" s="505">
        <f t="shared" ca="1" si="3"/>
        <v>0</v>
      </c>
      <c r="X39" s="505">
        <f t="shared" ca="1" si="4"/>
        <v>0</v>
      </c>
      <c r="Y39" s="505">
        <f t="shared" ca="1" si="5"/>
        <v>0</v>
      </c>
      <c r="Z39" s="505"/>
      <c r="AA39" s="505">
        <f t="shared" ca="1" si="14"/>
        <v>0</v>
      </c>
      <c r="AB39" s="505">
        <f t="shared" ca="1" si="15"/>
        <v>0</v>
      </c>
      <c r="AC39" s="505">
        <f t="shared" ca="1" si="16"/>
        <v>0</v>
      </c>
      <c r="AD39" s="505">
        <f t="shared" ca="1" si="6"/>
        <v>0</v>
      </c>
    </row>
    <row r="40" spans="1:30" ht="18" hidden="1" customHeight="1">
      <c r="B40" s="564">
        <f t="shared" si="17"/>
        <v>4</v>
      </c>
      <c r="C40" s="564">
        <f t="shared" ca="1" si="18"/>
        <v>2025</v>
      </c>
      <c r="D40" s="513">
        <f t="shared" ca="1" si="7"/>
        <v>0</v>
      </c>
      <c r="E40" s="513">
        <f t="shared" ca="1" si="8"/>
        <v>0</v>
      </c>
      <c r="F40" s="513">
        <f t="shared" ca="1" si="9"/>
        <v>0</v>
      </c>
      <c r="G40" s="513">
        <f t="shared" ca="1" si="19"/>
        <v>0</v>
      </c>
      <c r="H40" s="513">
        <f t="shared" ca="1" si="0"/>
        <v>0</v>
      </c>
      <c r="I40" s="513"/>
      <c r="J40" s="513"/>
      <c r="K40" s="513">
        <f t="shared" ca="1" si="10"/>
        <v>0</v>
      </c>
      <c r="L40" s="513">
        <f t="shared" ca="1" si="20"/>
        <v>0</v>
      </c>
      <c r="M40" s="513">
        <f t="shared" ca="1" si="11"/>
        <v>0</v>
      </c>
      <c r="N40" s="513">
        <f t="shared" ca="1" si="21"/>
        <v>0</v>
      </c>
      <c r="O40" s="513">
        <f t="shared" ca="1" si="12"/>
        <v>0</v>
      </c>
      <c r="P40" s="564"/>
      <c r="Q40" s="513">
        <f t="shared" ca="1" si="1"/>
        <v>0</v>
      </c>
      <c r="R40" s="513">
        <f t="shared" ca="1" si="2"/>
        <v>0</v>
      </c>
      <c r="S40" s="505"/>
      <c r="T40" s="505"/>
      <c r="U40" s="513"/>
      <c r="V40" s="513">
        <f t="shared" ca="1" si="13"/>
        <v>0</v>
      </c>
      <c r="W40" s="513">
        <f t="shared" ca="1" si="3"/>
        <v>0</v>
      </c>
      <c r="X40" s="513">
        <f t="shared" ca="1" si="4"/>
        <v>0</v>
      </c>
      <c r="Y40" s="513">
        <f t="shared" ca="1" si="5"/>
        <v>0</v>
      </c>
      <c r="Z40" s="513"/>
      <c r="AA40" s="513">
        <f t="shared" ca="1" si="14"/>
        <v>0</v>
      </c>
      <c r="AB40" s="513">
        <f t="shared" ca="1" si="15"/>
        <v>0</v>
      </c>
      <c r="AC40" s="513">
        <f t="shared" ca="1" si="16"/>
        <v>0</v>
      </c>
      <c r="AD40" s="513">
        <f t="shared" ca="1" si="6"/>
        <v>0</v>
      </c>
    </row>
    <row r="41" spans="1:30" ht="18" hidden="1" customHeight="1">
      <c r="B41" s="563">
        <f t="shared" si="17"/>
        <v>5</v>
      </c>
      <c r="C41" s="563">
        <f t="shared" ca="1" si="18"/>
        <v>2026</v>
      </c>
      <c r="D41" s="505">
        <f t="shared" ca="1" si="7"/>
        <v>0</v>
      </c>
      <c r="E41" s="505">
        <f t="shared" ca="1" si="8"/>
        <v>0</v>
      </c>
      <c r="F41" s="505">
        <f t="shared" ca="1" si="9"/>
        <v>0</v>
      </c>
      <c r="G41" s="505">
        <f t="shared" ca="1" si="19"/>
        <v>0</v>
      </c>
      <c r="H41" s="505">
        <f t="shared" ca="1" si="0"/>
        <v>0</v>
      </c>
      <c r="I41" s="505"/>
      <c r="J41" s="505"/>
      <c r="K41" s="505">
        <f t="shared" ca="1" si="10"/>
        <v>0</v>
      </c>
      <c r="L41" s="505">
        <f t="shared" ca="1" si="20"/>
        <v>0</v>
      </c>
      <c r="M41" s="505">
        <f t="shared" ca="1" si="11"/>
        <v>0</v>
      </c>
      <c r="N41" s="505">
        <f t="shared" ca="1" si="21"/>
        <v>0</v>
      </c>
      <c r="O41" s="505">
        <f t="shared" ca="1" si="12"/>
        <v>0</v>
      </c>
      <c r="P41" s="563"/>
      <c r="Q41" s="505">
        <f t="shared" ca="1" si="1"/>
        <v>0</v>
      </c>
      <c r="R41" s="505">
        <f t="shared" ca="1" si="2"/>
        <v>0</v>
      </c>
      <c r="S41" s="505"/>
      <c r="T41" s="505"/>
      <c r="U41" s="505"/>
      <c r="V41" s="505">
        <f t="shared" ca="1" si="13"/>
        <v>0</v>
      </c>
      <c r="W41" s="505">
        <f t="shared" ca="1" si="3"/>
        <v>0</v>
      </c>
      <c r="X41" s="505">
        <f t="shared" ca="1" si="4"/>
        <v>0</v>
      </c>
      <c r="Y41" s="505">
        <f t="shared" ca="1" si="5"/>
        <v>0</v>
      </c>
      <c r="Z41" s="505"/>
      <c r="AA41" s="505">
        <f t="shared" ca="1" si="14"/>
        <v>0</v>
      </c>
      <c r="AB41" s="505">
        <f t="shared" ca="1" si="15"/>
        <v>0</v>
      </c>
      <c r="AC41" s="505">
        <f t="shared" ca="1" si="16"/>
        <v>0</v>
      </c>
      <c r="AD41" s="505">
        <f t="shared" ca="1" si="6"/>
        <v>0</v>
      </c>
    </row>
    <row r="42" spans="1:30" ht="18" hidden="1" customHeight="1">
      <c r="B42" s="564">
        <f t="shared" si="17"/>
        <v>6</v>
      </c>
      <c r="C42" s="564">
        <f t="shared" ca="1" si="18"/>
        <v>2027</v>
      </c>
      <c r="D42" s="513">
        <f t="shared" ca="1" si="7"/>
        <v>0</v>
      </c>
      <c r="E42" s="513">
        <f t="shared" ca="1" si="8"/>
        <v>0</v>
      </c>
      <c r="F42" s="513">
        <f t="shared" ca="1" si="9"/>
        <v>0</v>
      </c>
      <c r="G42" s="513">
        <f t="shared" ca="1" si="19"/>
        <v>0</v>
      </c>
      <c r="H42" s="513">
        <f t="shared" ca="1" si="0"/>
        <v>0</v>
      </c>
      <c r="I42" s="513"/>
      <c r="J42" s="513"/>
      <c r="K42" s="513">
        <f t="shared" ca="1" si="10"/>
        <v>0</v>
      </c>
      <c r="L42" s="513">
        <f t="shared" ca="1" si="20"/>
        <v>0</v>
      </c>
      <c r="M42" s="513">
        <f t="shared" ca="1" si="11"/>
        <v>0</v>
      </c>
      <c r="N42" s="513">
        <f t="shared" ca="1" si="21"/>
        <v>0</v>
      </c>
      <c r="O42" s="513">
        <f t="shared" ca="1" si="12"/>
        <v>0</v>
      </c>
      <c r="P42" s="564"/>
      <c r="Q42" s="513">
        <f t="shared" ca="1" si="1"/>
        <v>0</v>
      </c>
      <c r="R42" s="513">
        <f t="shared" ca="1" si="2"/>
        <v>0</v>
      </c>
      <c r="S42" s="505"/>
      <c r="T42" s="505"/>
      <c r="U42" s="513"/>
      <c r="V42" s="513">
        <f t="shared" ca="1" si="13"/>
        <v>0</v>
      </c>
      <c r="W42" s="513">
        <f t="shared" ca="1" si="3"/>
        <v>0</v>
      </c>
      <c r="X42" s="513">
        <f t="shared" ca="1" si="4"/>
        <v>0</v>
      </c>
      <c r="Y42" s="513">
        <f t="shared" ca="1" si="5"/>
        <v>0</v>
      </c>
      <c r="Z42" s="513"/>
      <c r="AA42" s="513">
        <f t="shared" ca="1" si="14"/>
        <v>0</v>
      </c>
      <c r="AB42" s="513">
        <f t="shared" ca="1" si="15"/>
        <v>0</v>
      </c>
      <c r="AC42" s="513">
        <f t="shared" ca="1" si="16"/>
        <v>0</v>
      </c>
      <c r="AD42" s="513">
        <f t="shared" ca="1" si="6"/>
        <v>0</v>
      </c>
    </row>
    <row r="43" spans="1:30" ht="18" hidden="1" customHeight="1">
      <c r="B43" s="563">
        <f t="shared" si="17"/>
        <v>7</v>
      </c>
      <c r="C43" s="563">
        <f t="shared" ca="1" si="18"/>
        <v>2028</v>
      </c>
      <c r="D43" s="505">
        <f t="shared" ca="1" si="7"/>
        <v>0</v>
      </c>
      <c r="E43" s="505">
        <f t="shared" ca="1" si="8"/>
        <v>0</v>
      </c>
      <c r="F43" s="505">
        <f t="shared" ca="1" si="9"/>
        <v>0</v>
      </c>
      <c r="G43" s="505">
        <f t="shared" ca="1" si="19"/>
        <v>0</v>
      </c>
      <c r="H43" s="505">
        <f t="shared" ca="1" si="0"/>
        <v>0</v>
      </c>
      <c r="I43" s="505"/>
      <c r="J43" s="505"/>
      <c r="K43" s="505">
        <f t="shared" ca="1" si="10"/>
        <v>0</v>
      </c>
      <c r="L43" s="505">
        <f t="shared" ca="1" si="20"/>
        <v>0</v>
      </c>
      <c r="M43" s="505">
        <f t="shared" ca="1" si="11"/>
        <v>0</v>
      </c>
      <c r="N43" s="505">
        <f t="shared" ca="1" si="21"/>
        <v>0</v>
      </c>
      <c r="O43" s="505">
        <f t="shared" ca="1" si="12"/>
        <v>0</v>
      </c>
      <c r="P43" s="563"/>
      <c r="Q43" s="505">
        <f t="shared" ca="1" si="1"/>
        <v>0</v>
      </c>
      <c r="R43" s="505">
        <f t="shared" ca="1" si="2"/>
        <v>0</v>
      </c>
      <c r="S43" s="505"/>
      <c r="T43" s="505"/>
      <c r="U43" s="505"/>
      <c r="V43" s="505">
        <f t="shared" ca="1" si="13"/>
        <v>0</v>
      </c>
      <c r="W43" s="505">
        <f t="shared" ca="1" si="3"/>
        <v>0</v>
      </c>
      <c r="X43" s="505">
        <f t="shared" ca="1" si="4"/>
        <v>0</v>
      </c>
      <c r="Y43" s="505">
        <f t="shared" ca="1" si="5"/>
        <v>0</v>
      </c>
      <c r="Z43" s="505"/>
      <c r="AA43" s="505">
        <f t="shared" ca="1" si="14"/>
        <v>0</v>
      </c>
      <c r="AB43" s="505">
        <f t="shared" ca="1" si="15"/>
        <v>0</v>
      </c>
      <c r="AC43" s="505">
        <f t="shared" ca="1" si="16"/>
        <v>0</v>
      </c>
      <c r="AD43" s="505">
        <f t="shared" ca="1" si="6"/>
        <v>0</v>
      </c>
    </row>
    <row r="44" spans="1:30" ht="18" hidden="1" customHeight="1">
      <c r="B44" s="564">
        <f t="shared" si="17"/>
        <v>8</v>
      </c>
      <c r="C44" s="564">
        <f t="shared" ca="1" si="18"/>
        <v>2029</v>
      </c>
      <c r="D44" s="513">
        <f t="shared" ca="1" si="7"/>
        <v>0</v>
      </c>
      <c r="E44" s="513">
        <f t="shared" ca="1" si="8"/>
        <v>0</v>
      </c>
      <c r="F44" s="513">
        <f t="shared" ca="1" si="9"/>
        <v>0</v>
      </c>
      <c r="G44" s="513">
        <f t="shared" ca="1" si="19"/>
        <v>0</v>
      </c>
      <c r="H44" s="513">
        <f t="shared" ca="1" si="0"/>
        <v>0</v>
      </c>
      <c r="I44" s="513"/>
      <c r="J44" s="513"/>
      <c r="K44" s="513">
        <f t="shared" ca="1" si="10"/>
        <v>0</v>
      </c>
      <c r="L44" s="513">
        <f t="shared" ca="1" si="20"/>
        <v>0</v>
      </c>
      <c r="M44" s="513">
        <f t="shared" ca="1" si="11"/>
        <v>0</v>
      </c>
      <c r="N44" s="513">
        <f t="shared" ca="1" si="21"/>
        <v>0</v>
      </c>
      <c r="O44" s="513">
        <f t="shared" ca="1" si="12"/>
        <v>0</v>
      </c>
      <c r="P44" s="564"/>
      <c r="Q44" s="513">
        <f t="shared" ca="1" si="1"/>
        <v>0</v>
      </c>
      <c r="R44" s="513">
        <f t="shared" ca="1" si="2"/>
        <v>0</v>
      </c>
      <c r="S44" s="505"/>
      <c r="T44" s="505"/>
      <c r="U44" s="513"/>
      <c r="V44" s="513">
        <f t="shared" ca="1" si="13"/>
        <v>0</v>
      </c>
      <c r="W44" s="513">
        <f t="shared" ca="1" si="3"/>
        <v>0</v>
      </c>
      <c r="X44" s="513">
        <f t="shared" ca="1" si="4"/>
        <v>0</v>
      </c>
      <c r="Y44" s="513">
        <f t="shared" ca="1" si="5"/>
        <v>0</v>
      </c>
      <c r="Z44" s="513"/>
      <c r="AA44" s="513">
        <f t="shared" ca="1" si="14"/>
        <v>0</v>
      </c>
      <c r="AB44" s="513">
        <f t="shared" ca="1" si="15"/>
        <v>0</v>
      </c>
      <c r="AC44" s="513">
        <f t="shared" ca="1" si="16"/>
        <v>0</v>
      </c>
      <c r="AD44" s="513">
        <f t="shared" ca="1" si="6"/>
        <v>0</v>
      </c>
    </row>
    <row r="45" spans="1:30" ht="18" hidden="1" customHeight="1">
      <c r="B45" s="563">
        <f t="shared" si="17"/>
        <v>9</v>
      </c>
      <c r="C45" s="563">
        <f t="shared" ca="1" si="18"/>
        <v>2030</v>
      </c>
      <c r="D45" s="505">
        <f t="shared" ca="1" si="7"/>
        <v>0</v>
      </c>
      <c r="E45" s="505">
        <f t="shared" ca="1" si="8"/>
        <v>0</v>
      </c>
      <c r="F45" s="505">
        <f t="shared" ca="1" si="9"/>
        <v>0</v>
      </c>
      <c r="G45" s="505">
        <f t="shared" ca="1" si="19"/>
        <v>0</v>
      </c>
      <c r="H45" s="505">
        <f t="shared" ca="1" si="0"/>
        <v>0</v>
      </c>
      <c r="I45" s="505"/>
      <c r="J45" s="505"/>
      <c r="K45" s="505">
        <f t="shared" ca="1" si="10"/>
        <v>0</v>
      </c>
      <c r="L45" s="505">
        <f t="shared" ca="1" si="20"/>
        <v>0</v>
      </c>
      <c r="M45" s="505">
        <f t="shared" ca="1" si="11"/>
        <v>0</v>
      </c>
      <c r="N45" s="505">
        <f t="shared" ca="1" si="21"/>
        <v>0</v>
      </c>
      <c r="O45" s="505">
        <f t="shared" ca="1" si="12"/>
        <v>0</v>
      </c>
      <c r="P45" s="563"/>
      <c r="Q45" s="505">
        <f t="shared" ca="1" si="1"/>
        <v>0</v>
      </c>
      <c r="R45" s="505">
        <f t="shared" ca="1" si="2"/>
        <v>0</v>
      </c>
      <c r="S45" s="505"/>
      <c r="T45" s="505"/>
      <c r="U45" s="505"/>
      <c r="V45" s="505">
        <f t="shared" ca="1" si="13"/>
        <v>0</v>
      </c>
      <c r="W45" s="505">
        <f t="shared" ca="1" si="3"/>
        <v>0</v>
      </c>
      <c r="X45" s="505">
        <f t="shared" ca="1" si="4"/>
        <v>0</v>
      </c>
      <c r="Y45" s="505">
        <f t="shared" ca="1" si="5"/>
        <v>0</v>
      </c>
      <c r="Z45" s="505"/>
      <c r="AA45" s="505">
        <f t="shared" ca="1" si="14"/>
        <v>0</v>
      </c>
      <c r="AB45" s="505">
        <f t="shared" ca="1" si="15"/>
        <v>0</v>
      </c>
      <c r="AC45" s="505">
        <f t="shared" ca="1" si="16"/>
        <v>0</v>
      </c>
      <c r="AD45" s="505">
        <f t="shared" ca="1" si="6"/>
        <v>0</v>
      </c>
    </row>
    <row r="46" spans="1:30" ht="18" hidden="1" customHeight="1">
      <c r="B46" s="564">
        <f t="shared" si="17"/>
        <v>10</v>
      </c>
      <c r="C46" s="564">
        <f t="shared" ca="1" si="18"/>
        <v>2031</v>
      </c>
      <c r="D46" s="513">
        <f t="shared" ca="1" si="7"/>
        <v>0</v>
      </c>
      <c r="E46" s="513">
        <f t="shared" ca="1" si="8"/>
        <v>0</v>
      </c>
      <c r="F46" s="513">
        <f t="shared" ca="1" si="9"/>
        <v>0</v>
      </c>
      <c r="G46" s="513">
        <f t="shared" ca="1" si="19"/>
        <v>0</v>
      </c>
      <c r="H46" s="513">
        <f t="shared" ca="1" si="0"/>
        <v>0</v>
      </c>
      <c r="I46" s="513"/>
      <c r="J46" s="513"/>
      <c r="K46" s="513">
        <f t="shared" ca="1" si="10"/>
        <v>0</v>
      </c>
      <c r="L46" s="513">
        <f t="shared" ca="1" si="20"/>
        <v>0</v>
      </c>
      <c r="M46" s="513">
        <f t="shared" ca="1" si="11"/>
        <v>0</v>
      </c>
      <c r="N46" s="513">
        <f t="shared" ca="1" si="21"/>
        <v>0</v>
      </c>
      <c r="O46" s="513">
        <f t="shared" ca="1" si="12"/>
        <v>0</v>
      </c>
      <c r="P46" s="564"/>
      <c r="Q46" s="513">
        <f t="shared" ca="1" si="1"/>
        <v>0</v>
      </c>
      <c r="R46" s="513">
        <f t="shared" ca="1" si="2"/>
        <v>0</v>
      </c>
      <c r="S46" s="505"/>
      <c r="T46" s="505"/>
      <c r="U46" s="513"/>
      <c r="V46" s="513">
        <f t="shared" ca="1" si="13"/>
        <v>0</v>
      </c>
      <c r="W46" s="513">
        <f t="shared" ca="1" si="3"/>
        <v>0</v>
      </c>
      <c r="X46" s="513">
        <f t="shared" ca="1" si="4"/>
        <v>0</v>
      </c>
      <c r="Y46" s="513">
        <f t="shared" ca="1" si="5"/>
        <v>0</v>
      </c>
      <c r="Z46" s="513"/>
      <c r="AA46" s="513">
        <f t="shared" ca="1" si="14"/>
        <v>0</v>
      </c>
      <c r="AB46" s="513">
        <f t="shared" ca="1" si="15"/>
        <v>0</v>
      </c>
      <c r="AC46" s="513">
        <f t="shared" ca="1" si="16"/>
        <v>0</v>
      </c>
      <c r="AD46" s="513">
        <f t="shared" ca="1" si="6"/>
        <v>0</v>
      </c>
    </row>
    <row r="47" spans="1:30" ht="18" hidden="1" customHeight="1">
      <c r="B47" s="563">
        <f t="shared" si="17"/>
        <v>11</v>
      </c>
      <c r="C47" s="563">
        <f t="shared" ca="1" si="18"/>
        <v>2032</v>
      </c>
      <c r="D47" s="505">
        <f t="shared" ca="1" si="7"/>
        <v>0</v>
      </c>
      <c r="E47" s="505">
        <f t="shared" ca="1" si="8"/>
        <v>0</v>
      </c>
      <c r="F47" s="505">
        <f t="shared" ca="1" si="9"/>
        <v>0</v>
      </c>
      <c r="G47" s="505">
        <f t="shared" ca="1" si="19"/>
        <v>0</v>
      </c>
      <c r="H47" s="505">
        <f t="shared" ca="1" si="0"/>
        <v>0</v>
      </c>
      <c r="I47" s="505"/>
      <c r="J47" s="505"/>
      <c r="K47" s="505">
        <f t="shared" ca="1" si="10"/>
        <v>0</v>
      </c>
      <c r="L47" s="505">
        <f t="shared" ca="1" si="20"/>
        <v>0</v>
      </c>
      <c r="M47" s="505">
        <f t="shared" ca="1" si="11"/>
        <v>0</v>
      </c>
      <c r="N47" s="505">
        <f t="shared" ca="1" si="21"/>
        <v>0</v>
      </c>
      <c r="O47" s="505">
        <f t="shared" ca="1" si="12"/>
        <v>0</v>
      </c>
      <c r="P47" s="563"/>
      <c r="Q47" s="505">
        <f t="shared" ca="1" si="1"/>
        <v>0</v>
      </c>
      <c r="R47" s="505">
        <f t="shared" ca="1" si="2"/>
        <v>0</v>
      </c>
      <c r="S47" s="505"/>
      <c r="T47" s="505"/>
      <c r="U47" s="505"/>
      <c r="V47" s="505">
        <f t="shared" ca="1" si="13"/>
        <v>0</v>
      </c>
      <c r="W47" s="505">
        <f t="shared" ca="1" si="3"/>
        <v>0</v>
      </c>
      <c r="X47" s="505">
        <f t="shared" ca="1" si="4"/>
        <v>0</v>
      </c>
      <c r="Y47" s="505">
        <f t="shared" ca="1" si="5"/>
        <v>0</v>
      </c>
      <c r="Z47" s="505"/>
      <c r="AA47" s="505">
        <f t="shared" ca="1" si="14"/>
        <v>0</v>
      </c>
      <c r="AB47" s="505">
        <f t="shared" ca="1" si="15"/>
        <v>0</v>
      </c>
      <c r="AC47" s="505">
        <f t="shared" ca="1" si="16"/>
        <v>0</v>
      </c>
      <c r="AD47" s="505">
        <f t="shared" ca="1" si="6"/>
        <v>0</v>
      </c>
    </row>
    <row r="48" spans="1:30" ht="18" hidden="1" customHeight="1">
      <c r="B48" s="564">
        <f t="shared" si="17"/>
        <v>12</v>
      </c>
      <c r="C48" s="564">
        <f t="shared" ca="1" si="18"/>
        <v>2033</v>
      </c>
      <c r="D48" s="513">
        <f t="shared" ca="1" si="7"/>
        <v>0</v>
      </c>
      <c r="E48" s="513">
        <f t="shared" ca="1" si="8"/>
        <v>0</v>
      </c>
      <c r="F48" s="513">
        <f t="shared" ca="1" si="9"/>
        <v>0</v>
      </c>
      <c r="G48" s="513">
        <f t="shared" ca="1" si="19"/>
        <v>0</v>
      </c>
      <c r="H48" s="513">
        <f t="shared" ca="1" si="0"/>
        <v>0</v>
      </c>
      <c r="I48" s="513"/>
      <c r="J48" s="513"/>
      <c r="K48" s="513">
        <f t="shared" ca="1" si="10"/>
        <v>0</v>
      </c>
      <c r="L48" s="513">
        <f t="shared" ca="1" si="20"/>
        <v>0</v>
      </c>
      <c r="M48" s="513">
        <f t="shared" ca="1" si="11"/>
        <v>0</v>
      </c>
      <c r="N48" s="513">
        <f t="shared" ca="1" si="21"/>
        <v>0</v>
      </c>
      <c r="O48" s="513">
        <f t="shared" ca="1" si="12"/>
        <v>0</v>
      </c>
      <c r="P48" s="564"/>
      <c r="Q48" s="513">
        <f t="shared" ca="1" si="1"/>
        <v>0</v>
      </c>
      <c r="R48" s="513">
        <f t="shared" ca="1" si="2"/>
        <v>0</v>
      </c>
      <c r="S48" s="505"/>
      <c r="T48" s="505"/>
      <c r="U48" s="513"/>
      <c r="V48" s="513">
        <f t="shared" ca="1" si="13"/>
        <v>0</v>
      </c>
      <c r="W48" s="513">
        <f t="shared" ca="1" si="3"/>
        <v>0</v>
      </c>
      <c r="X48" s="513">
        <f t="shared" ca="1" si="4"/>
        <v>0</v>
      </c>
      <c r="Y48" s="513">
        <f t="shared" ca="1" si="5"/>
        <v>0</v>
      </c>
      <c r="Z48" s="513"/>
      <c r="AA48" s="513">
        <f t="shared" ca="1" si="14"/>
        <v>0</v>
      </c>
      <c r="AB48" s="513">
        <f t="shared" ca="1" si="15"/>
        <v>0</v>
      </c>
      <c r="AC48" s="513">
        <f t="shared" ca="1" si="16"/>
        <v>0</v>
      </c>
      <c r="AD48" s="513">
        <f t="shared" ca="1" si="6"/>
        <v>0</v>
      </c>
    </row>
    <row r="49" spans="2:30" ht="18" hidden="1" customHeight="1">
      <c r="B49" s="563">
        <f t="shared" si="17"/>
        <v>13</v>
      </c>
      <c r="C49" s="563">
        <f t="shared" ca="1" si="18"/>
        <v>2034</v>
      </c>
      <c r="D49" s="505">
        <f t="shared" ca="1" si="7"/>
        <v>0</v>
      </c>
      <c r="E49" s="505">
        <f t="shared" ca="1" si="8"/>
        <v>0</v>
      </c>
      <c r="F49" s="505">
        <f t="shared" ca="1" si="9"/>
        <v>0</v>
      </c>
      <c r="G49" s="505">
        <f t="shared" ca="1" si="19"/>
        <v>0</v>
      </c>
      <c r="H49" s="505">
        <f t="shared" ca="1" si="0"/>
        <v>0</v>
      </c>
      <c r="I49" s="505"/>
      <c r="J49" s="505"/>
      <c r="K49" s="505">
        <f t="shared" ca="1" si="10"/>
        <v>0</v>
      </c>
      <c r="L49" s="505">
        <f t="shared" ca="1" si="20"/>
        <v>0</v>
      </c>
      <c r="M49" s="505">
        <f t="shared" ca="1" si="11"/>
        <v>0</v>
      </c>
      <c r="N49" s="505">
        <f t="shared" ca="1" si="21"/>
        <v>0</v>
      </c>
      <c r="O49" s="505">
        <f t="shared" ca="1" si="12"/>
        <v>0</v>
      </c>
      <c r="P49" s="563"/>
      <c r="Q49" s="505">
        <f t="shared" ca="1" si="1"/>
        <v>0</v>
      </c>
      <c r="R49" s="505">
        <f t="shared" ca="1" si="2"/>
        <v>0</v>
      </c>
      <c r="S49" s="505"/>
      <c r="T49" s="505"/>
      <c r="U49" s="505"/>
      <c r="V49" s="505">
        <f t="shared" ca="1" si="13"/>
        <v>0</v>
      </c>
      <c r="W49" s="505">
        <f t="shared" ca="1" si="3"/>
        <v>0</v>
      </c>
      <c r="X49" s="505">
        <f t="shared" ca="1" si="4"/>
        <v>0</v>
      </c>
      <c r="Y49" s="505">
        <f t="shared" ca="1" si="5"/>
        <v>0</v>
      </c>
      <c r="Z49" s="505"/>
      <c r="AA49" s="505">
        <f t="shared" ca="1" si="14"/>
        <v>0</v>
      </c>
      <c r="AB49" s="505">
        <f t="shared" ca="1" si="15"/>
        <v>0</v>
      </c>
      <c r="AC49" s="505">
        <f t="shared" ca="1" si="16"/>
        <v>0</v>
      </c>
      <c r="AD49" s="505">
        <f t="shared" ca="1" si="6"/>
        <v>0</v>
      </c>
    </row>
    <row r="50" spans="2:30" ht="18" hidden="1" customHeight="1">
      <c r="B50" s="564">
        <f t="shared" si="17"/>
        <v>14</v>
      </c>
      <c r="C50" s="564">
        <f t="shared" ca="1" si="18"/>
        <v>2035</v>
      </c>
      <c r="D50" s="513">
        <f t="shared" ca="1" si="7"/>
        <v>0</v>
      </c>
      <c r="E50" s="513">
        <f t="shared" ca="1" si="8"/>
        <v>0</v>
      </c>
      <c r="F50" s="513">
        <f t="shared" ca="1" si="9"/>
        <v>0</v>
      </c>
      <c r="G50" s="513">
        <f t="shared" ca="1" si="19"/>
        <v>0</v>
      </c>
      <c r="H50" s="513">
        <f t="shared" ca="1" si="0"/>
        <v>0</v>
      </c>
      <c r="I50" s="513"/>
      <c r="J50" s="513"/>
      <c r="K50" s="513">
        <f t="shared" ca="1" si="10"/>
        <v>0</v>
      </c>
      <c r="L50" s="513">
        <f t="shared" ca="1" si="20"/>
        <v>0</v>
      </c>
      <c r="M50" s="513">
        <f t="shared" ca="1" si="11"/>
        <v>0</v>
      </c>
      <c r="N50" s="513">
        <f t="shared" ca="1" si="21"/>
        <v>0</v>
      </c>
      <c r="O50" s="513">
        <f t="shared" ca="1" si="12"/>
        <v>0</v>
      </c>
      <c r="P50" s="564"/>
      <c r="Q50" s="513">
        <f t="shared" ca="1" si="1"/>
        <v>0</v>
      </c>
      <c r="R50" s="513">
        <f t="shared" ca="1" si="2"/>
        <v>0</v>
      </c>
      <c r="S50" s="505"/>
      <c r="T50" s="505"/>
      <c r="U50" s="513"/>
      <c r="V50" s="513">
        <f t="shared" ca="1" si="13"/>
        <v>0</v>
      </c>
      <c r="W50" s="513">
        <f t="shared" ca="1" si="3"/>
        <v>0</v>
      </c>
      <c r="X50" s="513">
        <f t="shared" ca="1" si="4"/>
        <v>0</v>
      </c>
      <c r="Y50" s="513">
        <f t="shared" ca="1" si="5"/>
        <v>0</v>
      </c>
      <c r="Z50" s="513"/>
      <c r="AA50" s="513">
        <f t="shared" ca="1" si="14"/>
        <v>0</v>
      </c>
      <c r="AB50" s="513">
        <f t="shared" ca="1" si="15"/>
        <v>0</v>
      </c>
      <c r="AC50" s="513">
        <f t="shared" ca="1" si="16"/>
        <v>0</v>
      </c>
      <c r="AD50" s="513">
        <f t="shared" ca="1" si="6"/>
        <v>0</v>
      </c>
    </row>
    <row r="51" spans="2:30" ht="18" hidden="1" customHeight="1">
      <c r="B51" s="563">
        <f t="shared" si="17"/>
        <v>15</v>
      </c>
      <c r="C51" s="563">
        <f t="shared" ca="1" si="18"/>
        <v>2036</v>
      </c>
      <c r="D51" s="505">
        <f t="shared" ca="1" si="7"/>
        <v>0</v>
      </c>
      <c r="E51" s="505">
        <f t="shared" ca="1" si="8"/>
        <v>0</v>
      </c>
      <c r="F51" s="505">
        <f t="shared" ca="1" si="9"/>
        <v>0</v>
      </c>
      <c r="G51" s="505">
        <f t="shared" ca="1" si="19"/>
        <v>0</v>
      </c>
      <c r="H51" s="505">
        <f t="shared" ca="1" si="0"/>
        <v>0</v>
      </c>
      <c r="I51" s="505"/>
      <c r="J51" s="505"/>
      <c r="K51" s="505">
        <f t="shared" ca="1" si="10"/>
        <v>0</v>
      </c>
      <c r="L51" s="505">
        <f t="shared" ca="1" si="20"/>
        <v>0</v>
      </c>
      <c r="M51" s="505">
        <f t="shared" ca="1" si="11"/>
        <v>0</v>
      </c>
      <c r="N51" s="505">
        <f t="shared" ca="1" si="21"/>
        <v>0</v>
      </c>
      <c r="O51" s="505">
        <f t="shared" ca="1" si="12"/>
        <v>0</v>
      </c>
      <c r="P51" s="563"/>
      <c r="Q51" s="505">
        <f t="shared" ca="1" si="1"/>
        <v>0</v>
      </c>
      <c r="R51" s="505">
        <f t="shared" ca="1" si="2"/>
        <v>0</v>
      </c>
      <c r="S51" s="505"/>
      <c r="T51" s="505"/>
      <c r="U51" s="505"/>
      <c r="V51" s="505">
        <f t="shared" ca="1" si="13"/>
        <v>0</v>
      </c>
      <c r="W51" s="505">
        <f t="shared" ca="1" si="3"/>
        <v>0</v>
      </c>
      <c r="X51" s="505">
        <f t="shared" ca="1" si="4"/>
        <v>0</v>
      </c>
      <c r="Y51" s="505">
        <f t="shared" ca="1" si="5"/>
        <v>0</v>
      </c>
      <c r="Z51" s="505"/>
      <c r="AA51" s="505">
        <f t="shared" ca="1" si="14"/>
        <v>0</v>
      </c>
      <c r="AB51" s="505">
        <f t="shared" ca="1" si="15"/>
        <v>0</v>
      </c>
      <c r="AC51" s="505">
        <f t="shared" ca="1" si="16"/>
        <v>0</v>
      </c>
      <c r="AD51" s="505">
        <f t="shared" ca="1" si="6"/>
        <v>0</v>
      </c>
    </row>
    <row r="52" spans="2:30" ht="18" hidden="1" customHeight="1">
      <c r="B52" s="564">
        <f t="shared" si="17"/>
        <v>16</v>
      </c>
      <c r="C52" s="564">
        <f t="shared" ca="1" si="18"/>
        <v>2037</v>
      </c>
      <c r="D52" s="513">
        <f t="shared" ca="1" si="7"/>
        <v>0</v>
      </c>
      <c r="E52" s="513">
        <f t="shared" ca="1" si="8"/>
        <v>0</v>
      </c>
      <c r="F52" s="513">
        <f t="shared" ca="1" si="9"/>
        <v>0</v>
      </c>
      <c r="G52" s="513">
        <f t="shared" ca="1" si="19"/>
        <v>0</v>
      </c>
      <c r="H52" s="513">
        <f t="shared" ca="1" si="0"/>
        <v>0</v>
      </c>
      <c r="I52" s="513"/>
      <c r="J52" s="513"/>
      <c r="K52" s="513">
        <f t="shared" ca="1" si="10"/>
        <v>0</v>
      </c>
      <c r="L52" s="513">
        <f t="shared" ca="1" si="20"/>
        <v>0</v>
      </c>
      <c r="M52" s="513">
        <f t="shared" ca="1" si="11"/>
        <v>0</v>
      </c>
      <c r="N52" s="513">
        <f t="shared" ca="1" si="21"/>
        <v>0</v>
      </c>
      <c r="O52" s="513">
        <f t="shared" ca="1" si="12"/>
        <v>0</v>
      </c>
      <c r="P52" s="564"/>
      <c r="Q52" s="513">
        <f t="shared" ca="1" si="1"/>
        <v>0</v>
      </c>
      <c r="R52" s="513">
        <f t="shared" ca="1" si="2"/>
        <v>0</v>
      </c>
      <c r="S52" s="505"/>
      <c r="T52" s="505"/>
      <c r="U52" s="513"/>
      <c r="V52" s="513">
        <f t="shared" ca="1" si="13"/>
        <v>0</v>
      </c>
      <c r="W52" s="513">
        <f t="shared" ca="1" si="3"/>
        <v>0</v>
      </c>
      <c r="X52" s="513">
        <f t="shared" ca="1" si="4"/>
        <v>0</v>
      </c>
      <c r="Y52" s="513">
        <f t="shared" ca="1" si="5"/>
        <v>0</v>
      </c>
      <c r="Z52" s="513"/>
      <c r="AA52" s="513">
        <f t="shared" ca="1" si="14"/>
        <v>0</v>
      </c>
      <c r="AB52" s="513">
        <f t="shared" ca="1" si="15"/>
        <v>0</v>
      </c>
      <c r="AC52" s="513">
        <f t="shared" ca="1" si="16"/>
        <v>0</v>
      </c>
      <c r="AD52" s="513">
        <f t="shared" ca="1" si="6"/>
        <v>0</v>
      </c>
    </row>
    <row r="53" spans="2:30" ht="18" hidden="1" customHeight="1">
      <c r="B53" s="563">
        <f t="shared" si="17"/>
        <v>17</v>
      </c>
      <c r="C53" s="563">
        <f t="shared" ca="1" si="18"/>
        <v>2038</v>
      </c>
      <c r="D53" s="505">
        <f t="shared" ca="1" si="7"/>
        <v>0</v>
      </c>
      <c r="E53" s="505">
        <f t="shared" ca="1" si="8"/>
        <v>0</v>
      </c>
      <c r="F53" s="505">
        <f t="shared" ca="1" si="9"/>
        <v>0</v>
      </c>
      <c r="G53" s="505">
        <f t="shared" ca="1" si="19"/>
        <v>0</v>
      </c>
      <c r="H53" s="505">
        <f t="shared" ca="1" si="0"/>
        <v>0</v>
      </c>
      <c r="I53" s="505"/>
      <c r="J53" s="505"/>
      <c r="K53" s="505">
        <f t="shared" ca="1" si="10"/>
        <v>0</v>
      </c>
      <c r="L53" s="505">
        <f t="shared" ca="1" si="20"/>
        <v>0</v>
      </c>
      <c r="M53" s="505">
        <f t="shared" ca="1" si="11"/>
        <v>0</v>
      </c>
      <c r="N53" s="505">
        <f t="shared" ca="1" si="21"/>
        <v>0</v>
      </c>
      <c r="O53" s="505">
        <f t="shared" ca="1" si="12"/>
        <v>0</v>
      </c>
      <c r="P53" s="563"/>
      <c r="Q53" s="505">
        <f t="shared" ca="1" si="1"/>
        <v>0</v>
      </c>
      <c r="R53" s="505">
        <f t="shared" ca="1" si="2"/>
        <v>0</v>
      </c>
      <c r="S53" s="505"/>
      <c r="T53" s="505"/>
      <c r="U53" s="505"/>
      <c r="V53" s="505">
        <f t="shared" ca="1" si="13"/>
        <v>0</v>
      </c>
      <c r="W53" s="505">
        <f t="shared" ca="1" si="3"/>
        <v>0</v>
      </c>
      <c r="X53" s="505">
        <f t="shared" ca="1" si="4"/>
        <v>0</v>
      </c>
      <c r="Y53" s="505">
        <f t="shared" ca="1" si="5"/>
        <v>0</v>
      </c>
      <c r="Z53" s="505"/>
      <c r="AA53" s="505">
        <f t="shared" ca="1" si="14"/>
        <v>0</v>
      </c>
      <c r="AB53" s="505">
        <f t="shared" ca="1" si="15"/>
        <v>0</v>
      </c>
      <c r="AC53" s="505">
        <f t="shared" ca="1" si="16"/>
        <v>0</v>
      </c>
      <c r="AD53" s="505">
        <f t="shared" ca="1" si="6"/>
        <v>0</v>
      </c>
    </row>
    <row r="54" spans="2:30" ht="18" hidden="1" customHeight="1">
      <c r="B54" s="564">
        <f t="shared" si="17"/>
        <v>18</v>
      </c>
      <c r="C54" s="564">
        <f t="shared" ca="1" si="18"/>
        <v>2039</v>
      </c>
      <c r="D54" s="513">
        <f t="shared" ca="1" si="7"/>
        <v>0</v>
      </c>
      <c r="E54" s="513">
        <f t="shared" ca="1" si="8"/>
        <v>0</v>
      </c>
      <c r="F54" s="513">
        <f t="shared" ca="1" si="9"/>
        <v>0</v>
      </c>
      <c r="G54" s="513">
        <f t="shared" ca="1" si="19"/>
        <v>0</v>
      </c>
      <c r="H54" s="513">
        <f t="shared" ca="1" si="0"/>
        <v>0</v>
      </c>
      <c r="I54" s="513"/>
      <c r="J54" s="513"/>
      <c r="K54" s="513">
        <f t="shared" ca="1" si="10"/>
        <v>0</v>
      </c>
      <c r="L54" s="513">
        <f t="shared" ca="1" si="20"/>
        <v>0</v>
      </c>
      <c r="M54" s="513">
        <f t="shared" ca="1" si="11"/>
        <v>0</v>
      </c>
      <c r="N54" s="513">
        <f t="shared" ca="1" si="21"/>
        <v>0</v>
      </c>
      <c r="O54" s="513">
        <f t="shared" ca="1" si="12"/>
        <v>0</v>
      </c>
      <c r="P54" s="564"/>
      <c r="Q54" s="513">
        <f t="shared" ca="1" si="1"/>
        <v>0</v>
      </c>
      <c r="R54" s="513">
        <f t="shared" ca="1" si="2"/>
        <v>0</v>
      </c>
      <c r="S54" s="505"/>
      <c r="T54" s="505"/>
      <c r="U54" s="513"/>
      <c r="V54" s="513">
        <f t="shared" ca="1" si="13"/>
        <v>0</v>
      </c>
      <c r="W54" s="513">
        <f t="shared" ca="1" si="3"/>
        <v>0</v>
      </c>
      <c r="X54" s="513">
        <f t="shared" ca="1" si="4"/>
        <v>0</v>
      </c>
      <c r="Y54" s="513">
        <f t="shared" ca="1" si="5"/>
        <v>0</v>
      </c>
      <c r="Z54" s="513"/>
      <c r="AA54" s="513">
        <f t="shared" ca="1" si="14"/>
        <v>0</v>
      </c>
      <c r="AB54" s="513">
        <f t="shared" ca="1" si="15"/>
        <v>0</v>
      </c>
      <c r="AC54" s="513">
        <f t="shared" ca="1" si="16"/>
        <v>0</v>
      </c>
      <c r="AD54" s="513">
        <f t="shared" ca="1" si="6"/>
        <v>0</v>
      </c>
    </row>
    <row r="55" spans="2:30" ht="18" hidden="1" customHeight="1">
      <c r="B55" s="563">
        <f t="shared" si="17"/>
        <v>19</v>
      </c>
      <c r="C55" s="563">
        <f t="shared" ca="1" si="18"/>
        <v>2040</v>
      </c>
      <c r="D55" s="505">
        <f t="shared" ca="1" si="7"/>
        <v>0</v>
      </c>
      <c r="E55" s="505">
        <f t="shared" ca="1" si="8"/>
        <v>0</v>
      </c>
      <c r="F55" s="505">
        <f t="shared" ca="1" si="9"/>
        <v>0</v>
      </c>
      <c r="G55" s="505">
        <f t="shared" ca="1" si="19"/>
        <v>0</v>
      </c>
      <c r="H55" s="505">
        <f t="shared" ca="1" si="0"/>
        <v>0</v>
      </c>
      <c r="I55" s="505"/>
      <c r="J55" s="505"/>
      <c r="K55" s="505">
        <f t="shared" ca="1" si="10"/>
        <v>0</v>
      </c>
      <c r="L55" s="505">
        <f t="shared" ca="1" si="20"/>
        <v>0</v>
      </c>
      <c r="M55" s="505">
        <f t="shared" ca="1" si="11"/>
        <v>0</v>
      </c>
      <c r="N55" s="505">
        <f t="shared" ca="1" si="21"/>
        <v>0</v>
      </c>
      <c r="O55" s="505">
        <f t="shared" ca="1" si="12"/>
        <v>0</v>
      </c>
      <c r="P55" s="563"/>
      <c r="Q55" s="505">
        <f t="shared" ca="1" si="1"/>
        <v>0</v>
      </c>
      <c r="R55" s="505">
        <f t="shared" ca="1" si="2"/>
        <v>0</v>
      </c>
      <c r="S55" s="505"/>
      <c r="T55" s="505"/>
      <c r="U55" s="505"/>
      <c r="V55" s="505">
        <f ca="1">IF($F$30=C54,D54,0)</f>
        <v>0</v>
      </c>
      <c r="W55" s="505">
        <f t="shared" ca="1" si="3"/>
        <v>0</v>
      </c>
      <c r="X55" s="505">
        <f t="shared" ca="1" si="4"/>
        <v>0</v>
      </c>
      <c r="Y55" s="505">
        <f t="shared" ca="1" si="5"/>
        <v>0</v>
      </c>
      <c r="Z55" s="505"/>
      <c r="AA55" s="505">
        <f t="shared" ca="1" si="14"/>
        <v>0</v>
      </c>
      <c r="AB55" s="505">
        <f t="shared" ref="AB55:AB118" ca="1" si="22">IF(AA55&gt;0,AA55*$R$29,0)</f>
        <v>0</v>
      </c>
      <c r="AC55" s="505">
        <f t="shared" ref="AC55:AC118" ca="1" si="23">IF(AA55&gt;0,AA55*$R$30,0)</f>
        <v>0</v>
      </c>
      <c r="AD55" s="505">
        <f t="shared" ca="1" si="6"/>
        <v>0</v>
      </c>
    </row>
    <row r="56" spans="2:30" ht="18" hidden="1" customHeight="1">
      <c r="B56" s="564">
        <f t="shared" si="17"/>
        <v>20</v>
      </c>
      <c r="C56" s="564">
        <f t="shared" ca="1" si="18"/>
        <v>2041</v>
      </c>
      <c r="D56" s="513">
        <f t="shared" ca="1" si="7"/>
        <v>0</v>
      </c>
      <c r="E56" s="513">
        <f t="shared" ca="1" si="8"/>
        <v>0</v>
      </c>
      <c r="F56" s="513">
        <f t="shared" ca="1" si="9"/>
        <v>0</v>
      </c>
      <c r="G56" s="513">
        <f t="shared" ca="1" si="19"/>
        <v>0</v>
      </c>
      <c r="H56" s="513">
        <f t="shared" ca="1" si="0"/>
        <v>0</v>
      </c>
      <c r="I56" s="513"/>
      <c r="J56" s="513"/>
      <c r="K56" s="513">
        <f t="shared" ca="1" si="10"/>
        <v>0</v>
      </c>
      <c r="L56" s="513">
        <f t="shared" ca="1" si="20"/>
        <v>0</v>
      </c>
      <c r="M56" s="513">
        <f t="shared" ca="1" si="11"/>
        <v>0</v>
      </c>
      <c r="N56" s="513">
        <f t="shared" ca="1" si="21"/>
        <v>0</v>
      </c>
      <c r="O56" s="513">
        <f t="shared" ca="1" si="12"/>
        <v>0</v>
      </c>
      <c r="P56" s="564"/>
      <c r="Q56" s="513">
        <f t="shared" ca="1" si="1"/>
        <v>0</v>
      </c>
      <c r="R56" s="513">
        <f t="shared" ca="1" si="2"/>
        <v>0</v>
      </c>
      <c r="S56" s="505"/>
      <c r="T56" s="505"/>
      <c r="U56" s="513"/>
      <c r="V56" s="513">
        <f t="shared" ref="V56:V119" ca="1" si="24">IF($F$30=C55,D55,0)</f>
        <v>0</v>
      </c>
      <c r="W56" s="513">
        <f t="shared" ca="1" si="3"/>
        <v>0</v>
      </c>
      <c r="X56" s="513">
        <f t="shared" ca="1" si="4"/>
        <v>0</v>
      </c>
      <c r="Y56" s="513">
        <f t="shared" ca="1" si="5"/>
        <v>0</v>
      </c>
      <c r="Z56" s="513"/>
      <c r="AA56" s="513">
        <f t="shared" ca="1" si="14"/>
        <v>0</v>
      </c>
      <c r="AB56" s="513">
        <f t="shared" ca="1" si="22"/>
        <v>0</v>
      </c>
      <c r="AC56" s="513">
        <f t="shared" ca="1" si="23"/>
        <v>0</v>
      </c>
      <c r="AD56" s="513">
        <f t="shared" ca="1" si="6"/>
        <v>0</v>
      </c>
    </row>
    <row r="57" spans="2:30" ht="18" hidden="1" customHeight="1">
      <c r="B57" s="563">
        <f t="shared" si="17"/>
        <v>21</v>
      </c>
      <c r="C57" s="563">
        <f t="shared" ca="1" si="18"/>
        <v>2042</v>
      </c>
      <c r="D57" s="505">
        <f t="shared" ca="1" si="7"/>
        <v>0</v>
      </c>
      <c r="E57" s="505">
        <f t="shared" ca="1" si="8"/>
        <v>0</v>
      </c>
      <c r="F57" s="505">
        <f t="shared" ca="1" si="9"/>
        <v>0</v>
      </c>
      <c r="G57" s="505">
        <f t="shared" ca="1" si="19"/>
        <v>0</v>
      </c>
      <c r="H57" s="505">
        <f t="shared" ca="1" si="0"/>
        <v>0</v>
      </c>
      <c r="I57" s="505"/>
      <c r="J57" s="505"/>
      <c r="K57" s="505">
        <f t="shared" ca="1" si="10"/>
        <v>0</v>
      </c>
      <c r="L57" s="505">
        <f t="shared" ca="1" si="20"/>
        <v>0</v>
      </c>
      <c r="M57" s="505">
        <f t="shared" ca="1" si="11"/>
        <v>0</v>
      </c>
      <c r="N57" s="505">
        <f t="shared" ca="1" si="21"/>
        <v>0</v>
      </c>
      <c r="O57" s="505">
        <f t="shared" ca="1" si="12"/>
        <v>0</v>
      </c>
      <c r="P57" s="563"/>
      <c r="Q57" s="505">
        <f t="shared" ca="1" si="1"/>
        <v>0</v>
      </c>
      <c r="R57" s="505">
        <f t="shared" ca="1" si="2"/>
        <v>0</v>
      </c>
      <c r="S57" s="505"/>
      <c r="T57" s="505"/>
      <c r="U57" s="505"/>
      <c r="V57" s="505">
        <f t="shared" ca="1" si="24"/>
        <v>0</v>
      </c>
      <c r="W57" s="505">
        <f t="shared" ca="1" si="3"/>
        <v>0</v>
      </c>
      <c r="X57" s="505">
        <f t="shared" ca="1" si="4"/>
        <v>0</v>
      </c>
      <c r="Y57" s="505">
        <f t="shared" ca="1" si="5"/>
        <v>0</v>
      </c>
      <c r="Z57" s="505"/>
      <c r="AA57" s="505">
        <f t="shared" ca="1" si="14"/>
        <v>0</v>
      </c>
      <c r="AB57" s="505">
        <f t="shared" ca="1" si="22"/>
        <v>0</v>
      </c>
      <c r="AC57" s="505">
        <f t="shared" ca="1" si="23"/>
        <v>0</v>
      </c>
      <c r="AD57" s="505">
        <f t="shared" ca="1" si="6"/>
        <v>0</v>
      </c>
    </row>
    <row r="58" spans="2:30" ht="18" hidden="1" customHeight="1">
      <c r="B58" s="564">
        <f t="shared" si="17"/>
        <v>22</v>
      </c>
      <c r="C58" s="564">
        <f t="shared" ca="1" si="18"/>
        <v>2043</v>
      </c>
      <c r="D58" s="513">
        <f t="shared" ca="1" si="7"/>
        <v>0</v>
      </c>
      <c r="E58" s="513">
        <f t="shared" ca="1" si="8"/>
        <v>0</v>
      </c>
      <c r="F58" s="513">
        <f t="shared" ca="1" si="9"/>
        <v>0</v>
      </c>
      <c r="G58" s="513">
        <f t="shared" ca="1" si="19"/>
        <v>0</v>
      </c>
      <c r="H58" s="513">
        <f t="shared" ca="1" si="0"/>
        <v>0</v>
      </c>
      <c r="I58" s="513"/>
      <c r="J58" s="513"/>
      <c r="K58" s="513">
        <f t="shared" ca="1" si="10"/>
        <v>0</v>
      </c>
      <c r="L58" s="513">
        <f t="shared" ca="1" si="20"/>
        <v>0</v>
      </c>
      <c r="M58" s="513">
        <f t="shared" ca="1" si="11"/>
        <v>0</v>
      </c>
      <c r="N58" s="513">
        <f t="shared" ca="1" si="21"/>
        <v>0</v>
      </c>
      <c r="O58" s="513">
        <f t="shared" ca="1" si="12"/>
        <v>0</v>
      </c>
      <c r="P58" s="564"/>
      <c r="Q58" s="513">
        <f t="shared" ca="1" si="1"/>
        <v>0</v>
      </c>
      <c r="R58" s="513">
        <f t="shared" ca="1" si="2"/>
        <v>0</v>
      </c>
      <c r="S58" s="505"/>
      <c r="T58" s="505"/>
      <c r="U58" s="513"/>
      <c r="V58" s="513">
        <f t="shared" ca="1" si="24"/>
        <v>0</v>
      </c>
      <c r="W58" s="513">
        <f t="shared" ca="1" si="3"/>
        <v>0</v>
      </c>
      <c r="X58" s="513">
        <f t="shared" ca="1" si="4"/>
        <v>0</v>
      </c>
      <c r="Y58" s="513">
        <f t="shared" ca="1" si="5"/>
        <v>0</v>
      </c>
      <c r="Z58" s="513"/>
      <c r="AA58" s="513">
        <f t="shared" ca="1" si="14"/>
        <v>0</v>
      </c>
      <c r="AB58" s="513">
        <f t="shared" ca="1" si="22"/>
        <v>0</v>
      </c>
      <c r="AC58" s="513">
        <f t="shared" ca="1" si="23"/>
        <v>0</v>
      </c>
      <c r="AD58" s="513">
        <f t="shared" ca="1" si="6"/>
        <v>0</v>
      </c>
    </row>
    <row r="59" spans="2:30" ht="18" hidden="1" customHeight="1">
      <c r="B59" s="563">
        <f t="shared" si="17"/>
        <v>23</v>
      </c>
      <c r="C59" s="563">
        <f t="shared" ca="1" si="18"/>
        <v>2044</v>
      </c>
      <c r="D59" s="505">
        <f t="shared" ca="1" si="7"/>
        <v>0</v>
      </c>
      <c r="E59" s="505">
        <f t="shared" ca="1" si="8"/>
        <v>0</v>
      </c>
      <c r="F59" s="505">
        <f t="shared" ca="1" si="9"/>
        <v>0</v>
      </c>
      <c r="G59" s="505">
        <f t="shared" ca="1" si="19"/>
        <v>0</v>
      </c>
      <c r="H59" s="505">
        <f t="shared" ca="1" si="0"/>
        <v>0</v>
      </c>
      <c r="I59" s="505"/>
      <c r="J59" s="505"/>
      <c r="K59" s="505">
        <f t="shared" ca="1" si="10"/>
        <v>0</v>
      </c>
      <c r="L59" s="505">
        <f t="shared" ca="1" si="20"/>
        <v>0</v>
      </c>
      <c r="M59" s="505">
        <f t="shared" ca="1" si="11"/>
        <v>0</v>
      </c>
      <c r="N59" s="505">
        <f t="shared" ca="1" si="21"/>
        <v>0</v>
      </c>
      <c r="O59" s="505">
        <f t="shared" ca="1" si="12"/>
        <v>0</v>
      </c>
      <c r="P59" s="563"/>
      <c r="Q59" s="505">
        <f t="shared" ca="1" si="1"/>
        <v>0</v>
      </c>
      <c r="R59" s="505">
        <f t="shared" ca="1" si="2"/>
        <v>0</v>
      </c>
      <c r="S59" s="505"/>
      <c r="T59" s="505"/>
      <c r="U59" s="505"/>
      <c r="V59" s="505">
        <f t="shared" ca="1" si="24"/>
        <v>0</v>
      </c>
      <c r="W59" s="505">
        <f t="shared" ca="1" si="3"/>
        <v>0</v>
      </c>
      <c r="X59" s="505">
        <f t="shared" ca="1" si="4"/>
        <v>0</v>
      </c>
      <c r="Y59" s="505">
        <f t="shared" ca="1" si="5"/>
        <v>0</v>
      </c>
      <c r="Z59" s="505"/>
      <c r="AA59" s="505">
        <f t="shared" ca="1" si="14"/>
        <v>0</v>
      </c>
      <c r="AB59" s="505">
        <f t="shared" ca="1" si="22"/>
        <v>0</v>
      </c>
      <c r="AC59" s="505">
        <f t="shared" ca="1" si="23"/>
        <v>0</v>
      </c>
      <c r="AD59" s="505">
        <f t="shared" ca="1" si="6"/>
        <v>0</v>
      </c>
    </row>
    <row r="60" spans="2:30" ht="18" hidden="1" customHeight="1">
      <c r="B60" s="564">
        <f t="shared" si="17"/>
        <v>24</v>
      </c>
      <c r="C60" s="564">
        <f t="shared" ca="1" si="18"/>
        <v>2045</v>
      </c>
      <c r="D60" s="513">
        <f t="shared" ca="1" si="7"/>
        <v>0</v>
      </c>
      <c r="E60" s="513">
        <f t="shared" ca="1" si="8"/>
        <v>0</v>
      </c>
      <c r="F60" s="513">
        <f t="shared" ca="1" si="9"/>
        <v>0</v>
      </c>
      <c r="G60" s="513">
        <f t="shared" ca="1" si="19"/>
        <v>0</v>
      </c>
      <c r="H60" s="513">
        <f t="shared" ca="1" si="0"/>
        <v>0</v>
      </c>
      <c r="I60" s="513"/>
      <c r="J60" s="513"/>
      <c r="K60" s="513">
        <f t="shared" ca="1" si="10"/>
        <v>0</v>
      </c>
      <c r="L60" s="513">
        <f t="shared" ca="1" si="20"/>
        <v>0</v>
      </c>
      <c r="M60" s="513">
        <f t="shared" ca="1" si="11"/>
        <v>0</v>
      </c>
      <c r="N60" s="513">
        <f t="shared" ca="1" si="21"/>
        <v>0</v>
      </c>
      <c r="O60" s="513">
        <f t="shared" ca="1" si="12"/>
        <v>0</v>
      </c>
      <c r="P60" s="564"/>
      <c r="Q60" s="513">
        <f t="shared" ca="1" si="1"/>
        <v>0</v>
      </c>
      <c r="R60" s="513">
        <f t="shared" ca="1" si="2"/>
        <v>0</v>
      </c>
      <c r="S60" s="505"/>
      <c r="T60" s="505"/>
      <c r="U60" s="513"/>
      <c r="V60" s="513">
        <f t="shared" ca="1" si="24"/>
        <v>0</v>
      </c>
      <c r="W60" s="513">
        <f t="shared" ca="1" si="3"/>
        <v>0</v>
      </c>
      <c r="X60" s="513">
        <f t="shared" ca="1" si="4"/>
        <v>0</v>
      </c>
      <c r="Y60" s="513">
        <f t="shared" ca="1" si="5"/>
        <v>0</v>
      </c>
      <c r="Z60" s="513"/>
      <c r="AA60" s="513">
        <f t="shared" ca="1" si="14"/>
        <v>0</v>
      </c>
      <c r="AB60" s="513">
        <f t="shared" ca="1" si="22"/>
        <v>0</v>
      </c>
      <c r="AC60" s="513">
        <f t="shared" ca="1" si="23"/>
        <v>0</v>
      </c>
      <c r="AD60" s="513">
        <f t="shared" ca="1" si="6"/>
        <v>0</v>
      </c>
    </row>
    <row r="61" spans="2:30" ht="18" hidden="1" customHeight="1">
      <c r="B61" s="563">
        <f t="shared" si="17"/>
        <v>25</v>
      </c>
      <c r="C61" s="563">
        <f t="shared" ca="1" si="18"/>
        <v>2046</v>
      </c>
      <c r="D61" s="505">
        <f t="shared" ca="1" si="7"/>
        <v>0</v>
      </c>
      <c r="E61" s="505">
        <f t="shared" ca="1" si="8"/>
        <v>0</v>
      </c>
      <c r="F61" s="505">
        <f t="shared" ca="1" si="9"/>
        <v>0</v>
      </c>
      <c r="G61" s="505">
        <f t="shared" ca="1" si="19"/>
        <v>0</v>
      </c>
      <c r="H61" s="505">
        <f t="shared" ca="1" si="0"/>
        <v>0</v>
      </c>
      <c r="I61" s="505"/>
      <c r="J61" s="505"/>
      <c r="K61" s="505">
        <f t="shared" ca="1" si="10"/>
        <v>0</v>
      </c>
      <c r="L61" s="505">
        <f t="shared" ca="1" si="20"/>
        <v>0</v>
      </c>
      <c r="M61" s="505">
        <f t="shared" ca="1" si="11"/>
        <v>0</v>
      </c>
      <c r="N61" s="505">
        <f t="shared" ca="1" si="21"/>
        <v>0</v>
      </c>
      <c r="O61" s="505">
        <f t="shared" ca="1" si="12"/>
        <v>0</v>
      </c>
      <c r="P61" s="563"/>
      <c r="Q61" s="505">
        <f t="shared" ca="1" si="1"/>
        <v>0</v>
      </c>
      <c r="R61" s="505">
        <f t="shared" ca="1" si="2"/>
        <v>0</v>
      </c>
      <c r="S61" s="505"/>
      <c r="T61" s="505"/>
      <c r="U61" s="505"/>
      <c r="V61" s="505">
        <f t="shared" ca="1" si="24"/>
        <v>0</v>
      </c>
      <c r="W61" s="505">
        <f t="shared" ca="1" si="3"/>
        <v>0</v>
      </c>
      <c r="X61" s="505">
        <f t="shared" ca="1" si="4"/>
        <v>0</v>
      </c>
      <c r="Y61" s="505">
        <f t="shared" ca="1" si="5"/>
        <v>0</v>
      </c>
      <c r="Z61" s="505"/>
      <c r="AA61" s="505">
        <f t="shared" ca="1" si="14"/>
        <v>0</v>
      </c>
      <c r="AB61" s="505">
        <f t="shared" ca="1" si="22"/>
        <v>0</v>
      </c>
      <c r="AC61" s="505">
        <f t="shared" ca="1" si="23"/>
        <v>0</v>
      </c>
      <c r="AD61" s="505">
        <f t="shared" ca="1" si="6"/>
        <v>0</v>
      </c>
    </row>
    <row r="62" spans="2:30" ht="18" hidden="1" customHeight="1">
      <c r="B62" s="564">
        <f t="shared" si="17"/>
        <v>26</v>
      </c>
      <c r="C62" s="564">
        <f t="shared" ca="1" si="18"/>
        <v>2047</v>
      </c>
      <c r="D62" s="513">
        <f t="shared" ca="1" si="7"/>
        <v>0</v>
      </c>
      <c r="E62" s="513">
        <f t="shared" ca="1" si="8"/>
        <v>0</v>
      </c>
      <c r="F62" s="513">
        <f t="shared" ca="1" si="9"/>
        <v>0</v>
      </c>
      <c r="G62" s="513">
        <f t="shared" ca="1" si="19"/>
        <v>0</v>
      </c>
      <c r="H62" s="513">
        <f t="shared" ca="1" si="0"/>
        <v>0</v>
      </c>
      <c r="I62" s="513"/>
      <c r="J62" s="513"/>
      <c r="K62" s="513">
        <f t="shared" ca="1" si="10"/>
        <v>0</v>
      </c>
      <c r="L62" s="513">
        <f t="shared" ca="1" si="20"/>
        <v>0</v>
      </c>
      <c r="M62" s="513">
        <f t="shared" ca="1" si="11"/>
        <v>0</v>
      </c>
      <c r="N62" s="513">
        <f t="shared" ca="1" si="21"/>
        <v>0</v>
      </c>
      <c r="O62" s="513">
        <f t="shared" ca="1" si="12"/>
        <v>0</v>
      </c>
      <c r="P62" s="564"/>
      <c r="Q62" s="513">
        <f t="shared" ca="1" si="1"/>
        <v>0</v>
      </c>
      <c r="R62" s="513">
        <f t="shared" ca="1" si="2"/>
        <v>0</v>
      </c>
      <c r="S62" s="505"/>
      <c r="T62" s="505"/>
      <c r="U62" s="513"/>
      <c r="V62" s="513">
        <f t="shared" ca="1" si="24"/>
        <v>0</v>
      </c>
      <c r="W62" s="513">
        <f t="shared" ca="1" si="3"/>
        <v>0</v>
      </c>
      <c r="X62" s="513">
        <f t="shared" ca="1" si="4"/>
        <v>0</v>
      </c>
      <c r="Y62" s="513">
        <f t="shared" ca="1" si="5"/>
        <v>0</v>
      </c>
      <c r="Z62" s="513"/>
      <c r="AA62" s="513">
        <f t="shared" ca="1" si="14"/>
        <v>0</v>
      </c>
      <c r="AB62" s="513">
        <f t="shared" ca="1" si="22"/>
        <v>0</v>
      </c>
      <c r="AC62" s="513">
        <f t="shared" ca="1" si="23"/>
        <v>0</v>
      </c>
      <c r="AD62" s="513">
        <f t="shared" ca="1" si="6"/>
        <v>0</v>
      </c>
    </row>
    <row r="63" spans="2:30" ht="18" hidden="1" customHeight="1">
      <c r="B63" s="563">
        <f t="shared" si="17"/>
        <v>27</v>
      </c>
      <c r="C63" s="563">
        <f t="shared" ca="1" si="18"/>
        <v>2048</v>
      </c>
      <c r="D63" s="505">
        <f t="shared" ca="1" si="7"/>
        <v>0</v>
      </c>
      <c r="E63" s="505">
        <f t="shared" ca="1" si="8"/>
        <v>0</v>
      </c>
      <c r="F63" s="505">
        <f t="shared" ca="1" si="9"/>
        <v>0</v>
      </c>
      <c r="G63" s="505">
        <f t="shared" ca="1" si="19"/>
        <v>0</v>
      </c>
      <c r="H63" s="505">
        <f t="shared" ca="1" si="0"/>
        <v>0</v>
      </c>
      <c r="I63" s="505"/>
      <c r="J63" s="505"/>
      <c r="K63" s="505">
        <f t="shared" ca="1" si="10"/>
        <v>0</v>
      </c>
      <c r="L63" s="505">
        <f t="shared" ca="1" si="20"/>
        <v>0</v>
      </c>
      <c r="M63" s="505">
        <f t="shared" ca="1" si="11"/>
        <v>0</v>
      </c>
      <c r="N63" s="505">
        <f t="shared" ca="1" si="21"/>
        <v>0</v>
      </c>
      <c r="O63" s="505">
        <f t="shared" ca="1" si="12"/>
        <v>0</v>
      </c>
      <c r="P63" s="563"/>
      <c r="Q63" s="505">
        <f t="shared" ca="1" si="1"/>
        <v>0</v>
      </c>
      <c r="R63" s="505">
        <f t="shared" ca="1" si="2"/>
        <v>0</v>
      </c>
      <c r="S63" s="505"/>
      <c r="T63" s="505"/>
      <c r="U63" s="505"/>
      <c r="V63" s="505">
        <f t="shared" ca="1" si="24"/>
        <v>0</v>
      </c>
      <c r="W63" s="505">
        <f t="shared" ca="1" si="3"/>
        <v>0</v>
      </c>
      <c r="X63" s="505">
        <f t="shared" ca="1" si="4"/>
        <v>0</v>
      </c>
      <c r="Y63" s="505">
        <f t="shared" ca="1" si="5"/>
        <v>0</v>
      </c>
      <c r="Z63" s="505"/>
      <c r="AA63" s="505">
        <f ca="1">IF($M$30=C62,K62,0)</f>
        <v>0</v>
      </c>
      <c r="AB63" s="505">
        <f t="shared" ca="1" si="22"/>
        <v>0</v>
      </c>
      <c r="AC63" s="505">
        <f t="shared" ca="1" si="23"/>
        <v>0</v>
      </c>
      <c r="AD63" s="505">
        <f t="shared" ca="1" si="6"/>
        <v>0</v>
      </c>
    </row>
    <row r="64" spans="2:30" ht="18" hidden="1" customHeight="1">
      <c r="B64" s="564">
        <f t="shared" si="17"/>
        <v>28</v>
      </c>
      <c r="C64" s="564">
        <f t="shared" ca="1" si="18"/>
        <v>2049</v>
      </c>
      <c r="D64" s="513">
        <f t="shared" ca="1" si="7"/>
        <v>0</v>
      </c>
      <c r="E64" s="513">
        <f t="shared" ca="1" si="8"/>
        <v>0</v>
      </c>
      <c r="F64" s="513">
        <f t="shared" ca="1" si="9"/>
        <v>0</v>
      </c>
      <c r="G64" s="513">
        <f t="shared" ca="1" si="19"/>
        <v>0</v>
      </c>
      <c r="H64" s="513">
        <f t="shared" ca="1" si="0"/>
        <v>0</v>
      </c>
      <c r="I64" s="513"/>
      <c r="J64" s="513"/>
      <c r="K64" s="513">
        <f t="shared" ca="1" si="10"/>
        <v>0</v>
      </c>
      <c r="L64" s="513">
        <f t="shared" ca="1" si="20"/>
        <v>0</v>
      </c>
      <c r="M64" s="513">
        <f t="shared" ca="1" si="11"/>
        <v>0</v>
      </c>
      <c r="N64" s="513">
        <f t="shared" ca="1" si="21"/>
        <v>0</v>
      </c>
      <c r="O64" s="513">
        <f t="shared" ca="1" si="12"/>
        <v>0</v>
      </c>
      <c r="P64" s="564"/>
      <c r="Q64" s="513">
        <f t="shared" ca="1" si="1"/>
        <v>0</v>
      </c>
      <c r="R64" s="513">
        <f t="shared" ca="1" si="2"/>
        <v>0</v>
      </c>
      <c r="S64" s="505"/>
      <c r="T64" s="505"/>
      <c r="U64" s="513"/>
      <c r="V64" s="513">
        <f t="shared" ca="1" si="24"/>
        <v>0</v>
      </c>
      <c r="W64" s="513">
        <f t="shared" ca="1" si="3"/>
        <v>0</v>
      </c>
      <c r="X64" s="513">
        <f t="shared" ca="1" si="4"/>
        <v>0</v>
      </c>
      <c r="Y64" s="513">
        <f t="shared" ca="1" si="5"/>
        <v>0</v>
      </c>
      <c r="Z64" s="513"/>
      <c r="AA64" s="513">
        <f t="shared" ref="AA64:AA127" ca="1" si="25">IF($M$30=C63,K63,0)</f>
        <v>0</v>
      </c>
      <c r="AB64" s="513">
        <f t="shared" ca="1" si="22"/>
        <v>0</v>
      </c>
      <c r="AC64" s="513">
        <f t="shared" ca="1" si="23"/>
        <v>0</v>
      </c>
      <c r="AD64" s="513">
        <f t="shared" ca="1" si="6"/>
        <v>0</v>
      </c>
    </row>
    <row r="65" spans="2:30" ht="18" hidden="1" customHeight="1">
      <c r="B65" s="563">
        <f t="shared" si="17"/>
        <v>29</v>
      </c>
      <c r="C65" s="563">
        <f t="shared" ca="1" si="18"/>
        <v>2050</v>
      </c>
      <c r="D65" s="505">
        <f t="shared" ca="1" si="7"/>
        <v>0</v>
      </c>
      <c r="E65" s="505">
        <f t="shared" ca="1" si="8"/>
        <v>0</v>
      </c>
      <c r="F65" s="505">
        <f t="shared" ca="1" si="9"/>
        <v>0</v>
      </c>
      <c r="G65" s="505">
        <f t="shared" ca="1" si="19"/>
        <v>0</v>
      </c>
      <c r="H65" s="505">
        <f t="shared" ca="1" si="0"/>
        <v>0</v>
      </c>
      <c r="I65" s="505"/>
      <c r="J65" s="505"/>
      <c r="K65" s="505">
        <f t="shared" ca="1" si="10"/>
        <v>0</v>
      </c>
      <c r="L65" s="505">
        <f t="shared" ca="1" si="20"/>
        <v>0</v>
      </c>
      <c r="M65" s="505">
        <f t="shared" ca="1" si="11"/>
        <v>0</v>
      </c>
      <c r="N65" s="505">
        <f t="shared" ca="1" si="21"/>
        <v>0</v>
      </c>
      <c r="O65" s="505">
        <f t="shared" ca="1" si="12"/>
        <v>0</v>
      </c>
      <c r="P65" s="563"/>
      <c r="Q65" s="505">
        <f t="shared" ca="1" si="1"/>
        <v>0</v>
      </c>
      <c r="R65" s="505">
        <f t="shared" ca="1" si="2"/>
        <v>0</v>
      </c>
      <c r="S65" s="505"/>
      <c r="T65" s="505"/>
      <c r="U65" s="505"/>
      <c r="V65" s="505">
        <f t="shared" ca="1" si="24"/>
        <v>0</v>
      </c>
      <c r="W65" s="505">
        <f t="shared" ca="1" si="3"/>
        <v>0</v>
      </c>
      <c r="X65" s="505">
        <f t="shared" ca="1" si="4"/>
        <v>0</v>
      </c>
      <c r="Y65" s="505">
        <f t="shared" ca="1" si="5"/>
        <v>0</v>
      </c>
      <c r="Z65" s="505"/>
      <c r="AA65" s="505">
        <f t="shared" ca="1" si="25"/>
        <v>0</v>
      </c>
      <c r="AB65" s="505">
        <f t="shared" ca="1" si="22"/>
        <v>0</v>
      </c>
      <c r="AC65" s="505">
        <f t="shared" ca="1" si="23"/>
        <v>0</v>
      </c>
      <c r="AD65" s="505">
        <f t="shared" ca="1" si="6"/>
        <v>0</v>
      </c>
    </row>
    <row r="66" spans="2:30" ht="18" hidden="1" customHeight="1">
      <c r="B66" s="564">
        <f t="shared" si="17"/>
        <v>30</v>
      </c>
      <c r="C66" s="564">
        <f t="shared" ca="1" si="18"/>
        <v>2051</v>
      </c>
      <c r="D66" s="513">
        <f t="shared" ca="1" si="7"/>
        <v>0</v>
      </c>
      <c r="E66" s="513">
        <f t="shared" ca="1" si="8"/>
        <v>0</v>
      </c>
      <c r="F66" s="513">
        <f t="shared" ca="1" si="9"/>
        <v>0</v>
      </c>
      <c r="G66" s="513">
        <f t="shared" ca="1" si="19"/>
        <v>0</v>
      </c>
      <c r="H66" s="513">
        <f t="shared" ca="1" si="0"/>
        <v>0</v>
      </c>
      <c r="I66" s="513"/>
      <c r="J66" s="513"/>
      <c r="K66" s="513">
        <f t="shared" ca="1" si="10"/>
        <v>0</v>
      </c>
      <c r="L66" s="513">
        <f t="shared" ca="1" si="20"/>
        <v>0</v>
      </c>
      <c r="M66" s="513">
        <f t="shared" ca="1" si="11"/>
        <v>0</v>
      </c>
      <c r="N66" s="513">
        <f t="shared" ca="1" si="21"/>
        <v>0</v>
      </c>
      <c r="O66" s="513">
        <f t="shared" ca="1" si="12"/>
        <v>0</v>
      </c>
      <c r="P66" s="564"/>
      <c r="Q66" s="513">
        <f t="shared" ca="1" si="1"/>
        <v>0</v>
      </c>
      <c r="R66" s="513">
        <f t="shared" ca="1" si="2"/>
        <v>0</v>
      </c>
      <c r="S66" s="505"/>
      <c r="T66" s="505"/>
      <c r="U66" s="513"/>
      <c r="V66" s="513">
        <f t="shared" ca="1" si="24"/>
        <v>0</v>
      </c>
      <c r="W66" s="513">
        <f t="shared" ca="1" si="3"/>
        <v>0</v>
      </c>
      <c r="X66" s="513">
        <f t="shared" ca="1" si="4"/>
        <v>0</v>
      </c>
      <c r="Y66" s="513">
        <f t="shared" ca="1" si="5"/>
        <v>0</v>
      </c>
      <c r="Z66" s="513"/>
      <c r="AA66" s="513">
        <f t="shared" ca="1" si="25"/>
        <v>0</v>
      </c>
      <c r="AB66" s="513">
        <f t="shared" ca="1" si="22"/>
        <v>0</v>
      </c>
      <c r="AC66" s="513">
        <f t="shared" ca="1" si="23"/>
        <v>0</v>
      </c>
      <c r="AD66" s="513">
        <f t="shared" ca="1" si="6"/>
        <v>0</v>
      </c>
    </row>
    <row r="67" spans="2:30" ht="18" hidden="1" customHeight="1">
      <c r="B67" s="563">
        <f t="shared" si="17"/>
        <v>31</v>
      </c>
      <c r="C67" s="563">
        <f t="shared" ca="1" si="18"/>
        <v>2052</v>
      </c>
      <c r="D67" s="505">
        <f t="shared" ca="1" si="7"/>
        <v>0</v>
      </c>
      <c r="E67" s="505">
        <f t="shared" ca="1" si="8"/>
        <v>0</v>
      </c>
      <c r="F67" s="505">
        <f t="shared" ca="1" si="9"/>
        <v>0</v>
      </c>
      <c r="G67" s="505">
        <f t="shared" ca="1" si="19"/>
        <v>0</v>
      </c>
      <c r="H67" s="505">
        <f t="shared" ca="1" si="0"/>
        <v>0</v>
      </c>
      <c r="I67" s="505"/>
      <c r="J67" s="505"/>
      <c r="K67" s="505">
        <f t="shared" ca="1" si="10"/>
        <v>0</v>
      </c>
      <c r="L67" s="505">
        <f t="shared" ca="1" si="20"/>
        <v>0</v>
      </c>
      <c r="M67" s="505">
        <f t="shared" ca="1" si="11"/>
        <v>0</v>
      </c>
      <c r="N67" s="505">
        <f t="shared" ca="1" si="21"/>
        <v>0</v>
      </c>
      <c r="O67" s="505">
        <f t="shared" ca="1" si="12"/>
        <v>0</v>
      </c>
      <c r="P67" s="563"/>
      <c r="Q67" s="505">
        <f t="shared" ca="1" si="1"/>
        <v>0</v>
      </c>
      <c r="R67" s="505">
        <f t="shared" ca="1" si="2"/>
        <v>0</v>
      </c>
      <c r="S67" s="505"/>
      <c r="T67" s="505"/>
      <c r="U67" s="505"/>
      <c r="V67" s="505">
        <f t="shared" ca="1" si="24"/>
        <v>0</v>
      </c>
      <c r="W67" s="505">
        <f t="shared" ca="1" si="3"/>
        <v>0</v>
      </c>
      <c r="X67" s="505">
        <f t="shared" ca="1" si="4"/>
        <v>0</v>
      </c>
      <c r="Y67" s="505">
        <f t="shared" ca="1" si="5"/>
        <v>0</v>
      </c>
      <c r="Z67" s="505"/>
      <c r="AA67" s="505">
        <f t="shared" ca="1" si="25"/>
        <v>0</v>
      </c>
      <c r="AB67" s="505">
        <f t="shared" ca="1" si="22"/>
        <v>0</v>
      </c>
      <c r="AC67" s="505">
        <f t="shared" ca="1" si="23"/>
        <v>0</v>
      </c>
      <c r="AD67" s="505">
        <f t="shared" ca="1" si="6"/>
        <v>0</v>
      </c>
    </row>
    <row r="68" spans="2:30" ht="18" hidden="1" customHeight="1">
      <c r="B68" s="564">
        <f t="shared" ref="B68:B131" si="26">B67+1</f>
        <v>32</v>
      </c>
      <c r="C68" s="564">
        <f t="shared" ref="C68:C131" ca="1" si="27">C67+1</f>
        <v>2053</v>
      </c>
      <c r="D68" s="513">
        <f t="shared" ca="1" si="7"/>
        <v>0</v>
      </c>
      <c r="E68" s="513">
        <f t="shared" ca="1" si="8"/>
        <v>0</v>
      </c>
      <c r="F68" s="513">
        <f t="shared" ca="1" si="9"/>
        <v>0</v>
      </c>
      <c r="G68" s="513">
        <f t="shared" ca="1" si="19"/>
        <v>0</v>
      </c>
      <c r="H68" s="513">
        <f t="shared" ca="1" si="0"/>
        <v>0</v>
      </c>
      <c r="I68" s="513"/>
      <c r="J68" s="513"/>
      <c r="K68" s="513">
        <f t="shared" ca="1" si="10"/>
        <v>0</v>
      </c>
      <c r="L68" s="513">
        <f t="shared" ca="1" si="20"/>
        <v>0</v>
      </c>
      <c r="M68" s="513">
        <f t="shared" ca="1" si="11"/>
        <v>0</v>
      </c>
      <c r="N68" s="513">
        <f t="shared" ca="1" si="21"/>
        <v>0</v>
      </c>
      <c r="O68" s="513">
        <f t="shared" ca="1" si="12"/>
        <v>0</v>
      </c>
      <c r="P68" s="564"/>
      <c r="Q68" s="513">
        <f t="shared" ca="1" si="1"/>
        <v>0</v>
      </c>
      <c r="R68" s="513">
        <f t="shared" ca="1" si="2"/>
        <v>0</v>
      </c>
      <c r="S68" s="505"/>
      <c r="T68" s="505"/>
      <c r="U68" s="513"/>
      <c r="V68" s="513">
        <f t="shared" ca="1" si="24"/>
        <v>0</v>
      </c>
      <c r="W68" s="513">
        <f t="shared" ca="1" si="3"/>
        <v>0</v>
      </c>
      <c r="X68" s="513">
        <f t="shared" ca="1" si="4"/>
        <v>0</v>
      </c>
      <c r="Y68" s="513">
        <f t="shared" ca="1" si="5"/>
        <v>0</v>
      </c>
      <c r="Z68" s="513"/>
      <c r="AA68" s="513">
        <f t="shared" ca="1" si="25"/>
        <v>0</v>
      </c>
      <c r="AB68" s="513">
        <f t="shared" ca="1" si="22"/>
        <v>0</v>
      </c>
      <c r="AC68" s="513">
        <f t="shared" ca="1" si="23"/>
        <v>0</v>
      </c>
      <c r="AD68" s="513">
        <f t="shared" ca="1" si="6"/>
        <v>0</v>
      </c>
    </row>
    <row r="69" spans="2:30" ht="18" hidden="1" customHeight="1">
      <c r="B69" s="563">
        <f t="shared" si="26"/>
        <v>33</v>
      </c>
      <c r="C69" s="563">
        <f t="shared" ca="1" si="27"/>
        <v>2054</v>
      </c>
      <c r="D69" s="505">
        <f t="shared" ca="1" si="7"/>
        <v>0</v>
      </c>
      <c r="E69" s="505">
        <f t="shared" ca="1" si="8"/>
        <v>0</v>
      </c>
      <c r="F69" s="505">
        <f t="shared" ca="1" si="9"/>
        <v>0</v>
      </c>
      <c r="G69" s="505">
        <f t="shared" ca="1" si="19"/>
        <v>0</v>
      </c>
      <c r="H69" s="505">
        <f t="shared" ca="1" si="0"/>
        <v>0</v>
      </c>
      <c r="I69" s="505"/>
      <c r="J69" s="505"/>
      <c r="K69" s="505">
        <f t="shared" ca="1" si="10"/>
        <v>0</v>
      </c>
      <c r="L69" s="505">
        <f t="shared" ca="1" si="20"/>
        <v>0</v>
      </c>
      <c r="M69" s="505">
        <f t="shared" ca="1" si="11"/>
        <v>0</v>
      </c>
      <c r="N69" s="505">
        <f t="shared" ca="1" si="21"/>
        <v>0</v>
      </c>
      <c r="O69" s="505">
        <f t="shared" ca="1" si="12"/>
        <v>0</v>
      </c>
      <c r="P69" s="563"/>
      <c r="Q69" s="505">
        <f t="shared" ca="1" si="1"/>
        <v>0</v>
      </c>
      <c r="R69" s="505">
        <f t="shared" ref="R69:R100" ca="1" si="28">D69+K69</f>
        <v>0</v>
      </c>
      <c r="S69" s="505"/>
      <c r="T69" s="505"/>
      <c r="U69" s="505"/>
      <c r="V69" s="505">
        <f t="shared" ca="1" si="24"/>
        <v>0</v>
      </c>
      <c r="W69" s="505">
        <f t="shared" ref="W69:W100" ca="1" si="29">IF(V69&gt;0,V69*$R$29,0)</f>
        <v>0</v>
      </c>
      <c r="X69" s="505">
        <f t="shared" ref="X69:X100" ca="1" si="30">IF(V69&gt;0,V69*$R$30,0)</f>
        <v>0</v>
      </c>
      <c r="Y69" s="505">
        <f t="shared" ref="Y69:Y100" ca="1" si="31">IF(V69&gt;0,V69-(W69+X69),0)</f>
        <v>0</v>
      </c>
      <c r="Z69" s="505"/>
      <c r="AA69" s="505">
        <f t="shared" ca="1" si="25"/>
        <v>0</v>
      </c>
      <c r="AB69" s="505">
        <f t="shared" ca="1" si="22"/>
        <v>0</v>
      </c>
      <c r="AC69" s="505">
        <f t="shared" ca="1" si="23"/>
        <v>0</v>
      </c>
      <c r="AD69" s="505">
        <f t="shared" ref="AD69:AD100" ca="1" si="32">IF(AA69&gt;0,AA69-(AB69+AC69),0)</f>
        <v>0</v>
      </c>
    </row>
    <row r="70" spans="2:30" ht="18" hidden="1" customHeight="1">
      <c r="B70" s="564">
        <f t="shared" si="26"/>
        <v>34</v>
      </c>
      <c r="C70" s="564">
        <f t="shared" ca="1" si="27"/>
        <v>2055</v>
      </c>
      <c r="D70" s="513">
        <f t="shared" ca="1" si="7"/>
        <v>0</v>
      </c>
      <c r="E70" s="513">
        <f t="shared" ca="1" si="8"/>
        <v>0</v>
      </c>
      <c r="F70" s="513">
        <f t="shared" ca="1" si="9"/>
        <v>0</v>
      </c>
      <c r="G70" s="513">
        <f t="shared" ca="1" si="19"/>
        <v>0</v>
      </c>
      <c r="H70" s="513">
        <f t="shared" ca="1" si="0"/>
        <v>0</v>
      </c>
      <c r="I70" s="513"/>
      <c r="J70" s="513"/>
      <c r="K70" s="513">
        <f t="shared" ca="1" si="10"/>
        <v>0</v>
      </c>
      <c r="L70" s="513">
        <f t="shared" ca="1" si="20"/>
        <v>0</v>
      </c>
      <c r="M70" s="513">
        <f t="shared" ca="1" si="11"/>
        <v>0</v>
      </c>
      <c r="N70" s="513">
        <f t="shared" ca="1" si="21"/>
        <v>0</v>
      </c>
      <c r="O70" s="513">
        <f t="shared" ca="1" si="12"/>
        <v>0</v>
      </c>
      <c r="P70" s="564"/>
      <c r="Q70" s="513">
        <f t="shared" ca="1" si="1"/>
        <v>0</v>
      </c>
      <c r="R70" s="513">
        <f t="shared" ca="1" si="28"/>
        <v>0</v>
      </c>
      <c r="S70" s="505"/>
      <c r="T70" s="505"/>
      <c r="U70" s="513"/>
      <c r="V70" s="513">
        <f t="shared" ca="1" si="24"/>
        <v>0</v>
      </c>
      <c r="W70" s="513">
        <f t="shared" ca="1" si="29"/>
        <v>0</v>
      </c>
      <c r="X70" s="513">
        <f t="shared" ca="1" si="30"/>
        <v>0</v>
      </c>
      <c r="Y70" s="513">
        <f t="shared" ca="1" si="31"/>
        <v>0</v>
      </c>
      <c r="Z70" s="513"/>
      <c r="AA70" s="513">
        <f t="shared" ca="1" si="25"/>
        <v>0</v>
      </c>
      <c r="AB70" s="513">
        <f t="shared" ca="1" si="22"/>
        <v>0</v>
      </c>
      <c r="AC70" s="513">
        <f t="shared" ca="1" si="23"/>
        <v>0</v>
      </c>
      <c r="AD70" s="513">
        <f t="shared" ca="1" si="32"/>
        <v>0</v>
      </c>
    </row>
    <row r="71" spans="2:30" ht="18" hidden="1" customHeight="1">
      <c r="B71" s="563">
        <f t="shared" si="26"/>
        <v>35</v>
      </c>
      <c r="C71" s="563">
        <f t="shared" ca="1" si="27"/>
        <v>2056</v>
      </c>
      <c r="D71" s="505">
        <f t="shared" ca="1" si="7"/>
        <v>0</v>
      </c>
      <c r="E71" s="505">
        <f t="shared" ca="1" si="8"/>
        <v>0</v>
      </c>
      <c r="F71" s="505">
        <f t="shared" ca="1" si="9"/>
        <v>0</v>
      </c>
      <c r="G71" s="505">
        <f t="shared" ca="1" si="19"/>
        <v>0</v>
      </c>
      <c r="H71" s="505">
        <f t="shared" ca="1" si="0"/>
        <v>0</v>
      </c>
      <c r="I71" s="505"/>
      <c r="J71" s="505"/>
      <c r="K71" s="505">
        <f t="shared" ca="1" si="10"/>
        <v>0</v>
      </c>
      <c r="L71" s="505">
        <f t="shared" ca="1" si="20"/>
        <v>0</v>
      </c>
      <c r="M71" s="505">
        <f t="shared" ca="1" si="11"/>
        <v>0</v>
      </c>
      <c r="N71" s="505">
        <f t="shared" ca="1" si="21"/>
        <v>0</v>
      </c>
      <c r="O71" s="505">
        <f t="shared" ca="1" si="12"/>
        <v>0</v>
      </c>
      <c r="P71" s="563"/>
      <c r="Q71" s="505">
        <f t="shared" ca="1" si="1"/>
        <v>0</v>
      </c>
      <c r="R71" s="505">
        <f t="shared" ca="1" si="28"/>
        <v>0</v>
      </c>
      <c r="S71" s="505"/>
      <c r="T71" s="505"/>
      <c r="U71" s="505"/>
      <c r="V71" s="505">
        <f t="shared" ca="1" si="24"/>
        <v>0</v>
      </c>
      <c r="W71" s="505">
        <f t="shared" ca="1" si="29"/>
        <v>0</v>
      </c>
      <c r="X71" s="505">
        <f t="shared" ca="1" si="30"/>
        <v>0</v>
      </c>
      <c r="Y71" s="505">
        <f t="shared" ca="1" si="31"/>
        <v>0</v>
      </c>
      <c r="Z71" s="505"/>
      <c r="AA71" s="505">
        <f t="shared" ca="1" si="25"/>
        <v>0</v>
      </c>
      <c r="AB71" s="505">
        <f t="shared" ca="1" si="22"/>
        <v>0</v>
      </c>
      <c r="AC71" s="505">
        <f t="shared" ca="1" si="23"/>
        <v>0</v>
      </c>
      <c r="AD71" s="505">
        <f t="shared" ca="1" si="32"/>
        <v>0</v>
      </c>
    </row>
    <row r="72" spans="2:30" ht="18" hidden="1" customHeight="1">
      <c r="B72" s="564">
        <f t="shared" si="26"/>
        <v>36</v>
      </c>
      <c r="C72" s="564">
        <f t="shared" ca="1" si="27"/>
        <v>2057</v>
      </c>
      <c r="D72" s="513">
        <f t="shared" ca="1" si="7"/>
        <v>0</v>
      </c>
      <c r="E72" s="513">
        <f t="shared" ca="1" si="8"/>
        <v>0</v>
      </c>
      <c r="F72" s="513">
        <f t="shared" ca="1" si="9"/>
        <v>0</v>
      </c>
      <c r="G72" s="513">
        <f t="shared" ca="1" si="19"/>
        <v>0</v>
      </c>
      <c r="H72" s="513">
        <f t="shared" ca="1" si="0"/>
        <v>0</v>
      </c>
      <c r="I72" s="513"/>
      <c r="J72" s="513"/>
      <c r="K72" s="513">
        <f t="shared" ca="1" si="10"/>
        <v>0</v>
      </c>
      <c r="L72" s="513">
        <f t="shared" ca="1" si="20"/>
        <v>0</v>
      </c>
      <c r="M72" s="513">
        <f t="shared" ca="1" si="11"/>
        <v>0</v>
      </c>
      <c r="N72" s="513">
        <f t="shared" ca="1" si="21"/>
        <v>0</v>
      </c>
      <c r="O72" s="513">
        <f t="shared" ca="1" si="12"/>
        <v>0</v>
      </c>
      <c r="P72" s="564"/>
      <c r="Q72" s="513">
        <f t="shared" ca="1" si="1"/>
        <v>0</v>
      </c>
      <c r="R72" s="513">
        <f t="shared" ca="1" si="28"/>
        <v>0</v>
      </c>
      <c r="S72" s="505"/>
      <c r="T72" s="505"/>
      <c r="U72" s="513"/>
      <c r="V72" s="513">
        <f t="shared" ca="1" si="24"/>
        <v>0</v>
      </c>
      <c r="W72" s="513">
        <f t="shared" ca="1" si="29"/>
        <v>0</v>
      </c>
      <c r="X72" s="513">
        <f t="shared" ca="1" si="30"/>
        <v>0</v>
      </c>
      <c r="Y72" s="513">
        <f t="shared" ca="1" si="31"/>
        <v>0</v>
      </c>
      <c r="Z72" s="513"/>
      <c r="AA72" s="513">
        <f t="shared" ca="1" si="25"/>
        <v>0</v>
      </c>
      <c r="AB72" s="513">
        <f t="shared" ca="1" si="22"/>
        <v>0</v>
      </c>
      <c r="AC72" s="513">
        <f t="shared" ca="1" si="23"/>
        <v>0</v>
      </c>
      <c r="AD72" s="513">
        <f t="shared" ca="1" si="32"/>
        <v>0</v>
      </c>
    </row>
    <row r="73" spans="2:30" ht="18" hidden="1" customHeight="1">
      <c r="B73" s="563">
        <f t="shared" si="26"/>
        <v>37</v>
      </c>
      <c r="C73" s="563">
        <f t="shared" ca="1" si="27"/>
        <v>2058</v>
      </c>
      <c r="D73" s="505">
        <f t="shared" ca="1" si="7"/>
        <v>0</v>
      </c>
      <c r="E73" s="505">
        <f t="shared" ca="1" si="8"/>
        <v>0</v>
      </c>
      <c r="F73" s="505">
        <f t="shared" ca="1" si="9"/>
        <v>0</v>
      </c>
      <c r="G73" s="505">
        <f t="shared" ca="1" si="19"/>
        <v>0</v>
      </c>
      <c r="H73" s="505">
        <f t="shared" ca="1" si="0"/>
        <v>0</v>
      </c>
      <c r="I73" s="505"/>
      <c r="J73" s="505"/>
      <c r="K73" s="505">
        <f t="shared" ca="1" si="10"/>
        <v>0</v>
      </c>
      <c r="L73" s="505">
        <f t="shared" ca="1" si="20"/>
        <v>0</v>
      </c>
      <c r="M73" s="505">
        <f t="shared" ca="1" si="11"/>
        <v>0</v>
      </c>
      <c r="N73" s="505">
        <f t="shared" ca="1" si="21"/>
        <v>0</v>
      </c>
      <c r="O73" s="505">
        <f t="shared" ca="1" si="12"/>
        <v>0</v>
      </c>
      <c r="P73" s="563"/>
      <c r="Q73" s="505">
        <f t="shared" ca="1" si="1"/>
        <v>0</v>
      </c>
      <c r="R73" s="505">
        <f t="shared" ca="1" si="28"/>
        <v>0</v>
      </c>
      <c r="S73" s="505"/>
      <c r="T73" s="505"/>
      <c r="U73" s="505"/>
      <c r="V73" s="505">
        <f t="shared" ca="1" si="24"/>
        <v>0</v>
      </c>
      <c r="W73" s="505">
        <f t="shared" ca="1" si="29"/>
        <v>0</v>
      </c>
      <c r="X73" s="505">
        <f t="shared" ca="1" si="30"/>
        <v>0</v>
      </c>
      <c r="Y73" s="505">
        <f t="shared" ca="1" si="31"/>
        <v>0</v>
      </c>
      <c r="Z73" s="505"/>
      <c r="AA73" s="505">
        <f t="shared" ca="1" si="25"/>
        <v>0</v>
      </c>
      <c r="AB73" s="505">
        <f t="shared" ca="1" si="22"/>
        <v>0</v>
      </c>
      <c r="AC73" s="505">
        <f t="shared" ca="1" si="23"/>
        <v>0</v>
      </c>
      <c r="AD73" s="505">
        <f t="shared" ca="1" si="32"/>
        <v>0</v>
      </c>
    </row>
    <row r="74" spans="2:30" ht="18" hidden="1" customHeight="1">
      <c r="B74" s="564">
        <f t="shared" si="26"/>
        <v>38</v>
      </c>
      <c r="C74" s="564">
        <f t="shared" ca="1" si="27"/>
        <v>2059</v>
      </c>
      <c r="D74" s="513">
        <f t="shared" ca="1" si="7"/>
        <v>0</v>
      </c>
      <c r="E74" s="513">
        <f t="shared" ca="1" si="8"/>
        <v>0</v>
      </c>
      <c r="F74" s="513">
        <f t="shared" ca="1" si="9"/>
        <v>0</v>
      </c>
      <c r="G74" s="513">
        <f t="shared" ca="1" si="19"/>
        <v>0</v>
      </c>
      <c r="H74" s="513">
        <f t="shared" ca="1" si="0"/>
        <v>0</v>
      </c>
      <c r="I74" s="513"/>
      <c r="J74" s="513"/>
      <c r="K74" s="513">
        <f t="shared" ca="1" si="10"/>
        <v>0</v>
      </c>
      <c r="L74" s="513">
        <f t="shared" ca="1" si="20"/>
        <v>0</v>
      </c>
      <c r="M74" s="513">
        <f t="shared" ca="1" si="11"/>
        <v>0</v>
      </c>
      <c r="N74" s="513">
        <f t="shared" ca="1" si="21"/>
        <v>0</v>
      </c>
      <c r="O74" s="513">
        <f t="shared" ca="1" si="12"/>
        <v>0</v>
      </c>
      <c r="P74" s="564"/>
      <c r="Q74" s="513">
        <f t="shared" ca="1" si="1"/>
        <v>0</v>
      </c>
      <c r="R74" s="513">
        <f t="shared" ca="1" si="28"/>
        <v>0</v>
      </c>
      <c r="S74" s="505"/>
      <c r="T74" s="505"/>
      <c r="U74" s="513"/>
      <c r="V74" s="513">
        <f t="shared" ca="1" si="24"/>
        <v>0</v>
      </c>
      <c r="W74" s="513">
        <f t="shared" ca="1" si="29"/>
        <v>0</v>
      </c>
      <c r="X74" s="513">
        <f t="shared" ca="1" si="30"/>
        <v>0</v>
      </c>
      <c r="Y74" s="513">
        <f t="shared" ca="1" si="31"/>
        <v>0</v>
      </c>
      <c r="Z74" s="513"/>
      <c r="AA74" s="513">
        <f t="shared" ca="1" si="25"/>
        <v>0</v>
      </c>
      <c r="AB74" s="513">
        <f t="shared" ca="1" si="22"/>
        <v>0</v>
      </c>
      <c r="AC74" s="513">
        <f t="shared" ca="1" si="23"/>
        <v>0</v>
      </c>
      <c r="AD74" s="513">
        <f t="shared" ca="1" si="32"/>
        <v>0</v>
      </c>
    </row>
    <row r="75" spans="2:30" ht="18" hidden="1" customHeight="1">
      <c r="B75" s="563">
        <f t="shared" si="26"/>
        <v>39</v>
      </c>
      <c r="C75" s="563">
        <f t="shared" ca="1" si="27"/>
        <v>2060</v>
      </c>
      <c r="D75" s="505">
        <f t="shared" ca="1" si="7"/>
        <v>0</v>
      </c>
      <c r="E75" s="505">
        <f t="shared" ca="1" si="8"/>
        <v>0</v>
      </c>
      <c r="F75" s="505">
        <f t="shared" ca="1" si="9"/>
        <v>0</v>
      </c>
      <c r="G75" s="505">
        <f t="shared" ca="1" si="19"/>
        <v>0</v>
      </c>
      <c r="H75" s="505">
        <f t="shared" ca="1" si="0"/>
        <v>0</v>
      </c>
      <c r="I75" s="505"/>
      <c r="J75" s="505"/>
      <c r="K75" s="505">
        <f t="shared" ca="1" si="10"/>
        <v>0</v>
      </c>
      <c r="L75" s="505">
        <f t="shared" ca="1" si="20"/>
        <v>0</v>
      </c>
      <c r="M75" s="505">
        <f t="shared" ca="1" si="11"/>
        <v>0</v>
      </c>
      <c r="N75" s="505">
        <f t="shared" ca="1" si="21"/>
        <v>0</v>
      </c>
      <c r="O75" s="505">
        <f t="shared" ca="1" si="12"/>
        <v>0</v>
      </c>
      <c r="P75" s="563"/>
      <c r="Q75" s="505">
        <f t="shared" ca="1" si="1"/>
        <v>0</v>
      </c>
      <c r="R75" s="505">
        <f t="shared" ca="1" si="28"/>
        <v>0</v>
      </c>
      <c r="S75" s="505"/>
      <c r="T75" s="505"/>
      <c r="U75" s="505"/>
      <c r="V75" s="505">
        <f t="shared" ca="1" si="24"/>
        <v>0</v>
      </c>
      <c r="W75" s="505">
        <f t="shared" ca="1" si="29"/>
        <v>0</v>
      </c>
      <c r="X75" s="505">
        <f t="shared" ca="1" si="30"/>
        <v>0</v>
      </c>
      <c r="Y75" s="505">
        <f t="shared" ca="1" si="31"/>
        <v>0</v>
      </c>
      <c r="Z75" s="505"/>
      <c r="AA75" s="505">
        <f t="shared" ca="1" si="25"/>
        <v>0</v>
      </c>
      <c r="AB75" s="505">
        <f t="shared" ca="1" si="22"/>
        <v>0</v>
      </c>
      <c r="AC75" s="505">
        <f t="shared" ca="1" si="23"/>
        <v>0</v>
      </c>
      <c r="AD75" s="505">
        <f t="shared" ca="1" si="32"/>
        <v>0</v>
      </c>
    </row>
    <row r="76" spans="2:30" ht="18" hidden="1" customHeight="1">
      <c r="B76" s="564">
        <f t="shared" si="26"/>
        <v>40</v>
      </c>
      <c r="C76" s="564">
        <f t="shared" ca="1" si="27"/>
        <v>2061</v>
      </c>
      <c r="D76" s="513">
        <f t="shared" ca="1" si="7"/>
        <v>0</v>
      </c>
      <c r="E76" s="513">
        <f t="shared" ca="1" si="8"/>
        <v>0</v>
      </c>
      <c r="F76" s="513">
        <f t="shared" ca="1" si="9"/>
        <v>0</v>
      </c>
      <c r="G76" s="513">
        <f t="shared" ca="1" si="19"/>
        <v>0</v>
      </c>
      <c r="H76" s="513">
        <f t="shared" ca="1" si="0"/>
        <v>0</v>
      </c>
      <c r="I76" s="513"/>
      <c r="J76" s="513"/>
      <c r="K76" s="513">
        <f t="shared" ca="1" si="10"/>
        <v>0</v>
      </c>
      <c r="L76" s="513">
        <f t="shared" ca="1" si="20"/>
        <v>0</v>
      </c>
      <c r="M76" s="513">
        <f t="shared" ca="1" si="11"/>
        <v>0</v>
      </c>
      <c r="N76" s="513">
        <f t="shared" ca="1" si="21"/>
        <v>0</v>
      </c>
      <c r="O76" s="513">
        <f t="shared" ca="1" si="12"/>
        <v>0</v>
      </c>
      <c r="P76" s="564"/>
      <c r="Q76" s="513">
        <f t="shared" ca="1" si="1"/>
        <v>0</v>
      </c>
      <c r="R76" s="513">
        <f t="shared" ca="1" si="28"/>
        <v>0</v>
      </c>
      <c r="S76" s="505"/>
      <c r="T76" s="505"/>
      <c r="U76" s="513"/>
      <c r="V76" s="513">
        <f t="shared" ca="1" si="24"/>
        <v>0</v>
      </c>
      <c r="W76" s="513">
        <f t="shared" ca="1" si="29"/>
        <v>0</v>
      </c>
      <c r="X76" s="513">
        <f t="shared" ca="1" si="30"/>
        <v>0</v>
      </c>
      <c r="Y76" s="513">
        <f t="shared" ca="1" si="31"/>
        <v>0</v>
      </c>
      <c r="Z76" s="513"/>
      <c r="AA76" s="513">
        <f t="shared" ca="1" si="25"/>
        <v>0</v>
      </c>
      <c r="AB76" s="513">
        <f t="shared" ca="1" si="22"/>
        <v>0</v>
      </c>
      <c r="AC76" s="513">
        <f t="shared" ca="1" si="23"/>
        <v>0</v>
      </c>
      <c r="AD76" s="513">
        <f t="shared" ca="1" si="32"/>
        <v>0</v>
      </c>
    </row>
    <row r="77" spans="2:30" hidden="1">
      <c r="B77" s="563">
        <f t="shared" si="26"/>
        <v>41</v>
      </c>
      <c r="C77" s="563">
        <f t="shared" ca="1" si="27"/>
        <v>2062</v>
      </c>
      <c r="D77" s="505">
        <f ca="1">IF(C76&lt;$F$30,(D76*$D$17)+D76,0)</f>
        <v>0</v>
      </c>
      <c r="E77" s="505">
        <f ca="1">IF(D77&gt;0,(E76*$D$31)+E76,0)</f>
        <v>0</v>
      </c>
      <c r="F77" s="505">
        <f ca="1">IF(D77&gt;0,(F76*$D$32)+F76,0)</f>
        <v>0</v>
      </c>
      <c r="G77" s="505">
        <f ca="1">F77-E77</f>
        <v>0</v>
      </c>
      <c r="H77" s="505">
        <f ca="1">IF(D77&gt;0,D77-$D$15,0)</f>
        <v>0</v>
      </c>
      <c r="I77" s="505"/>
      <c r="J77" s="505"/>
      <c r="K77" s="505">
        <f ca="1">IF(C76&lt;$M$30,(K76*$K$17)+K76,0)</f>
        <v>0</v>
      </c>
      <c r="L77" s="505">
        <f ca="1">IF(K77&gt;0,(L76*$K$31)+L76,0)</f>
        <v>0</v>
      </c>
      <c r="M77" s="505">
        <f ca="1">IF(K77&gt;0,(M76*$K$32)+M76,0)</f>
        <v>0</v>
      </c>
      <c r="N77" s="505">
        <f ca="1">M77-L77</f>
        <v>0</v>
      </c>
      <c r="O77" s="505">
        <f ca="1">IF(K77&gt;0,K77-$K$15,0)</f>
        <v>0</v>
      </c>
      <c r="P77" s="563"/>
      <c r="Q77" s="505">
        <f ca="1">G77+O77</f>
        <v>0</v>
      </c>
      <c r="R77" s="505">
        <f t="shared" ca="1" si="28"/>
        <v>0</v>
      </c>
      <c r="S77" s="505"/>
      <c r="T77" s="505"/>
      <c r="U77" s="505"/>
      <c r="V77" s="505">
        <f t="shared" ca="1" si="24"/>
        <v>0</v>
      </c>
      <c r="W77" s="505">
        <f t="shared" ca="1" si="29"/>
        <v>0</v>
      </c>
      <c r="X77" s="505">
        <f t="shared" ca="1" si="30"/>
        <v>0</v>
      </c>
      <c r="Y77" s="505">
        <f t="shared" ca="1" si="31"/>
        <v>0</v>
      </c>
      <c r="Z77" s="505"/>
      <c r="AA77" s="505">
        <f t="shared" ca="1" si="25"/>
        <v>0</v>
      </c>
      <c r="AB77" s="505">
        <f t="shared" ca="1" si="22"/>
        <v>0</v>
      </c>
      <c r="AC77" s="505">
        <f t="shared" ca="1" si="23"/>
        <v>0</v>
      </c>
      <c r="AD77" s="505">
        <f t="shared" ca="1" si="32"/>
        <v>0</v>
      </c>
    </row>
    <row r="78" spans="2:30" hidden="1">
      <c r="B78" s="564">
        <f t="shared" si="26"/>
        <v>42</v>
      </c>
      <c r="C78" s="564">
        <f t="shared" ca="1" si="27"/>
        <v>2063</v>
      </c>
      <c r="D78" s="513">
        <f ca="1">IF(C77&lt;$F$30,(D77*$D$17)+D77,0)</f>
        <v>0</v>
      </c>
      <c r="E78" s="513">
        <f ca="1">IF(D78&gt;0,(E77*$D$31)+E77,0)</f>
        <v>0</v>
      </c>
      <c r="F78" s="513">
        <f ca="1">IF(D78&gt;0,(F77*$D$32)+F77,0)</f>
        <v>0</v>
      </c>
      <c r="G78" s="513">
        <f ca="1">F78-E78</f>
        <v>0</v>
      </c>
      <c r="H78" s="513">
        <f ca="1">IF(D78&gt;0,D78-$D$15,0)</f>
        <v>0</v>
      </c>
      <c r="I78" s="513"/>
      <c r="J78" s="513"/>
      <c r="K78" s="513">
        <f ca="1">IF(C77&lt;$M$30,(K77*$K$17)+K77,0)</f>
        <v>0</v>
      </c>
      <c r="L78" s="513">
        <f ca="1">IF(K78&gt;0,(L77*$K$31)+L77,0)</f>
        <v>0</v>
      </c>
      <c r="M78" s="513">
        <f ca="1">IF(K78&gt;0,(M77*$K$32)+M77,0)</f>
        <v>0</v>
      </c>
      <c r="N78" s="513">
        <f ca="1">M78-L78</f>
        <v>0</v>
      </c>
      <c r="O78" s="513">
        <f ca="1">IF(K78&gt;0,K78-$K$15,0)</f>
        <v>0</v>
      </c>
      <c r="P78" s="564"/>
      <c r="Q78" s="513">
        <f ca="1">G78+O78</f>
        <v>0</v>
      </c>
      <c r="R78" s="513">
        <f t="shared" ca="1" si="28"/>
        <v>0</v>
      </c>
      <c r="S78" s="505"/>
      <c r="T78" s="505"/>
      <c r="U78" s="513"/>
      <c r="V78" s="513">
        <f t="shared" ca="1" si="24"/>
        <v>0</v>
      </c>
      <c r="W78" s="513">
        <f t="shared" ca="1" si="29"/>
        <v>0</v>
      </c>
      <c r="X78" s="513">
        <f t="shared" ca="1" si="30"/>
        <v>0</v>
      </c>
      <c r="Y78" s="513">
        <f t="shared" ca="1" si="31"/>
        <v>0</v>
      </c>
      <c r="Z78" s="513"/>
      <c r="AA78" s="513">
        <f t="shared" ca="1" si="25"/>
        <v>0</v>
      </c>
      <c r="AB78" s="513">
        <f t="shared" ca="1" si="22"/>
        <v>0</v>
      </c>
      <c r="AC78" s="513">
        <f t="shared" ca="1" si="23"/>
        <v>0</v>
      </c>
      <c r="AD78" s="513">
        <f t="shared" ca="1" si="32"/>
        <v>0</v>
      </c>
    </row>
    <row r="79" spans="2:30" hidden="1">
      <c r="B79" s="563">
        <f t="shared" si="26"/>
        <v>43</v>
      </c>
      <c r="C79" s="563">
        <f t="shared" ca="1" si="27"/>
        <v>2064</v>
      </c>
      <c r="D79" s="505">
        <f ca="1">IF(C78&lt;$F$30,(D78*$D$17)+D78,0)</f>
        <v>0</v>
      </c>
      <c r="E79" s="505">
        <f ca="1">IF(D79&gt;0,(E78*$D$31)+E78,0)</f>
        <v>0</v>
      </c>
      <c r="F79" s="505">
        <f ca="1">IF(D79&gt;0,(F78*$D$32)+F78,0)</f>
        <v>0</v>
      </c>
      <c r="G79" s="505">
        <f ca="1">F79-E79</f>
        <v>0</v>
      </c>
      <c r="H79" s="505">
        <f ca="1">IF(D79&gt;0,D79-$D$15,0)</f>
        <v>0</v>
      </c>
      <c r="I79" s="505"/>
      <c r="J79" s="505"/>
      <c r="K79" s="505">
        <f ca="1">IF(C78&lt;$M$30,(K78*$K$17)+K78,0)</f>
        <v>0</v>
      </c>
      <c r="L79" s="505">
        <f ca="1">IF(K79&gt;0,(L78*$K$31)+L78,0)</f>
        <v>0</v>
      </c>
      <c r="M79" s="505">
        <f ca="1">IF(K79&gt;0,(M78*$K$32)+M78,0)</f>
        <v>0</v>
      </c>
      <c r="N79" s="505">
        <f ca="1">M79-L79</f>
        <v>0</v>
      </c>
      <c r="O79" s="505">
        <f ca="1">IF(K79&gt;0,K79-$K$15,0)</f>
        <v>0</v>
      </c>
      <c r="P79" s="563"/>
      <c r="Q79" s="505">
        <f ca="1">G79+O79</f>
        <v>0</v>
      </c>
      <c r="R79" s="505">
        <f t="shared" ca="1" si="28"/>
        <v>0</v>
      </c>
      <c r="S79" s="505"/>
      <c r="T79" s="505"/>
      <c r="U79" s="505"/>
      <c r="V79" s="505">
        <f t="shared" ca="1" si="24"/>
        <v>0</v>
      </c>
      <c r="W79" s="505">
        <f t="shared" ca="1" si="29"/>
        <v>0</v>
      </c>
      <c r="X79" s="505">
        <f t="shared" ca="1" si="30"/>
        <v>0</v>
      </c>
      <c r="Y79" s="505">
        <f t="shared" ca="1" si="31"/>
        <v>0</v>
      </c>
      <c r="Z79" s="505"/>
      <c r="AA79" s="505">
        <f t="shared" ca="1" si="25"/>
        <v>0</v>
      </c>
      <c r="AB79" s="505">
        <f t="shared" ca="1" si="22"/>
        <v>0</v>
      </c>
      <c r="AC79" s="505">
        <f t="shared" ca="1" si="23"/>
        <v>0</v>
      </c>
      <c r="AD79" s="505">
        <f t="shared" ca="1" si="32"/>
        <v>0</v>
      </c>
    </row>
    <row r="80" spans="2:30" hidden="1">
      <c r="B80" s="564">
        <f t="shared" si="26"/>
        <v>44</v>
      </c>
      <c r="C80" s="564">
        <f t="shared" ca="1" si="27"/>
        <v>2065</v>
      </c>
      <c r="D80" s="513">
        <f ca="1">IF(C79&lt;$F$30,(D79*$D$17)+D79,0)</f>
        <v>0</v>
      </c>
      <c r="E80" s="513">
        <f ca="1">IF(D80&gt;0,(E79*$D$31)+E79,0)</f>
        <v>0</v>
      </c>
      <c r="F80" s="513">
        <f ca="1">IF(D80&gt;0,(F79*$D$32)+F79,0)</f>
        <v>0</v>
      </c>
      <c r="G80" s="513">
        <f ca="1">F80-E80</f>
        <v>0</v>
      </c>
      <c r="H80" s="513">
        <f ca="1">IF(D80&gt;0,D80-$D$15,0)</f>
        <v>0</v>
      </c>
      <c r="I80" s="513"/>
      <c r="J80" s="513"/>
      <c r="K80" s="513">
        <f ca="1">IF(C79&lt;$M$30,(K79*$K$17)+K79,0)</f>
        <v>0</v>
      </c>
      <c r="L80" s="513">
        <f ca="1">IF(K80&gt;0,(L79*$K$31)+L79,0)</f>
        <v>0</v>
      </c>
      <c r="M80" s="513">
        <f ca="1">IF(K80&gt;0,(M79*$K$32)+M79,0)</f>
        <v>0</v>
      </c>
      <c r="N80" s="513">
        <f ca="1">M80-L80</f>
        <v>0</v>
      </c>
      <c r="O80" s="513">
        <f ca="1">IF(K80&gt;0,K80-$K$15,0)</f>
        <v>0</v>
      </c>
      <c r="P80" s="564"/>
      <c r="Q80" s="513">
        <f ca="1">G80+O80</f>
        <v>0</v>
      </c>
      <c r="R80" s="513">
        <f t="shared" ca="1" si="28"/>
        <v>0</v>
      </c>
      <c r="S80" s="505"/>
      <c r="T80" s="505"/>
      <c r="U80" s="513"/>
      <c r="V80" s="513">
        <f t="shared" ca="1" si="24"/>
        <v>0</v>
      </c>
      <c r="W80" s="513">
        <f t="shared" ca="1" si="29"/>
        <v>0</v>
      </c>
      <c r="X80" s="513">
        <f t="shared" ca="1" si="30"/>
        <v>0</v>
      </c>
      <c r="Y80" s="513">
        <f t="shared" ca="1" si="31"/>
        <v>0</v>
      </c>
      <c r="Z80" s="513"/>
      <c r="AA80" s="513">
        <f t="shared" ca="1" si="25"/>
        <v>0</v>
      </c>
      <c r="AB80" s="513">
        <f t="shared" ca="1" si="22"/>
        <v>0</v>
      </c>
      <c r="AC80" s="513">
        <f t="shared" ca="1" si="23"/>
        <v>0</v>
      </c>
      <c r="AD80" s="513">
        <f t="shared" ca="1" si="32"/>
        <v>0</v>
      </c>
    </row>
    <row r="81" spans="2:30" hidden="1">
      <c r="B81" s="563">
        <f t="shared" si="26"/>
        <v>45</v>
      </c>
      <c r="C81" s="563">
        <f t="shared" ca="1" si="27"/>
        <v>2066</v>
      </c>
      <c r="D81" s="505">
        <f t="shared" ref="D81:D126" ca="1" si="33">IF(C80&lt;$F$30,(D80*$D$17)+D80,0)</f>
        <v>0</v>
      </c>
      <c r="E81" s="505">
        <f t="shared" ref="E81:E126" ca="1" si="34">IF(D81&gt;0,(E80*$D$31)+E80,0)</f>
        <v>0</v>
      </c>
      <c r="F81" s="505">
        <f t="shared" ref="F81:F126" ca="1" si="35">IF(D81&gt;0,(F80*$D$32)+F80,0)</f>
        <v>0</v>
      </c>
      <c r="G81" s="505">
        <f t="shared" ref="G81:G126" ca="1" si="36">F81-E81</f>
        <v>0</v>
      </c>
      <c r="H81" s="505">
        <f t="shared" ref="H81:H126" ca="1" si="37">IF(D81&gt;0,D81-$D$15,0)</f>
        <v>0</v>
      </c>
      <c r="I81" s="505"/>
      <c r="J81" s="505"/>
      <c r="K81" s="505">
        <f t="shared" ref="K81:K126" ca="1" si="38">IF(C80&lt;$M$30,(K80*$K$17)+K80,0)</f>
        <v>0</v>
      </c>
      <c r="L81" s="505">
        <f t="shared" ref="L81:L126" ca="1" si="39">IF(K81&gt;0,(L80*$K$31)+L80,0)</f>
        <v>0</v>
      </c>
      <c r="M81" s="505">
        <f t="shared" ref="M81:M126" ca="1" si="40">IF(K81&gt;0,(M80*$K$32)+M80,0)</f>
        <v>0</v>
      </c>
      <c r="N81" s="505">
        <f t="shared" ref="N81:N126" ca="1" si="41">M81-L81</f>
        <v>0</v>
      </c>
      <c r="O81" s="505">
        <f t="shared" ref="O81:O126" ca="1" si="42">IF(K81&gt;0,K81-$K$15,0)</f>
        <v>0</v>
      </c>
      <c r="P81" s="563"/>
      <c r="Q81" s="505">
        <f t="shared" ref="Q81:Q126" ca="1" si="43">G81+O81</f>
        <v>0</v>
      </c>
      <c r="R81" s="505">
        <f t="shared" ca="1" si="28"/>
        <v>0</v>
      </c>
      <c r="S81" s="505"/>
      <c r="T81" s="505"/>
      <c r="U81" s="505"/>
      <c r="V81" s="505">
        <f t="shared" ca="1" si="24"/>
        <v>0</v>
      </c>
      <c r="W81" s="505">
        <f t="shared" ca="1" si="29"/>
        <v>0</v>
      </c>
      <c r="X81" s="505">
        <f t="shared" ca="1" si="30"/>
        <v>0</v>
      </c>
      <c r="Y81" s="505">
        <f t="shared" ca="1" si="31"/>
        <v>0</v>
      </c>
      <c r="Z81" s="505"/>
      <c r="AA81" s="505">
        <f t="shared" ca="1" si="25"/>
        <v>0</v>
      </c>
      <c r="AB81" s="505">
        <f t="shared" ca="1" si="22"/>
        <v>0</v>
      </c>
      <c r="AC81" s="505">
        <f t="shared" ca="1" si="23"/>
        <v>0</v>
      </c>
      <c r="AD81" s="505">
        <f t="shared" ca="1" si="32"/>
        <v>0</v>
      </c>
    </row>
    <row r="82" spans="2:30" hidden="1">
      <c r="B82" s="564">
        <f t="shared" si="26"/>
        <v>46</v>
      </c>
      <c r="C82" s="564">
        <f t="shared" ca="1" si="27"/>
        <v>2067</v>
      </c>
      <c r="D82" s="513">
        <f t="shared" ca="1" si="33"/>
        <v>0</v>
      </c>
      <c r="E82" s="513">
        <f t="shared" ca="1" si="34"/>
        <v>0</v>
      </c>
      <c r="F82" s="513">
        <f t="shared" ca="1" si="35"/>
        <v>0</v>
      </c>
      <c r="G82" s="513">
        <f t="shared" ca="1" si="36"/>
        <v>0</v>
      </c>
      <c r="H82" s="513">
        <f t="shared" ca="1" si="37"/>
        <v>0</v>
      </c>
      <c r="I82" s="513"/>
      <c r="J82" s="513"/>
      <c r="K82" s="513">
        <f t="shared" ca="1" si="38"/>
        <v>0</v>
      </c>
      <c r="L82" s="513">
        <f t="shared" ca="1" si="39"/>
        <v>0</v>
      </c>
      <c r="M82" s="513">
        <f t="shared" ca="1" si="40"/>
        <v>0</v>
      </c>
      <c r="N82" s="513">
        <f t="shared" ca="1" si="41"/>
        <v>0</v>
      </c>
      <c r="O82" s="513">
        <f t="shared" ca="1" si="42"/>
        <v>0</v>
      </c>
      <c r="P82" s="564"/>
      <c r="Q82" s="513">
        <f t="shared" ca="1" si="43"/>
        <v>0</v>
      </c>
      <c r="R82" s="513">
        <f t="shared" ca="1" si="28"/>
        <v>0</v>
      </c>
      <c r="S82" s="505"/>
      <c r="T82" s="505"/>
      <c r="U82" s="513"/>
      <c r="V82" s="513">
        <f t="shared" ca="1" si="24"/>
        <v>0</v>
      </c>
      <c r="W82" s="513">
        <f t="shared" ca="1" si="29"/>
        <v>0</v>
      </c>
      <c r="X82" s="513">
        <f t="shared" ca="1" si="30"/>
        <v>0</v>
      </c>
      <c r="Y82" s="513">
        <f t="shared" ca="1" si="31"/>
        <v>0</v>
      </c>
      <c r="Z82" s="513"/>
      <c r="AA82" s="513">
        <f t="shared" ca="1" si="25"/>
        <v>0</v>
      </c>
      <c r="AB82" s="513">
        <f t="shared" ca="1" si="22"/>
        <v>0</v>
      </c>
      <c r="AC82" s="513">
        <f t="shared" ca="1" si="23"/>
        <v>0</v>
      </c>
      <c r="AD82" s="513">
        <f t="shared" ca="1" si="32"/>
        <v>0</v>
      </c>
    </row>
    <row r="83" spans="2:30" hidden="1">
      <c r="B83" s="563">
        <f t="shared" si="26"/>
        <v>47</v>
      </c>
      <c r="C83" s="563">
        <f t="shared" ca="1" si="27"/>
        <v>2068</v>
      </c>
      <c r="D83" s="505">
        <f t="shared" ca="1" si="33"/>
        <v>0</v>
      </c>
      <c r="E83" s="505">
        <f t="shared" ca="1" si="34"/>
        <v>0</v>
      </c>
      <c r="F83" s="505">
        <f t="shared" ca="1" si="35"/>
        <v>0</v>
      </c>
      <c r="G83" s="505">
        <f t="shared" ca="1" si="36"/>
        <v>0</v>
      </c>
      <c r="H83" s="505">
        <f t="shared" ca="1" si="37"/>
        <v>0</v>
      </c>
      <c r="I83" s="505"/>
      <c r="J83" s="505"/>
      <c r="K83" s="505">
        <f t="shared" ca="1" si="38"/>
        <v>0</v>
      </c>
      <c r="L83" s="505">
        <f t="shared" ca="1" si="39"/>
        <v>0</v>
      </c>
      <c r="M83" s="505">
        <f t="shared" ca="1" si="40"/>
        <v>0</v>
      </c>
      <c r="N83" s="505">
        <f t="shared" ca="1" si="41"/>
        <v>0</v>
      </c>
      <c r="O83" s="505">
        <f t="shared" ca="1" si="42"/>
        <v>0</v>
      </c>
      <c r="P83" s="563"/>
      <c r="Q83" s="505">
        <f t="shared" ca="1" si="43"/>
        <v>0</v>
      </c>
      <c r="R83" s="505">
        <f t="shared" ca="1" si="28"/>
        <v>0</v>
      </c>
      <c r="S83" s="505"/>
      <c r="T83" s="505"/>
      <c r="U83" s="505"/>
      <c r="V83" s="505">
        <f t="shared" ca="1" si="24"/>
        <v>0</v>
      </c>
      <c r="W83" s="505">
        <f t="shared" ca="1" si="29"/>
        <v>0</v>
      </c>
      <c r="X83" s="505">
        <f t="shared" ca="1" si="30"/>
        <v>0</v>
      </c>
      <c r="Y83" s="505">
        <f t="shared" ca="1" si="31"/>
        <v>0</v>
      </c>
      <c r="Z83" s="505"/>
      <c r="AA83" s="505">
        <f t="shared" ca="1" si="25"/>
        <v>0</v>
      </c>
      <c r="AB83" s="505">
        <f t="shared" ca="1" si="22"/>
        <v>0</v>
      </c>
      <c r="AC83" s="505">
        <f t="shared" ca="1" si="23"/>
        <v>0</v>
      </c>
      <c r="AD83" s="505">
        <f t="shared" ca="1" si="32"/>
        <v>0</v>
      </c>
    </row>
    <row r="84" spans="2:30" hidden="1">
      <c r="B84" s="564">
        <f t="shared" si="26"/>
        <v>48</v>
      </c>
      <c r="C84" s="564">
        <f t="shared" ca="1" si="27"/>
        <v>2069</v>
      </c>
      <c r="D84" s="513">
        <f t="shared" ca="1" si="33"/>
        <v>0</v>
      </c>
      <c r="E84" s="513">
        <f t="shared" ca="1" si="34"/>
        <v>0</v>
      </c>
      <c r="F84" s="513">
        <f t="shared" ca="1" si="35"/>
        <v>0</v>
      </c>
      <c r="G84" s="513">
        <f t="shared" ca="1" si="36"/>
        <v>0</v>
      </c>
      <c r="H84" s="513">
        <f t="shared" ca="1" si="37"/>
        <v>0</v>
      </c>
      <c r="I84" s="513"/>
      <c r="J84" s="513"/>
      <c r="K84" s="513">
        <f t="shared" ca="1" si="38"/>
        <v>0</v>
      </c>
      <c r="L84" s="513">
        <f t="shared" ca="1" si="39"/>
        <v>0</v>
      </c>
      <c r="M84" s="513">
        <f t="shared" ca="1" si="40"/>
        <v>0</v>
      </c>
      <c r="N84" s="513">
        <f t="shared" ca="1" si="41"/>
        <v>0</v>
      </c>
      <c r="O84" s="513">
        <f t="shared" ca="1" si="42"/>
        <v>0</v>
      </c>
      <c r="P84" s="564"/>
      <c r="Q84" s="513">
        <f t="shared" ca="1" si="43"/>
        <v>0</v>
      </c>
      <c r="R84" s="513">
        <f t="shared" ca="1" si="28"/>
        <v>0</v>
      </c>
      <c r="S84" s="505"/>
      <c r="T84" s="505"/>
      <c r="U84" s="513"/>
      <c r="V84" s="513">
        <f t="shared" ca="1" si="24"/>
        <v>0</v>
      </c>
      <c r="W84" s="513">
        <f t="shared" ca="1" si="29"/>
        <v>0</v>
      </c>
      <c r="X84" s="513">
        <f t="shared" ca="1" si="30"/>
        <v>0</v>
      </c>
      <c r="Y84" s="513">
        <f t="shared" ca="1" si="31"/>
        <v>0</v>
      </c>
      <c r="Z84" s="513"/>
      <c r="AA84" s="513">
        <f t="shared" ca="1" si="25"/>
        <v>0</v>
      </c>
      <c r="AB84" s="513">
        <f t="shared" ca="1" si="22"/>
        <v>0</v>
      </c>
      <c r="AC84" s="513">
        <f t="shared" ca="1" si="23"/>
        <v>0</v>
      </c>
      <c r="AD84" s="513">
        <f t="shared" ca="1" si="32"/>
        <v>0</v>
      </c>
    </row>
    <row r="85" spans="2:30" hidden="1">
      <c r="B85" s="563">
        <f t="shared" si="26"/>
        <v>49</v>
      </c>
      <c r="C85" s="563">
        <f t="shared" ca="1" si="27"/>
        <v>2070</v>
      </c>
      <c r="D85" s="505">
        <f t="shared" ca="1" si="33"/>
        <v>0</v>
      </c>
      <c r="E85" s="505">
        <f t="shared" ca="1" si="34"/>
        <v>0</v>
      </c>
      <c r="F85" s="505">
        <f t="shared" ca="1" si="35"/>
        <v>0</v>
      </c>
      <c r="G85" s="505">
        <f t="shared" ca="1" si="36"/>
        <v>0</v>
      </c>
      <c r="H85" s="505">
        <f t="shared" ca="1" si="37"/>
        <v>0</v>
      </c>
      <c r="I85" s="505"/>
      <c r="J85" s="505"/>
      <c r="K85" s="505">
        <f t="shared" ca="1" si="38"/>
        <v>0</v>
      </c>
      <c r="L85" s="505">
        <f t="shared" ca="1" si="39"/>
        <v>0</v>
      </c>
      <c r="M85" s="505">
        <f t="shared" ca="1" si="40"/>
        <v>0</v>
      </c>
      <c r="N85" s="505">
        <f t="shared" ca="1" si="41"/>
        <v>0</v>
      </c>
      <c r="O85" s="505">
        <f t="shared" ca="1" si="42"/>
        <v>0</v>
      </c>
      <c r="P85" s="563"/>
      <c r="Q85" s="505">
        <f t="shared" ca="1" si="43"/>
        <v>0</v>
      </c>
      <c r="R85" s="505">
        <f t="shared" ca="1" si="28"/>
        <v>0</v>
      </c>
      <c r="S85" s="505"/>
      <c r="T85" s="505"/>
      <c r="U85" s="505"/>
      <c r="V85" s="505">
        <f t="shared" ca="1" si="24"/>
        <v>0</v>
      </c>
      <c r="W85" s="505">
        <f t="shared" ca="1" si="29"/>
        <v>0</v>
      </c>
      <c r="X85" s="505">
        <f t="shared" ca="1" si="30"/>
        <v>0</v>
      </c>
      <c r="Y85" s="505">
        <f t="shared" ca="1" si="31"/>
        <v>0</v>
      </c>
      <c r="Z85" s="505"/>
      <c r="AA85" s="505">
        <f t="shared" ca="1" si="25"/>
        <v>0</v>
      </c>
      <c r="AB85" s="505">
        <f t="shared" ca="1" si="22"/>
        <v>0</v>
      </c>
      <c r="AC85" s="505">
        <f t="shared" ca="1" si="23"/>
        <v>0</v>
      </c>
      <c r="AD85" s="505">
        <f t="shared" ca="1" si="32"/>
        <v>0</v>
      </c>
    </row>
    <row r="86" spans="2:30" hidden="1">
      <c r="B86" s="564">
        <f t="shared" si="26"/>
        <v>50</v>
      </c>
      <c r="C86" s="564">
        <f t="shared" ca="1" si="27"/>
        <v>2071</v>
      </c>
      <c r="D86" s="513">
        <f t="shared" ca="1" si="33"/>
        <v>0</v>
      </c>
      <c r="E86" s="513">
        <f t="shared" ca="1" si="34"/>
        <v>0</v>
      </c>
      <c r="F86" s="513">
        <f t="shared" ca="1" si="35"/>
        <v>0</v>
      </c>
      <c r="G86" s="513">
        <f t="shared" ca="1" si="36"/>
        <v>0</v>
      </c>
      <c r="H86" s="513">
        <f t="shared" ca="1" si="37"/>
        <v>0</v>
      </c>
      <c r="I86" s="513"/>
      <c r="J86" s="513"/>
      <c r="K86" s="513">
        <f t="shared" ca="1" si="38"/>
        <v>0</v>
      </c>
      <c r="L86" s="513">
        <f t="shared" ca="1" si="39"/>
        <v>0</v>
      </c>
      <c r="M86" s="513">
        <f t="shared" ca="1" si="40"/>
        <v>0</v>
      </c>
      <c r="N86" s="513">
        <f t="shared" ca="1" si="41"/>
        <v>0</v>
      </c>
      <c r="O86" s="513">
        <f t="shared" ca="1" si="42"/>
        <v>0</v>
      </c>
      <c r="P86" s="564"/>
      <c r="Q86" s="513">
        <f t="shared" ca="1" si="43"/>
        <v>0</v>
      </c>
      <c r="R86" s="513">
        <f t="shared" ca="1" si="28"/>
        <v>0</v>
      </c>
      <c r="S86" s="505"/>
      <c r="T86" s="505"/>
      <c r="U86" s="513"/>
      <c r="V86" s="513">
        <f t="shared" ca="1" si="24"/>
        <v>0</v>
      </c>
      <c r="W86" s="513">
        <f t="shared" ca="1" si="29"/>
        <v>0</v>
      </c>
      <c r="X86" s="513">
        <f t="shared" ca="1" si="30"/>
        <v>0</v>
      </c>
      <c r="Y86" s="513">
        <f t="shared" ca="1" si="31"/>
        <v>0</v>
      </c>
      <c r="Z86" s="513"/>
      <c r="AA86" s="513">
        <f t="shared" ca="1" si="25"/>
        <v>0</v>
      </c>
      <c r="AB86" s="513">
        <f t="shared" ca="1" si="22"/>
        <v>0</v>
      </c>
      <c r="AC86" s="513">
        <f t="shared" ca="1" si="23"/>
        <v>0</v>
      </c>
      <c r="AD86" s="513">
        <f t="shared" ca="1" si="32"/>
        <v>0</v>
      </c>
    </row>
    <row r="87" spans="2:30" hidden="1">
      <c r="B87" s="563">
        <f t="shared" si="26"/>
        <v>51</v>
      </c>
      <c r="C87" s="563">
        <f t="shared" ca="1" si="27"/>
        <v>2072</v>
      </c>
      <c r="D87" s="505">
        <f t="shared" ca="1" si="33"/>
        <v>0</v>
      </c>
      <c r="E87" s="505">
        <f t="shared" ca="1" si="34"/>
        <v>0</v>
      </c>
      <c r="F87" s="505">
        <f t="shared" ca="1" si="35"/>
        <v>0</v>
      </c>
      <c r="G87" s="505">
        <f t="shared" ca="1" si="36"/>
        <v>0</v>
      </c>
      <c r="H87" s="505">
        <f t="shared" ca="1" si="37"/>
        <v>0</v>
      </c>
      <c r="I87" s="505"/>
      <c r="J87" s="505"/>
      <c r="K87" s="505">
        <f t="shared" ca="1" si="38"/>
        <v>0</v>
      </c>
      <c r="L87" s="505">
        <f t="shared" ca="1" si="39"/>
        <v>0</v>
      </c>
      <c r="M87" s="505">
        <f t="shared" ca="1" si="40"/>
        <v>0</v>
      </c>
      <c r="N87" s="505">
        <f t="shared" ca="1" si="41"/>
        <v>0</v>
      </c>
      <c r="O87" s="505">
        <f t="shared" ca="1" si="42"/>
        <v>0</v>
      </c>
      <c r="P87" s="563"/>
      <c r="Q87" s="505">
        <f t="shared" ca="1" si="43"/>
        <v>0</v>
      </c>
      <c r="R87" s="505">
        <f t="shared" ca="1" si="28"/>
        <v>0</v>
      </c>
      <c r="S87" s="505"/>
      <c r="T87" s="505"/>
      <c r="U87" s="505"/>
      <c r="V87" s="505">
        <f t="shared" ca="1" si="24"/>
        <v>0</v>
      </c>
      <c r="W87" s="505">
        <f t="shared" ca="1" si="29"/>
        <v>0</v>
      </c>
      <c r="X87" s="505">
        <f t="shared" ca="1" si="30"/>
        <v>0</v>
      </c>
      <c r="Y87" s="505">
        <f t="shared" ca="1" si="31"/>
        <v>0</v>
      </c>
      <c r="Z87" s="505"/>
      <c r="AA87" s="505">
        <f t="shared" ca="1" si="25"/>
        <v>0</v>
      </c>
      <c r="AB87" s="505">
        <f t="shared" ca="1" si="22"/>
        <v>0</v>
      </c>
      <c r="AC87" s="505">
        <f t="shared" ca="1" si="23"/>
        <v>0</v>
      </c>
      <c r="AD87" s="505">
        <f t="shared" ca="1" si="32"/>
        <v>0</v>
      </c>
    </row>
    <row r="88" spans="2:30" hidden="1">
      <c r="B88" s="564">
        <f t="shared" si="26"/>
        <v>52</v>
      </c>
      <c r="C88" s="564">
        <f t="shared" ca="1" si="27"/>
        <v>2073</v>
      </c>
      <c r="D88" s="513">
        <f t="shared" ca="1" si="33"/>
        <v>0</v>
      </c>
      <c r="E88" s="513">
        <f t="shared" ca="1" si="34"/>
        <v>0</v>
      </c>
      <c r="F88" s="513">
        <f t="shared" ca="1" si="35"/>
        <v>0</v>
      </c>
      <c r="G88" s="513">
        <f t="shared" ca="1" si="36"/>
        <v>0</v>
      </c>
      <c r="H88" s="513">
        <f t="shared" ca="1" si="37"/>
        <v>0</v>
      </c>
      <c r="I88" s="513"/>
      <c r="J88" s="513"/>
      <c r="K88" s="513">
        <f t="shared" ca="1" si="38"/>
        <v>0</v>
      </c>
      <c r="L88" s="513">
        <f t="shared" ca="1" si="39"/>
        <v>0</v>
      </c>
      <c r="M88" s="513">
        <f t="shared" ca="1" si="40"/>
        <v>0</v>
      </c>
      <c r="N88" s="513">
        <f t="shared" ca="1" si="41"/>
        <v>0</v>
      </c>
      <c r="O88" s="513">
        <f t="shared" ca="1" si="42"/>
        <v>0</v>
      </c>
      <c r="P88" s="564"/>
      <c r="Q88" s="513">
        <f t="shared" ca="1" si="43"/>
        <v>0</v>
      </c>
      <c r="R88" s="513">
        <f t="shared" ca="1" si="28"/>
        <v>0</v>
      </c>
      <c r="S88" s="505"/>
      <c r="T88" s="505"/>
      <c r="U88" s="513"/>
      <c r="V88" s="513">
        <f t="shared" ca="1" si="24"/>
        <v>0</v>
      </c>
      <c r="W88" s="513">
        <f t="shared" ca="1" si="29"/>
        <v>0</v>
      </c>
      <c r="X88" s="513">
        <f t="shared" ca="1" si="30"/>
        <v>0</v>
      </c>
      <c r="Y88" s="513">
        <f t="shared" ca="1" si="31"/>
        <v>0</v>
      </c>
      <c r="Z88" s="513"/>
      <c r="AA88" s="513">
        <f t="shared" ca="1" si="25"/>
        <v>0</v>
      </c>
      <c r="AB88" s="513">
        <f t="shared" ca="1" si="22"/>
        <v>0</v>
      </c>
      <c r="AC88" s="513">
        <f t="shared" ca="1" si="23"/>
        <v>0</v>
      </c>
      <c r="AD88" s="513">
        <f t="shared" ca="1" si="32"/>
        <v>0</v>
      </c>
    </row>
    <row r="89" spans="2:30" hidden="1">
      <c r="B89" s="563">
        <f t="shared" si="26"/>
        <v>53</v>
      </c>
      <c r="C89" s="563">
        <f t="shared" ca="1" si="27"/>
        <v>2074</v>
      </c>
      <c r="D89" s="505">
        <f t="shared" ca="1" si="33"/>
        <v>0</v>
      </c>
      <c r="E89" s="505">
        <f t="shared" ca="1" si="34"/>
        <v>0</v>
      </c>
      <c r="F89" s="505">
        <f t="shared" ca="1" si="35"/>
        <v>0</v>
      </c>
      <c r="G89" s="505">
        <f t="shared" ca="1" si="36"/>
        <v>0</v>
      </c>
      <c r="H89" s="505">
        <f t="shared" ca="1" si="37"/>
        <v>0</v>
      </c>
      <c r="I89" s="505"/>
      <c r="J89" s="505"/>
      <c r="K89" s="505">
        <f t="shared" ca="1" si="38"/>
        <v>0</v>
      </c>
      <c r="L89" s="505">
        <f t="shared" ca="1" si="39"/>
        <v>0</v>
      </c>
      <c r="M89" s="505">
        <f t="shared" ca="1" si="40"/>
        <v>0</v>
      </c>
      <c r="N89" s="505">
        <f t="shared" ca="1" si="41"/>
        <v>0</v>
      </c>
      <c r="O89" s="505">
        <f t="shared" ca="1" si="42"/>
        <v>0</v>
      </c>
      <c r="P89" s="563"/>
      <c r="Q89" s="505">
        <f t="shared" ca="1" si="43"/>
        <v>0</v>
      </c>
      <c r="R89" s="505">
        <f t="shared" ca="1" si="28"/>
        <v>0</v>
      </c>
      <c r="S89" s="505"/>
      <c r="T89" s="505"/>
      <c r="U89" s="505"/>
      <c r="V89" s="505">
        <f t="shared" ca="1" si="24"/>
        <v>0</v>
      </c>
      <c r="W89" s="505">
        <f t="shared" ca="1" si="29"/>
        <v>0</v>
      </c>
      <c r="X89" s="505">
        <f t="shared" ca="1" si="30"/>
        <v>0</v>
      </c>
      <c r="Y89" s="505">
        <f t="shared" ca="1" si="31"/>
        <v>0</v>
      </c>
      <c r="Z89" s="505"/>
      <c r="AA89" s="505">
        <f t="shared" ca="1" si="25"/>
        <v>0</v>
      </c>
      <c r="AB89" s="505">
        <f t="shared" ca="1" si="22"/>
        <v>0</v>
      </c>
      <c r="AC89" s="505">
        <f t="shared" ca="1" si="23"/>
        <v>0</v>
      </c>
      <c r="AD89" s="505">
        <f t="shared" ca="1" si="32"/>
        <v>0</v>
      </c>
    </row>
    <row r="90" spans="2:30" hidden="1">
      <c r="B90" s="564">
        <f t="shared" si="26"/>
        <v>54</v>
      </c>
      <c r="C90" s="564">
        <f t="shared" ca="1" si="27"/>
        <v>2075</v>
      </c>
      <c r="D90" s="513">
        <f t="shared" ca="1" si="33"/>
        <v>0</v>
      </c>
      <c r="E90" s="513">
        <f t="shared" ca="1" si="34"/>
        <v>0</v>
      </c>
      <c r="F90" s="513">
        <f t="shared" ca="1" si="35"/>
        <v>0</v>
      </c>
      <c r="G90" s="513">
        <f t="shared" ca="1" si="36"/>
        <v>0</v>
      </c>
      <c r="H90" s="513">
        <f t="shared" ca="1" si="37"/>
        <v>0</v>
      </c>
      <c r="I90" s="513"/>
      <c r="J90" s="513"/>
      <c r="K90" s="513">
        <f t="shared" ca="1" si="38"/>
        <v>0</v>
      </c>
      <c r="L90" s="513">
        <f t="shared" ca="1" si="39"/>
        <v>0</v>
      </c>
      <c r="M90" s="513">
        <f t="shared" ca="1" si="40"/>
        <v>0</v>
      </c>
      <c r="N90" s="513">
        <f t="shared" ca="1" si="41"/>
        <v>0</v>
      </c>
      <c r="O90" s="513">
        <f t="shared" ca="1" si="42"/>
        <v>0</v>
      </c>
      <c r="P90" s="564"/>
      <c r="Q90" s="513">
        <f t="shared" ca="1" si="43"/>
        <v>0</v>
      </c>
      <c r="R90" s="513">
        <f t="shared" ca="1" si="28"/>
        <v>0</v>
      </c>
      <c r="S90" s="505"/>
      <c r="T90" s="505"/>
      <c r="U90" s="513"/>
      <c r="V90" s="513">
        <f t="shared" ca="1" si="24"/>
        <v>0</v>
      </c>
      <c r="W90" s="513">
        <f t="shared" ca="1" si="29"/>
        <v>0</v>
      </c>
      <c r="X90" s="513">
        <f t="shared" ca="1" si="30"/>
        <v>0</v>
      </c>
      <c r="Y90" s="513">
        <f t="shared" ca="1" si="31"/>
        <v>0</v>
      </c>
      <c r="Z90" s="513"/>
      <c r="AA90" s="513">
        <f t="shared" ca="1" si="25"/>
        <v>0</v>
      </c>
      <c r="AB90" s="513">
        <f t="shared" ca="1" si="22"/>
        <v>0</v>
      </c>
      <c r="AC90" s="513">
        <f t="shared" ca="1" si="23"/>
        <v>0</v>
      </c>
      <c r="AD90" s="513">
        <f t="shared" ca="1" si="32"/>
        <v>0</v>
      </c>
    </row>
    <row r="91" spans="2:30" hidden="1">
      <c r="B91" s="563">
        <f t="shared" si="26"/>
        <v>55</v>
      </c>
      <c r="C91" s="563">
        <f t="shared" ca="1" si="27"/>
        <v>2076</v>
      </c>
      <c r="D91" s="505">
        <f t="shared" ca="1" si="33"/>
        <v>0</v>
      </c>
      <c r="E91" s="505">
        <f t="shared" ca="1" si="34"/>
        <v>0</v>
      </c>
      <c r="F91" s="505">
        <f t="shared" ca="1" si="35"/>
        <v>0</v>
      </c>
      <c r="G91" s="505">
        <f t="shared" ca="1" si="36"/>
        <v>0</v>
      </c>
      <c r="H91" s="505">
        <f t="shared" ca="1" si="37"/>
        <v>0</v>
      </c>
      <c r="I91" s="505"/>
      <c r="J91" s="505"/>
      <c r="K91" s="505">
        <f t="shared" ca="1" si="38"/>
        <v>0</v>
      </c>
      <c r="L91" s="505">
        <f t="shared" ca="1" si="39"/>
        <v>0</v>
      </c>
      <c r="M91" s="505">
        <f t="shared" ca="1" si="40"/>
        <v>0</v>
      </c>
      <c r="N91" s="505">
        <f t="shared" ca="1" si="41"/>
        <v>0</v>
      </c>
      <c r="O91" s="505">
        <f t="shared" ca="1" si="42"/>
        <v>0</v>
      </c>
      <c r="P91" s="563"/>
      <c r="Q91" s="505">
        <f t="shared" ca="1" si="43"/>
        <v>0</v>
      </c>
      <c r="R91" s="505">
        <f t="shared" ca="1" si="28"/>
        <v>0</v>
      </c>
      <c r="S91" s="505"/>
      <c r="T91" s="505"/>
      <c r="U91" s="505"/>
      <c r="V91" s="505">
        <f t="shared" ca="1" si="24"/>
        <v>0</v>
      </c>
      <c r="W91" s="505">
        <f t="shared" ca="1" si="29"/>
        <v>0</v>
      </c>
      <c r="X91" s="505">
        <f t="shared" ca="1" si="30"/>
        <v>0</v>
      </c>
      <c r="Y91" s="505">
        <f t="shared" ca="1" si="31"/>
        <v>0</v>
      </c>
      <c r="Z91" s="505"/>
      <c r="AA91" s="505">
        <f t="shared" ca="1" si="25"/>
        <v>0</v>
      </c>
      <c r="AB91" s="505">
        <f t="shared" ca="1" si="22"/>
        <v>0</v>
      </c>
      <c r="AC91" s="505">
        <f t="shared" ca="1" si="23"/>
        <v>0</v>
      </c>
      <c r="AD91" s="505">
        <f t="shared" ca="1" si="32"/>
        <v>0</v>
      </c>
    </row>
    <row r="92" spans="2:30" hidden="1">
      <c r="B92" s="564">
        <f t="shared" si="26"/>
        <v>56</v>
      </c>
      <c r="C92" s="564">
        <f t="shared" ca="1" si="27"/>
        <v>2077</v>
      </c>
      <c r="D92" s="513">
        <f t="shared" ca="1" si="33"/>
        <v>0</v>
      </c>
      <c r="E92" s="513">
        <f t="shared" ca="1" si="34"/>
        <v>0</v>
      </c>
      <c r="F92" s="513">
        <f t="shared" ca="1" si="35"/>
        <v>0</v>
      </c>
      <c r="G92" s="513">
        <f t="shared" ca="1" si="36"/>
        <v>0</v>
      </c>
      <c r="H92" s="513">
        <f t="shared" ca="1" si="37"/>
        <v>0</v>
      </c>
      <c r="I92" s="513"/>
      <c r="J92" s="513"/>
      <c r="K92" s="513">
        <f t="shared" ca="1" si="38"/>
        <v>0</v>
      </c>
      <c r="L92" s="513">
        <f t="shared" ca="1" si="39"/>
        <v>0</v>
      </c>
      <c r="M92" s="513">
        <f t="shared" ca="1" si="40"/>
        <v>0</v>
      </c>
      <c r="N92" s="513">
        <f t="shared" ca="1" si="41"/>
        <v>0</v>
      </c>
      <c r="O92" s="513">
        <f t="shared" ca="1" si="42"/>
        <v>0</v>
      </c>
      <c r="P92" s="564"/>
      <c r="Q92" s="513">
        <f t="shared" ca="1" si="43"/>
        <v>0</v>
      </c>
      <c r="R92" s="513">
        <f t="shared" ca="1" si="28"/>
        <v>0</v>
      </c>
      <c r="S92" s="505"/>
      <c r="T92" s="505"/>
      <c r="U92" s="513"/>
      <c r="V92" s="513">
        <f t="shared" ca="1" si="24"/>
        <v>0</v>
      </c>
      <c r="W92" s="513">
        <f t="shared" ca="1" si="29"/>
        <v>0</v>
      </c>
      <c r="X92" s="513">
        <f t="shared" ca="1" si="30"/>
        <v>0</v>
      </c>
      <c r="Y92" s="513">
        <f t="shared" ca="1" si="31"/>
        <v>0</v>
      </c>
      <c r="Z92" s="513"/>
      <c r="AA92" s="513">
        <f t="shared" ca="1" si="25"/>
        <v>0</v>
      </c>
      <c r="AB92" s="513">
        <f t="shared" ca="1" si="22"/>
        <v>0</v>
      </c>
      <c r="AC92" s="513">
        <f t="shared" ca="1" si="23"/>
        <v>0</v>
      </c>
      <c r="AD92" s="513">
        <f t="shared" ca="1" si="32"/>
        <v>0</v>
      </c>
    </row>
    <row r="93" spans="2:30" hidden="1">
      <c r="B93" s="563">
        <f t="shared" si="26"/>
        <v>57</v>
      </c>
      <c r="C93" s="563">
        <f t="shared" ca="1" si="27"/>
        <v>2078</v>
      </c>
      <c r="D93" s="505">
        <f t="shared" ca="1" si="33"/>
        <v>0</v>
      </c>
      <c r="E93" s="505">
        <f t="shared" ca="1" si="34"/>
        <v>0</v>
      </c>
      <c r="F93" s="505">
        <f t="shared" ca="1" si="35"/>
        <v>0</v>
      </c>
      <c r="G93" s="505">
        <f t="shared" ca="1" si="36"/>
        <v>0</v>
      </c>
      <c r="H93" s="505">
        <f t="shared" ca="1" si="37"/>
        <v>0</v>
      </c>
      <c r="I93" s="505"/>
      <c r="J93" s="505"/>
      <c r="K93" s="505">
        <f t="shared" ca="1" si="38"/>
        <v>0</v>
      </c>
      <c r="L93" s="505">
        <f t="shared" ca="1" si="39"/>
        <v>0</v>
      </c>
      <c r="M93" s="505">
        <f t="shared" ca="1" si="40"/>
        <v>0</v>
      </c>
      <c r="N93" s="505">
        <f t="shared" ca="1" si="41"/>
        <v>0</v>
      </c>
      <c r="O93" s="505">
        <f t="shared" ca="1" si="42"/>
        <v>0</v>
      </c>
      <c r="P93" s="563"/>
      <c r="Q93" s="505">
        <f t="shared" ca="1" si="43"/>
        <v>0</v>
      </c>
      <c r="R93" s="505">
        <f t="shared" ca="1" si="28"/>
        <v>0</v>
      </c>
      <c r="S93" s="505"/>
      <c r="T93" s="505"/>
      <c r="U93" s="505"/>
      <c r="V93" s="505">
        <f t="shared" ca="1" si="24"/>
        <v>0</v>
      </c>
      <c r="W93" s="505">
        <f t="shared" ca="1" si="29"/>
        <v>0</v>
      </c>
      <c r="X93" s="505">
        <f t="shared" ca="1" si="30"/>
        <v>0</v>
      </c>
      <c r="Y93" s="505">
        <f t="shared" ca="1" si="31"/>
        <v>0</v>
      </c>
      <c r="Z93" s="505"/>
      <c r="AA93" s="505">
        <f t="shared" ca="1" si="25"/>
        <v>0</v>
      </c>
      <c r="AB93" s="505">
        <f t="shared" ca="1" si="22"/>
        <v>0</v>
      </c>
      <c r="AC93" s="505">
        <f t="shared" ca="1" si="23"/>
        <v>0</v>
      </c>
      <c r="AD93" s="505">
        <f t="shared" ca="1" si="32"/>
        <v>0</v>
      </c>
    </row>
    <row r="94" spans="2:30" hidden="1">
      <c r="B94" s="564">
        <f t="shared" si="26"/>
        <v>58</v>
      </c>
      <c r="C94" s="564">
        <f t="shared" ca="1" si="27"/>
        <v>2079</v>
      </c>
      <c r="D94" s="513">
        <f t="shared" ca="1" si="33"/>
        <v>0</v>
      </c>
      <c r="E94" s="513">
        <f t="shared" ca="1" si="34"/>
        <v>0</v>
      </c>
      <c r="F94" s="513">
        <f t="shared" ca="1" si="35"/>
        <v>0</v>
      </c>
      <c r="G94" s="513">
        <f t="shared" ca="1" si="36"/>
        <v>0</v>
      </c>
      <c r="H94" s="513">
        <f t="shared" ca="1" si="37"/>
        <v>0</v>
      </c>
      <c r="I94" s="513"/>
      <c r="J94" s="513"/>
      <c r="K94" s="513">
        <f t="shared" ca="1" si="38"/>
        <v>0</v>
      </c>
      <c r="L94" s="513">
        <f t="shared" ca="1" si="39"/>
        <v>0</v>
      </c>
      <c r="M94" s="513">
        <f t="shared" ca="1" si="40"/>
        <v>0</v>
      </c>
      <c r="N94" s="513">
        <f t="shared" ca="1" si="41"/>
        <v>0</v>
      </c>
      <c r="O94" s="513">
        <f t="shared" ca="1" si="42"/>
        <v>0</v>
      </c>
      <c r="P94" s="564"/>
      <c r="Q94" s="513">
        <f t="shared" ca="1" si="43"/>
        <v>0</v>
      </c>
      <c r="R94" s="513">
        <f t="shared" ca="1" si="28"/>
        <v>0</v>
      </c>
      <c r="S94" s="505"/>
      <c r="T94" s="505"/>
      <c r="U94" s="513"/>
      <c r="V94" s="513">
        <f t="shared" ca="1" si="24"/>
        <v>0</v>
      </c>
      <c r="W94" s="513">
        <f t="shared" ca="1" si="29"/>
        <v>0</v>
      </c>
      <c r="X94" s="513">
        <f t="shared" ca="1" si="30"/>
        <v>0</v>
      </c>
      <c r="Y94" s="513">
        <f t="shared" ca="1" si="31"/>
        <v>0</v>
      </c>
      <c r="Z94" s="513"/>
      <c r="AA94" s="513">
        <f t="shared" ca="1" si="25"/>
        <v>0</v>
      </c>
      <c r="AB94" s="513">
        <f t="shared" ca="1" si="22"/>
        <v>0</v>
      </c>
      <c r="AC94" s="513">
        <f t="shared" ca="1" si="23"/>
        <v>0</v>
      </c>
      <c r="AD94" s="513">
        <f t="shared" ca="1" si="32"/>
        <v>0</v>
      </c>
    </row>
    <row r="95" spans="2:30" hidden="1">
      <c r="B95" s="563">
        <f t="shared" si="26"/>
        <v>59</v>
      </c>
      <c r="C95" s="563">
        <f t="shared" ca="1" si="27"/>
        <v>2080</v>
      </c>
      <c r="D95" s="505">
        <f t="shared" ca="1" si="33"/>
        <v>0</v>
      </c>
      <c r="E95" s="505">
        <f t="shared" ca="1" si="34"/>
        <v>0</v>
      </c>
      <c r="F95" s="505">
        <f t="shared" ca="1" si="35"/>
        <v>0</v>
      </c>
      <c r="G95" s="505">
        <f t="shared" ca="1" si="36"/>
        <v>0</v>
      </c>
      <c r="H95" s="505">
        <f t="shared" ca="1" si="37"/>
        <v>0</v>
      </c>
      <c r="I95" s="505"/>
      <c r="J95" s="505"/>
      <c r="K95" s="505">
        <f t="shared" ca="1" si="38"/>
        <v>0</v>
      </c>
      <c r="L95" s="505">
        <f t="shared" ca="1" si="39"/>
        <v>0</v>
      </c>
      <c r="M95" s="505">
        <f t="shared" ca="1" si="40"/>
        <v>0</v>
      </c>
      <c r="N95" s="505">
        <f t="shared" ca="1" si="41"/>
        <v>0</v>
      </c>
      <c r="O95" s="505">
        <f t="shared" ca="1" si="42"/>
        <v>0</v>
      </c>
      <c r="P95" s="563"/>
      <c r="Q95" s="505">
        <f t="shared" ca="1" si="43"/>
        <v>0</v>
      </c>
      <c r="R95" s="505">
        <f t="shared" ca="1" si="28"/>
        <v>0</v>
      </c>
      <c r="S95" s="505"/>
      <c r="T95" s="505"/>
      <c r="U95" s="505"/>
      <c r="V95" s="505">
        <f t="shared" ca="1" si="24"/>
        <v>0</v>
      </c>
      <c r="W95" s="505">
        <f t="shared" ca="1" si="29"/>
        <v>0</v>
      </c>
      <c r="X95" s="505">
        <f t="shared" ca="1" si="30"/>
        <v>0</v>
      </c>
      <c r="Y95" s="505">
        <f t="shared" ca="1" si="31"/>
        <v>0</v>
      </c>
      <c r="Z95" s="505"/>
      <c r="AA95" s="505">
        <f t="shared" ca="1" si="25"/>
        <v>0</v>
      </c>
      <c r="AB95" s="505">
        <f t="shared" ca="1" si="22"/>
        <v>0</v>
      </c>
      <c r="AC95" s="505">
        <f t="shared" ca="1" si="23"/>
        <v>0</v>
      </c>
      <c r="AD95" s="505">
        <f t="shared" ca="1" si="32"/>
        <v>0</v>
      </c>
    </row>
    <row r="96" spans="2:30" hidden="1">
      <c r="B96" s="564">
        <f t="shared" si="26"/>
        <v>60</v>
      </c>
      <c r="C96" s="564">
        <f t="shared" ca="1" si="27"/>
        <v>2081</v>
      </c>
      <c r="D96" s="513">
        <f t="shared" ca="1" si="33"/>
        <v>0</v>
      </c>
      <c r="E96" s="513">
        <f t="shared" ca="1" si="34"/>
        <v>0</v>
      </c>
      <c r="F96" s="513">
        <f t="shared" ca="1" si="35"/>
        <v>0</v>
      </c>
      <c r="G96" s="513">
        <f t="shared" ca="1" si="36"/>
        <v>0</v>
      </c>
      <c r="H96" s="513">
        <f t="shared" ca="1" si="37"/>
        <v>0</v>
      </c>
      <c r="I96" s="513"/>
      <c r="J96" s="513"/>
      <c r="K96" s="513">
        <f t="shared" ca="1" si="38"/>
        <v>0</v>
      </c>
      <c r="L96" s="513">
        <f t="shared" ca="1" si="39"/>
        <v>0</v>
      </c>
      <c r="M96" s="513">
        <f t="shared" ca="1" si="40"/>
        <v>0</v>
      </c>
      <c r="N96" s="513">
        <f t="shared" ca="1" si="41"/>
        <v>0</v>
      </c>
      <c r="O96" s="513">
        <f t="shared" ca="1" si="42"/>
        <v>0</v>
      </c>
      <c r="P96" s="564"/>
      <c r="Q96" s="513">
        <f t="shared" ca="1" si="43"/>
        <v>0</v>
      </c>
      <c r="R96" s="513">
        <f t="shared" ca="1" si="28"/>
        <v>0</v>
      </c>
      <c r="S96" s="505"/>
      <c r="T96" s="505"/>
      <c r="U96" s="513"/>
      <c r="V96" s="513">
        <f t="shared" ca="1" si="24"/>
        <v>0</v>
      </c>
      <c r="W96" s="513">
        <f t="shared" ca="1" si="29"/>
        <v>0</v>
      </c>
      <c r="X96" s="513">
        <f t="shared" ca="1" si="30"/>
        <v>0</v>
      </c>
      <c r="Y96" s="513">
        <f t="shared" ca="1" si="31"/>
        <v>0</v>
      </c>
      <c r="Z96" s="513"/>
      <c r="AA96" s="513">
        <f t="shared" ca="1" si="25"/>
        <v>0</v>
      </c>
      <c r="AB96" s="513">
        <f t="shared" ca="1" si="22"/>
        <v>0</v>
      </c>
      <c r="AC96" s="513">
        <f t="shared" ca="1" si="23"/>
        <v>0</v>
      </c>
      <c r="AD96" s="513">
        <f t="shared" ca="1" si="32"/>
        <v>0</v>
      </c>
    </row>
    <row r="97" spans="2:30" hidden="1">
      <c r="B97" s="563">
        <f t="shared" si="26"/>
        <v>61</v>
      </c>
      <c r="C97" s="563">
        <f t="shared" ca="1" si="27"/>
        <v>2082</v>
      </c>
      <c r="D97" s="505">
        <f t="shared" ca="1" si="33"/>
        <v>0</v>
      </c>
      <c r="E97" s="505">
        <f t="shared" ca="1" si="34"/>
        <v>0</v>
      </c>
      <c r="F97" s="505">
        <f t="shared" ca="1" si="35"/>
        <v>0</v>
      </c>
      <c r="G97" s="505">
        <f t="shared" ca="1" si="36"/>
        <v>0</v>
      </c>
      <c r="H97" s="505">
        <f t="shared" ca="1" si="37"/>
        <v>0</v>
      </c>
      <c r="I97" s="505"/>
      <c r="J97" s="505"/>
      <c r="K97" s="505">
        <f t="shared" ca="1" si="38"/>
        <v>0</v>
      </c>
      <c r="L97" s="505">
        <f t="shared" ca="1" si="39"/>
        <v>0</v>
      </c>
      <c r="M97" s="505">
        <f t="shared" ca="1" si="40"/>
        <v>0</v>
      </c>
      <c r="N97" s="505">
        <f t="shared" ca="1" si="41"/>
        <v>0</v>
      </c>
      <c r="O97" s="505">
        <f t="shared" ca="1" si="42"/>
        <v>0</v>
      </c>
      <c r="P97" s="563"/>
      <c r="Q97" s="505">
        <f t="shared" ca="1" si="43"/>
        <v>0</v>
      </c>
      <c r="R97" s="505">
        <f t="shared" ca="1" si="28"/>
        <v>0</v>
      </c>
      <c r="S97" s="505"/>
      <c r="T97" s="505"/>
      <c r="U97" s="505"/>
      <c r="V97" s="505">
        <f t="shared" ca="1" si="24"/>
        <v>0</v>
      </c>
      <c r="W97" s="505">
        <f t="shared" ca="1" si="29"/>
        <v>0</v>
      </c>
      <c r="X97" s="505">
        <f t="shared" ca="1" si="30"/>
        <v>0</v>
      </c>
      <c r="Y97" s="505">
        <f t="shared" ca="1" si="31"/>
        <v>0</v>
      </c>
      <c r="Z97" s="505"/>
      <c r="AA97" s="505">
        <f t="shared" ca="1" si="25"/>
        <v>0</v>
      </c>
      <c r="AB97" s="505">
        <f t="shared" ca="1" si="22"/>
        <v>0</v>
      </c>
      <c r="AC97" s="505">
        <f t="shared" ca="1" si="23"/>
        <v>0</v>
      </c>
      <c r="AD97" s="505">
        <f t="shared" ca="1" si="32"/>
        <v>0</v>
      </c>
    </row>
    <row r="98" spans="2:30" hidden="1">
      <c r="B98" s="564">
        <f t="shared" si="26"/>
        <v>62</v>
      </c>
      <c r="C98" s="564">
        <f t="shared" ca="1" si="27"/>
        <v>2083</v>
      </c>
      <c r="D98" s="513">
        <f t="shared" ca="1" si="33"/>
        <v>0</v>
      </c>
      <c r="E98" s="513">
        <f t="shared" ca="1" si="34"/>
        <v>0</v>
      </c>
      <c r="F98" s="513">
        <f t="shared" ca="1" si="35"/>
        <v>0</v>
      </c>
      <c r="G98" s="513">
        <f t="shared" ca="1" si="36"/>
        <v>0</v>
      </c>
      <c r="H98" s="513">
        <f t="shared" ca="1" si="37"/>
        <v>0</v>
      </c>
      <c r="I98" s="513"/>
      <c r="J98" s="513"/>
      <c r="K98" s="513">
        <f t="shared" ca="1" si="38"/>
        <v>0</v>
      </c>
      <c r="L98" s="513">
        <f t="shared" ca="1" si="39"/>
        <v>0</v>
      </c>
      <c r="M98" s="513">
        <f t="shared" ca="1" si="40"/>
        <v>0</v>
      </c>
      <c r="N98" s="513">
        <f t="shared" ca="1" si="41"/>
        <v>0</v>
      </c>
      <c r="O98" s="513">
        <f t="shared" ca="1" si="42"/>
        <v>0</v>
      </c>
      <c r="P98" s="564"/>
      <c r="Q98" s="513">
        <f t="shared" ca="1" si="43"/>
        <v>0</v>
      </c>
      <c r="R98" s="513">
        <f t="shared" ca="1" si="28"/>
        <v>0</v>
      </c>
      <c r="S98" s="505"/>
      <c r="T98" s="505"/>
      <c r="U98" s="513"/>
      <c r="V98" s="513">
        <f t="shared" ca="1" si="24"/>
        <v>0</v>
      </c>
      <c r="W98" s="513">
        <f t="shared" ca="1" si="29"/>
        <v>0</v>
      </c>
      <c r="X98" s="513">
        <f t="shared" ca="1" si="30"/>
        <v>0</v>
      </c>
      <c r="Y98" s="513">
        <f t="shared" ca="1" si="31"/>
        <v>0</v>
      </c>
      <c r="Z98" s="513"/>
      <c r="AA98" s="513">
        <f t="shared" ca="1" si="25"/>
        <v>0</v>
      </c>
      <c r="AB98" s="513">
        <f t="shared" ca="1" si="22"/>
        <v>0</v>
      </c>
      <c r="AC98" s="513">
        <f t="shared" ca="1" si="23"/>
        <v>0</v>
      </c>
      <c r="AD98" s="513">
        <f t="shared" ca="1" si="32"/>
        <v>0</v>
      </c>
    </row>
    <row r="99" spans="2:30" hidden="1">
      <c r="B99" s="563">
        <f t="shared" si="26"/>
        <v>63</v>
      </c>
      <c r="C99" s="563">
        <f t="shared" ca="1" si="27"/>
        <v>2084</v>
      </c>
      <c r="D99" s="505">
        <f t="shared" ca="1" si="33"/>
        <v>0</v>
      </c>
      <c r="E99" s="505">
        <f t="shared" ca="1" si="34"/>
        <v>0</v>
      </c>
      <c r="F99" s="505">
        <f t="shared" ca="1" si="35"/>
        <v>0</v>
      </c>
      <c r="G99" s="505">
        <f t="shared" ca="1" si="36"/>
        <v>0</v>
      </c>
      <c r="H99" s="505">
        <f t="shared" ca="1" si="37"/>
        <v>0</v>
      </c>
      <c r="I99" s="505"/>
      <c r="J99" s="505"/>
      <c r="K99" s="505">
        <f t="shared" ca="1" si="38"/>
        <v>0</v>
      </c>
      <c r="L99" s="505">
        <f t="shared" ca="1" si="39"/>
        <v>0</v>
      </c>
      <c r="M99" s="505">
        <f t="shared" ca="1" si="40"/>
        <v>0</v>
      </c>
      <c r="N99" s="505">
        <f t="shared" ca="1" si="41"/>
        <v>0</v>
      </c>
      <c r="O99" s="505">
        <f t="shared" ca="1" si="42"/>
        <v>0</v>
      </c>
      <c r="P99" s="563"/>
      <c r="Q99" s="505">
        <f t="shared" ca="1" si="43"/>
        <v>0</v>
      </c>
      <c r="R99" s="505">
        <f t="shared" ca="1" si="28"/>
        <v>0</v>
      </c>
      <c r="S99" s="505"/>
      <c r="T99" s="505"/>
      <c r="U99" s="505"/>
      <c r="V99" s="505">
        <f t="shared" ca="1" si="24"/>
        <v>0</v>
      </c>
      <c r="W99" s="505">
        <f t="shared" ca="1" si="29"/>
        <v>0</v>
      </c>
      <c r="X99" s="505">
        <f t="shared" ca="1" si="30"/>
        <v>0</v>
      </c>
      <c r="Y99" s="505">
        <f t="shared" ca="1" si="31"/>
        <v>0</v>
      </c>
      <c r="Z99" s="505"/>
      <c r="AA99" s="505">
        <f t="shared" ca="1" si="25"/>
        <v>0</v>
      </c>
      <c r="AB99" s="505">
        <f t="shared" ca="1" si="22"/>
        <v>0</v>
      </c>
      <c r="AC99" s="505">
        <f t="shared" ca="1" si="23"/>
        <v>0</v>
      </c>
      <c r="AD99" s="505">
        <f t="shared" ca="1" si="32"/>
        <v>0</v>
      </c>
    </row>
    <row r="100" spans="2:30" hidden="1">
      <c r="B100" s="564">
        <f t="shared" si="26"/>
        <v>64</v>
      </c>
      <c r="C100" s="564">
        <f t="shared" ca="1" si="27"/>
        <v>2085</v>
      </c>
      <c r="D100" s="513">
        <f t="shared" ca="1" si="33"/>
        <v>0</v>
      </c>
      <c r="E100" s="513">
        <f t="shared" ca="1" si="34"/>
        <v>0</v>
      </c>
      <c r="F100" s="513">
        <f t="shared" ca="1" si="35"/>
        <v>0</v>
      </c>
      <c r="G100" s="513">
        <f t="shared" ca="1" si="36"/>
        <v>0</v>
      </c>
      <c r="H100" s="513">
        <f t="shared" ca="1" si="37"/>
        <v>0</v>
      </c>
      <c r="I100" s="513"/>
      <c r="J100" s="513"/>
      <c r="K100" s="513">
        <f t="shared" ca="1" si="38"/>
        <v>0</v>
      </c>
      <c r="L100" s="513">
        <f t="shared" ca="1" si="39"/>
        <v>0</v>
      </c>
      <c r="M100" s="513">
        <f t="shared" ca="1" si="40"/>
        <v>0</v>
      </c>
      <c r="N100" s="513">
        <f t="shared" ca="1" si="41"/>
        <v>0</v>
      </c>
      <c r="O100" s="513">
        <f t="shared" ca="1" si="42"/>
        <v>0</v>
      </c>
      <c r="P100" s="564"/>
      <c r="Q100" s="513">
        <f t="shared" ca="1" si="43"/>
        <v>0</v>
      </c>
      <c r="R100" s="513">
        <f t="shared" ca="1" si="28"/>
        <v>0</v>
      </c>
      <c r="S100" s="505"/>
      <c r="T100" s="505"/>
      <c r="U100" s="513"/>
      <c r="V100" s="513">
        <f t="shared" ca="1" si="24"/>
        <v>0</v>
      </c>
      <c r="W100" s="513">
        <f t="shared" ca="1" si="29"/>
        <v>0</v>
      </c>
      <c r="X100" s="513">
        <f t="shared" ca="1" si="30"/>
        <v>0</v>
      </c>
      <c r="Y100" s="513">
        <f t="shared" ca="1" si="31"/>
        <v>0</v>
      </c>
      <c r="Z100" s="513"/>
      <c r="AA100" s="513">
        <f t="shared" ca="1" si="25"/>
        <v>0</v>
      </c>
      <c r="AB100" s="513">
        <f t="shared" ca="1" si="22"/>
        <v>0</v>
      </c>
      <c r="AC100" s="513">
        <f t="shared" ca="1" si="23"/>
        <v>0</v>
      </c>
      <c r="AD100" s="513">
        <f t="shared" ca="1" si="32"/>
        <v>0</v>
      </c>
    </row>
    <row r="101" spans="2:30" hidden="1">
      <c r="B101" s="563">
        <f t="shared" si="26"/>
        <v>65</v>
      </c>
      <c r="C101" s="563">
        <f t="shared" ca="1" si="27"/>
        <v>2086</v>
      </c>
      <c r="D101" s="505">
        <f t="shared" ca="1" si="33"/>
        <v>0</v>
      </c>
      <c r="E101" s="505">
        <f t="shared" ca="1" si="34"/>
        <v>0</v>
      </c>
      <c r="F101" s="505">
        <f t="shared" ca="1" si="35"/>
        <v>0</v>
      </c>
      <c r="G101" s="505">
        <f t="shared" ca="1" si="36"/>
        <v>0</v>
      </c>
      <c r="H101" s="505">
        <f t="shared" ca="1" si="37"/>
        <v>0</v>
      </c>
      <c r="I101" s="505"/>
      <c r="J101" s="505"/>
      <c r="K101" s="505">
        <f t="shared" ca="1" si="38"/>
        <v>0</v>
      </c>
      <c r="L101" s="505">
        <f t="shared" ca="1" si="39"/>
        <v>0</v>
      </c>
      <c r="M101" s="505">
        <f t="shared" ca="1" si="40"/>
        <v>0</v>
      </c>
      <c r="N101" s="505">
        <f t="shared" ca="1" si="41"/>
        <v>0</v>
      </c>
      <c r="O101" s="505">
        <f t="shared" ca="1" si="42"/>
        <v>0</v>
      </c>
      <c r="P101" s="563"/>
      <c r="Q101" s="505">
        <f t="shared" ca="1" si="43"/>
        <v>0</v>
      </c>
      <c r="R101" s="505">
        <f t="shared" ref="R101:R126" ca="1" si="44">D101+K101</f>
        <v>0</v>
      </c>
      <c r="S101" s="505"/>
      <c r="T101" s="505"/>
      <c r="U101" s="505"/>
      <c r="V101" s="505">
        <f t="shared" ca="1" si="24"/>
        <v>0</v>
      </c>
      <c r="W101" s="505">
        <f t="shared" ref="W101:W132" ca="1" si="45">IF(V101&gt;0,V101*$R$29,0)</f>
        <v>0</v>
      </c>
      <c r="X101" s="505">
        <f t="shared" ref="X101:X132" ca="1" si="46">IF(V101&gt;0,V101*$R$30,0)</f>
        <v>0</v>
      </c>
      <c r="Y101" s="505">
        <f t="shared" ref="Y101:Y132" ca="1" si="47">IF(V101&gt;0,V101-(W101+X101),0)</f>
        <v>0</v>
      </c>
      <c r="Z101" s="505"/>
      <c r="AA101" s="505">
        <f t="shared" ca="1" si="25"/>
        <v>0</v>
      </c>
      <c r="AB101" s="505">
        <f t="shared" ca="1" si="22"/>
        <v>0</v>
      </c>
      <c r="AC101" s="505">
        <f t="shared" ca="1" si="23"/>
        <v>0</v>
      </c>
      <c r="AD101" s="505">
        <f t="shared" ref="AD101:AD132" ca="1" si="48">IF(AA101&gt;0,AA101-(AB101+AC101),0)</f>
        <v>0</v>
      </c>
    </row>
    <row r="102" spans="2:30" hidden="1">
      <c r="B102" s="564">
        <f t="shared" si="26"/>
        <v>66</v>
      </c>
      <c r="C102" s="564">
        <f t="shared" ca="1" si="27"/>
        <v>2087</v>
      </c>
      <c r="D102" s="513">
        <f t="shared" ca="1" si="33"/>
        <v>0</v>
      </c>
      <c r="E102" s="513">
        <f t="shared" ca="1" si="34"/>
        <v>0</v>
      </c>
      <c r="F102" s="513">
        <f t="shared" ca="1" si="35"/>
        <v>0</v>
      </c>
      <c r="G102" s="513">
        <f t="shared" ca="1" si="36"/>
        <v>0</v>
      </c>
      <c r="H102" s="513">
        <f t="shared" ca="1" si="37"/>
        <v>0</v>
      </c>
      <c r="I102" s="513"/>
      <c r="J102" s="513"/>
      <c r="K102" s="513">
        <f t="shared" ca="1" si="38"/>
        <v>0</v>
      </c>
      <c r="L102" s="513">
        <f t="shared" ca="1" si="39"/>
        <v>0</v>
      </c>
      <c r="M102" s="513">
        <f t="shared" ca="1" si="40"/>
        <v>0</v>
      </c>
      <c r="N102" s="513">
        <f t="shared" ca="1" si="41"/>
        <v>0</v>
      </c>
      <c r="O102" s="513">
        <f t="shared" ca="1" si="42"/>
        <v>0</v>
      </c>
      <c r="P102" s="564"/>
      <c r="Q102" s="513">
        <f t="shared" ca="1" si="43"/>
        <v>0</v>
      </c>
      <c r="R102" s="513">
        <f t="shared" ca="1" si="44"/>
        <v>0</v>
      </c>
      <c r="S102" s="505"/>
      <c r="T102" s="505"/>
      <c r="U102" s="513"/>
      <c r="V102" s="513">
        <f t="shared" ca="1" si="24"/>
        <v>0</v>
      </c>
      <c r="W102" s="513">
        <f t="shared" ca="1" si="45"/>
        <v>0</v>
      </c>
      <c r="X102" s="513">
        <f t="shared" ca="1" si="46"/>
        <v>0</v>
      </c>
      <c r="Y102" s="513">
        <f t="shared" ca="1" si="47"/>
        <v>0</v>
      </c>
      <c r="Z102" s="513"/>
      <c r="AA102" s="513">
        <f t="shared" ca="1" si="25"/>
        <v>0</v>
      </c>
      <c r="AB102" s="513">
        <f t="shared" ca="1" si="22"/>
        <v>0</v>
      </c>
      <c r="AC102" s="513">
        <f t="shared" ca="1" si="23"/>
        <v>0</v>
      </c>
      <c r="AD102" s="513">
        <f t="shared" ca="1" si="48"/>
        <v>0</v>
      </c>
    </row>
    <row r="103" spans="2:30" hidden="1">
      <c r="B103" s="563">
        <f t="shared" si="26"/>
        <v>67</v>
      </c>
      <c r="C103" s="563">
        <f t="shared" ca="1" si="27"/>
        <v>2088</v>
      </c>
      <c r="D103" s="505">
        <f t="shared" ca="1" si="33"/>
        <v>0</v>
      </c>
      <c r="E103" s="505">
        <f t="shared" ca="1" si="34"/>
        <v>0</v>
      </c>
      <c r="F103" s="505">
        <f t="shared" ca="1" si="35"/>
        <v>0</v>
      </c>
      <c r="G103" s="505">
        <f t="shared" ca="1" si="36"/>
        <v>0</v>
      </c>
      <c r="H103" s="505">
        <f t="shared" ca="1" si="37"/>
        <v>0</v>
      </c>
      <c r="I103" s="505"/>
      <c r="J103" s="505"/>
      <c r="K103" s="505">
        <f t="shared" ca="1" si="38"/>
        <v>0</v>
      </c>
      <c r="L103" s="505">
        <f t="shared" ca="1" si="39"/>
        <v>0</v>
      </c>
      <c r="M103" s="505">
        <f t="shared" ca="1" si="40"/>
        <v>0</v>
      </c>
      <c r="N103" s="505">
        <f t="shared" ca="1" si="41"/>
        <v>0</v>
      </c>
      <c r="O103" s="505">
        <f t="shared" ca="1" si="42"/>
        <v>0</v>
      </c>
      <c r="P103" s="563"/>
      <c r="Q103" s="505">
        <f t="shared" ca="1" si="43"/>
        <v>0</v>
      </c>
      <c r="R103" s="505">
        <f t="shared" ca="1" si="44"/>
        <v>0</v>
      </c>
      <c r="S103" s="505"/>
      <c r="T103" s="505"/>
      <c r="U103" s="505"/>
      <c r="V103" s="505">
        <f t="shared" ca="1" si="24"/>
        <v>0</v>
      </c>
      <c r="W103" s="505">
        <f t="shared" ca="1" si="45"/>
        <v>0</v>
      </c>
      <c r="X103" s="505">
        <f t="shared" ca="1" si="46"/>
        <v>0</v>
      </c>
      <c r="Y103" s="505">
        <f t="shared" ca="1" si="47"/>
        <v>0</v>
      </c>
      <c r="Z103" s="505"/>
      <c r="AA103" s="505">
        <f t="shared" ca="1" si="25"/>
        <v>0</v>
      </c>
      <c r="AB103" s="505">
        <f t="shared" ca="1" si="22"/>
        <v>0</v>
      </c>
      <c r="AC103" s="505">
        <f t="shared" ca="1" si="23"/>
        <v>0</v>
      </c>
      <c r="AD103" s="505">
        <f t="shared" ca="1" si="48"/>
        <v>0</v>
      </c>
    </row>
    <row r="104" spans="2:30" hidden="1">
      <c r="B104" s="564">
        <f t="shared" si="26"/>
        <v>68</v>
      </c>
      <c r="C104" s="564">
        <f t="shared" ca="1" si="27"/>
        <v>2089</v>
      </c>
      <c r="D104" s="513">
        <f t="shared" ca="1" si="33"/>
        <v>0</v>
      </c>
      <c r="E104" s="513">
        <f t="shared" ca="1" si="34"/>
        <v>0</v>
      </c>
      <c r="F104" s="513">
        <f t="shared" ca="1" si="35"/>
        <v>0</v>
      </c>
      <c r="G104" s="513">
        <f t="shared" ca="1" si="36"/>
        <v>0</v>
      </c>
      <c r="H104" s="513">
        <f t="shared" ca="1" si="37"/>
        <v>0</v>
      </c>
      <c r="I104" s="513"/>
      <c r="J104" s="513"/>
      <c r="K104" s="513">
        <f t="shared" ca="1" si="38"/>
        <v>0</v>
      </c>
      <c r="L104" s="513">
        <f t="shared" ca="1" si="39"/>
        <v>0</v>
      </c>
      <c r="M104" s="513">
        <f t="shared" ca="1" si="40"/>
        <v>0</v>
      </c>
      <c r="N104" s="513">
        <f t="shared" ca="1" si="41"/>
        <v>0</v>
      </c>
      <c r="O104" s="513">
        <f t="shared" ca="1" si="42"/>
        <v>0</v>
      </c>
      <c r="P104" s="564"/>
      <c r="Q104" s="513">
        <f t="shared" ca="1" si="43"/>
        <v>0</v>
      </c>
      <c r="R104" s="513">
        <f t="shared" ca="1" si="44"/>
        <v>0</v>
      </c>
      <c r="S104" s="505"/>
      <c r="T104" s="505"/>
      <c r="U104" s="513"/>
      <c r="V104" s="513">
        <f t="shared" ca="1" si="24"/>
        <v>0</v>
      </c>
      <c r="W104" s="513">
        <f t="shared" ca="1" si="45"/>
        <v>0</v>
      </c>
      <c r="X104" s="513">
        <f t="shared" ca="1" si="46"/>
        <v>0</v>
      </c>
      <c r="Y104" s="513">
        <f t="shared" ca="1" si="47"/>
        <v>0</v>
      </c>
      <c r="Z104" s="513"/>
      <c r="AA104" s="513">
        <f t="shared" ca="1" si="25"/>
        <v>0</v>
      </c>
      <c r="AB104" s="513">
        <f t="shared" ca="1" si="22"/>
        <v>0</v>
      </c>
      <c r="AC104" s="513">
        <f t="shared" ca="1" si="23"/>
        <v>0</v>
      </c>
      <c r="AD104" s="513">
        <f t="shared" ca="1" si="48"/>
        <v>0</v>
      </c>
    </row>
    <row r="105" spans="2:30" hidden="1">
      <c r="B105" s="563">
        <f t="shared" si="26"/>
        <v>69</v>
      </c>
      <c r="C105" s="563">
        <f t="shared" ca="1" si="27"/>
        <v>2090</v>
      </c>
      <c r="D105" s="505">
        <f t="shared" ca="1" si="33"/>
        <v>0</v>
      </c>
      <c r="E105" s="505">
        <f t="shared" ca="1" si="34"/>
        <v>0</v>
      </c>
      <c r="F105" s="505">
        <f t="shared" ca="1" si="35"/>
        <v>0</v>
      </c>
      <c r="G105" s="505">
        <f t="shared" ca="1" si="36"/>
        <v>0</v>
      </c>
      <c r="H105" s="505">
        <f t="shared" ca="1" si="37"/>
        <v>0</v>
      </c>
      <c r="I105" s="505"/>
      <c r="J105" s="505"/>
      <c r="K105" s="505">
        <f t="shared" ca="1" si="38"/>
        <v>0</v>
      </c>
      <c r="L105" s="505">
        <f t="shared" ca="1" si="39"/>
        <v>0</v>
      </c>
      <c r="M105" s="505">
        <f t="shared" ca="1" si="40"/>
        <v>0</v>
      </c>
      <c r="N105" s="505">
        <f t="shared" ca="1" si="41"/>
        <v>0</v>
      </c>
      <c r="O105" s="505">
        <f t="shared" ca="1" si="42"/>
        <v>0</v>
      </c>
      <c r="P105" s="563"/>
      <c r="Q105" s="505">
        <f t="shared" ca="1" si="43"/>
        <v>0</v>
      </c>
      <c r="R105" s="505">
        <f t="shared" ca="1" si="44"/>
        <v>0</v>
      </c>
      <c r="S105" s="505"/>
      <c r="T105" s="505"/>
      <c r="U105" s="505"/>
      <c r="V105" s="505">
        <f t="shared" ca="1" si="24"/>
        <v>0</v>
      </c>
      <c r="W105" s="505">
        <f t="shared" ca="1" si="45"/>
        <v>0</v>
      </c>
      <c r="X105" s="505">
        <f t="shared" ca="1" si="46"/>
        <v>0</v>
      </c>
      <c r="Y105" s="505">
        <f t="shared" ca="1" si="47"/>
        <v>0</v>
      </c>
      <c r="Z105" s="505"/>
      <c r="AA105" s="505">
        <f t="shared" ca="1" si="25"/>
        <v>0</v>
      </c>
      <c r="AB105" s="505">
        <f t="shared" ca="1" si="22"/>
        <v>0</v>
      </c>
      <c r="AC105" s="505">
        <f t="shared" ca="1" si="23"/>
        <v>0</v>
      </c>
      <c r="AD105" s="505">
        <f t="shared" ca="1" si="48"/>
        <v>0</v>
      </c>
    </row>
    <row r="106" spans="2:30" hidden="1">
      <c r="B106" s="564">
        <f t="shared" si="26"/>
        <v>70</v>
      </c>
      <c r="C106" s="564">
        <f t="shared" ca="1" si="27"/>
        <v>2091</v>
      </c>
      <c r="D106" s="513">
        <f t="shared" ca="1" si="33"/>
        <v>0</v>
      </c>
      <c r="E106" s="513">
        <f t="shared" ca="1" si="34"/>
        <v>0</v>
      </c>
      <c r="F106" s="513">
        <f t="shared" ca="1" si="35"/>
        <v>0</v>
      </c>
      <c r="G106" s="513">
        <f t="shared" ca="1" si="36"/>
        <v>0</v>
      </c>
      <c r="H106" s="513">
        <f t="shared" ca="1" si="37"/>
        <v>0</v>
      </c>
      <c r="I106" s="513"/>
      <c r="J106" s="513"/>
      <c r="K106" s="513">
        <f t="shared" ca="1" si="38"/>
        <v>0</v>
      </c>
      <c r="L106" s="513">
        <f t="shared" ca="1" si="39"/>
        <v>0</v>
      </c>
      <c r="M106" s="513">
        <f t="shared" ca="1" si="40"/>
        <v>0</v>
      </c>
      <c r="N106" s="513">
        <f t="shared" ca="1" si="41"/>
        <v>0</v>
      </c>
      <c r="O106" s="513">
        <f t="shared" ca="1" si="42"/>
        <v>0</v>
      </c>
      <c r="P106" s="564"/>
      <c r="Q106" s="513">
        <f t="shared" ca="1" si="43"/>
        <v>0</v>
      </c>
      <c r="R106" s="513">
        <f t="shared" ca="1" si="44"/>
        <v>0</v>
      </c>
      <c r="S106" s="505"/>
      <c r="T106" s="505"/>
      <c r="U106" s="513"/>
      <c r="V106" s="513">
        <f t="shared" ca="1" si="24"/>
        <v>0</v>
      </c>
      <c r="W106" s="513">
        <f t="shared" ca="1" si="45"/>
        <v>0</v>
      </c>
      <c r="X106" s="513">
        <f t="shared" ca="1" si="46"/>
        <v>0</v>
      </c>
      <c r="Y106" s="513">
        <f t="shared" ca="1" si="47"/>
        <v>0</v>
      </c>
      <c r="Z106" s="513"/>
      <c r="AA106" s="513">
        <f t="shared" ca="1" si="25"/>
        <v>0</v>
      </c>
      <c r="AB106" s="513">
        <f t="shared" ca="1" si="22"/>
        <v>0</v>
      </c>
      <c r="AC106" s="513">
        <f t="shared" ca="1" si="23"/>
        <v>0</v>
      </c>
      <c r="AD106" s="513">
        <f t="shared" ca="1" si="48"/>
        <v>0</v>
      </c>
    </row>
    <row r="107" spans="2:30" hidden="1">
      <c r="B107" s="563">
        <f t="shared" si="26"/>
        <v>71</v>
      </c>
      <c r="C107" s="563">
        <f t="shared" ca="1" si="27"/>
        <v>2092</v>
      </c>
      <c r="D107" s="505">
        <f t="shared" ca="1" si="33"/>
        <v>0</v>
      </c>
      <c r="E107" s="505">
        <f t="shared" ca="1" si="34"/>
        <v>0</v>
      </c>
      <c r="F107" s="505">
        <f t="shared" ca="1" si="35"/>
        <v>0</v>
      </c>
      <c r="G107" s="505">
        <f t="shared" ca="1" si="36"/>
        <v>0</v>
      </c>
      <c r="H107" s="505">
        <f t="shared" ca="1" si="37"/>
        <v>0</v>
      </c>
      <c r="I107" s="505"/>
      <c r="J107" s="505"/>
      <c r="K107" s="505">
        <f t="shared" ca="1" si="38"/>
        <v>0</v>
      </c>
      <c r="L107" s="505">
        <f t="shared" ca="1" si="39"/>
        <v>0</v>
      </c>
      <c r="M107" s="505">
        <f t="shared" ca="1" si="40"/>
        <v>0</v>
      </c>
      <c r="N107" s="505">
        <f t="shared" ca="1" si="41"/>
        <v>0</v>
      </c>
      <c r="O107" s="505">
        <f t="shared" ca="1" si="42"/>
        <v>0</v>
      </c>
      <c r="P107" s="563"/>
      <c r="Q107" s="505">
        <f t="shared" ca="1" si="43"/>
        <v>0</v>
      </c>
      <c r="R107" s="505">
        <f t="shared" ca="1" si="44"/>
        <v>0</v>
      </c>
      <c r="S107" s="505"/>
      <c r="T107" s="505"/>
      <c r="U107" s="505"/>
      <c r="V107" s="505">
        <f t="shared" ca="1" si="24"/>
        <v>0</v>
      </c>
      <c r="W107" s="505">
        <f t="shared" ca="1" si="45"/>
        <v>0</v>
      </c>
      <c r="X107" s="505">
        <f t="shared" ca="1" si="46"/>
        <v>0</v>
      </c>
      <c r="Y107" s="505">
        <f t="shared" ca="1" si="47"/>
        <v>0</v>
      </c>
      <c r="Z107" s="505"/>
      <c r="AA107" s="505">
        <f t="shared" ca="1" si="25"/>
        <v>0</v>
      </c>
      <c r="AB107" s="505">
        <f t="shared" ca="1" si="22"/>
        <v>0</v>
      </c>
      <c r="AC107" s="505">
        <f t="shared" ca="1" si="23"/>
        <v>0</v>
      </c>
      <c r="AD107" s="505">
        <f t="shared" ca="1" si="48"/>
        <v>0</v>
      </c>
    </row>
    <row r="108" spans="2:30" hidden="1">
      <c r="B108" s="564">
        <f t="shared" si="26"/>
        <v>72</v>
      </c>
      <c r="C108" s="564">
        <f t="shared" ca="1" si="27"/>
        <v>2093</v>
      </c>
      <c r="D108" s="513">
        <f t="shared" ca="1" si="33"/>
        <v>0</v>
      </c>
      <c r="E108" s="513">
        <f t="shared" ca="1" si="34"/>
        <v>0</v>
      </c>
      <c r="F108" s="513">
        <f t="shared" ca="1" si="35"/>
        <v>0</v>
      </c>
      <c r="G108" s="513">
        <f t="shared" ca="1" si="36"/>
        <v>0</v>
      </c>
      <c r="H108" s="513">
        <f t="shared" ca="1" si="37"/>
        <v>0</v>
      </c>
      <c r="I108" s="513"/>
      <c r="J108" s="513"/>
      <c r="K108" s="513">
        <f t="shared" ca="1" si="38"/>
        <v>0</v>
      </c>
      <c r="L108" s="513">
        <f t="shared" ca="1" si="39"/>
        <v>0</v>
      </c>
      <c r="M108" s="513">
        <f t="shared" ca="1" si="40"/>
        <v>0</v>
      </c>
      <c r="N108" s="513">
        <f t="shared" ca="1" si="41"/>
        <v>0</v>
      </c>
      <c r="O108" s="513">
        <f t="shared" ca="1" si="42"/>
        <v>0</v>
      </c>
      <c r="P108" s="564"/>
      <c r="Q108" s="513">
        <f t="shared" ca="1" si="43"/>
        <v>0</v>
      </c>
      <c r="R108" s="513">
        <f t="shared" ca="1" si="44"/>
        <v>0</v>
      </c>
      <c r="S108" s="505"/>
      <c r="T108" s="505"/>
      <c r="U108" s="513"/>
      <c r="V108" s="513">
        <f t="shared" ca="1" si="24"/>
        <v>0</v>
      </c>
      <c r="W108" s="513">
        <f t="shared" ca="1" si="45"/>
        <v>0</v>
      </c>
      <c r="X108" s="513">
        <f t="shared" ca="1" si="46"/>
        <v>0</v>
      </c>
      <c r="Y108" s="513">
        <f t="shared" ca="1" si="47"/>
        <v>0</v>
      </c>
      <c r="Z108" s="513"/>
      <c r="AA108" s="513">
        <f t="shared" ca="1" si="25"/>
        <v>0</v>
      </c>
      <c r="AB108" s="513">
        <f t="shared" ca="1" si="22"/>
        <v>0</v>
      </c>
      <c r="AC108" s="513">
        <f t="shared" ca="1" si="23"/>
        <v>0</v>
      </c>
      <c r="AD108" s="513">
        <f t="shared" ca="1" si="48"/>
        <v>0</v>
      </c>
    </row>
    <row r="109" spans="2:30" hidden="1">
      <c r="B109" s="563">
        <f t="shared" si="26"/>
        <v>73</v>
      </c>
      <c r="C109" s="563">
        <f t="shared" ca="1" si="27"/>
        <v>2094</v>
      </c>
      <c r="D109" s="505">
        <f t="shared" ca="1" si="33"/>
        <v>0</v>
      </c>
      <c r="E109" s="505">
        <f t="shared" ca="1" si="34"/>
        <v>0</v>
      </c>
      <c r="F109" s="505">
        <f t="shared" ca="1" si="35"/>
        <v>0</v>
      </c>
      <c r="G109" s="505">
        <f t="shared" ca="1" si="36"/>
        <v>0</v>
      </c>
      <c r="H109" s="505">
        <f t="shared" ca="1" si="37"/>
        <v>0</v>
      </c>
      <c r="I109" s="505"/>
      <c r="J109" s="505"/>
      <c r="K109" s="505">
        <f t="shared" ca="1" si="38"/>
        <v>0</v>
      </c>
      <c r="L109" s="505">
        <f t="shared" ca="1" si="39"/>
        <v>0</v>
      </c>
      <c r="M109" s="505">
        <f t="shared" ca="1" si="40"/>
        <v>0</v>
      </c>
      <c r="N109" s="505">
        <f t="shared" ca="1" si="41"/>
        <v>0</v>
      </c>
      <c r="O109" s="505">
        <f t="shared" ca="1" si="42"/>
        <v>0</v>
      </c>
      <c r="P109" s="563"/>
      <c r="Q109" s="505">
        <f t="shared" ca="1" si="43"/>
        <v>0</v>
      </c>
      <c r="R109" s="505">
        <f t="shared" ca="1" si="44"/>
        <v>0</v>
      </c>
      <c r="S109" s="505"/>
      <c r="T109" s="505"/>
      <c r="U109" s="505"/>
      <c r="V109" s="505">
        <f t="shared" ca="1" si="24"/>
        <v>0</v>
      </c>
      <c r="W109" s="505">
        <f t="shared" ca="1" si="45"/>
        <v>0</v>
      </c>
      <c r="X109" s="505">
        <f t="shared" ca="1" si="46"/>
        <v>0</v>
      </c>
      <c r="Y109" s="505">
        <f t="shared" ca="1" si="47"/>
        <v>0</v>
      </c>
      <c r="Z109" s="505"/>
      <c r="AA109" s="505">
        <f t="shared" ca="1" si="25"/>
        <v>0</v>
      </c>
      <c r="AB109" s="505">
        <f t="shared" ca="1" si="22"/>
        <v>0</v>
      </c>
      <c r="AC109" s="505">
        <f t="shared" ca="1" si="23"/>
        <v>0</v>
      </c>
      <c r="AD109" s="505">
        <f t="shared" ca="1" si="48"/>
        <v>0</v>
      </c>
    </row>
    <row r="110" spans="2:30" hidden="1">
      <c r="B110" s="564">
        <f t="shared" si="26"/>
        <v>74</v>
      </c>
      <c r="C110" s="564">
        <f t="shared" ca="1" si="27"/>
        <v>2095</v>
      </c>
      <c r="D110" s="513">
        <f t="shared" ca="1" si="33"/>
        <v>0</v>
      </c>
      <c r="E110" s="513">
        <f t="shared" ca="1" si="34"/>
        <v>0</v>
      </c>
      <c r="F110" s="513">
        <f t="shared" ca="1" si="35"/>
        <v>0</v>
      </c>
      <c r="G110" s="513">
        <f t="shared" ca="1" si="36"/>
        <v>0</v>
      </c>
      <c r="H110" s="513">
        <f t="shared" ca="1" si="37"/>
        <v>0</v>
      </c>
      <c r="I110" s="513"/>
      <c r="J110" s="513"/>
      <c r="K110" s="513">
        <f t="shared" ca="1" si="38"/>
        <v>0</v>
      </c>
      <c r="L110" s="513">
        <f t="shared" ca="1" si="39"/>
        <v>0</v>
      </c>
      <c r="M110" s="513">
        <f t="shared" ca="1" si="40"/>
        <v>0</v>
      </c>
      <c r="N110" s="513">
        <f t="shared" ca="1" si="41"/>
        <v>0</v>
      </c>
      <c r="O110" s="513">
        <f t="shared" ca="1" si="42"/>
        <v>0</v>
      </c>
      <c r="P110" s="564"/>
      <c r="Q110" s="513">
        <f t="shared" ca="1" si="43"/>
        <v>0</v>
      </c>
      <c r="R110" s="513">
        <f t="shared" ca="1" si="44"/>
        <v>0</v>
      </c>
      <c r="S110" s="505"/>
      <c r="T110" s="505"/>
      <c r="U110" s="513"/>
      <c r="V110" s="513">
        <f t="shared" ca="1" si="24"/>
        <v>0</v>
      </c>
      <c r="W110" s="513">
        <f t="shared" ca="1" si="45"/>
        <v>0</v>
      </c>
      <c r="X110" s="513">
        <f t="shared" ca="1" si="46"/>
        <v>0</v>
      </c>
      <c r="Y110" s="513">
        <f t="shared" ca="1" si="47"/>
        <v>0</v>
      </c>
      <c r="Z110" s="513"/>
      <c r="AA110" s="513">
        <f t="shared" ca="1" si="25"/>
        <v>0</v>
      </c>
      <c r="AB110" s="513">
        <f t="shared" ca="1" si="22"/>
        <v>0</v>
      </c>
      <c r="AC110" s="513">
        <f t="shared" ca="1" si="23"/>
        <v>0</v>
      </c>
      <c r="AD110" s="513">
        <f t="shared" ca="1" si="48"/>
        <v>0</v>
      </c>
    </row>
    <row r="111" spans="2:30" hidden="1">
      <c r="B111" s="563">
        <f t="shared" si="26"/>
        <v>75</v>
      </c>
      <c r="C111" s="563">
        <f t="shared" ca="1" si="27"/>
        <v>2096</v>
      </c>
      <c r="D111" s="505">
        <f t="shared" ca="1" si="33"/>
        <v>0</v>
      </c>
      <c r="E111" s="505">
        <f t="shared" ca="1" si="34"/>
        <v>0</v>
      </c>
      <c r="F111" s="505">
        <f t="shared" ca="1" si="35"/>
        <v>0</v>
      </c>
      <c r="G111" s="505">
        <f t="shared" ca="1" si="36"/>
        <v>0</v>
      </c>
      <c r="H111" s="505">
        <f t="shared" ca="1" si="37"/>
        <v>0</v>
      </c>
      <c r="I111" s="505"/>
      <c r="J111" s="505"/>
      <c r="K111" s="505">
        <f t="shared" ca="1" si="38"/>
        <v>0</v>
      </c>
      <c r="L111" s="505">
        <f t="shared" ca="1" si="39"/>
        <v>0</v>
      </c>
      <c r="M111" s="505">
        <f t="shared" ca="1" si="40"/>
        <v>0</v>
      </c>
      <c r="N111" s="505">
        <f t="shared" ca="1" si="41"/>
        <v>0</v>
      </c>
      <c r="O111" s="505">
        <f t="shared" ca="1" si="42"/>
        <v>0</v>
      </c>
      <c r="P111" s="563"/>
      <c r="Q111" s="505">
        <f t="shared" ca="1" si="43"/>
        <v>0</v>
      </c>
      <c r="R111" s="505">
        <f t="shared" ca="1" si="44"/>
        <v>0</v>
      </c>
      <c r="S111" s="505"/>
      <c r="T111" s="505"/>
      <c r="U111" s="505"/>
      <c r="V111" s="505">
        <f t="shared" ca="1" si="24"/>
        <v>0</v>
      </c>
      <c r="W111" s="505">
        <f t="shared" ca="1" si="45"/>
        <v>0</v>
      </c>
      <c r="X111" s="505">
        <f t="shared" ca="1" si="46"/>
        <v>0</v>
      </c>
      <c r="Y111" s="505">
        <f t="shared" ca="1" si="47"/>
        <v>0</v>
      </c>
      <c r="Z111" s="505"/>
      <c r="AA111" s="505">
        <f t="shared" ca="1" si="25"/>
        <v>0</v>
      </c>
      <c r="AB111" s="505">
        <f t="shared" ca="1" si="22"/>
        <v>0</v>
      </c>
      <c r="AC111" s="505">
        <f t="shared" ca="1" si="23"/>
        <v>0</v>
      </c>
      <c r="AD111" s="505">
        <f t="shared" ca="1" si="48"/>
        <v>0</v>
      </c>
    </row>
    <row r="112" spans="2:30" hidden="1">
      <c r="B112" s="564">
        <f t="shared" si="26"/>
        <v>76</v>
      </c>
      <c r="C112" s="564">
        <f t="shared" ca="1" si="27"/>
        <v>2097</v>
      </c>
      <c r="D112" s="513">
        <f t="shared" ca="1" si="33"/>
        <v>0</v>
      </c>
      <c r="E112" s="513">
        <f t="shared" ca="1" si="34"/>
        <v>0</v>
      </c>
      <c r="F112" s="513">
        <f t="shared" ca="1" si="35"/>
        <v>0</v>
      </c>
      <c r="G112" s="513">
        <f t="shared" ca="1" si="36"/>
        <v>0</v>
      </c>
      <c r="H112" s="513">
        <f t="shared" ca="1" si="37"/>
        <v>0</v>
      </c>
      <c r="I112" s="513"/>
      <c r="J112" s="513"/>
      <c r="K112" s="513">
        <f t="shared" ca="1" si="38"/>
        <v>0</v>
      </c>
      <c r="L112" s="513">
        <f t="shared" ca="1" si="39"/>
        <v>0</v>
      </c>
      <c r="M112" s="513">
        <f t="shared" ca="1" si="40"/>
        <v>0</v>
      </c>
      <c r="N112" s="513">
        <f t="shared" ca="1" si="41"/>
        <v>0</v>
      </c>
      <c r="O112" s="513">
        <f t="shared" ca="1" si="42"/>
        <v>0</v>
      </c>
      <c r="P112" s="564"/>
      <c r="Q112" s="513">
        <f t="shared" ca="1" si="43"/>
        <v>0</v>
      </c>
      <c r="R112" s="513">
        <f t="shared" ca="1" si="44"/>
        <v>0</v>
      </c>
      <c r="S112" s="505"/>
      <c r="T112" s="505"/>
      <c r="U112" s="513"/>
      <c r="V112" s="513">
        <f t="shared" ca="1" si="24"/>
        <v>0</v>
      </c>
      <c r="W112" s="513">
        <f t="shared" ca="1" si="45"/>
        <v>0</v>
      </c>
      <c r="X112" s="513">
        <f t="shared" ca="1" si="46"/>
        <v>0</v>
      </c>
      <c r="Y112" s="513">
        <f t="shared" ca="1" si="47"/>
        <v>0</v>
      </c>
      <c r="Z112" s="513"/>
      <c r="AA112" s="513">
        <f t="shared" ca="1" si="25"/>
        <v>0</v>
      </c>
      <c r="AB112" s="513">
        <f t="shared" ca="1" si="22"/>
        <v>0</v>
      </c>
      <c r="AC112" s="513">
        <f t="shared" ca="1" si="23"/>
        <v>0</v>
      </c>
      <c r="AD112" s="513">
        <f t="shared" ca="1" si="48"/>
        <v>0</v>
      </c>
    </row>
    <row r="113" spans="2:30" hidden="1">
      <c r="B113" s="563">
        <f t="shared" si="26"/>
        <v>77</v>
      </c>
      <c r="C113" s="563">
        <f t="shared" ca="1" si="27"/>
        <v>2098</v>
      </c>
      <c r="D113" s="505">
        <f t="shared" ca="1" si="33"/>
        <v>0</v>
      </c>
      <c r="E113" s="505">
        <f t="shared" ca="1" si="34"/>
        <v>0</v>
      </c>
      <c r="F113" s="505">
        <f t="shared" ca="1" si="35"/>
        <v>0</v>
      </c>
      <c r="G113" s="505">
        <f t="shared" ca="1" si="36"/>
        <v>0</v>
      </c>
      <c r="H113" s="505">
        <f t="shared" ca="1" si="37"/>
        <v>0</v>
      </c>
      <c r="I113" s="505"/>
      <c r="J113" s="505"/>
      <c r="K113" s="505">
        <f t="shared" ca="1" si="38"/>
        <v>0</v>
      </c>
      <c r="L113" s="505">
        <f t="shared" ca="1" si="39"/>
        <v>0</v>
      </c>
      <c r="M113" s="505">
        <f t="shared" ca="1" si="40"/>
        <v>0</v>
      </c>
      <c r="N113" s="505">
        <f t="shared" ca="1" si="41"/>
        <v>0</v>
      </c>
      <c r="O113" s="505">
        <f t="shared" ca="1" si="42"/>
        <v>0</v>
      </c>
      <c r="P113" s="563"/>
      <c r="Q113" s="505">
        <f t="shared" ca="1" si="43"/>
        <v>0</v>
      </c>
      <c r="R113" s="505">
        <f t="shared" ca="1" si="44"/>
        <v>0</v>
      </c>
      <c r="S113" s="505"/>
      <c r="T113" s="505"/>
      <c r="U113" s="505"/>
      <c r="V113" s="505">
        <f t="shared" ca="1" si="24"/>
        <v>0</v>
      </c>
      <c r="W113" s="505">
        <f t="shared" ca="1" si="45"/>
        <v>0</v>
      </c>
      <c r="X113" s="505">
        <f t="shared" ca="1" si="46"/>
        <v>0</v>
      </c>
      <c r="Y113" s="505">
        <f t="shared" ca="1" si="47"/>
        <v>0</v>
      </c>
      <c r="Z113" s="505"/>
      <c r="AA113" s="505">
        <f t="shared" ca="1" si="25"/>
        <v>0</v>
      </c>
      <c r="AB113" s="505">
        <f t="shared" ca="1" si="22"/>
        <v>0</v>
      </c>
      <c r="AC113" s="505">
        <f t="shared" ca="1" si="23"/>
        <v>0</v>
      </c>
      <c r="AD113" s="505">
        <f t="shared" ca="1" si="48"/>
        <v>0</v>
      </c>
    </row>
    <row r="114" spans="2:30" hidden="1">
      <c r="B114" s="564">
        <f t="shared" si="26"/>
        <v>78</v>
      </c>
      <c r="C114" s="564">
        <f t="shared" ca="1" si="27"/>
        <v>2099</v>
      </c>
      <c r="D114" s="513">
        <f t="shared" ca="1" si="33"/>
        <v>0</v>
      </c>
      <c r="E114" s="513">
        <f t="shared" ca="1" si="34"/>
        <v>0</v>
      </c>
      <c r="F114" s="513">
        <f t="shared" ca="1" si="35"/>
        <v>0</v>
      </c>
      <c r="G114" s="513">
        <f t="shared" ca="1" si="36"/>
        <v>0</v>
      </c>
      <c r="H114" s="513">
        <f t="shared" ca="1" si="37"/>
        <v>0</v>
      </c>
      <c r="I114" s="513"/>
      <c r="J114" s="513"/>
      <c r="K114" s="513">
        <f t="shared" ca="1" si="38"/>
        <v>0</v>
      </c>
      <c r="L114" s="513">
        <f t="shared" ca="1" si="39"/>
        <v>0</v>
      </c>
      <c r="M114" s="513">
        <f t="shared" ca="1" si="40"/>
        <v>0</v>
      </c>
      <c r="N114" s="513">
        <f t="shared" ca="1" si="41"/>
        <v>0</v>
      </c>
      <c r="O114" s="513">
        <f t="shared" ca="1" si="42"/>
        <v>0</v>
      </c>
      <c r="P114" s="564"/>
      <c r="Q114" s="513">
        <f t="shared" ca="1" si="43"/>
        <v>0</v>
      </c>
      <c r="R114" s="513">
        <f t="shared" ca="1" si="44"/>
        <v>0</v>
      </c>
      <c r="S114" s="505"/>
      <c r="T114" s="505"/>
      <c r="U114" s="513"/>
      <c r="V114" s="513">
        <f t="shared" ca="1" si="24"/>
        <v>0</v>
      </c>
      <c r="W114" s="513">
        <f t="shared" ca="1" si="45"/>
        <v>0</v>
      </c>
      <c r="X114" s="513">
        <f t="shared" ca="1" si="46"/>
        <v>0</v>
      </c>
      <c r="Y114" s="513">
        <f t="shared" ca="1" si="47"/>
        <v>0</v>
      </c>
      <c r="Z114" s="513"/>
      <c r="AA114" s="513">
        <f t="shared" ca="1" si="25"/>
        <v>0</v>
      </c>
      <c r="AB114" s="513">
        <f t="shared" ca="1" si="22"/>
        <v>0</v>
      </c>
      <c r="AC114" s="513">
        <f t="shared" ca="1" si="23"/>
        <v>0</v>
      </c>
      <c r="AD114" s="513">
        <f t="shared" ca="1" si="48"/>
        <v>0</v>
      </c>
    </row>
    <row r="115" spans="2:30" hidden="1">
      <c r="B115" s="563">
        <f t="shared" si="26"/>
        <v>79</v>
      </c>
      <c r="C115" s="563">
        <f t="shared" ca="1" si="27"/>
        <v>2100</v>
      </c>
      <c r="D115" s="505">
        <f t="shared" ca="1" si="33"/>
        <v>0</v>
      </c>
      <c r="E115" s="505">
        <f t="shared" ca="1" si="34"/>
        <v>0</v>
      </c>
      <c r="F115" s="505">
        <f t="shared" ca="1" si="35"/>
        <v>0</v>
      </c>
      <c r="G115" s="505">
        <f t="shared" ca="1" si="36"/>
        <v>0</v>
      </c>
      <c r="H115" s="505">
        <f t="shared" ca="1" si="37"/>
        <v>0</v>
      </c>
      <c r="I115" s="505"/>
      <c r="J115" s="505"/>
      <c r="K115" s="505">
        <f t="shared" ca="1" si="38"/>
        <v>0</v>
      </c>
      <c r="L115" s="505">
        <f t="shared" ca="1" si="39"/>
        <v>0</v>
      </c>
      <c r="M115" s="505">
        <f t="shared" ca="1" si="40"/>
        <v>0</v>
      </c>
      <c r="N115" s="505">
        <f t="shared" ca="1" si="41"/>
        <v>0</v>
      </c>
      <c r="O115" s="505">
        <f t="shared" ca="1" si="42"/>
        <v>0</v>
      </c>
      <c r="P115" s="563"/>
      <c r="Q115" s="505">
        <f t="shared" ca="1" si="43"/>
        <v>0</v>
      </c>
      <c r="R115" s="505">
        <f t="shared" ca="1" si="44"/>
        <v>0</v>
      </c>
      <c r="S115" s="505"/>
      <c r="T115" s="505"/>
      <c r="U115" s="505"/>
      <c r="V115" s="505">
        <f t="shared" ca="1" si="24"/>
        <v>0</v>
      </c>
      <c r="W115" s="505">
        <f t="shared" ca="1" si="45"/>
        <v>0</v>
      </c>
      <c r="X115" s="505">
        <f t="shared" ca="1" si="46"/>
        <v>0</v>
      </c>
      <c r="Y115" s="505">
        <f t="shared" ca="1" si="47"/>
        <v>0</v>
      </c>
      <c r="Z115" s="505"/>
      <c r="AA115" s="505">
        <f t="shared" ca="1" si="25"/>
        <v>0</v>
      </c>
      <c r="AB115" s="505">
        <f t="shared" ca="1" si="22"/>
        <v>0</v>
      </c>
      <c r="AC115" s="505">
        <f t="shared" ca="1" si="23"/>
        <v>0</v>
      </c>
      <c r="AD115" s="505">
        <f t="shared" ca="1" si="48"/>
        <v>0</v>
      </c>
    </row>
    <row r="116" spans="2:30" hidden="1">
      <c r="B116" s="564">
        <f t="shared" si="26"/>
        <v>80</v>
      </c>
      <c r="C116" s="564">
        <f t="shared" ca="1" si="27"/>
        <v>2101</v>
      </c>
      <c r="D116" s="513">
        <f t="shared" ca="1" si="33"/>
        <v>0</v>
      </c>
      <c r="E116" s="513">
        <f t="shared" ca="1" si="34"/>
        <v>0</v>
      </c>
      <c r="F116" s="513">
        <f t="shared" ca="1" si="35"/>
        <v>0</v>
      </c>
      <c r="G116" s="513">
        <f t="shared" ca="1" si="36"/>
        <v>0</v>
      </c>
      <c r="H116" s="513">
        <f t="shared" ca="1" si="37"/>
        <v>0</v>
      </c>
      <c r="I116" s="513"/>
      <c r="J116" s="513"/>
      <c r="K116" s="513">
        <f t="shared" ca="1" si="38"/>
        <v>0</v>
      </c>
      <c r="L116" s="513">
        <f t="shared" ca="1" si="39"/>
        <v>0</v>
      </c>
      <c r="M116" s="513">
        <f t="shared" ca="1" si="40"/>
        <v>0</v>
      </c>
      <c r="N116" s="513">
        <f t="shared" ca="1" si="41"/>
        <v>0</v>
      </c>
      <c r="O116" s="513">
        <f t="shared" ca="1" si="42"/>
        <v>0</v>
      </c>
      <c r="P116" s="564"/>
      <c r="Q116" s="513">
        <f t="shared" ca="1" si="43"/>
        <v>0</v>
      </c>
      <c r="R116" s="513">
        <f t="shared" ca="1" si="44"/>
        <v>0</v>
      </c>
      <c r="S116" s="505"/>
      <c r="T116" s="505"/>
      <c r="U116" s="513"/>
      <c r="V116" s="513">
        <f t="shared" ca="1" si="24"/>
        <v>0</v>
      </c>
      <c r="W116" s="513">
        <f t="shared" ca="1" si="45"/>
        <v>0</v>
      </c>
      <c r="X116" s="513">
        <f t="shared" ca="1" si="46"/>
        <v>0</v>
      </c>
      <c r="Y116" s="513">
        <f t="shared" ca="1" si="47"/>
        <v>0</v>
      </c>
      <c r="Z116" s="513"/>
      <c r="AA116" s="513">
        <f t="shared" ca="1" si="25"/>
        <v>0</v>
      </c>
      <c r="AB116" s="513">
        <f t="shared" ca="1" si="22"/>
        <v>0</v>
      </c>
      <c r="AC116" s="513">
        <f t="shared" ca="1" si="23"/>
        <v>0</v>
      </c>
      <c r="AD116" s="513">
        <f t="shared" ca="1" si="48"/>
        <v>0</v>
      </c>
    </row>
    <row r="117" spans="2:30" hidden="1">
      <c r="B117" s="563">
        <f t="shared" si="26"/>
        <v>81</v>
      </c>
      <c r="C117" s="563">
        <f t="shared" ca="1" si="27"/>
        <v>2102</v>
      </c>
      <c r="D117" s="505">
        <f t="shared" ca="1" si="33"/>
        <v>0</v>
      </c>
      <c r="E117" s="505">
        <f t="shared" ca="1" si="34"/>
        <v>0</v>
      </c>
      <c r="F117" s="505">
        <f t="shared" ca="1" si="35"/>
        <v>0</v>
      </c>
      <c r="G117" s="505">
        <f t="shared" ca="1" si="36"/>
        <v>0</v>
      </c>
      <c r="H117" s="505">
        <f t="shared" ca="1" si="37"/>
        <v>0</v>
      </c>
      <c r="I117" s="505"/>
      <c r="J117" s="505"/>
      <c r="K117" s="505">
        <f t="shared" ca="1" si="38"/>
        <v>0</v>
      </c>
      <c r="L117" s="505">
        <f t="shared" ca="1" si="39"/>
        <v>0</v>
      </c>
      <c r="M117" s="505">
        <f t="shared" ca="1" si="40"/>
        <v>0</v>
      </c>
      <c r="N117" s="505">
        <f t="shared" ca="1" si="41"/>
        <v>0</v>
      </c>
      <c r="O117" s="505">
        <f t="shared" ca="1" si="42"/>
        <v>0</v>
      </c>
      <c r="P117" s="563"/>
      <c r="Q117" s="505">
        <f t="shared" ca="1" si="43"/>
        <v>0</v>
      </c>
      <c r="R117" s="505">
        <f t="shared" ca="1" si="44"/>
        <v>0</v>
      </c>
      <c r="S117" s="505"/>
      <c r="T117" s="505"/>
      <c r="U117" s="505"/>
      <c r="V117" s="505">
        <f t="shared" ca="1" si="24"/>
        <v>0</v>
      </c>
      <c r="W117" s="505">
        <f t="shared" ca="1" si="45"/>
        <v>0</v>
      </c>
      <c r="X117" s="505">
        <f t="shared" ca="1" si="46"/>
        <v>0</v>
      </c>
      <c r="Y117" s="505">
        <f t="shared" ca="1" si="47"/>
        <v>0</v>
      </c>
      <c r="Z117" s="505"/>
      <c r="AA117" s="505">
        <f t="shared" ca="1" si="25"/>
        <v>0</v>
      </c>
      <c r="AB117" s="505">
        <f t="shared" ca="1" si="22"/>
        <v>0</v>
      </c>
      <c r="AC117" s="505">
        <f t="shared" ca="1" si="23"/>
        <v>0</v>
      </c>
      <c r="AD117" s="505">
        <f t="shared" ca="1" si="48"/>
        <v>0</v>
      </c>
    </row>
    <row r="118" spans="2:30" hidden="1">
      <c r="B118" s="564">
        <f t="shared" si="26"/>
        <v>82</v>
      </c>
      <c r="C118" s="564">
        <f t="shared" ca="1" si="27"/>
        <v>2103</v>
      </c>
      <c r="D118" s="513">
        <f t="shared" ca="1" si="33"/>
        <v>0</v>
      </c>
      <c r="E118" s="513">
        <f t="shared" ca="1" si="34"/>
        <v>0</v>
      </c>
      <c r="F118" s="513">
        <f t="shared" ca="1" si="35"/>
        <v>0</v>
      </c>
      <c r="G118" s="513">
        <f t="shared" ca="1" si="36"/>
        <v>0</v>
      </c>
      <c r="H118" s="513">
        <f t="shared" ca="1" si="37"/>
        <v>0</v>
      </c>
      <c r="I118" s="513"/>
      <c r="J118" s="513"/>
      <c r="K118" s="513">
        <f t="shared" ca="1" si="38"/>
        <v>0</v>
      </c>
      <c r="L118" s="513">
        <f t="shared" ca="1" si="39"/>
        <v>0</v>
      </c>
      <c r="M118" s="513">
        <f t="shared" ca="1" si="40"/>
        <v>0</v>
      </c>
      <c r="N118" s="513">
        <f t="shared" ca="1" si="41"/>
        <v>0</v>
      </c>
      <c r="O118" s="513">
        <f t="shared" ca="1" si="42"/>
        <v>0</v>
      </c>
      <c r="P118" s="564"/>
      <c r="Q118" s="513">
        <f t="shared" ca="1" si="43"/>
        <v>0</v>
      </c>
      <c r="R118" s="513">
        <f t="shared" ca="1" si="44"/>
        <v>0</v>
      </c>
      <c r="S118" s="505"/>
      <c r="T118" s="505"/>
      <c r="U118" s="513"/>
      <c r="V118" s="513">
        <f t="shared" ca="1" si="24"/>
        <v>0</v>
      </c>
      <c r="W118" s="513">
        <f t="shared" ca="1" si="45"/>
        <v>0</v>
      </c>
      <c r="X118" s="513">
        <f t="shared" ca="1" si="46"/>
        <v>0</v>
      </c>
      <c r="Y118" s="513">
        <f t="shared" ca="1" si="47"/>
        <v>0</v>
      </c>
      <c r="Z118" s="513"/>
      <c r="AA118" s="513">
        <f t="shared" ca="1" si="25"/>
        <v>0</v>
      </c>
      <c r="AB118" s="513">
        <f t="shared" ca="1" si="22"/>
        <v>0</v>
      </c>
      <c r="AC118" s="513">
        <f t="shared" ca="1" si="23"/>
        <v>0</v>
      </c>
      <c r="AD118" s="513">
        <f t="shared" ca="1" si="48"/>
        <v>0</v>
      </c>
    </row>
    <row r="119" spans="2:30" hidden="1">
      <c r="B119" s="563">
        <f t="shared" si="26"/>
        <v>83</v>
      </c>
      <c r="C119" s="563">
        <f t="shared" ca="1" si="27"/>
        <v>2104</v>
      </c>
      <c r="D119" s="505">
        <f t="shared" ca="1" si="33"/>
        <v>0</v>
      </c>
      <c r="E119" s="505">
        <f t="shared" ca="1" si="34"/>
        <v>0</v>
      </c>
      <c r="F119" s="505">
        <f t="shared" ca="1" si="35"/>
        <v>0</v>
      </c>
      <c r="G119" s="505">
        <f t="shared" ca="1" si="36"/>
        <v>0</v>
      </c>
      <c r="H119" s="505">
        <f t="shared" ca="1" si="37"/>
        <v>0</v>
      </c>
      <c r="I119" s="505"/>
      <c r="J119" s="505"/>
      <c r="K119" s="505">
        <f t="shared" ca="1" si="38"/>
        <v>0</v>
      </c>
      <c r="L119" s="505">
        <f t="shared" ca="1" si="39"/>
        <v>0</v>
      </c>
      <c r="M119" s="505">
        <f t="shared" ca="1" si="40"/>
        <v>0</v>
      </c>
      <c r="N119" s="505">
        <f t="shared" ca="1" si="41"/>
        <v>0</v>
      </c>
      <c r="O119" s="505">
        <f t="shared" ca="1" si="42"/>
        <v>0</v>
      </c>
      <c r="P119" s="563"/>
      <c r="Q119" s="505">
        <f t="shared" ca="1" si="43"/>
        <v>0</v>
      </c>
      <c r="R119" s="505">
        <f t="shared" ca="1" si="44"/>
        <v>0</v>
      </c>
      <c r="S119" s="505"/>
      <c r="T119" s="505"/>
      <c r="U119" s="505"/>
      <c r="V119" s="505">
        <f t="shared" ca="1" si="24"/>
        <v>0</v>
      </c>
      <c r="W119" s="505">
        <f t="shared" ca="1" si="45"/>
        <v>0</v>
      </c>
      <c r="X119" s="505">
        <f t="shared" ca="1" si="46"/>
        <v>0</v>
      </c>
      <c r="Y119" s="505">
        <f t="shared" ca="1" si="47"/>
        <v>0</v>
      </c>
      <c r="Z119" s="505"/>
      <c r="AA119" s="505">
        <f t="shared" ca="1" si="25"/>
        <v>0</v>
      </c>
      <c r="AB119" s="505">
        <f t="shared" ref="AB119:AB161" ca="1" si="49">IF(AA119&gt;0,AA119*$R$29,0)</f>
        <v>0</v>
      </c>
      <c r="AC119" s="505">
        <f t="shared" ref="AC119:AC161" ca="1" si="50">IF(AA119&gt;0,AA119*$R$30,0)</f>
        <v>0</v>
      </c>
      <c r="AD119" s="505">
        <f t="shared" ca="1" si="48"/>
        <v>0</v>
      </c>
    </row>
    <row r="120" spans="2:30" hidden="1">
      <c r="B120" s="564">
        <f t="shared" si="26"/>
        <v>84</v>
      </c>
      <c r="C120" s="564">
        <f t="shared" ca="1" si="27"/>
        <v>2105</v>
      </c>
      <c r="D120" s="513">
        <f t="shared" ca="1" si="33"/>
        <v>0</v>
      </c>
      <c r="E120" s="513">
        <f t="shared" ca="1" si="34"/>
        <v>0</v>
      </c>
      <c r="F120" s="513">
        <f t="shared" ca="1" si="35"/>
        <v>0</v>
      </c>
      <c r="G120" s="513">
        <f t="shared" ca="1" si="36"/>
        <v>0</v>
      </c>
      <c r="H120" s="513">
        <f t="shared" ca="1" si="37"/>
        <v>0</v>
      </c>
      <c r="I120" s="513"/>
      <c r="J120" s="513"/>
      <c r="K120" s="513">
        <f t="shared" ca="1" si="38"/>
        <v>0</v>
      </c>
      <c r="L120" s="513">
        <f t="shared" ca="1" si="39"/>
        <v>0</v>
      </c>
      <c r="M120" s="513">
        <f t="shared" ca="1" si="40"/>
        <v>0</v>
      </c>
      <c r="N120" s="513">
        <f t="shared" ca="1" si="41"/>
        <v>0</v>
      </c>
      <c r="O120" s="513">
        <f t="shared" ca="1" si="42"/>
        <v>0</v>
      </c>
      <c r="P120" s="564"/>
      <c r="Q120" s="513">
        <f t="shared" ca="1" si="43"/>
        <v>0</v>
      </c>
      <c r="R120" s="513">
        <f t="shared" ca="1" si="44"/>
        <v>0</v>
      </c>
      <c r="S120" s="505"/>
      <c r="T120" s="505"/>
      <c r="U120" s="513"/>
      <c r="V120" s="513">
        <f t="shared" ref="V120:V161" ca="1" si="51">IF($F$30=C119,D119,0)</f>
        <v>0</v>
      </c>
      <c r="W120" s="513">
        <f t="shared" ca="1" si="45"/>
        <v>0</v>
      </c>
      <c r="X120" s="513">
        <f t="shared" ca="1" si="46"/>
        <v>0</v>
      </c>
      <c r="Y120" s="513">
        <f t="shared" ca="1" si="47"/>
        <v>0</v>
      </c>
      <c r="Z120" s="513"/>
      <c r="AA120" s="513">
        <f t="shared" ca="1" si="25"/>
        <v>0</v>
      </c>
      <c r="AB120" s="513">
        <f t="shared" ca="1" si="49"/>
        <v>0</v>
      </c>
      <c r="AC120" s="513">
        <f t="shared" ca="1" si="50"/>
        <v>0</v>
      </c>
      <c r="AD120" s="513">
        <f t="shared" ca="1" si="48"/>
        <v>0</v>
      </c>
    </row>
    <row r="121" spans="2:30" hidden="1">
      <c r="B121" s="563">
        <f t="shared" si="26"/>
        <v>85</v>
      </c>
      <c r="C121" s="563">
        <f t="shared" ca="1" si="27"/>
        <v>2106</v>
      </c>
      <c r="D121" s="505">
        <f t="shared" ca="1" si="33"/>
        <v>0</v>
      </c>
      <c r="E121" s="505">
        <f t="shared" ca="1" si="34"/>
        <v>0</v>
      </c>
      <c r="F121" s="505">
        <f t="shared" ca="1" si="35"/>
        <v>0</v>
      </c>
      <c r="G121" s="505">
        <f t="shared" ca="1" si="36"/>
        <v>0</v>
      </c>
      <c r="H121" s="505">
        <f t="shared" ca="1" si="37"/>
        <v>0</v>
      </c>
      <c r="I121" s="505"/>
      <c r="J121" s="505"/>
      <c r="K121" s="505">
        <f t="shared" ca="1" si="38"/>
        <v>0</v>
      </c>
      <c r="L121" s="505">
        <f t="shared" ca="1" si="39"/>
        <v>0</v>
      </c>
      <c r="M121" s="505">
        <f t="shared" ca="1" si="40"/>
        <v>0</v>
      </c>
      <c r="N121" s="505">
        <f t="shared" ca="1" si="41"/>
        <v>0</v>
      </c>
      <c r="O121" s="505">
        <f t="shared" ca="1" si="42"/>
        <v>0</v>
      </c>
      <c r="P121" s="563"/>
      <c r="Q121" s="505">
        <f t="shared" ca="1" si="43"/>
        <v>0</v>
      </c>
      <c r="R121" s="505">
        <f t="shared" ca="1" si="44"/>
        <v>0</v>
      </c>
      <c r="S121" s="505"/>
      <c r="T121" s="505"/>
      <c r="U121" s="505"/>
      <c r="V121" s="505">
        <f t="shared" ca="1" si="51"/>
        <v>0</v>
      </c>
      <c r="W121" s="505">
        <f t="shared" ca="1" si="45"/>
        <v>0</v>
      </c>
      <c r="X121" s="505">
        <f t="shared" ca="1" si="46"/>
        <v>0</v>
      </c>
      <c r="Y121" s="505">
        <f t="shared" ca="1" si="47"/>
        <v>0</v>
      </c>
      <c r="Z121" s="505"/>
      <c r="AA121" s="505">
        <f t="shared" ca="1" si="25"/>
        <v>0</v>
      </c>
      <c r="AB121" s="505">
        <f t="shared" ca="1" si="49"/>
        <v>0</v>
      </c>
      <c r="AC121" s="505">
        <f t="shared" ca="1" si="50"/>
        <v>0</v>
      </c>
      <c r="AD121" s="505">
        <f t="shared" ca="1" si="48"/>
        <v>0</v>
      </c>
    </row>
    <row r="122" spans="2:30" hidden="1">
      <c r="B122" s="564">
        <f t="shared" si="26"/>
        <v>86</v>
      </c>
      <c r="C122" s="564">
        <f t="shared" ca="1" si="27"/>
        <v>2107</v>
      </c>
      <c r="D122" s="513">
        <f t="shared" ca="1" si="33"/>
        <v>0</v>
      </c>
      <c r="E122" s="513">
        <f t="shared" ca="1" si="34"/>
        <v>0</v>
      </c>
      <c r="F122" s="513">
        <f t="shared" ca="1" si="35"/>
        <v>0</v>
      </c>
      <c r="G122" s="513">
        <f t="shared" ca="1" si="36"/>
        <v>0</v>
      </c>
      <c r="H122" s="513">
        <f t="shared" ca="1" si="37"/>
        <v>0</v>
      </c>
      <c r="I122" s="513"/>
      <c r="J122" s="513"/>
      <c r="K122" s="513">
        <f t="shared" ca="1" si="38"/>
        <v>0</v>
      </c>
      <c r="L122" s="513">
        <f t="shared" ca="1" si="39"/>
        <v>0</v>
      </c>
      <c r="M122" s="513">
        <f t="shared" ca="1" si="40"/>
        <v>0</v>
      </c>
      <c r="N122" s="513">
        <f t="shared" ca="1" si="41"/>
        <v>0</v>
      </c>
      <c r="O122" s="513">
        <f t="shared" ca="1" si="42"/>
        <v>0</v>
      </c>
      <c r="P122" s="564"/>
      <c r="Q122" s="513">
        <f t="shared" ca="1" si="43"/>
        <v>0</v>
      </c>
      <c r="R122" s="513">
        <f t="shared" ca="1" si="44"/>
        <v>0</v>
      </c>
      <c r="S122" s="505"/>
      <c r="T122" s="505"/>
      <c r="U122" s="513"/>
      <c r="V122" s="513">
        <f t="shared" ca="1" si="51"/>
        <v>0</v>
      </c>
      <c r="W122" s="513">
        <f t="shared" ca="1" si="45"/>
        <v>0</v>
      </c>
      <c r="X122" s="513">
        <f t="shared" ca="1" si="46"/>
        <v>0</v>
      </c>
      <c r="Y122" s="513">
        <f t="shared" ca="1" si="47"/>
        <v>0</v>
      </c>
      <c r="Z122" s="513"/>
      <c r="AA122" s="513">
        <f t="shared" ca="1" si="25"/>
        <v>0</v>
      </c>
      <c r="AB122" s="513">
        <f t="shared" ca="1" si="49"/>
        <v>0</v>
      </c>
      <c r="AC122" s="513">
        <f t="shared" ca="1" si="50"/>
        <v>0</v>
      </c>
      <c r="AD122" s="513">
        <f t="shared" ca="1" si="48"/>
        <v>0</v>
      </c>
    </row>
    <row r="123" spans="2:30" hidden="1">
      <c r="B123" s="563">
        <f t="shared" si="26"/>
        <v>87</v>
      </c>
      <c r="C123" s="563">
        <f t="shared" ca="1" si="27"/>
        <v>2108</v>
      </c>
      <c r="D123" s="505">
        <f t="shared" ca="1" si="33"/>
        <v>0</v>
      </c>
      <c r="E123" s="505">
        <f t="shared" ca="1" si="34"/>
        <v>0</v>
      </c>
      <c r="F123" s="505">
        <f t="shared" ca="1" si="35"/>
        <v>0</v>
      </c>
      <c r="G123" s="505">
        <f t="shared" ca="1" si="36"/>
        <v>0</v>
      </c>
      <c r="H123" s="505">
        <f t="shared" ca="1" si="37"/>
        <v>0</v>
      </c>
      <c r="I123" s="505"/>
      <c r="J123" s="505"/>
      <c r="K123" s="505">
        <f t="shared" ca="1" si="38"/>
        <v>0</v>
      </c>
      <c r="L123" s="505">
        <f t="shared" ca="1" si="39"/>
        <v>0</v>
      </c>
      <c r="M123" s="505">
        <f t="shared" ca="1" si="40"/>
        <v>0</v>
      </c>
      <c r="N123" s="505">
        <f t="shared" ca="1" si="41"/>
        <v>0</v>
      </c>
      <c r="O123" s="505">
        <f t="shared" ca="1" si="42"/>
        <v>0</v>
      </c>
      <c r="P123" s="563"/>
      <c r="Q123" s="505">
        <f t="shared" ca="1" si="43"/>
        <v>0</v>
      </c>
      <c r="R123" s="505">
        <f t="shared" ca="1" si="44"/>
        <v>0</v>
      </c>
      <c r="S123" s="505"/>
      <c r="T123" s="505"/>
      <c r="U123" s="505"/>
      <c r="V123" s="505">
        <f t="shared" ca="1" si="51"/>
        <v>0</v>
      </c>
      <c r="W123" s="505">
        <f t="shared" ca="1" si="45"/>
        <v>0</v>
      </c>
      <c r="X123" s="505">
        <f t="shared" ca="1" si="46"/>
        <v>0</v>
      </c>
      <c r="Y123" s="505">
        <f t="shared" ca="1" si="47"/>
        <v>0</v>
      </c>
      <c r="Z123" s="505"/>
      <c r="AA123" s="505">
        <f t="shared" ca="1" si="25"/>
        <v>0</v>
      </c>
      <c r="AB123" s="505">
        <f t="shared" ca="1" si="49"/>
        <v>0</v>
      </c>
      <c r="AC123" s="505">
        <f t="shared" ca="1" si="50"/>
        <v>0</v>
      </c>
      <c r="AD123" s="505">
        <f t="shared" ca="1" si="48"/>
        <v>0</v>
      </c>
    </row>
    <row r="124" spans="2:30" hidden="1">
      <c r="B124" s="564">
        <f t="shared" si="26"/>
        <v>88</v>
      </c>
      <c r="C124" s="564">
        <f t="shared" ca="1" si="27"/>
        <v>2109</v>
      </c>
      <c r="D124" s="513">
        <f t="shared" ca="1" si="33"/>
        <v>0</v>
      </c>
      <c r="E124" s="513">
        <f t="shared" ca="1" si="34"/>
        <v>0</v>
      </c>
      <c r="F124" s="513">
        <f t="shared" ca="1" si="35"/>
        <v>0</v>
      </c>
      <c r="G124" s="513">
        <f t="shared" ca="1" si="36"/>
        <v>0</v>
      </c>
      <c r="H124" s="513">
        <f t="shared" ca="1" si="37"/>
        <v>0</v>
      </c>
      <c r="I124" s="513"/>
      <c r="J124" s="513"/>
      <c r="K124" s="513">
        <f t="shared" ca="1" si="38"/>
        <v>0</v>
      </c>
      <c r="L124" s="513">
        <f t="shared" ca="1" si="39"/>
        <v>0</v>
      </c>
      <c r="M124" s="513">
        <f t="shared" ca="1" si="40"/>
        <v>0</v>
      </c>
      <c r="N124" s="513">
        <f t="shared" ca="1" si="41"/>
        <v>0</v>
      </c>
      <c r="O124" s="513">
        <f t="shared" ca="1" si="42"/>
        <v>0</v>
      </c>
      <c r="P124" s="564"/>
      <c r="Q124" s="513">
        <f t="shared" ca="1" si="43"/>
        <v>0</v>
      </c>
      <c r="R124" s="513">
        <f t="shared" ca="1" si="44"/>
        <v>0</v>
      </c>
      <c r="S124" s="505"/>
      <c r="T124" s="505"/>
      <c r="U124" s="513"/>
      <c r="V124" s="513">
        <f t="shared" ca="1" si="51"/>
        <v>0</v>
      </c>
      <c r="W124" s="513">
        <f t="shared" ca="1" si="45"/>
        <v>0</v>
      </c>
      <c r="X124" s="513">
        <f t="shared" ca="1" si="46"/>
        <v>0</v>
      </c>
      <c r="Y124" s="513">
        <f t="shared" ca="1" si="47"/>
        <v>0</v>
      </c>
      <c r="Z124" s="513"/>
      <c r="AA124" s="513">
        <f t="shared" ca="1" si="25"/>
        <v>0</v>
      </c>
      <c r="AB124" s="513">
        <f t="shared" ca="1" si="49"/>
        <v>0</v>
      </c>
      <c r="AC124" s="513">
        <f t="shared" ca="1" si="50"/>
        <v>0</v>
      </c>
      <c r="AD124" s="513">
        <f t="shared" ca="1" si="48"/>
        <v>0</v>
      </c>
    </row>
    <row r="125" spans="2:30" hidden="1">
      <c r="B125" s="563">
        <f t="shared" si="26"/>
        <v>89</v>
      </c>
      <c r="C125" s="563">
        <f t="shared" ca="1" si="27"/>
        <v>2110</v>
      </c>
      <c r="D125" s="505">
        <f t="shared" ca="1" si="33"/>
        <v>0</v>
      </c>
      <c r="E125" s="505">
        <f t="shared" ca="1" si="34"/>
        <v>0</v>
      </c>
      <c r="F125" s="505">
        <f t="shared" ca="1" si="35"/>
        <v>0</v>
      </c>
      <c r="G125" s="505">
        <f t="shared" ca="1" si="36"/>
        <v>0</v>
      </c>
      <c r="H125" s="505">
        <f t="shared" ca="1" si="37"/>
        <v>0</v>
      </c>
      <c r="I125" s="505"/>
      <c r="J125" s="505"/>
      <c r="K125" s="505">
        <f t="shared" ca="1" si="38"/>
        <v>0</v>
      </c>
      <c r="L125" s="505">
        <f t="shared" ca="1" si="39"/>
        <v>0</v>
      </c>
      <c r="M125" s="505">
        <f t="shared" ca="1" si="40"/>
        <v>0</v>
      </c>
      <c r="N125" s="505">
        <f t="shared" ca="1" si="41"/>
        <v>0</v>
      </c>
      <c r="O125" s="505">
        <f t="shared" ca="1" si="42"/>
        <v>0</v>
      </c>
      <c r="P125" s="563"/>
      <c r="Q125" s="505">
        <f t="shared" ca="1" si="43"/>
        <v>0</v>
      </c>
      <c r="R125" s="505">
        <f t="shared" ca="1" si="44"/>
        <v>0</v>
      </c>
      <c r="S125" s="505"/>
      <c r="T125" s="505"/>
      <c r="U125" s="505"/>
      <c r="V125" s="505">
        <f t="shared" ca="1" si="51"/>
        <v>0</v>
      </c>
      <c r="W125" s="505">
        <f t="shared" ca="1" si="45"/>
        <v>0</v>
      </c>
      <c r="X125" s="505">
        <f t="shared" ca="1" si="46"/>
        <v>0</v>
      </c>
      <c r="Y125" s="505">
        <f t="shared" ca="1" si="47"/>
        <v>0</v>
      </c>
      <c r="Z125" s="505"/>
      <c r="AA125" s="505">
        <f t="shared" ca="1" si="25"/>
        <v>0</v>
      </c>
      <c r="AB125" s="505">
        <f t="shared" ca="1" si="49"/>
        <v>0</v>
      </c>
      <c r="AC125" s="505">
        <f t="shared" ca="1" si="50"/>
        <v>0</v>
      </c>
      <c r="AD125" s="505">
        <f t="shared" ca="1" si="48"/>
        <v>0</v>
      </c>
    </row>
    <row r="126" spans="2:30" hidden="1">
      <c r="B126" s="564">
        <f t="shared" si="26"/>
        <v>90</v>
      </c>
      <c r="C126" s="564">
        <f t="shared" ca="1" si="27"/>
        <v>2111</v>
      </c>
      <c r="D126" s="513">
        <f t="shared" ca="1" si="33"/>
        <v>0</v>
      </c>
      <c r="E126" s="513">
        <f t="shared" ca="1" si="34"/>
        <v>0</v>
      </c>
      <c r="F126" s="513">
        <f t="shared" ca="1" si="35"/>
        <v>0</v>
      </c>
      <c r="G126" s="513">
        <f t="shared" ca="1" si="36"/>
        <v>0</v>
      </c>
      <c r="H126" s="513">
        <f t="shared" ca="1" si="37"/>
        <v>0</v>
      </c>
      <c r="I126" s="513"/>
      <c r="J126" s="513"/>
      <c r="K126" s="513">
        <f t="shared" ca="1" si="38"/>
        <v>0</v>
      </c>
      <c r="L126" s="513">
        <f t="shared" ca="1" si="39"/>
        <v>0</v>
      </c>
      <c r="M126" s="513">
        <f t="shared" ca="1" si="40"/>
        <v>0</v>
      </c>
      <c r="N126" s="513">
        <f t="shared" ca="1" si="41"/>
        <v>0</v>
      </c>
      <c r="O126" s="513">
        <f t="shared" ca="1" si="42"/>
        <v>0</v>
      </c>
      <c r="P126" s="564"/>
      <c r="Q126" s="513">
        <f t="shared" ca="1" si="43"/>
        <v>0</v>
      </c>
      <c r="R126" s="513">
        <f t="shared" ca="1" si="44"/>
        <v>0</v>
      </c>
      <c r="S126" s="505"/>
      <c r="T126" s="505"/>
      <c r="U126" s="513"/>
      <c r="V126" s="513">
        <f t="shared" ca="1" si="51"/>
        <v>0</v>
      </c>
      <c r="W126" s="513">
        <f t="shared" ca="1" si="45"/>
        <v>0</v>
      </c>
      <c r="X126" s="513">
        <f t="shared" ca="1" si="46"/>
        <v>0</v>
      </c>
      <c r="Y126" s="513">
        <f t="shared" ca="1" si="47"/>
        <v>0</v>
      </c>
      <c r="Z126" s="513"/>
      <c r="AA126" s="513">
        <f t="shared" ca="1" si="25"/>
        <v>0</v>
      </c>
      <c r="AB126" s="513">
        <f t="shared" ca="1" si="49"/>
        <v>0</v>
      </c>
      <c r="AC126" s="513">
        <f t="shared" ca="1" si="50"/>
        <v>0</v>
      </c>
      <c r="AD126" s="513">
        <f t="shared" ca="1" si="48"/>
        <v>0</v>
      </c>
    </row>
    <row r="127" spans="2:30" hidden="1">
      <c r="B127" s="563">
        <f t="shared" si="26"/>
        <v>91</v>
      </c>
      <c r="C127" s="563">
        <f t="shared" ca="1" si="27"/>
        <v>2112</v>
      </c>
      <c r="D127" s="505">
        <f t="shared" ref="D127:D160" ca="1" si="52">IF(C126&lt;$F$30,(D126*$D$17)+D126,0)</f>
        <v>0</v>
      </c>
      <c r="E127" s="505">
        <f t="shared" ref="E127:E160" ca="1" si="53">IF(D127&gt;0,(E126*$D$31)+E126,0)</f>
        <v>0</v>
      </c>
      <c r="F127" s="505">
        <f t="shared" ref="F127:F160" ca="1" si="54">IF(D127&gt;0,(F126*$D$32)+F126,0)</f>
        <v>0</v>
      </c>
      <c r="G127" s="505">
        <f t="shared" ref="G127:G160" ca="1" si="55">F127-E127</f>
        <v>0</v>
      </c>
      <c r="H127" s="505">
        <f t="shared" ref="H127:H160" ca="1" si="56">IF(D127&gt;0,D127-$D$15,0)</f>
        <v>0</v>
      </c>
      <c r="I127" s="505"/>
      <c r="J127" s="505"/>
      <c r="K127" s="505">
        <f t="shared" ref="K127:K160" ca="1" si="57">IF(C126&lt;$M$30,(K126*$K$17)+K126,0)</f>
        <v>0</v>
      </c>
      <c r="L127" s="505">
        <f t="shared" ref="L127:L160" ca="1" si="58">IF(K127&gt;0,(L126*$K$31)+L126,0)</f>
        <v>0</v>
      </c>
      <c r="M127" s="505">
        <f t="shared" ref="M127:M160" ca="1" si="59">IF(K127&gt;0,(M126*$K$32)+M126,0)</f>
        <v>0</v>
      </c>
      <c r="N127" s="505">
        <f t="shared" ref="N127:N160" ca="1" si="60">M127-L127</f>
        <v>0</v>
      </c>
      <c r="O127" s="505">
        <f t="shared" ref="O127:O160" ca="1" si="61">IF(K127&gt;0,K127-$K$15,0)</f>
        <v>0</v>
      </c>
      <c r="P127" s="563"/>
      <c r="Q127" s="505">
        <f t="shared" ref="Q127:Q160" ca="1" si="62">G127+O127</f>
        <v>0</v>
      </c>
      <c r="R127" s="505">
        <f t="shared" ref="R127:R160" ca="1" si="63">D127+K127</f>
        <v>0</v>
      </c>
      <c r="S127" s="505"/>
      <c r="T127" s="505"/>
      <c r="U127" s="505"/>
      <c r="V127" s="505">
        <f t="shared" ca="1" si="51"/>
        <v>0</v>
      </c>
      <c r="W127" s="505">
        <f t="shared" ca="1" si="45"/>
        <v>0</v>
      </c>
      <c r="X127" s="505">
        <f t="shared" ca="1" si="46"/>
        <v>0</v>
      </c>
      <c r="Y127" s="505">
        <f t="shared" ca="1" si="47"/>
        <v>0</v>
      </c>
      <c r="Z127" s="505"/>
      <c r="AA127" s="505">
        <f t="shared" ca="1" si="25"/>
        <v>0</v>
      </c>
      <c r="AB127" s="505">
        <f t="shared" ca="1" si="49"/>
        <v>0</v>
      </c>
      <c r="AC127" s="505">
        <f t="shared" ca="1" si="50"/>
        <v>0</v>
      </c>
      <c r="AD127" s="505">
        <f t="shared" ca="1" si="48"/>
        <v>0</v>
      </c>
    </row>
    <row r="128" spans="2:30" hidden="1">
      <c r="B128" s="564">
        <f t="shared" si="26"/>
        <v>92</v>
      </c>
      <c r="C128" s="564">
        <f t="shared" ca="1" si="27"/>
        <v>2113</v>
      </c>
      <c r="D128" s="513">
        <f t="shared" ca="1" si="52"/>
        <v>0</v>
      </c>
      <c r="E128" s="513">
        <f t="shared" ca="1" si="53"/>
        <v>0</v>
      </c>
      <c r="F128" s="513">
        <f t="shared" ca="1" si="54"/>
        <v>0</v>
      </c>
      <c r="G128" s="513">
        <f t="shared" ca="1" si="55"/>
        <v>0</v>
      </c>
      <c r="H128" s="513">
        <f t="shared" ca="1" si="56"/>
        <v>0</v>
      </c>
      <c r="I128" s="513"/>
      <c r="J128" s="513"/>
      <c r="K128" s="513">
        <f t="shared" ca="1" si="57"/>
        <v>0</v>
      </c>
      <c r="L128" s="513">
        <f t="shared" ca="1" si="58"/>
        <v>0</v>
      </c>
      <c r="M128" s="513">
        <f t="shared" ca="1" si="59"/>
        <v>0</v>
      </c>
      <c r="N128" s="513">
        <f t="shared" ca="1" si="60"/>
        <v>0</v>
      </c>
      <c r="O128" s="513">
        <f t="shared" ca="1" si="61"/>
        <v>0</v>
      </c>
      <c r="P128" s="564"/>
      <c r="Q128" s="513">
        <f t="shared" ca="1" si="62"/>
        <v>0</v>
      </c>
      <c r="R128" s="513">
        <f t="shared" ca="1" si="63"/>
        <v>0</v>
      </c>
      <c r="S128" s="505"/>
      <c r="T128" s="505"/>
      <c r="U128" s="513"/>
      <c r="V128" s="513">
        <f t="shared" ca="1" si="51"/>
        <v>0</v>
      </c>
      <c r="W128" s="513">
        <f t="shared" ca="1" si="45"/>
        <v>0</v>
      </c>
      <c r="X128" s="513">
        <f t="shared" ca="1" si="46"/>
        <v>0</v>
      </c>
      <c r="Y128" s="513">
        <f t="shared" ca="1" si="47"/>
        <v>0</v>
      </c>
      <c r="Z128" s="513"/>
      <c r="AA128" s="513">
        <f t="shared" ref="AA128:AA161" ca="1" si="64">IF($M$30=C127,K127,0)</f>
        <v>0</v>
      </c>
      <c r="AB128" s="513">
        <f t="shared" ca="1" si="49"/>
        <v>0</v>
      </c>
      <c r="AC128" s="513">
        <f t="shared" ca="1" si="50"/>
        <v>0</v>
      </c>
      <c r="AD128" s="513">
        <f t="shared" ca="1" si="48"/>
        <v>0</v>
      </c>
    </row>
    <row r="129" spans="2:30" hidden="1">
      <c r="B129" s="563">
        <f t="shared" si="26"/>
        <v>93</v>
      </c>
      <c r="C129" s="563">
        <f t="shared" ca="1" si="27"/>
        <v>2114</v>
      </c>
      <c r="D129" s="505">
        <f t="shared" ca="1" si="52"/>
        <v>0</v>
      </c>
      <c r="E129" s="505">
        <f t="shared" ca="1" si="53"/>
        <v>0</v>
      </c>
      <c r="F129" s="505">
        <f t="shared" ca="1" si="54"/>
        <v>0</v>
      </c>
      <c r="G129" s="505">
        <f t="shared" ca="1" si="55"/>
        <v>0</v>
      </c>
      <c r="H129" s="505">
        <f t="shared" ca="1" si="56"/>
        <v>0</v>
      </c>
      <c r="I129" s="505"/>
      <c r="J129" s="505"/>
      <c r="K129" s="505">
        <f t="shared" ca="1" si="57"/>
        <v>0</v>
      </c>
      <c r="L129" s="505">
        <f t="shared" ca="1" si="58"/>
        <v>0</v>
      </c>
      <c r="M129" s="505">
        <f t="shared" ca="1" si="59"/>
        <v>0</v>
      </c>
      <c r="N129" s="505">
        <f t="shared" ca="1" si="60"/>
        <v>0</v>
      </c>
      <c r="O129" s="505">
        <f t="shared" ca="1" si="61"/>
        <v>0</v>
      </c>
      <c r="P129" s="563"/>
      <c r="Q129" s="505">
        <f t="shared" ca="1" si="62"/>
        <v>0</v>
      </c>
      <c r="R129" s="505">
        <f t="shared" ca="1" si="63"/>
        <v>0</v>
      </c>
      <c r="S129" s="505"/>
      <c r="T129" s="505"/>
      <c r="U129" s="505"/>
      <c r="V129" s="505">
        <f t="shared" ca="1" si="51"/>
        <v>0</v>
      </c>
      <c r="W129" s="505">
        <f t="shared" ca="1" si="45"/>
        <v>0</v>
      </c>
      <c r="X129" s="505">
        <f t="shared" ca="1" si="46"/>
        <v>0</v>
      </c>
      <c r="Y129" s="505">
        <f t="shared" ca="1" si="47"/>
        <v>0</v>
      </c>
      <c r="Z129" s="505"/>
      <c r="AA129" s="505">
        <f t="shared" ca="1" si="64"/>
        <v>0</v>
      </c>
      <c r="AB129" s="505">
        <f t="shared" ca="1" si="49"/>
        <v>0</v>
      </c>
      <c r="AC129" s="505">
        <f t="shared" ca="1" si="50"/>
        <v>0</v>
      </c>
      <c r="AD129" s="505">
        <f t="shared" ca="1" si="48"/>
        <v>0</v>
      </c>
    </row>
    <row r="130" spans="2:30" hidden="1">
      <c r="B130" s="564">
        <f t="shared" si="26"/>
        <v>94</v>
      </c>
      <c r="C130" s="564">
        <f t="shared" ca="1" si="27"/>
        <v>2115</v>
      </c>
      <c r="D130" s="513">
        <f t="shared" ca="1" si="52"/>
        <v>0</v>
      </c>
      <c r="E130" s="513">
        <f t="shared" ca="1" si="53"/>
        <v>0</v>
      </c>
      <c r="F130" s="513">
        <f t="shared" ca="1" si="54"/>
        <v>0</v>
      </c>
      <c r="G130" s="513">
        <f t="shared" ca="1" si="55"/>
        <v>0</v>
      </c>
      <c r="H130" s="513">
        <f t="shared" ca="1" si="56"/>
        <v>0</v>
      </c>
      <c r="I130" s="513"/>
      <c r="J130" s="513"/>
      <c r="K130" s="513">
        <f t="shared" ca="1" si="57"/>
        <v>0</v>
      </c>
      <c r="L130" s="513">
        <f t="shared" ca="1" si="58"/>
        <v>0</v>
      </c>
      <c r="M130" s="513">
        <f t="shared" ca="1" si="59"/>
        <v>0</v>
      </c>
      <c r="N130" s="513">
        <f t="shared" ca="1" si="60"/>
        <v>0</v>
      </c>
      <c r="O130" s="513">
        <f t="shared" ca="1" si="61"/>
        <v>0</v>
      </c>
      <c r="P130" s="564"/>
      <c r="Q130" s="513">
        <f t="shared" ca="1" si="62"/>
        <v>0</v>
      </c>
      <c r="R130" s="513">
        <f t="shared" ca="1" si="63"/>
        <v>0</v>
      </c>
      <c r="S130" s="505"/>
      <c r="T130" s="505"/>
      <c r="U130" s="513"/>
      <c r="V130" s="513">
        <f t="shared" ca="1" si="51"/>
        <v>0</v>
      </c>
      <c r="W130" s="513">
        <f t="shared" ca="1" si="45"/>
        <v>0</v>
      </c>
      <c r="X130" s="513">
        <f t="shared" ca="1" si="46"/>
        <v>0</v>
      </c>
      <c r="Y130" s="513">
        <f t="shared" ca="1" si="47"/>
        <v>0</v>
      </c>
      <c r="Z130" s="513"/>
      <c r="AA130" s="513">
        <f t="shared" ca="1" si="64"/>
        <v>0</v>
      </c>
      <c r="AB130" s="513">
        <f t="shared" ca="1" si="49"/>
        <v>0</v>
      </c>
      <c r="AC130" s="513">
        <f t="shared" ca="1" si="50"/>
        <v>0</v>
      </c>
      <c r="AD130" s="513">
        <f t="shared" ca="1" si="48"/>
        <v>0</v>
      </c>
    </row>
    <row r="131" spans="2:30" hidden="1">
      <c r="B131" s="563">
        <f t="shared" si="26"/>
        <v>95</v>
      </c>
      <c r="C131" s="563">
        <f t="shared" ca="1" si="27"/>
        <v>2116</v>
      </c>
      <c r="D131" s="505">
        <f t="shared" ca="1" si="52"/>
        <v>0</v>
      </c>
      <c r="E131" s="505">
        <f t="shared" ca="1" si="53"/>
        <v>0</v>
      </c>
      <c r="F131" s="505">
        <f t="shared" ca="1" si="54"/>
        <v>0</v>
      </c>
      <c r="G131" s="505">
        <f t="shared" ca="1" si="55"/>
        <v>0</v>
      </c>
      <c r="H131" s="505">
        <f t="shared" ca="1" si="56"/>
        <v>0</v>
      </c>
      <c r="I131" s="505"/>
      <c r="J131" s="505"/>
      <c r="K131" s="505">
        <f t="shared" ca="1" si="57"/>
        <v>0</v>
      </c>
      <c r="L131" s="505">
        <f t="shared" ca="1" si="58"/>
        <v>0</v>
      </c>
      <c r="M131" s="505">
        <f t="shared" ca="1" si="59"/>
        <v>0</v>
      </c>
      <c r="N131" s="505">
        <f t="shared" ca="1" si="60"/>
        <v>0</v>
      </c>
      <c r="O131" s="505">
        <f t="shared" ca="1" si="61"/>
        <v>0</v>
      </c>
      <c r="P131" s="563"/>
      <c r="Q131" s="505">
        <f t="shared" ca="1" si="62"/>
        <v>0</v>
      </c>
      <c r="R131" s="505">
        <f t="shared" ca="1" si="63"/>
        <v>0</v>
      </c>
      <c r="S131" s="505"/>
      <c r="T131" s="505"/>
      <c r="U131" s="505"/>
      <c r="V131" s="505">
        <f t="shared" ca="1" si="51"/>
        <v>0</v>
      </c>
      <c r="W131" s="505">
        <f t="shared" ca="1" si="45"/>
        <v>0</v>
      </c>
      <c r="X131" s="505">
        <f t="shared" ca="1" si="46"/>
        <v>0</v>
      </c>
      <c r="Y131" s="505">
        <f t="shared" ca="1" si="47"/>
        <v>0</v>
      </c>
      <c r="Z131" s="505"/>
      <c r="AA131" s="505">
        <f t="shared" ca="1" si="64"/>
        <v>0</v>
      </c>
      <c r="AB131" s="505">
        <f t="shared" ca="1" si="49"/>
        <v>0</v>
      </c>
      <c r="AC131" s="505">
        <f t="shared" ca="1" si="50"/>
        <v>0</v>
      </c>
      <c r="AD131" s="505">
        <f t="shared" ca="1" si="48"/>
        <v>0</v>
      </c>
    </row>
    <row r="132" spans="2:30" hidden="1">
      <c r="B132" s="564">
        <f t="shared" ref="B132:C147" si="65">B131+1</f>
        <v>96</v>
      </c>
      <c r="C132" s="564">
        <f t="shared" ca="1" si="65"/>
        <v>2117</v>
      </c>
      <c r="D132" s="513">
        <f t="shared" ca="1" si="52"/>
        <v>0</v>
      </c>
      <c r="E132" s="513">
        <f t="shared" ca="1" si="53"/>
        <v>0</v>
      </c>
      <c r="F132" s="513">
        <f t="shared" ca="1" si="54"/>
        <v>0</v>
      </c>
      <c r="G132" s="513">
        <f t="shared" ca="1" si="55"/>
        <v>0</v>
      </c>
      <c r="H132" s="513">
        <f t="shared" ca="1" si="56"/>
        <v>0</v>
      </c>
      <c r="I132" s="513"/>
      <c r="J132" s="513"/>
      <c r="K132" s="513">
        <f t="shared" ca="1" si="57"/>
        <v>0</v>
      </c>
      <c r="L132" s="513">
        <f t="shared" ca="1" si="58"/>
        <v>0</v>
      </c>
      <c r="M132" s="513">
        <f t="shared" ca="1" si="59"/>
        <v>0</v>
      </c>
      <c r="N132" s="513">
        <f t="shared" ca="1" si="60"/>
        <v>0</v>
      </c>
      <c r="O132" s="513">
        <f t="shared" ca="1" si="61"/>
        <v>0</v>
      </c>
      <c r="P132" s="564"/>
      <c r="Q132" s="513">
        <f t="shared" ca="1" si="62"/>
        <v>0</v>
      </c>
      <c r="R132" s="513">
        <f t="shared" ca="1" si="63"/>
        <v>0</v>
      </c>
      <c r="S132" s="505"/>
      <c r="T132" s="505"/>
      <c r="U132" s="513"/>
      <c r="V132" s="513">
        <f t="shared" ca="1" si="51"/>
        <v>0</v>
      </c>
      <c r="W132" s="513">
        <f t="shared" ca="1" si="45"/>
        <v>0</v>
      </c>
      <c r="X132" s="513">
        <f t="shared" ca="1" si="46"/>
        <v>0</v>
      </c>
      <c r="Y132" s="513">
        <f t="shared" ca="1" si="47"/>
        <v>0</v>
      </c>
      <c r="Z132" s="513"/>
      <c r="AA132" s="513">
        <f t="shared" ca="1" si="64"/>
        <v>0</v>
      </c>
      <c r="AB132" s="513">
        <f t="shared" ca="1" si="49"/>
        <v>0</v>
      </c>
      <c r="AC132" s="513">
        <f t="shared" ca="1" si="50"/>
        <v>0</v>
      </c>
      <c r="AD132" s="513">
        <f t="shared" ca="1" si="48"/>
        <v>0</v>
      </c>
    </row>
    <row r="133" spans="2:30" hidden="1">
      <c r="B133" s="563">
        <f t="shared" si="65"/>
        <v>97</v>
      </c>
      <c r="C133" s="563">
        <f t="shared" ca="1" si="65"/>
        <v>2118</v>
      </c>
      <c r="D133" s="505">
        <f t="shared" ca="1" si="52"/>
        <v>0</v>
      </c>
      <c r="E133" s="505">
        <f t="shared" ca="1" si="53"/>
        <v>0</v>
      </c>
      <c r="F133" s="505">
        <f t="shared" ca="1" si="54"/>
        <v>0</v>
      </c>
      <c r="G133" s="505">
        <f t="shared" ca="1" si="55"/>
        <v>0</v>
      </c>
      <c r="H133" s="505">
        <f t="shared" ca="1" si="56"/>
        <v>0</v>
      </c>
      <c r="I133" s="505"/>
      <c r="J133" s="505"/>
      <c r="K133" s="505">
        <f t="shared" ca="1" si="57"/>
        <v>0</v>
      </c>
      <c r="L133" s="505">
        <f t="shared" ca="1" si="58"/>
        <v>0</v>
      </c>
      <c r="M133" s="505">
        <f t="shared" ca="1" si="59"/>
        <v>0</v>
      </c>
      <c r="N133" s="505">
        <f t="shared" ca="1" si="60"/>
        <v>0</v>
      </c>
      <c r="O133" s="505">
        <f t="shared" ca="1" si="61"/>
        <v>0</v>
      </c>
      <c r="P133" s="563"/>
      <c r="Q133" s="505">
        <f t="shared" ca="1" si="62"/>
        <v>0</v>
      </c>
      <c r="R133" s="505">
        <f t="shared" ca="1" si="63"/>
        <v>0</v>
      </c>
      <c r="S133" s="505"/>
      <c r="T133" s="505"/>
      <c r="U133" s="505"/>
      <c r="V133" s="505">
        <f t="shared" ca="1" si="51"/>
        <v>0</v>
      </c>
      <c r="W133" s="505">
        <f t="shared" ref="W133:W161" ca="1" si="66">IF(V133&gt;0,V133*$R$29,0)</f>
        <v>0</v>
      </c>
      <c r="X133" s="505">
        <f t="shared" ref="X133:X161" ca="1" si="67">IF(V133&gt;0,V133*$R$30,0)</f>
        <v>0</v>
      </c>
      <c r="Y133" s="505">
        <f t="shared" ref="Y133:Y161" ca="1" si="68">IF(V133&gt;0,V133-(W133+X133),0)</f>
        <v>0</v>
      </c>
      <c r="Z133" s="505"/>
      <c r="AA133" s="505">
        <f t="shared" ca="1" si="64"/>
        <v>0</v>
      </c>
      <c r="AB133" s="505">
        <f t="shared" ca="1" si="49"/>
        <v>0</v>
      </c>
      <c r="AC133" s="505">
        <f t="shared" ca="1" si="50"/>
        <v>0</v>
      </c>
      <c r="AD133" s="505">
        <f t="shared" ref="AD133:AD161" ca="1" si="69">IF(AA133&gt;0,AA133-(AB133+AC133),0)</f>
        <v>0</v>
      </c>
    </row>
    <row r="134" spans="2:30" hidden="1">
      <c r="B134" s="564">
        <f t="shared" si="65"/>
        <v>98</v>
      </c>
      <c r="C134" s="564">
        <f t="shared" ca="1" si="65"/>
        <v>2119</v>
      </c>
      <c r="D134" s="513">
        <f t="shared" ca="1" si="52"/>
        <v>0</v>
      </c>
      <c r="E134" s="513">
        <f t="shared" ca="1" si="53"/>
        <v>0</v>
      </c>
      <c r="F134" s="513">
        <f t="shared" ca="1" si="54"/>
        <v>0</v>
      </c>
      <c r="G134" s="513">
        <f t="shared" ca="1" si="55"/>
        <v>0</v>
      </c>
      <c r="H134" s="513">
        <f t="shared" ca="1" si="56"/>
        <v>0</v>
      </c>
      <c r="I134" s="513"/>
      <c r="J134" s="513"/>
      <c r="K134" s="513">
        <f t="shared" ca="1" si="57"/>
        <v>0</v>
      </c>
      <c r="L134" s="513">
        <f t="shared" ca="1" si="58"/>
        <v>0</v>
      </c>
      <c r="M134" s="513">
        <f t="shared" ca="1" si="59"/>
        <v>0</v>
      </c>
      <c r="N134" s="513">
        <f t="shared" ca="1" si="60"/>
        <v>0</v>
      </c>
      <c r="O134" s="513">
        <f t="shared" ca="1" si="61"/>
        <v>0</v>
      </c>
      <c r="P134" s="564"/>
      <c r="Q134" s="513">
        <f t="shared" ca="1" si="62"/>
        <v>0</v>
      </c>
      <c r="R134" s="513">
        <f t="shared" ca="1" si="63"/>
        <v>0</v>
      </c>
      <c r="S134" s="505"/>
      <c r="T134" s="505"/>
      <c r="U134" s="513"/>
      <c r="V134" s="513">
        <f t="shared" ca="1" si="51"/>
        <v>0</v>
      </c>
      <c r="W134" s="513">
        <f t="shared" ca="1" si="66"/>
        <v>0</v>
      </c>
      <c r="X134" s="513">
        <f t="shared" ca="1" si="67"/>
        <v>0</v>
      </c>
      <c r="Y134" s="513">
        <f t="shared" ca="1" si="68"/>
        <v>0</v>
      </c>
      <c r="Z134" s="513"/>
      <c r="AA134" s="513">
        <f t="shared" ca="1" si="64"/>
        <v>0</v>
      </c>
      <c r="AB134" s="513">
        <f t="shared" ca="1" si="49"/>
        <v>0</v>
      </c>
      <c r="AC134" s="513">
        <f t="shared" ca="1" si="50"/>
        <v>0</v>
      </c>
      <c r="AD134" s="513">
        <f t="shared" ca="1" si="69"/>
        <v>0</v>
      </c>
    </row>
    <row r="135" spans="2:30" hidden="1">
      <c r="B135" s="563">
        <f t="shared" si="65"/>
        <v>99</v>
      </c>
      <c r="C135" s="563">
        <f t="shared" ca="1" si="65"/>
        <v>2120</v>
      </c>
      <c r="D135" s="505">
        <f t="shared" ca="1" si="52"/>
        <v>0</v>
      </c>
      <c r="E135" s="505">
        <f t="shared" ca="1" si="53"/>
        <v>0</v>
      </c>
      <c r="F135" s="505">
        <f t="shared" ca="1" si="54"/>
        <v>0</v>
      </c>
      <c r="G135" s="505">
        <f t="shared" ca="1" si="55"/>
        <v>0</v>
      </c>
      <c r="H135" s="505">
        <f t="shared" ca="1" si="56"/>
        <v>0</v>
      </c>
      <c r="I135" s="505"/>
      <c r="J135" s="505"/>
      <c r="K135" s="505">
        <f t="shared" ca="1" si="57"/>
        <v>0</v>
      </c>
      <c r="L135" s="505">
        <f t="shared" ca="1" si="58"/>
        <v>0</v>
      </c>
      <c r="M135" s="505">
        <f t="shared" ca="1" si="59"/>
        <v>0</v>
      </c>
      <c r="N135" s="505">
        <f t="shared" ca="1" si="60"/>
        <v>0</v>
      </c>
      <c r="O135" s="505">
        <f t="shared" ca="1" si="61"/>
        <v>0</v>
      </c>
      <c r="P135" s="563"/>
      <c r="Q135" s="505">
        <f t="shared" ca="1" si="62"/>
        <v>0</v>
      </c>
      <c r="R135" s="505">
        <f t="shared" ca="1" si="63"/>
        <v>0</v>
      </c>
      <c r="S135" s="505"/>
      <c r="T135" s="505"/>
      <c r="U135" s="505"/>
      <c r="V135" s="505">
        <f t="shared" ca="1" si="51"/>
        <v>0</v>
      </c>
      <c r="W135" s="505">
        <f t="shared" ca="1" si="66"/>
        <v>0</v>
      </c>
      <c r="X135" s="505">
        <f t="shared" ca="1" si="67"/>
        <v>0</v>
      </c>
      <c r="Y135" s="505">
        <f t="shared" ca="1" si="68"/>
        <v>0</v>
      </c>
      <c r="Z135" s="505"/>
      <c r="AA135" s="505">
        <f t="shared" ca="1" si="64"/>
        <v>0</v>
      </c>
      <c r="AB135" s="505">
        <f t="shared" ca="1" si="49"/>
        <v>0</v>
      </c>
      <c r="AC135" s="505">
        <f t="shared" ca="1" si="50"/>
        <v>0</v>
      </c>
      <c r="AD135" s="505">
        <f t="shared" ca="1" si="69"/>
        <v>0</v>
      </c>
    </row>
    <row r="136" spans="2:30" hidden="1">
      <c r="B136" s="564">
        <f t="shared" si="65"/>
        <v>100</v>
      </c>
      <c r="C136" s="564">
        <f t="shared" ca="1" si="65"/>
        <v>2121</v>
      </c>
      <c r="D136" s="513">
        <f t="shared" ca="1" si="52"/>
        <v>0</v>
      </c>
      <c r="E136" s="513">
        <f t="shared" ca="1" si="53"/>
        <v>0</v>
      </c>
      <c r="F136" s="513">
        <f t="shared" ca="1" si="54"/>
        <v>0</v>
      </c>
      <c r="G136" s="513">
        <f t="shared" ca="1" si="55"/>
        <v>0</v>
      </c>
      <c r="H136" s="513">
        <f t="shared" ca="1" si="56"/>
        <v>0</v>
      </c>
      <c r="I136" s="513"/>
      <c r="J136" s="513"/>
      <c r="K136" s="513">
        <f t="shared" ca="1" si="57"/>
        <v>0</v>
      </c>
      <c r="L136" s="513">
        <f t="shared" ca="1" si="58"/>
        <v>0</v>
      </c>
      <c r="M136" s="513">
        <f t="shared" ca="1" si="59"/>
        <v>0</v>
      </c>
      <c r="N136" s="513">
        <f t="shared" ca="1" si="60"/>
        <v>0</v>
      </c>
      <c r="O136" s="513">
        <f t="shared" ca="1" si="61"/>
        <v>0</v>
      </c>
      <c r="P136" s="564"/>
      <c r="Q136" s="513">
        <f t="shared" ca="1" si="62"/>
        <v>0</v>
      </c>
      <c r="R136" s="513">
        <f t="shared" ca="1" si="63"/>
        <v>0</v>
      </c>
      <c r="S136" s="505"/>
      <c r="T136" s="505"/>
      <c r="U136" s="513"/>
      <c r="V136" s="513">
        <f t="shared" ca="1" si="51"/>
        <v>0</v>
      </c>
      <c r="W136" s="513">
        <f t="shared" ca="1" si="66"/>
        <v>0</v>
      </c>
      <c r="X136" s="513">
        <f t="shared" ca="1" si="67"/>
        <v>0</v>
      </c>
      <c r="Y136" s="513">
        <f t="shared" ca="1" si="68"/>
        <v>0</v>
      </c>
      <c r="Z136" s="513"/>
      <c r="AA136" s="513">
        <f t="shared" ca="1" si="64"/>
        <v>0</v>
      </c>
      <c r="AB136" s="513">
        <f t="shared" ca="1" si="49"/>
        <v>0</v>
      </c>
      <c r="AC136" s="513">
        <f t="shared" ca="1" si="50"/>
        <v>0</v>
      </c>
      <c r="AD136" s="513">
        <f t="shared" ca="1" si="69"/>
        <v>0</v>
      </c>
    </row>
    <row r="137" spans="2:30" hidden="1">
      <c r="B137" s="563">
        <f t="shared" si="65"/>
        <v>101</v>
      </c>
      <c r="C137" s="563">
        <f t="shared" ca="1" si="65"/>
        <v>2122</v>
      </c>
      <c r="D137" s="505">
        <f t="shared" ca="1" si="52"/>
        <v>0</v>
      </c>
      <c r="E137" s="505">
        <f t="shared" ca="1" si="53"/>
        <v>0</v>
      </c>
      <c r="F137" s="505">
        <f t="shared" ca="1" si="54"/>
        <v>0</v>
      </c>
      <c r="G137" s="505">
        <f t="shared" ca="1" si="55"/>
        <v>0</v>
      </c>
      <c r="H137" s="505">
        <f t="shared" ca="1" si="56"/>
        <v>0</v>
      </c>
      <c r="I137" s="505"/>
      <c r="J137" s="505"/>
      <c r="K137" s="505">
        <f t="shared" ca="1" si="57"/>
        <v>0</v>
      </c>
      <c r="L137" s="505">
        <f t="shared" ca="1" si="58"/>
        <v>0</v>
      </c>
      <c r="M137" s="505">
        <f t="shared" ca="1" si="59"/>
        <v>0</v>
      </c>
      <c r="N137" s="505">
        <f t="shared" ca="1" si="60"/>
        <v>0</v>
      </c>
      <c r="O137" s="505">
        <f t="shared" ca="1" si="61"/>
        <v>0</v>
      </c>
      <c r="P137" s="563"/>
      <c r="Q137" s="505">
        <f t="shared" ca="1" si="62"/>
        <v>0</v>
      </c>
      <c r="R137" s="505">
        <f t="shared" ca="1" si="63"/>
        <v>0</v>
      </c>
      <c r="S137" s="505"/>
      <c r="T137" s="505"/>
      <c r="U137" s="505"/>
      <c r="V137" s="505">
        <f t="shared" ca="1" si="51"/>
        <v>0</v>
      </c>
      <c r="W137" s="505">
        <f t="shared" ca="1" si="66"/>
        <v>0</v>
      </c>
      <c r="X137" s="505">
        <f t="shared" ca="1" si="67"/>
        <v>0</v>
      </c>
      <c r="Y137" s="505">
        <f t="shared" ca="1" si="68"/>
        <v>0</v>
      </c>
      <c r="Z137" s="505"/>
      <c r="AA137" s="505">
        <f t="shared" ca="1" si="64"/>
        <v>0</v>
      </c>
      <c r="AB137" s="505">
        <f t="shared" ca="1" si="49"/>
        <v>0</v>
      </c>
      <c r="AC137" s="505">
        <f t="shared" ca="1" si="50"/>
        <v>0</v>
      </c>
      <c r="AD137" s="505">
        <f t="shared" ca="1" si="69"/>
        <v>0</v>
      </c>
    </row>
    <row r="138" spans="2:30" hidden="1">
      <c r="B138" s="564">
        <f t="shared" si="65"/>
        <v>102</v>
      </c>
      <c r="C138" s="564">
        <f t="shared" ca="1" si="65"/>
        <v>2123</v>
      </c>
      <c r="D138" s="513">
        <f t="shared" ca="1" si="52"/>
        <v>0</v>
      </c>
      <c r="E138" s="513">
        <f t="shared" ca="1" si="53"/>
        <v>0</v>
      </c>
      <c r="F138" s="513">
        <f t="shared" ca="1" si="54"/>
        <v>0</v>
      </c>
      <c r="G138" s="513">
        <f t="shared" ca="1" si="55"/>
        <v>0</v>
      </c>
      <c r="H138" s="513">
        <f t="shared" ca="1" si="56"/>
        <v>0</v>
      </c>
      <c r="I138" s="513"/>
      <c r="J138" s="513"/>
      <c r="K138" s="513">
        <f t="shared" ca="1" si="57"/>
        <v>0</v>
      </c>
      <c r="L138" s="513">
        <f t="shared" ca="1" si="58"/>
        <v>0</v>
      </c>
      <c r="M138" s="513">
        <f t="shared" ca="1" si="59"/>
        <v>0</v>
      </c>
      <c r="N138" s="513">
        <f t="shared" ca="1" si="60"/>
        <v>0</v>
      </c>
      <c r="O138" s="513">
        <f t="shared" ca="1" si="61"/>
        <v>0</v>
      </c>
      <c r="P138" s="564"/>
      <c r="Q138" s="513">
        <f t="shared" ca="1" si="62"/>
        <v>0</v>
      </c>
      <c r="R138" s="513">
        <f t="shared" ca="1" si="63"/>
        <v>0</v>
      </c>
      <c r="S138" s="505"/>
      <c r="T138" s="505"/>
      <c r="U138" s="513"/>
      <c r="V138" s="513">
        <f t="shared" ca="1" si="51"/>
        <v>0</v>
      </c>
      <c r="W138" s="513">
        <f t="shared" ca="1" si="66"/>
        <v>0</v>
      </c>
      <c r="X138" s="513">
        <f t="shared" ca="1" si="67"/>
        <v>0</v>
      </c>
      <c r="Y138" s="513">
        <f t="shared" ca="1" si="68"/>
        <v>0</v>
      </c>
      <c r="Z138" s="513"/>
      <c r="AA138" s="513">
        <f t="shared" ca="1" si="64"/>
        <v>0</v>
      </c>
      <c r="AB138" s="513">
        <f t="shared" ca="1" si="49"/>
        <v>0</v>
      </c>
      <c r="AC138" s="513">
        <f t="shared" ca="1" si="50"/>
        <v>0</v>
      </c>
      <c r="AD138" s="513">
        <f t="shared" ca="1" si="69"/>
        <v>0</v>
      </c>
    </row>
    <row r="139" spans="2:30" hidden="1">
      <c r="B139" s="563">
        <f t="shared" si="65"/>
        <v>103</v>
      </c>
      <c r="C139" s="563">
        <f t="shared" ca="1" si="65"/>
        <v>2124</v>
      </c>
      <c r="D139" s="505">
        <f t="shared" ca="1" si="52"/>
        <v>0</v>
      </c>
      <c r="E139" s="505">
        <f t="shared" ca="1" si="53"/>
        <v>0</v>
      </c>
      <c r="F139" s="505">
        <f t="shared" ca="1" si="54"/>
        <v>0</v>
      </c>
      <c r="G139" s="505">
        <f t="shared" ca="1" si="55"/>
        <v>0</v>
      </c>
      <c r="H139" s="505">
        <f t="shared" ca="1" si="56"/>
        <v>0</v>
      </c>
      <c r="I139" s="505"/>
      <c r="J139" s="505"/>
      <c r="K139" s="505">
        <f t="shared" ca="1" si="57"/>
        <v>0</v>
      </c>
      <c r="L139" s="505">
        <f t="shared" ca="1" si="58"/>
        <v>0</v>
      </c>
      <c r="M139" s="505">
        <f t="shared" ca="1" si="59"/>
        <v>0</v>
      </c>
      <c r="N139" s="505">
        <f t="shared" ca="1" si="60"/>
        <v>0</v>
      </c>
      <c r="O139" s="505">
        <f t="shared" ca="1" si="61"/>
        <v>0</v>
      </c>
      <c r="P139" s="563"/>
      <c r="Q139" s="505">
        <f t="shared" ca="1" si="62"/>
        <v>0</v>
      </c>
      <c r="R139" s="505">
        <f t="shared" ca="1" si="63"/>
        <v>0</v>
      </c>
      <c r="S139" s="505"/>
      <c r="T139" s="505"/>
      <c r="U139" s="505"/>
      <c r="V139" s="505">
        <f t="shared" ca="1" si="51"/>
        <v>0</v>
      </c>
      <c r="W139" s="505">
        <f t="shared" ca="1" si="66"/>
        <v>0</v>
      </c>
      <c r="X139" s="505">
        <f t="shared" ca="1" si="67"/>
        <v>0</v>
      </c>
      <c r="Y139" s="505">
        <f t="shared" ca="1" si="68"/>
        <v>0</v>
      </c>
      <c r="Z139" s="505"/>
      <c r="AA139" s="505">
        <f t="shared" ca="1" si="64"/>
        <v>0</v>
      </c>
      <c r="AB139" s="505">
        <f t="shared" ca="1" si="49"/>
        <v>0</v>
      </c>
      <c r="AC139" s="505">
        <f t="shared" ca="1" si="50"/>
        <v>0</v>
      </c>
      <c r="AD139" s="505">
        <f t="shared" ca="1" si="69"/>
        <v>0</v>
      </c>
    </row>
    <row r="140" spans="2:30" hidden="1">
      <c r="B140" s="564">
        <f t="shared" si="65"/>
        <v>104</v>
      </c>
      <c r="C140" s="564">
        <f t="shared" ca="1" si="65"/>
        <v>2125</v>
      </c>
      <c r="D140" s="513">
        <f t="shared" ca="1" si="52"/>
        <v>0</v>
      </c>
      <c r="E140" s="513">
        <f t="shared" ca="1" si="53"/>
        <v>0</v>
      </c>
      <c r="F140" s="513">
        <f t="shared" ca="1" si="54"/>
        <v>0</v>
      </c>
      <c r="G140" s="513">
        <f t="shared" ca="1" si="55"/>
        <v>0</v>
      </c>
      <c r="H140" s="513">
        <f t="shared" ca="1" si="56"/>
        <v>0</v>
      </c>
      <c r="I140" s="513"/>
      <c r="J140" s="513"/>
      <c r="K140" s="513">
        <f t="shared" ca="1" si="57"/>
        <v>0</v>
      </c>
      <c r="L140" s="513">
        <f t="shared" ca="1" si="58"/>
        <v>0</v>
      </c>
      <c r="M140" s="513">
        <f t="shared" ca="1" si="59"/>
        <v>0</v>
      </c>
      <c r="N140" s="513">
        <f t="shared" ca="1" si="60"/>
        <v>0</v>
      </c>
      <c r="O140" s="513">
        <f t="shared" ca="1" si="61"/>
        <v>0</v>
      </c>
      <c r="P140" s="564"/>
      <c r="Q140" s="513">
        <f t="shared" ca="1" si="62"/>
        <v>0</v>
      </c>
      <c r="R140" s="513">
        <f t="shared" ca="1" si="63"/>
        <v>0</v>
      </c>
      <c r="S140" s="505"/>
      <c r="T140" s="505"/>
      <c r="U140" s="513"/>
      <c r="V140" s="513">
        <f t="shared" ca="1" si="51"/>
        <v>0</v>
      </c>
      <c r="W140" s="513">
        <f t="shared" ca="1" si="66"/>
        <v>0</v>
      </c>
      <c r="X140" s="513">
        <f t="shared" ca="1" si="67"/>
        <v>0</v>
      </c>
      <c r="Y140" s="513">
        <f t="shared" ca="1" si="68"/>
        <v>0</v>
      </c>
      <c r="Z140" s="513"/>
      <c r="AA140" s="513">
        <f t="shared" ca="1" si="64"/>
        <v>0</v>
      </c>
      <c r="AB140" s="513">
        <f t="shared" ca="1" si="49"/>
        <v>0</v>
      </c>
      <c r="AC140" s="513">
        <f t="shared" ca="1" si="50"/>
        <v>0</v>
      </c>
      <c r="AD140" s="513">
        <f t="shared" ca="1" si="69"/>
        <v>0</v>
      </c>
    </row>
    <row r="141" spans="2:30" hidden="1">
      <c r="B141" s="563">
        <f t="shared" si="65"/>
        <v>105</v>
      </c>
      <c r="C141" s="563">
        <f t="shared" ca="1" si="65"/>
        <v>2126</v>
      </c>
      <c r="D141" s="505">
        <f t="shared" ca="1" si="52"/>
        <v>0</v>
      </c>
      <c r="E141" s="505">
        <f t="shared" ca="1" si="53"/>
        <v>0</v>
      </c>
      <c r="F141" s="505">
        <f t="shared" ca="1" si="54"/>
        <v>0</v>
      </c>
      <c r="G141" s="505">
        <f t="shared" ca="1" si="55"/>
        <v>0</v>
      </c>
      <c r="H141" s="505">
        <f t="shared" ca="1" si="56"/>
        <v>0</v>
      </c>
      <c r="I141" s="505"/>
      <c r="J141" s="505"/>
      <c r="K141" s="505">
        <f t="shared" ca="1" si="57"/>
        <v>0</v>
      </c>
      <c r="L141" s="505">
        <f t="shared" ca="1" si="58"/>
        <v>0</v>
      </c>
      <c r="M141" s="505">
        <f t="shared" ca="1" si="59"/>
        <v>0</v>
      </c>
      <c r="N141" s="505">
        <f t="shared" ca="1" si="60"/>
        <v>0</v>
      </c>
      <c r="O141" s="505">
        <f t="shared" ca="1" si="61"/>
        <v>0</v>
      </c>
      <c r="P141" s="563"/>
      <c r="Q141" s="505">
        <f t="shared" ca="1" si="62"/>
        <v>0</v>
      </c>
      <c r="R141" s="505">
        <f t="shared" ca="1" si="63"/>
        <v>0</v>
      </c>
      <c r="S141" s="505"/>
      <c r="T141" s="505"/>
      <c r="U141" s="505"/>
      <c r="V141" s="505">
        <f t="shared" ca="1" si="51"/>
        <v>0</v>
      </c>
      <c r="W141" s="505">
        <f t="shared" ca="1" si="66"/>
        <v>0</v>
      </c>
      <c r="X141" s="505">
        <f t="shared" ca="1" si="67"/>
        <v>0</v>
      </c>
      <c r="Y141" s="505">
        <f t="shared" ca="1" si="68"/>
        <v>0</v>
      </c>
      <c r="Z141" s="505"/>
      <c r="AA141" s="505">
        <f t="shared" ca="1" si="64"/>
        <v>0</v>
      </c>
      <c r="AB141" s="505">
        <f t="shared" ca="1" si="49"/>
        <v>0</v>
      </c>
      <c r="AC141" s="505">
        <f t="shared" ca="1" si="50"/>
        <v>0</v>
      </c>
      <c r="AD141" s="505">
        <f t="shared" ca="1" si="69"/>
        <v>0</v>
      </c>
    </row>
    <row r="142" spans="2:30" hidden="1">
      <c r="B142" s="564">
        <f t="shared" si="65"/>
        <v>106</v>
      </c>
      <c r="C142" s="564">
        <f t="shared" ca="1" si="65"/>
        <v>2127</v>
      </c>
      <c r="D142" s="513">
        <f t="shared" ca="1" si="52"/>
        <v>0</v>
      </c>
      <c r="E142" s="513">
        <f t="shared" ca="1" si="53"/>
        <v>0</v>
      </c>
      <c r="F142" s="513">
        <f t="shared" ca="1" si="54"/>
        <v>0</v>
      </c>
      <c r="G142" s="513">
        <f t="shared" ca="1" si="55"/>
        <v>0</v>
      </c>
      <c r="H142" s="513">
        <f t="shared" ca="1" si="56"/>
        <v>0</v>
      </c>
      <c r="I142" s="513"/>
      <c r="J142" s="513"/>
      <c r="K142" s="513">
        <f t="shared" ca="1" si="57"/>
        <v>0</v>
      </c>
      <c r="L142" s="513">
        <f t="shared" ca="1" si="58"/>
        <v>0</v>
      </c>
      <c r="M142" s="513">
        <f t="shared" ca="1" si="59"/>
        <v>0</v>
      </c>
      <c r="N142" s="513">
        <f t="shared" ca="1" si="60"/>
        <v>0</v>
      </c>
      <c r="O142" s="513">
        <f t="shared" ca="1" si="61"/>
        <v>0</v>
      </c>
      <c r="P142" s="564"/>
      <c r="Q142" s="513">
        <f t="shared" ca="1" si="62"/>
        <v>0</v>
      </c>
      <c r="R142" s="513">
        <f t="shared" ca="1" si="63"/>
        <v>0</v>
      </c>
      <c r="S142" s="505"/>
      <c r="T142" s="505"/>
      <c r="U142" s="513"/>
      <c r="V142" s="513">
        <f t="shared" ca="1" si="51"/>
        <v>0</v>
      </c>
      <c r="W142" s="513">
        <f t="shared" ca="1" si="66"/>
        <v>0</v>
      </c>
      <c r="X142" s="513">
        <f t="shared" ca="1" si="67"/>
        <v>0</v>
      </c>
      <c r="Y142" s="513">
        <f t="shared" ca="1" si="68"/>
        <v>0</v>
      </c>
      <c r="Z142" s="513"/>
      <c r="AA142" s="513">
        <f t="shared" ca="1" si="64"/>
        <v>0</v>
      </c>
      <c r="AB142" s="513">
        <f t="shared" ca="1" si="49"/>
        <v>0</v>
      </c>
      <c r="AC142" s="513">
        <f t="shared" ca="1" si="50"/>
        <v>0</v>
      </c>
      <c r="AD142" s="513">
        <f t="shared" ca="1" si="69"/>
        <v>0</v>
      </c>
    </row>
    <row r="143" spans="2:30" hidden="1">
      <c r="B143" s="563">
        <f t="shared" si="65"/>
        <v>107</v>
      </c>
      <c r="C143" s="563">
        <f t="shared" ca="1" si="65"/>
        <v>2128</v>
      </c>
      <c r="D143" s="505">
        <f t="shared" ca="1" si="52"/>
        <v>0</v>
      </c>
      <c r="E143" s="505">
        <f t="shared" ca="1" si="53"/>
        <v>0</v>
      </c>
      <c r="F143" s="505">
        <f t="shared" ca="1" si="54"/>
        <v>0</v>
      </c>
      <c r="G143" s="505">
        <f t="shared" ca="1" si="55"/>
        <v>0</v>
      </c>
      <c r="H143" s="505">
        <f t="shared" ca="1" si="56"/>
        <v>0</v>
      </c>
      <c r="I143" s="505"/>
      <c r="J143" s="505"/>
      <c r="K143" s="505">
        <f t="shared" ca="1" si="57"/>
        <v>0</v>
      </c>
      <c r="L143" s="505">
        <f t="shared" ca="1" si="58"/>
        <v>0</v>
      </c>
      <c r="M143" s="505">
        <f t="shared" ca="1" si="59"/>
        <v>0</v>
      </c>
      <c r="N143" s="505">
        <f t="shared" ca="1" si="60"/>
        <v>0</v>
      </c>
      <c r="O143" s="505">
        <f t="shared" ca="1" si="61"/>
        <v>0</v>
      </c>
      <c r="P143" s="563"/>
      <c r="Q143" s="505">
        <f t="shared" ca="1" si="62"/>
        <v>0</v>
      </c>
      <c r="R143" s="505">
        <f t="shared" ca="1" si="63"/>
        <v>0</v>
      </c>
      <c r="S143" s="505"/>
      <c r="T143" s="505"/>
      <c r="U143" s="505"/>
      <c r="V143" s="505">
        <f t="shared" ca="1" si="51"/>
        <v>0</v>
      </c>
      <c r="W143" s="505">
        <f t="shared" ca="1" si="66"/>
        <v>0</v>
      </c>
      <c r="X143" s="505">
        <f t="shared" ca="1" si="67"/>
        <v>0</v>
      </c>
      <c r="Y143" s="505">
        <f t="shared" ca="1" si="68"/>
        <v>0</v>
      </c>
      <c r="Z143" s="505"/>
      <c r="AA143" s="505">
        <f t="shared" ca="1" si="64"/>
        <v>0</v>
      </c>
      <c r="AB143" s="505">
        <f t="shared" ca="1" si="49"/>
        <v>0</v>
      </c>
      <c r="AC143" s="505">
        <f t="shared" ca="1" si="50"/>
        <v>0</v>
      </c>
      <c r="AD143" s="505">
        <f t="shared" ca="1" si="69"/>
        <v>0</v>
      </c>
    </row>
    <row r="144" spans="2:30" hidden="1">
      <c r="B144" s="564">
        <f t="shared" si="65"/>
        <v>108</v>
      </c>
      <c r="C144" s="564">
        <f t="shared" ca="1" si="65"/>
        <v>2129</v>
      </c>
      <c r="D144" s="513">
        <f t="shared" ca="1" si="52"/>
        <v>0</v>
      </c>
      <c r="E144" s="513">
        <f t="shared" ca="1" si="53"/>
        <v>0</v>
      </c>
      <c r="F144" s="513">
        <f t="shared" ca="1" si="54"/>
        <v>0</v>
      </c>
      <c r="G144" s="513">
        <f t="shared" ca="1" si="55"/>
        <v>0</v>
      </c>
      <c r="H144" s="513">
        <f t="shared" ca="1" si="56"/>
        <v>0</v>
      </c>
      <c r="I144" s="513"/>
      <c r="J144" s="513"/>
      <c r="K144" s="513">
        <f t="shared" ca="1" si="57"/>
        <v>0</v>
      </c>
      <c r="L144" s="513">
        <f t="shared" ca="1" si="58"/>
        <v>0</v>
      </c>
      <c r="M144" s="513">
        <f t="shared" ca="1" si="59"/>
        <v>0</v>
      </c>
      <c r="N144" s="513">
        <f t="shared" ca="1" si="60"/>
        <v>0</v>
      </c>
      <c r="O144" s="513">
        <f t="shared" ca="1" si="61"/>
        <v>0</v>
      </c>
      <c r="P144" s="564"/>
      <c r="Q144" s="513">
        <f t="shared" ca="1" si="62"/>
        <v>0</v>
      </c>
      <c r="R144" s="513">
        <f t="shared" ca="1" si="63"/>
        <v>0</v>
      </c>
      <c r="S144" s="505"/>
      <c r="T144" s="505"/>
      <c r="U144" s="513"/>
      <c r="V144" s="513">
        <f t="shared" ca="1" si="51"/>
        <v>0</v>
      </c>
      <c r="W144" s="513">
        <f t="shared" ca="1" si="66"/>
        <v>0</v>
      </c>
      <c r="X144" s="513">
        <f t="shared" ca="1" si="67"/>
        <v>0</v>
      </c>
      <c r="Y144" s="513">
        <f t="shared" ca="1" si="68"/>
        <v>0</v>
      </c>
      <c r="Z144" s="513"/>
      <c r="AA144" s="513">
        <f t="shared" ca="1" si="64"/>
        <v>0</v>
      </c>
      <c r="AB144" s="513">
        <f t="shared" ca="1" si="49"/>
        <v>0</v>
      </c>
      <c r="AC144" s="513">
        <f t="shared" ca="1" si="50"/>
        <v>0</v>
      </c>
      <c r="AD144" s="513">
        <f t="shared" ca="1" si="69"/>
        <v>0</v>
      </c>
    </row>
    <row r="145" spans="2:30" hidden="1">
      <c r="B145" s="563">
        <f t="shared" si="65"/>
        <v>109</v>
      </c>
      <c r="C145" s="563">
        <f t="shared" ca="1" si="65"/>
        <v>2130</v>
      </c>
      <c r="D145" s="505">
        <f t="shared" ca="1" si="52"/>
        <v>0</v>
      </c>
      <c r="E145" s="505">
        <f t="shared" ca="1" si="53"/>
        <v>0</v>
      </c>
      <c r="F145" s="505">
        <f t="shared" ca="1" si="54"/>
        <v>0</v>
      </c>
      <c r="G145" s="505">
        <f t="shared" ca="1" si="55"/>
        <v>0</v>
      </c>
      <c r="H145" s="505">
        <f t="shared" ca="1" si="56"/>
        <v>0</v>
      </c>
      <c r="I145" s="505"/>
      <c r="J145" s="505"/>
      <c r="K145" s="505">
        <f t="shared" ca="1" si="57"/>
        <v>0</v>
      </c>
      <c r="L145" s="505">
        <f t="shared" ca="1" si="58"/>
        <v>0</v>
      </c>
      <c r="M145" s="505">
        <f t="shared" ca="1" si="59"/>
        <v>0</v>
      </c>
      <c r="N145" s="505">
        <f t="shared" ca="1" si="60"/>
        <v>0</v>
      </c>
      <c r="O145" s="505">
        <f t="shared" ca="1" si="61"/>
        <v>0</v>
      </c>
      <c r="P145" s="563"/>
      <c r="Q145" s="505">
        <f t="shared" ca="1" si="62"/>
        <v>0</v>
      </c>
      <c r="R145" s="505">
        <f t="shared" ca="1" si="63"/>
        <v>0</v>
      </c>
      <c r="S145" s="505"/>
      <c r="T145" s="505"/>
      <c r="U145" s="505"/>
      <c r="V145" s="505">
        <f t="shared" ca="1" si="51"/>
        <v>0</v>
      </c>
      <c r="W145" s="505">
        <f t="shared" ca="1" si="66"/>
        <v>0</v>
      </c>
      <c r="X145" s="505">
        <f t="shared" ca="1" si="67"/>
        <v>0</v>
      </c>
      <c r="Y145" s="505">
        <f t="shared" ca="1" si="68"/>
        <v>0</v>
      </c>
      <c r="Z145" s="505"/>
      <c r="AA145" s="505">
        <f t="shared" ca="1" si="64"/>
        <v>0</v>
      </c>
      <c r="AB145" s="505">
        <f t="shared" ca="1" si="49"/>
        <v>0</v>
      </c>
      <c r="AC145" s="505">
        <f t="shared" ca="1" si="50"/>
        <v>0</v>
      </c>
      <c r="AD145" s="505">
        <f t="shared" ca="1" si="69"/>
        <v>0</v>
      </c>
    </row>
    <row r="146" spans="2:30" hidden="1">
      <c r="B146" s="564">
        <f t="shared" si="65"/>
        <v>110</v>
      </c>
      <c r="C146" s="564">
        <f t="shared" ca="1" si="65"/>
        <v>2131</v>
      </c>
      <c r="D146" s="513">
        <f t="shared" ca="1" si="52"/>
        <v>0</v>
      </c>
      <c r="E146" s="513">
        <f t="shared" ca="1" si="53"/>
        <v>0</v>
      </c>
      <c r="F146" s="513">
        <f t="shared" ca="1" si="54"/>
        <v>0</v>
      </c>
      <c r="G146" s="513">
        <f t="shared" ca="1" si="55"/>
        <v>0</v>
      </c>
      <c r="H146" s="513">
        <f t="shared" ca="1" si="56"/>
        <v>0</v>
      </c>
      <c r="I146" s="513"/>
      <c r="J146" s="513"/>
      <c r="K146" s="513">
        <f t="shared" ca="1" si="57"/>
        <v>0</v>
      </c>
      <c r="L146" s="513">
        <f t="shared" ca="1" si="58"/>
        <v>0</v>
      </c>
      <c r="M146" s="513">
        <f t="shared" ca="1" si="59"/>
        <v>0</v>
      </c>
      <c r="N146" s="513">
        <f t="shared" ca="1" si="60"/>
        <v>0</v>
      </c>
      <c r="O146" s="513">
        <f t="shared" ca="1" si="61"/>
        <v>0</v>
      </c>
      <c r="P146" s="564"/>
      <c r="Q146" s="513">
        <f t="shared" ca="1" si="62"/>
        <v>0</v>
      </c>
      <c r="R146" s="513">
        <f t="shared" ca="1" si="63"/>
        <v>0</v>
      </c>
      <c r="S146" s="505"/>
      <c r="T146" s="505"/>
      <c r="U146" s="513"/>
      <c r="V146" s="513">
        <f t="shared" ca="1" si="51"/>
        <v>0</v>
      </c>
      <c r="W146" s="513">
        <f t="shared" ca="1" si="66"/>
        <v>0</v>
      </c>
      <c r="X146" s="513">
        <f t="shared" ca="1" si="67"/>
        <v>0</v>
      </c>
      <c r="Y146" s="513">
        <f t="shared" ca="1" si="68"/>
        <v>0</v>
      </c>
      <c r="Z146" s="513"/>
      <c r="AA146" s="513">
        <f t="shared" ca="1" si="64"/>
        <v>0</v>
      </c>
      <c r="AB146" s="513">
        <f t="shared" ca="1" si="49"/>
        <v>0</v>
      </c>
      <c r="AC146" s="513">
        <f t="shared" ca="1" si="50"/>
        <v>0</v>
      </c>
      <c r="AD146" s="513">
        <f t="shared" ca="1" si="69"/>
        <v>0</v>
      </c>
    </row>
    <row r="147" spans="2:30" hidden="1">
      <c r="B147" s="563">
        <f t="shared" si="65"/>
        <v>111</v>
      </c>
      <c r="C147" s="563">
        <f t="shared" ca="1" si="65"/>
        <v>2132</v>
      </c>
      <c r="D147" s="505">
        <f t="shared" ca="1" si="52"/>
        <v>0</v>
      </c>
      <c r="E147" s="505">
        <f t="shared" ca="1" si="53"/>
        <v>0</v>
      </c>
      <c r="F147" s="505">
        <f t="shared" ca="1" si="54"/>
        <v>0</v>
      </c>
      <c r="G147" s="505">
        <f t="shared" ca="1" si="55"/>
        <v>0</v>
      </c>
      <c r="H147" s="505">
        <f t="shared" ca="1" si="56"/>
        <v>0</v>
      </c>
      <c r="I147" s="505"/>
      <c r="J147" s="505"/>
      <c r="K147" s="505">
        <f t="shared" ca="1" si="57"/>
        <v>0</v>
      </c>
      <c r="L147" s="505">
        <f t="shared" ca="1" si="58"/>
        <v>0</v>
      </c>
      <c r="M147" s="505">
        <f t="shared" ca="1" si="59"/>
        <v>0</v>
      </c>
      <c r="N147" s="505">
        <f t="shared" ca="1" si="60"/>
        <v>0</v>
      </c>
      <c r="O147" s="505">
        <f t="shared" ca="1" si="61"/>
        <v>0</v>
      </c>
      <c r="P147" s="563"/>
      <c r="Q147" s="505">
        <f t="shared" ca="1" si="62"/>
        <v>0</v>
      </c>
      <c r="R147" s="505">
        <f t="shared" ca="1" si="63"/>
        <v>0</v>
      </c>
      <c r="S147" s="505"/>
      <c r="T147" s="505"/>
      <c r="U147" s="505"/>
      <c r="V147" s="505">
        <f t="shared" ca="1" si="51"/>
        <v>0</v>
      </c>
      <c r="W147" s="505">
        <f t="shared" ca="1" si="66"/>
        <v>0</v>
      </c>
      <c r="X147" s="505">
        <f t="shared" ca="1" si="67"/>
        <v>0</v>
      </c>
      <c r="Y147" s="505">
        <f t="shared" ca="1" si="68"/>
        <v>0</v>
      </c>
      <c r="Z147" s="505"/>
      <c r="AA147" s="505">
        <f t="shared" ca="1" si="64"/>
        <v>0</v>
      </c>
      <c r="AB147" s="505">
        <f t="shared" ca="1" si="49"/>
        <v>0</v>
      </c>
      <c r="AC147" s="505">
        <f t="shared" ca="1" si="50"/>
        <v>0</v>
      </c>
      <c r="AD147" s="505">
        <f t="shared" ca="1" si="69"/>
        <v>0</v>
      </c>
    </row>
    <row r="148" spans="2:30" hidden="1">
      <c r="B148" s="564">
        <f t="shared" ref="B148:C161" si="70">B147+1</f>
        <v>112</v>
      </c>
      <c r="C148" s="564">
        <f t="shared" ca="1" si="70"/>
        <v>2133</v>
      </c>
      <c r="D148" s="513">
        <f t="shared" ca="1" si="52"/>
        <v>0</v>
      </c>
      <c r="E148" s="513">
        <f t="shared" ca="1" si="53"/>
        <v>0</v>
      </c>
      <c r="F148" s="513">
        <f t="shared" ca="1" si="54"/>
        <v>0</v>
      </c>
      <c r="G148" s="513">
        <f t="shared" ca="1" si="55"/>
        <v>0</v>
      </c>
      <c r="H148" s="513">
        <f t="shared" ca="1" si="56"/>
        <v>0</v>
      </c>
      <c r="I148" s="513"/>
      <c r="J148" s="513"/>
      <c r="K148" s="513">
        <f t="shared" ca="1" si="57"/>
        <v>0</v>
      </c>
      <c r="L148" s="513">
        <f t="shared" ca="1" si="58"/>
        <v>0</v>
      </c>
      <c r="M148" s="513">
        <f t="shared" ca="1" si="59"/>
        <v>0</v>
      </c>
      <c r="N148" s="513">
        <f t="shared" ca="1" si="60"/>
        <v>0</v>
      </c>
      <c r="O148" s="513">
        <f t="shared" ca="1" si="61"/>
        <v>0</v>
      </c>
      <c r="P148" s="564"/>
      <c r="Q148" s="513">
        <f t="shared" ca="1" si="62"/>
        <v>0</v>
      </c>
      <c r="R148" s="513">
        <f t="shared" ca="1" si="63"/>
        <v>0</v>
      </c>
      <c r="S148" s="505"/>
      <c r="T148" s="505"/>
      <c r="U148" s="513"/>
      <c r="V148" s="513">
        <f t="shared" ca="1" si="51"/>
        <v>0</v>
      </c>
      <c r="W148" s="513">
        <f t="shared" ca="1" si="66"/>
        <v>0</v>
      </c>
      <c r="X148" s="513">
        <f t="shared" ca="1" si="67"/>
        <v>0</v>
      </c>
      <c r="Y148" s="513">
        <f t="shared" ca="1" si="68"/>
        <v>0</v>
      </c>
      <c r="Z148" s="513"/>
      <c r="AA148" s="513">
        <f t="shared" ca="1" si="64"/>
        <v>0</v>
      </c>
      <c r="AB148" s="513">
        <f t="shared" ca="1" si="49"/>
        <v>0</v>
      </c>
      <c r="AC148" s="513">
        <f t="shared" ca="1" si="50"/>
        <v>0</v>
      </c>
      <c r="AD148" s="513">
        <f t="shared" ca="1" si="69"/>
        <v>0</v>
      </c>
    </row>
    <row r="149" spans="2:30" hidden="1">
      <c r="B149" s="563">
        <f t="shared" si="70"/>
        <v>113</v>
      </c>
      <c r="C149" s="563">
        <f t="shared" ca="1" si="70"/>
        <v>2134</v>
      </c>
      <c r="D149" s="505">
        <f t="shared" ca="1" si="52"/>
        <v>0</v>
      </c>
      <c r="E149" s="505">
        <f t="shared" ca="1" si="53"/>
        <v>0</v>
      </c>
      <c r="F149" s="505">
        <f t="shared" ca="1" si="54"/>
        <v>0</v>
      </c>
      <c r="G149" s="505">
        <f t="shared" ca="1" si="55"/>
        <v>0</v>
      </c>
      <c r="H149" s="505">
        <f t="shared" ca="1" si="56"/>
        <v>0</v>
      </c>
      <c r="I149" s="505"/>
      <c r="J149" s="505"/>
      <c r="K149" s="505">
        <f t="shared" ca="1" si="57"/>
        <v>0</v>
      </c>
      <c r="L149" s="505">
        <f t="shared" ca="1" si="58"/>
        <v>0</v>
      </c>
      <c r="M149" s="505">
        <f t="shared" ca="1" si="59"/>
        <v>0</v>
      </c>
      <c r="N149" s="505">
        <f t="shared" ca="1" si="60"/>
        <v>0</v>
      </c>
      <c r="O149" s="505">
        <f t="shared" ca="1" si="61"/>
        <v>0</v>
      </c>
      <c r="P149" s="563"/>
      <c r="Q149" s="505">
        <f t="shared" ca="1" si="62"/>
        <v>0</v>
      </c>
      <c r="R149" s="505">
        <f t="shared" ca="1" si="63"/>
        <v>0</v>
      </c>
      <c r="S149" s="505"/>
      <c r="T149" s="505"/>
      <c r="U149" s="505"/>
      <c r="V149" s="505">
        <f t="shared" ca="1" si="51"/>
        <v>0</v>
      </c>
      <c r="W149" s="505">
        <f t="shared" ca="1" si="66"/>
        <v>0</v>
      </c>
      <c r="X149" s="505">
        <f t="shared" ca="1" si="67"/>
        <v>0</v>
      </c>
      <c r="Y149" s="505">
        <f t="shared" ca="1" si="68"/>
        <v>0</v>
      </c>
      <c r="Z149" s="505"/>
      <c r="AA149" s="505">
        <f t="shared" ca="1" si="64"/>
        <v>0</v>
      </c>
      <c r="AB149" s="505">
        <f t="shared" ca="1" si="49"/>
        <v>0</v>
      </c>
      <c r="AC149" s="505">
        <f t="shared" ca="1" si="50"/>
        <v>0</v>
      </c>
      <c r="AD149" s="505">
        <f t="shared" ca="1" si="69"/>
        <v>0</v>
      </c>
    </row>
    <row r="150" spans="2:30" hidden="1">
      <c r="B150" s="564">
        <f t="shared" si="70"/>
        <v>114</v>
      </c>
      <c r="C150" s="564">
        <f t="shared" ca="1" si="70"/>
        <v>2135</v>
      </c>
      <c r="D150" s="513">
        <f t="shared" ca="1" si="52"/>
        <v>0</v>
      </c>
      <c r="E150" s="513">
        <f t="shared" ca="1" si="53"/>
        <v>0</v>
      </c>
      <c r="F150" s="513">
        <f t="shared" ca="1" si="54"/>
        <v>0</v>
      </c>
      <c r="G150" s="513">
        <f t="shared" ca="1" si="55"/>
        <v>0</v>
      </c>
      <c r="H150" s="513">
        <f t="shared" ca="1" si="56"/>
        <v>0</v>
      </c>
      <c r="I150" s="513"/>
      <c r="J150" s="513"/>
      <c r="K150" s="513">
        <f t="shared" ca="1" si="57"/>
        <v>0</v>
      </c>
      <c r="L150" s="513">
        <f t="shared" ca="1" si="58"/>
        <v>0</v>
      </c>
      <c r="M150" s="513">
        <f t="shared" ca="1" si="59"/>
        <v>0</v>
      </c>
      <c r="N150" s="513">
        <f t="shared" ca="1" si="60"/>
        <v>0</v>
      </c>
      <c r="O150" s="513">
        <f t="shared" ca="1" si="61"/>
        <v>0</v>
      </c>
      <c r="P150" s="564"/>
      <c r="Q150" s="513">
        <f t="shared" ca="1" si="62"/>
        <v>0</v>
      </c>
      <c r="R150" s="513">
        <f t="shared" ca="1" si="63"/>
        <v>0</v>
      </c>
      <c r="S150" s="505"/>
      <c r="T150" s="505"/>
      <c r="U150" s="513"/>
      <c r="V150" s="513">
        <f t="shared" ca="1" si="51"/>
        <v>0</v>
      </c>
      <c r="W150" s="513">
        <f t="shared" ca="1" si="66"/>
        <v>0</v>
      </c>
      <c r="X150" s="513">
        <f t="shared" ca="1" si="67"/>
        <v>0</v>
      </c>
      <c r="Y150" s="513">
        <f t="shared" ca="1" si="68"/>
        <v>0</v>
      </c>
      <c r="Z150" s="513"/>
      <c r="AA150" s="513">
        <f t="shared" ca="1" si="64"/>
        <v>0</v>
      </c>
      <c r="AB150" s="513">
        <f t="shared" ca="1" si="49"/>
        <v>0</v>
      </c>
      <c r="AC150" s="513">
        <f t="shared" ca="1" si="50"/>
        <v>0</v>
      </c>
      <c r="AD150" s="513">
        <f t="shared" ca="1" si="69"/>
        <v>0</v>
      </c>
    </row>
    <row r="151" spans="2:30" hidden="1">
      <c r="B151" s="563">
        <f t="shared" si="70"/>
        <v>115</v>
      </c>
      <c r="C151" s="563">
        <f t="shared" ca="1" si="70"/>
        <v>2136</v>
      </c>
      <c r="D151" s="505">
        <f t="shared" ca="1" si="52"/>
        <v>0</v>
      </c>
      <c r="E151" s="505">
        <f t="shared" ca="1" si="53"/>
        <v>0</v>
      </c>
      <c r="F151" s="505">
        <f t="shared" ca="1" si="54"/>
        <v>0</v>
      </c>
      <c r="G151" s="505">
        <f t="shared" ca="1" si="55"/>
        <v>0</v>
      </c>
      <c r="H151" s="505">
        <f t="shared" ca="1" si="56"/>
        <v>0</v>
      </c>
      <c r="I151" s="505"/>
      <c r="J151" s="505"/>
      <c r="K151" s="505">
        <f t="shared" ca="1" si="57"/>
        <v>0</v>
      </c>
      <c r="L151" s="505">
        <f t="shared" ca="1" si="58"/>
        <v>0</v>
      </c>
      <c r="M151" s="505">
        <f t="shared" ca="1" si="59"/>
        <v>0</v>
      </c>
      <c r="N151" s="505">
        <f t="shared" ca="1" si="60"/>
        <v>0</v>
      </c>
      <c r="O151" s="505">
        <f t="shared" ca="1" si="61"/>
        <v>0</v>
      </c>
      <c r="P151" s="563"/>
      <c r="Q151" s="505">
        <f t="shared" ca="1" si="62"/>
        <v>0</v>
      </c>
      <c r="R151" s="505">
        <f t="shared" ca="1" si="63"/>
        <v>0</v>
      </c>
      <c r="S151" s="505"/>
      <c r="T151" s="505"/>
      <c r="U151" s="505"/>
      <c r="V151" s="505">
        <f t="shared" ca="1" si="51"/>
        <v>0</v>
      </c>
      <c r="W151" s="505">
        <f t="shared" ca="1" si="66"/>
        <v>0</v>
      </c>
      <c r="X151" s="505">
        <f t="shared" ca="1" si="67"/>
        <v>0</v>
      </c>
      <c r="Y151" s="505">
        <f t="shared" ca="1" si="68"/>
        <v>0</v>
      </c>
      <c r="Z151" s="505"/>
      <c r="AA151" s="505">
        <f t="shared" ca="1" si="64"/>
        <v>0</v>
      </c>
      <c r="AB151" s="505">
        <f t="shared" ca="1" si="49"/>
        <v>0</v>
      </c>
      <c r="AC151" s="505">
        <f t="shared" ca="1" si="50"/>
        <v>0</v>
      </c>
      <c r="AD151" s="505">
        <f t="shared" ca="1" si="69"/>
        <v>0</v>
      </c>
    </row>
    <row r="152" spans="2:30" hidden="1">
      <c r="B152" s="564">
        <f t="shared" si="70"/>
        <v>116</v>
      </c>
      <c r="C152" s="564">
        <f t="shared" ca="1" si="70"/>
        <v>2137</v>
      </c>
      <c r="D152" s="513">
        <f t="shared" ca="1" si="52"/>
        <v>0</v>
      </c>
      <c r="E152" s="513">
        <f t="shared" ca="1" si="53"/>
        <v>0</v>
      </c>
      <c r="F152" s="513">
        <f t="shared" ca="1" si="54"/>
        <v>0</v>
      </c>
      <c r="G152" s="513">
        <f t="shared" ca="1" si="55"/>
        <v>0</v>
      </c>
      <c r="H152" s="513">
        <f t="shared" ca="1" si="56"/>
        <v>0</v>
      </c>
      <c r="I152" s="513"/>
      <c r="J152" s="513"/>
      <c r="K152" s="513">
        <f t="shared" ca="1" si="57"/>
        <v>0</v>
      </c>
      <c r="L152" s="513">
        <f t="shared" ca="1" si="58"/>
        <v>0</v>
      </c>
      <c r="M152" s="513">
        <f t="shared" ca="1" si="59"/>
        <v>0</v>
      </c>
      <c r="N152" s="513">
        <f t="shared" ca="1" si="60"/>
        <v>0</v>
      </c>
      <c r="O152" s="513">
        <f t="shared" ca="1" si="61"/>
        <v>0</v>
      </c>
      <c r="P152" s="564"/>
      <c r="Q152" s="513">
        <f t="shared" ca="1" si="62"/>
        <v>0</v>
      </c>
      <c r="R152" s="513">
        <f t="shared" ca="1" si="63"/>
        <v>0</v>
      </c>
      <c r="S152" s="505"/>
      <c r="T152" s="505"/>
      <c r="U152" s="513"/>
      <c r="V152" s="513">
        <f t="shared" ca="1" si="51"/>
        <v>0</v>
      </c>
      <c r="W152" s="513">
        <f t="shared" ca="1" si="66"/>
        <v>0</v>
      </c>
      <c r="X152" s="513">
        <f t="shared" ca="1" si="67"/>
        <v>0</v>
      </c>
      <c r="Y152" s="513">
        <f t="shared" ca="1" si="68"/>
        <v>0</v>
      </c>
      <c r="Z152" s="513"/>
      <c r="AA152" s="513">
        <f t="shared" ca="1" si="64"/>
        <v>0</v>
      </c>
      <c r="AB152" s="513">
        <f t="shared" ca="1" si="49"/>
        <v>0</v>
      </c>
      <c r="AC152" s="513">
        <f t="shared" ca="1" si="50"/>
        <v>0</v>
      </c>
      <c r="AD152" s="513">
        <f t="shared" ca="1" si="69"/>
        <v>0</v>
      </c>
    </row>
    <row r="153" spans="2:30" hidden="1">
      <c r="B153" s="563">
        <f t="shared" si="70"/>
        <v>117</v>
      </c>
      <c r="C153" s="563">
        <f t="shared" ca="1" si="70"/>
        <v>2138</v>
      </c>
      <c r="D153" s="505">
        <f t="shared" ca="1" si="52"/>
        <v>0</v>
      </c>
      <c r="E153" s="505">
        <f t="shared" ca="1" si="53"/>
        <v>0</v>
      </c>
      <c r="F153" s="505">
        <f t="shared" ca="1" si="54"/>
        <v>0</v>
      </c>
      <c r="G153" s="505">
        <f t="shared" ca="1" si="55"/>
        <v>0</v>
      </c>
      <c r="H153" s="505">
        <f t="shared" ca="1" si="56"/>
        <v>0</v>
      </c>
      <c r="I153" s="505"/>
      <c r="J153" s="505"/>
      <c r="K153" s="505">
        <f t="shared" ca="1" si="57"/>
        <v>0</v>
      </c>
      <c r="L153" s="505">
        <f t="shared" ca="1" si="58"/>
        <v>0</v>
      </c>
      <c r="M153" s="505">
        <f t="shared" ca="1" si="59"/>
        <v>0</v>
      </c>
      <c r="N153" s="505">
        <f t="shared" ca="1" si="60"/>
        <v>0</v>
      </c>
      <c r="O153" s="505">
        <f t="shared" ca="1" si="61"/>
        <v>0</v>
      </c>
      <c r="P153" s="563"/>
      <c r="Q153" s="505">
        <f t="shared" ca="1" si="62"/>
        <v>0</v>
      </c>
      <c r="R153" s="505">
        <f t="shared" ca="1" si="63"/>
        <v>0</v>
      </c>
      <c r="S153" s="505"/>
      <c r="T153" s="505"/>
      <c r="U153" s="505"/>
      <c r="V153" s="505">
        <f t="shared" ca="1" si="51"/>
        <v>0</v>
      </c>
      <c r="W153" s="505">
        <f t="shared" ca="1" si="66"/>
        <v>0</v>
      </c>
      <c r="X153" s="505">
        <f t="shared" ca="1" si="67"/>
        <v>0</v>
      </c>
      <c r="Y153" s="505">
        <f t="shared" ca="1" si="68"/>
        <v>0</v>
      </c>
      <c r="Z153" s="505"/>
      <c r="AA153" s="505">
        <f t="shared" ca="1" si="64"/>
        <v>0</v>
      </c>
      <c r="AB153" s="505">
        <f t="shared" ca="1" si="49"/>
        <v>0</v>
      </c>
      <c r="AC153" s="505">
        <f t="shared" ca="1" si="50"/>
        <v>0</v>
      </c>
      <c r="AD153" s="505">
        <f t="shared" ca="1" si="69"/>
        <v>0</v>
      </c>
    </row>
    <row r="154" spans="2:30" hidden="1">
      <c r="B154" s="564">
        <f t="shared" si="70"/>
        <v>118</v>
      </c>
      <c r="C154" s="564">
        <f t="shared" ca="1" si="70"/>
        <v>2139</v>
      </c>
      <c r="D154" s="513">
        <f t="shared" ca="1" si="52"/>
        <v>0</v>
      </c>
      <c r="E154" s="513">
        <f t="shared" ca="1" si="53"/>
        <v>0</v>
      </c>
      <c r="F154" s="513">
        <f t="shared" ca="1" si="54"/>
        <v>0</v>
      </c>
      <c r="G154" s="513">
        <f t="shared" ca="1" si="55"/>
        <v>0</v>
      </c>
      <c r="H154" s="513">
        <f t="shared" ca="1" si="56"/>
        <v>0</v>
      </c>
      <c r="I154" s="513"/>
      <c r="J154" s="513"/>
      <c r="K154" s="513">
        <f t="shared" ca="1" si="57"/>
        <v>0</v>
      </c>
      <c r="L154" s="513">
        <f t="shared" ca="1" si="58"/>
        <v>0</v>
      </c>
      <c r="M154" s="513">
        <f t="shared" ca="1" si="59"/>
        <v>0</v>
      </c>
      <c r="N154" s="513">
        <f t="shared" ca="1" si="60"/>
        <v>0</v>
      </c>
      <c r="O154" s="513">
        <f t="shared" ca="1" si="61"/>
        <v>0</v>
      </c>
      <c r="P154" s="564"/>
      <c r="Q154" s="513">
        <f t="shared" ca="1" si="62"/>
        <v>0</v>
      </c>
      <c r="R154" s="513">
        <f t="shared" ca="1" si="63"/>
        <v>0</v>
      </c>
      <c r="S154" s="505"/>
      <c r="T154" s="505"/>
      <c r="U154" s="513"/>
      <c r="V154" s="513">
        <f t="shared" ca="1" si="51"/>
        <v>0</v>
      </c>
      <c r="W154" s="513">
        <f t="shared" ca="1" si="66"/>
        <v>0</v>
      </c>
      <c r="X154" s="513">
        <f t="shared" ca="1" si="67"/>
        <v>0</v>
      </c>
      <c r="Y154" s="513">
        <f t="shared" ca="1" si="68"/>
        <v>0</v>
      </c>
      <c r="Z154" s="513"/>
      <c r="AA154" s="513">
        <f t="shared" ca="1" si="64"/>
        <v>0</v>
      </c>
      <c r="AB154" s="513">
        <f t="shared" ca="1" si="49"/>
        <v>0</v>
      </c>
      <c r="AC154" s="513">
        <f t="shared" ca="1" si="50"/>
        <v>0</v>
      </c>
      <c r="AD154" s="513">
        <f t="shared" ca="1" si="69"/>
        <v>0</v>
      </c>
    </row>
    <row r="155" spans="2:30" hidden="1">
      <c r="B155" s="563">
        <f t="shared" si="70"/>
        <v>119</v>
      </c>
      <c r="C155" s="563">
        <f t="shared" ca="1" si="70"/>
        <v>2140</v>
      </c>
      <c r="D155" s="505">
        <f t="shared" ca="1" si="52"/>
        <v>0</v>
      </c>
      <c r="E155" s="505">
        <f t="shared" ca="1" si="53"/>
        <v>0</v>
      </c>
      <c r="F155" s="505">
        <f t="shared" ca="1" si="54"/>
        <v>0</v>
      </c>
      <c r="G155" s="505">
        <f t="shared" ca="1" si="55"/>
        <v>0</v>
      </c>
      <c r="H155" s="505">
        <f t="shared" ca="1" si="56"/>
        <v>0</v>
      </c>
      <c r="I155" s="505"/>
      <c r="J155" s="505"/>
      <c r="K155" s="505">
        <f t="shared" ca="1" si="57"/>
        <v>0</v>
      </c>
      <c r="L155" s="505">
        <f t="shared" ca="1" si="58"/>
        <v>0</v>
      </c>
      <c r="M155" s="505">
        <f t="shared" ca="1" si="59"/>
        <v>0</v>
      </c>
      <c r="N155" s="505">
        <f t="shared" ca="1" si="60"/>
        <v>0</v>
      </c>
      <c r="O155" s="505">
        <f t="shared" ca="1" si="61"/>
        <v>0</v>
      </c>
      <c r="P155" s="563"/>
      <c r="Q155" s="505">
        <f t="shared" ca="1" si="62"/>
        <v>0</v>
      </c>
      <c r="R155" s="505">
        <f t="shared" ca="1" si="63"/>
        <v>0</v>
      </c>
      <c r="S155" s="505"/>
      <c r="T155" s="505"/>
      <c r="U155" s="505"/>
      <c r="V155" s="505">
        <f t="shared" ca="1" si="51"/>
        <v>0</v>
      </c>
      <c r="W155" s="505">
        <f t="shared" ca="1" si="66"/>
        <v>0</v>
      </c>
      <c r="X155" s="505">
        <f t="shared" ca="1" si="67"/>
        <v>0</v>
      </c>
      <c r="Y155" s="505">
        <f t="shared" ca="1" si="68"/>
        <v>0</v>
      </c>
      <c r="Z155" s="505"/>
      <c r="AA155" s="505">
        <f t="shared" ca="1" si="64"/>
        <v>0</v>
      </c>
      <c r="AB155" s="505">
        <f t="shared" ca="1" si="49"/>
        <v>0</v>
      </c>
      <c r="AC155" s="505">
        <f t="shared" ca="1" si="50"/>
        <v>0</v>
      </c>
      <c r="AD155" s="505">
        <f t="shared" ca="1" si="69"/>
        <v>0</v>
      </c>
    </row>
    <row r="156" spans="2:30" hidden="1">
      <c r="B156" s="564">
        <f t="shared" si="70"/>
        <v>120</v>
      </c>
      <c r="C156" s="564">
        <f t="shared" ca="1" si="70"/>
        <v>2141</v>
      </c>
      <c r="D156" s="513">
        <f t="shared" ca="1" si="52"/>
        <v>0</v>
      </c>
      <c r="E156" s="513">
        <f t="shared" ca="1" si="53"/>
        <v>0</v>
      </c>
      <c r="F156" s="513">
        <f t="shared" ca="1" si="54"/>
        <v>0</v>
      </c>
      <c r="G156" s="513">
        <f t="shared" ca="1" si="55"/>
        <v>0</v>
      </c>
      <c r="H156" s="513">
        <f t="shared" ca="1" si="56"/>
        <v>0</v>
      </c>
      <c r="I156" s="513"/>
      <c r="J156" s="513"/>
      <c r="K156" s="513">
        <f t="shared" ca="1" si="57"/>
        <v>0</v>
      </c>
      <c r="L156" s="513">
        <f t="shared" ca="1" si="58"/>
        <v>0</v>
      </c>
      <c r="M156" s="513">
        <f t="shared" ca="1" si="59"/>
        <v>0</v>
      </c>
      <c r="N156" s="513">
        <f t="shared" ca="1" si="60"/>
        <v>0</v>
      </c>
      <c r="O156" s="513">
        <f t="shared" ca="1" si="61"/>
        <v>0</v>
      </c>
      <c r="P156" s="564"/>
      <c r="Q156" s="513">
        <f t="shared" ca="1" si="62"/>
        <v>0</v>
      </c>
      <c r="R156" s="513">
        <f t="shared" ca="1" si="63"/>
        <v>0</v>
      </c>
      <c r="S156" s="505"/>
      <c r="T156" s="505"/>
      <c r="U156" s="513"/>
      <c r="V156" s="513">
        <f t="shared" ca="1" si="51"/>
        <v>0</v>
      </c>
      <c r="W156" s="513">
        <f t="shared" ca="1" si="66"/>
        <v>0</v>
      </c>
      <c r="X156" s="513">
        <f t="shared" ca="1" si="67"/>
        <v>0</v>
      </c>
      <c r="Y156" s="513">
        <f t="shared" ca="1" si="68"/>
        <v>0</v>
      </c>
      <c r="Z156" s="513"/>
      <c r="AA156" s="513">
        <f t="shared" ca="1" si="64"/>
        <v>0</v>
      </c>
      <c r="AB156" s="513">
        <f t="shared" ca="1" si="49"/>
        <v>0</v>
      </c>
      <c r="AC156" s="513">
        <f t="shared" ca="1" si="50"/>
        <v>0</v>
      </c>
      <c r="AD156" s="513">
        <f t="shared" ca="1" si="69"/>
        <v>0</v>
      </c>
    </row>
    <row r="157" spans="2:30" hidden="1">
      <c r="B157" s="563">
        <f t="shared" si="70"/>
        <v>121</v>
      </c>
      <c r="C157" s="563">
        <f t="shared" ca="1" si="70"/>
        <v>2142</v>
      </c>
      <c r="D157" s="505">
        <f t="shared" ca="1" si="52"/>
        <v>0</v>
      </c>
      <c r="E157" s="505">
        <f t="shared" ca="1" si="53"/>
        <v>0</v>
      </c>
      <c r="F157" s="505">
        <f t="shared" ca="1" si="54"/>
        <v>0</v>
      </c>
      <c r="G157" s="505">
        <f t="shared" ca="1" si="55"/>
        <v>0</v>
      </c>
      <c r="H157" s="505">
        <f t="shared" ca="1" si="56"/>
        <v>0</v>
      </c>
      <c r="I157" s="505"/>
      <c r="J157" s="505"/>
      <c r="K157" s="505">
        <f t="shared" ca="1" si="57"/>
        <v>0</v>
      </c>
      <c r="L157" s="505">
        <f t="shared" ca="1" si="58"/>
        <v>0</v>
      </c>
      <c r="M157" s="505">
        <f t="shared" ca="1" si="59"/>
        <v>0</v>
      </c>
      <c r="N157" s="505">
        <f t="shared" ca="1" si="60"/>
        <v>0</v>
      </c>
      <c r="O157" s="505">
        <f t="shared" ca="1" si="61"/>
        <v>0</v>
      </c>
      <c r="P157" s="563"/>
      <c r="Q157" s="505">
        <f t="shared" ca="1" si="62"/>
        <v>0</v>
      </c>
      <c r="R157" s="505">
        <f t="shared" ca="1" si="63"/>
        <v>0</v>
      </c>
      <c r="S157" s="505"/>
      <c r="T157" s="505"/>
      <c r="U157" s="505"/>
      <c r="V157" s="505">
        <f t="shared" ca="1" si="51"/>
        <v>0</v>
      </c>
      <c r="W157" s="505">
        <f t="shared" ca="1" si="66"/>
        <v>0</v>
      </c>
      <c r="X157" s="505">
        <f t="shared" ca="1" si="67"/>
        <v>0</v>
      </c>
      <c r="Y157" s="505">
        <f t="shared" ca="1" si="68"/>
        <v>0</v>
      </c>
      <c r="Z157" s="505"/>
      <c r="AA157" s="505">
        <f t="shared" ca="1" si="64"/>
        <v>0</v>
      </c>
      <c r="AB157" s="505">
        <f t="shared" ca="1" si="49"/>
        <v>0</v>
      </c>
      <c r="AC157" s="505">
        <f t="shared" ca="1" si="50"/>
        <v>0</v>
      </c>
      <c r="AD157" s="505">
        <f t="shared" ca="1" si="69"/>
        <v>0</v>
      </c>
    </row>
    <row r="158" spans="2:30" hidden="1">
      <c r="B158" s="564">
        <f t="shared" si="70"/>
        <v>122</v>
      </c>
      <c r="C158" s="564">
        <f t="shared" ca="1" si="70"/>
        <v>2143</v>
      </c>
      <c r="D158" s="513">
        <f t="shared" ca="1" si="52"/>
        <v>0</v>
      </c>
      <c r="E158" s="513">
        <f t="shared" ca="1" si="53"/>
        <v>0</v>
      </c>
      <c r="F158" s="513">
        <f t="shared" ca="1" si="54"/>
        <v>0</v>
      </c>
      <c r="G158" s="513">
        <f t="shared" ca="1" si="55"/>
        <v>0</v>
      </c>
      <c r="H158" s="513">
        <f t="shared" ca="1" si="56"/>
        <v>0</v>
      </c>
      <c r="I158" s="513"/>
      <c r="J158" s="513"/>
      <c r="K158" s="513">
        <f t="shared" ca="1" si="57"/>
        <v>0</v>
      </c>
      <c r="L158" s="513">
        <f t="shared" ca="1" si="58"/>
        <v>0</v>
      </c>
      <c r="M158" s="513">
        <f t="shared" ca="1" si="59"/>
        <v>0</v>
      </c>
      <c r="N158" s="513">
        <f t="shared" ca="1" si="60"/>
        <v>0</v>
      </c>
      <c r="O158" s="513">
        <f t="shared" ca="1" si="61"/>
        <v>0</v>
      </c>
      <c r="P158" s="564"/>
      <c r="Q158" s="513">
        <f t="shared" ca="1" si="62"/>
        <v>0</v>
      </c>
      <c r="R158" s="513">
        <f t="shared" ca="1" si="63"/>
        <v>0</v>
      </c>
      <c r="S158" s="505"/>
      <c r="T158" s="505"/>
      <c r="U158" s="513"/>
      <c r="V158" s="513">
        <f t="shared" ca="1" si="51"/>
        <v>0</v>
      </c>
      <c r="W158" s="513">
        <f t="shared" ca="1" si="66"/>
        <v>0</v>
      </c>
      <c r="X158" s="513">
        <f t="shared" ca="1" si="67"/>
        <v>0</v>
      </c>
      <c r="Y158" s="513">
        <f t="shared" ca="1" si="68"/>
        <v>0</v>
      </c>
      <c r="Z158" s="513"/>
      <c r="AA158" s="513">
        <f t="shared" ca="1" si="64"/>
        <v>0</v>
      </c>
      <c r="AB158" s="513">
        <f t="shared" ca="1" si="49"/>
        <v>0</v>
      </c>
      <c r="AC158" s="513">
        <f t="shared" ca="1" si="50"/>
        <v>0</v>
      </c>
      <c r="AD158" s="513">
        <f t="shared" ca="1" si="69"/>
        <v>0</v>
      </c>
    </row>
    <row r="159" spans="2:30" hidden="1">
      <c r="B159" s="563">
        <f t="shared" si="70"/>
        <v>123</v>
      </c>
      <c r="C159" s="563">
        <f t="shared" ca="1" si="70"/>
        <v>2144</v>
      </c>
      <c r="D159" s="505">
        <f t="shared" ca="1" si="52"/>
        <v>0</v>
      </c>
      <c r="E159" s="505">
        <f t="shared" ca="1" si="53"/>
        <v>0</v>
      </c>
      <c r="F159" s="505">
        <f t="shared" ca="1" si="54"/>
        <v>0</v>
      </c>
      <c r="G159" s="505">
        <f t="shared" ca="1" si="55"/>
        <v>0</v>
      </c>
      <c r="H159" s="505">
        <f t="shared" ca="1" si="56"/>
        <v>0</v>
      </c>
      <c r="I159" s="505"/>
      <c r="J159" s="505"/>
      <c r="K159" s="505">
        <f t="shared" ca="1" si="57"/>
        <v>0</v>
      </c>
      <c r="L159" s="505">
        <f t="shared" ca="1" si="58"/>
        <v>0</v>
      </c>
      <c r="M159" s="505">
        <f t="shared" ca="1" si="59"/>
        <v>0</v>
      </c>
      <c r="N159" s="505">
        <f t="shared" ca="1" si="60"/>
        <v>0</v>
      </c>
      <c r="O159" s="505">
        <f t="shared" ca="1" si="61"/>
        <v>0</v>
      </c>
      <c r="P159" s="563"/>
      <c r="Q159" s="505">
        <f t="shared" ca="1" si="62"/>
        <v>0</v>
      </c>
      <c r="R159" s="505">
        <f t="shared" ca="1" si="63"/>
        <v>0</v>
      </c>
      <c r="S159" s="505"/>
      <c r="T159" s="505"/>
      <c r="U159" s="505"/>
      <c r="V159" s="505">
        <f t="shared" ca="1" si="51"/>
        <v>0</v>
      </c>
      <c r="W159" s="505">
        <f t="shared" ca="1" si="66"/>
        <v>0</v>
      </c>
      <c r="X159" s="505">
        <f t="shared" ca="1" si="67"/>
        <v>0</v>
      </c>
      <c r="Y159" s="505">
        <f t="shared" ca="1" si="68"/>
        <v>0</v>
      </c>
      <c r="Z159" s="505"/>
      <c r="AA159" s="505">
        <f t="shared" ca="1" si="64"/>
        <v>0</v>
      </c>
      <c r="AB159" s="505">
        <f t="shared" ca="1" si="49"/>
        <v>0</v>
      </c>
      <c r="AC159" s="505">
        <f t="shared" ca="1" si="50"/>
        <v>0</v>
      </c>
      <c r="AD159" s="505">
        <f t="shared" ca="1" si="69"/>
        <v>0</v>
      </c>
    </row>
    <row r="160" spans="2:30" ht="17" hidden="1" customHeight="1">
      <c r="B160" s="564">
        <f t="shared" si="70"/>
        <v>124</v>
      </c>
      <c r="C160" s="564">
        <f t="shared" ca="1" si="70"/>
        <v>2145</v>
      </c>
      <c r="D160" s="513">
        <f t="shared" ca="1" si="52"/>
        <v>0</v>
      </c>
      <c r="E160" s="513">
        <f t="shared" ca="1" si="53"/>
        <v>0</v>
      </c>
      <c r="F160" s="513">
        <f t="shared" ca="1" si="54"/>
        <v>0</v>
      </c>
      <c r="G160" s="513">
        <f t="shared" ca="1" si="55"/>
        <v>0</v>
      </c>
      <c r="H160" s="513">
        <f t="shared" ca="1" si="56"/>
        <v>0</v>
      </c>
      <c r="I160" s="513"/>
      <c r="J160" s="513"/>
      <c r="K160" s="513">
        <f t="shared" ca="1" si="57"/>
        <v>0</v>
      </c>
      <c r="L160" s="513">
        <f t="shared" ca="1" si="58"/>
        <v>0</v>
      </c>
      <c r="M160" s="513">
        <f t="shared" ca="1" si="59"/>
        <v>0</v>
      </c>
      <c r="N160" s="513">
        <f t="shared" ca="1" si="60"/>
        <v>0</v>
      </c>
      <c r="O160" s="513">
        <f t="shared" ca="1" si="61"/>
        <v>0</v>
      </c>
      <c r="P160" s="564"/>
      <c r="Q160" s="513">
        <f t="shared" ca="1" si="62"/>
        <v>0</v>
      </c>
      <c r="R160" s="513">
        <f t="shared" ca="1" si="63"/>
        <v>0</v>
      </c>
      <c r="S160" s="505"/>
      <c r="T160" s="505"/>
      <c r="U160" s="513"/>
      <c r="V160" s="513">
        <f t="shared" ca="1" si="51"/>
        <v>0</v>
      </c>
      <c r="W160" s="513">
        <f t="shared" ca="1" si="66"/>
        <v>0</v>
      </c>
      <c r="X160" s="513">
        <f t="shared" ca="1" si="67"/>
        <v>0</v>
      </c>
      <c r="Y160" s="513">
        <f t="shared" ca="1" si="68"/>
        <v>0</v>
      </c>
      <c r="Z160" s="513"/>
      <c r="AA160" s="513">
        <f t="shared" ca="1" si="64"/>
        <v>0</v>
      </c>
      <c r="AB160" s="513">
        <f t="shared" ca="1" si="49"/>
        <v>0</v>
      </c>
      <c r="AC160" s="513">
        <f t="shared" ca="1" si="50"/>
        <v>0</v>
      </c>
      <c r="AD160" s="513">
        <f t="shared" ca="1" si="69"/>
        <v>0</v>
      </c>
    </row>
    <row r="161" spans="1:30" ht="17" hidden="1" customHeight="1">
      <c r="B161" s="563">
        <f t="shared" si="70"/>
        <v>125</v>
      </c>
      <c r="C161" s="563">
        <f t="shared" ca="1" si="70"/>
        <v>2146</v>
      </c>
      <c r="D161" s="505">
        <f ca="1">IF(C160&lt;$F$30,(D160*$D$17)+D160,0)</f>
        <v>0</v>
      </c>
      <c r="E161" s="505">
        <f ca="1">IF(D161&gt;0,(E160*$D$31)+E160,0)</f>
        <v>0</v>
      </c>
      <c r="F161" s="505">
        <f ca="1">IF(D161&gt;0,(F160*$D$32)+F160,0)</f>
        <v>0</v>
      </c>
      <c r="G161" s="505">
        <f ca="1">F161-E161</f>
        <v>0</v>
      </c>
      <c r="H161" s="505">
        <f ca="1">IF(D161&gt;0,D161-$D$15,0)</f>
        <v>0</v>
      </c>
      <c r="I161" s="505"/>
      <c r="J161" s="505"/>
      <c r="K161" s="505">
        <f ca="1">IF(C160&lt;$M$30,(K160*$K$17)+K160,0)</f>
        <v>0</v>
      </c>
      <c r="L161" s="505">
        <f ca="1">IF(K161&gt;0,(L160*$K$31)+L160,0)</f>
        <v>0</v>
      </c>
      <c r="M161" s="505">
        <f ca="1">IF(K161&gt;0,(M160*$K$32)+M160,0)</f>
        <v>0</v>
      </c>
      <c r="N161" s="505">
        <f ca="1">M161-L161</f>
        <v>0</v>
      </c>
      <c r="O161" s="505">
        <f ca="1">IF(K161&gt;0,K161-$K$15,0)</f>
        <v>0</v>
      </c>
      <c r="P161" s="563"/>
      <c r="Q161" s="505">
        <f ca="1">G161+O161</f>
        <v>0</v>
      </c>
      <c r="R161" s="505">
        <f ca="1">D161+K161</f>
        <v>0</v>
      </c>
      <c r="S161" s="505"/>
      <c r="T161" s="505"/>
      <c r="U161" s="505"/>
      <c r="V161" s="505">
        <f t="shared" ca="1" si="51"/>
        <v>0</v>
      </c>
      <c r="W161" s="505">
        <f t="shared" ca="1" si="66"/>
        <v>0</v>
      </c>
      <c r="X161" s="505">
        <f t="shared" ca="1" si="67"/>
        <v>0</v>
      </c>
      <c r="Y161" s="505">
        <f t="shared" ca="1" si="68"/>
        <v>0</v>
      </c>
      <c r="Z161" s="505"/>
      <c r="AA161" s="505">
        <f t="shared" ca="1" si="64"/>
        <v>0</v>
      </c>
      <c r="AB161" s="505">
        <f t="shared" ca="1" si="49"/>
        <v>0</v>
      </c>
      <c r="AC161" s="505">
        <f t="shared" ca="1" si="50"/>
        <v>0</v>
      </c>
      <c r="AD161" s="505">
        <f t="shared" ca="1" si="69"/>
        <v>0</v>
      </c>
    </row>
    <row r="162" spans="1:30" hidden="1">
      <c r="B162" s="1608"/>
      <c r="C162" s="1608"/>
      <c r="D162" s="1608"/>
      <c r="E162" s="1608"/>
      <c r="F162" s="1608"/>
      <c r="G162" s="1608"/>
      <c r="H162" s="1608"/>
      <c r="I162" s="1608"/>
      <c r="J162" s="1608"/>
      <c r="K162" s="1608"/>
      <c r="L162" s="1608"/>
      <c r="M162" s="1608"/>
      <c r="N162" s="1608"/>
      <c r="O162" s="1608"/>
      <c r="P162" s="1609"/>
      <c r="Q162" s="1609"/>
      <c r="R162" s="1609"/>
      <c r="S162" s="1609"/>
      <c r="T162" s="1609"/>
      <c r="U162" s="1609"/>
      <c r="V162" s="1609"/>
      <c r="W162" s="1609"/>
      <c r="X162" s="1609"/>
      <c r="Y162" s="1609"/>
      <c r="Z162" s="1609"/>
      <c r="AA162" s="1609"/>
      <c r="AB162" s="1609"/>
      <c r="AC162" s="1609"/>
      <c r="AD162" s="1609"/>
    </row>
    <row r="163" spans="1:30">
      <c r="A163" s="1715"/>
    </row>
    <row r="164" spans="1:30">
      <c r="A164" s="1715"/>
    </row>
  </sheetData>
  <sheetProtection algorithmName="SHA-512" hashValue="JmMI1VCKH1EXU2aTg731Udb7jlpDJvT98HzAtpqGqfK7rRV2sBi592XVlZ3V66315xLzdrrZHDstXNUOTQsr+g==" saltValue="U8x3HIc4iOo6BTE8Sc3FpQ==" spinCount="100000" sheet="1" objects="1" scenarios="1" formatCells="0" formatColumns="0" formatRows="0" selectLockedCells="1"/>
  <mergeCells count="37">
    <mergeCell ref="AC35:AC36"/>
    <mergeCell ref="Y35:Y36"/>
    <mergeCell ref="AD35:AD36"/>
    <mergeCell ref="V35:V36"/>
    <mergeCell ref="AA35:AA36"/>
    <mergeCell ref="W35:W36"/>
    <mergeCell ref="AB35:AB36"/>
    <mergeCell ref="X35:X36"/>
    <mergeCell ref="A32:A33"/>
    <mergeCell ref="D12:F12"/>
    <mergeCell ref="K11:M11"/>
    <mergeCell ref="K12:M12"/>
    <mergeCell ref="C9:F9"/>
    <mergeCell ref="J9:M9"/>
    <mergeCell ref="D10:F10"/>
    <mergeCell ref="K10:M10"/>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R35:R36"/>
    <mergeCell ref="O29:Q29"/>
    <mergeCell ref="O30:Q30"/>
    <mergeCell ref="O31:Q31"/>
    <mergeCell ref="Q35:Q36"/>
  </mergeCells>
  <conditionalFormatting sqref="Q37:Q76">
    <cfRule type="cellIs" dxfId="92" priority="81" operator="lessThan">
      <formula>0</formula>
    </cfRule>
  </conditionalFormatting>
  <conditionalFormatting sqref="G37:G76">
    <cfRule type="cellIs" dxfId="91" priority="80" operator="lessThan">
      <formula>0</formula>
    </cfRule>
  </conditionalFormatting>
  <conditionalFormatting sqref="O37:O76">
    <cfRule type="cellIs" dxfId="90" priority="79" operator="lessThan">
      <formula>0</formula>
    </cfRule>
  </conditionalFormatting>
  <conditionalFormatting sqref="Q77:Q78">
    <cfRule type="cellIs" dxfId="89" priority="78" operator="lessThan">
      <formula>0</formula>
    </cfRule>
  </conditionalFormatting>
  <conditionalFormatting sqref="G77:G78">
    <cfRule type="cellIs" dxfId="88" priority="77" operator="lessThan">
      <formula>0</formula>
    </cfRule>
  </conditionalFormatting>
  <conditionalFormatting sqref="O77:O78">
    <cfRule type="cellIs" dxfId="87" priority="76" operator="lessThan">
      <formula>0</formula>
    </cfRule>
  </conditionalFormatting>
  <conditionalFormatting sqref="Q79:Q80">
    <cfRule type="cellIs" dxfId="86" priority="75" operator="lessThan">
      <formula>0</formula>
    </cfRule>
  </conditionalFormatting>
  <conditionalFormatting sqref="G79:G80">
    <cfRule type="cellIs" dxfId="85" priority="74" operator="lessThan">
      <formula>0</formula>
    </cfRule>
  </conditionalFormatting>
  <conditionalFormatting sqref="O79:O80">
    <cfRule type="cellIs" dxfId="84" priority="73" operator="lessThan">
      <formula>0</formula>
    </cfRule>
  </conditionalFormatting>
  <conditionalFormatting sqref="Q81:Q82">
    <cfRule type="cellIs" dxfId="83" priority="72" operator="lessThan">
      <formula>0</formula>
    </cfRule>
  </conditionalFormatting>
  <conditionalFormatting sqref="G81:G82">
    <cfRule type="cellIs" dxfId="82" priority="71" operator="lessThan">
      <formula>0</formula>
    </cfRule>
  </conditionalFormatting>
  <conditionalFormatting sqref="O81:O82">
    <cfRule type="cellIs" dxfId="81" priority="70" operator="lessThan">
      <formula>0</formula>
    </cfRule>
  </conditionalFormatting>
  <conditionalFormatting sqref="Q83:Q84">
    <cfRule type="cellIs" dxfId="80" priority="69" operator="lessThan">
      <formula>0</formula>
    </cfRule>
  </conditionalFormatting>
  <conditionalFormatting sqref="G83:G84">
    <cfRule type="cellIs" dxfId="79" priority="68" operator="lessThan">
      <formula>0</formula>
    </cfRule>
  </conditionalFormatting>
  <conditionalFormatting sqref="O83:O84">
    <cfRule type="cellIs" dxfId="78" priority="67" operator="lessThan">
      <formula>0</formula>
    </cfRule>
  </conditionalFormatting>
  <conditionalFormatting sqref="Q85:Q86">
    <cfRule type="cellIs" dxfId="77" priority="66" operator="lessThan">
      <formula>0</formula>
    </cfRule>
  </conditionalFormatting>
  <conditionalFormatting sqref="G85:G86">
    <cfRule type="cellIs" dxfId="76" priority="65" operator="lessThan">
      <formula>0</formula>
    </cfRule>
  </conditionalFormatting>
  <conditionalFormatting sqref="O85:O86">
    <cfRule type="cellIs" dxfId="75" priority="64" operator="lessThan">
      <formula>0</formula>
    </cfRule>
  </conditionalFormatting>
  <conditionalFormatting sqref="Q87:Q88">
    <cfRule type="cellIs" dxfId="74" priority="63" operator="lessThan">
      <formula>0</formula>
    </cfRule>
  </conditionalFormatting>
  <conditionalFormatting sqref="G87:G88">
    <cfRule type="cellIs" dxfId="73" priority="62" operator="lessThan">
      <formula>0</formula>
    </cfRule>
  </conditionalFormatting>
  <conditionalFormatting sqref="O87:O88">
    <cfRule type="cellIs" dxfId="72" priority="61" operator="lessThan">
      <formula>0</formula>
    </cfRule>
  </conditionalFormatting>
  <conditionalFormatting sqref="Q89:Q90">
    <cfRule type="cellIs" dxfId="71" priority="60" operator="lessThan">
      <formula>0</formula>
    </cfRule>
  </conditionalFormatting>
  <conditionalFormatting sqref="G89:G90">
    <cfRule type="cellIs" dxfId="70" priority="59" operator="lessThan">
      <formula>0</formula>
    </cfRule>
  </conditionalFormatting>
  <conditionalFormatting sqref="O89:O90">
    <cfRule type="cellIs" dxfId="69" priority="58" operator="lessThan">
      <formula>0</formula>
    </cfRule>
  </conditionalFormatting>
  <conditionalFormatting sqref="Q91:Q92">
    <cfRule type="cellIs" dxfId="68" priority="57" operator="lessThan">
      <formula>0</formula>
    </cfRule>
  </conditionalFormatting>
  <conditionalFormatting sqref="G91:G92">
    <cfRule type="cellIs" dxfId="67" priority="56" operator="lessThan">
      <formula>0</formula>
    </cfRule>
  </conditionalFormatting>
  <conditionalFormatting sqref="O91:O92">
    <cfRule type="cellIs" dxfId="66" priority="55" operator="lessThan">
      <formula>0</formula>
    </cfRule>
  </conditionalFormatting>
  <conditionalFormatting sqref="Q93:Q94">
    <cfRule type="cellIs" dxfId="65" priority="54" operator="lessThan">
      <formula>0</formula>
    </cfRule>
  </conditionalFormatting>
  <conditionalFormatting sqref="G93:G94">
    <cfRule type="cellIs" dxfId="64" priority="53" operator="lessThan">
      <formula>0</formula>
    </cfRule>
  </conditionalFormatting>
  <conditionalFormatting sqref="O93:O94">
    <cfRule type="cellIs" dxfId="63" priority="52" operator="lessThan">
      <formula>0</formula>
    </cfRule>
  </conditionalFormatting>
  <conditionalFormatting sqref="Q95:Q96">
    <cfRule type="cellIs" dxfId="62" priority="51" operator="lessThan">
      <formula>0</formula>
    </cfRule>
  </conditionalFormatting>
  <conditionalFormatting sqref="G95:G96">
    <cfRule type="cellIs" dxfId="61" priority="50" operator="lessThan">
      <formula>0</formula>
    </cfRule>
  </conditionalFormatting>
  <conditionalFormatting sqref="O95:O96">
    <cfRule type="cellIs" dxfId="60" priority="49" operator="lessThan">
      <formula>0</formula>
    </cfRule>
  </conditionalFormatting>
  <conditionalFormatting sqref="Q97:Q98">
    <cfRule type="cellIs" dxfId="59" priority="48" operator="lessThan">
      <formula>0</formula>
    </cfRule>
  </conditionalFormatting>
  <conditionalFormatting sqref="G97:G98">
    <cfRule type="cellIs" dxfId="58" priority="47" operator="lessThan">
      <formula>0</formula>
    </cfRule>
  </conditionalFormatting>
  <conditionalFormatting sqref="O97:O98">
    <cfRule type="cellIs" dxfId="57" priority="46" operator="lessThan">
      <formula>0</formula>
    </cfRule>
  </conditionalFormatting>
  <conditionalFormatting sqref="Q99:Q100">
    <cfRule type="cellIs" dxfId="56" priority="45" operator="lessThan">
      <formula>0</formula>
    </cfRule>
  </conditionalFormatting>
  <conditionalFormatting sqref="G99:G100">
    <cfRule type="cellIs" dxfId="55" priority="44" operator="lessThan">
      <formula>0</formula>
    </cfRule>
  </conditionalFormatting>
  <conditionalFormatting sqref="O99:O100">
    <cfRule type="cellIs" dxfId="54" priority="43" operator="lessThan">
      <formula>0</formula>
    </cfRule>
  </conditionalFormatting>
  <conditionalFormatting sqref="Q101:Q102">
    <cfRule type="cellIs" dxfId="53" priority="42" operator="lessThan">
      <formula>0</formula>
    </cfRule>
  </conditionalFormatting>
  <conditionalFormatting sqref="G101:G102">
    <cfRule type="cellIs" dxfId="52" priority="41" operator="lessThan">
      <formula>0</formula>
    </cfRule>
  </conditionalFormatting>
  <conditionalFormatting sqref="O101:O102">
    <cfRule type="cellIs" dxfId="51" priority="40" operator="lessThan">
      <formula>0</formula>
    </cfRule>
  </conditionalFormatting>
  <conditionalFormatting sqref="Q103:Q104">
    <cfRule type="cellIs" dxfId="50" priority="39" operator="lessThan">
      <formula>0</formula>
    </cfRule>
  </conditionalFormatting>
  <conditionalFormatting sqref="G103:G104">
    <cfRule type="cellIs" dxfId="49" priority="38" operator="lessThan">
      <formula>0</formula>
    </cfRule>
  </conditionalFormatting>
  <conditionalFormatting sqref="O103:O104">
    <cfRule type="cellIs" dxfId="48" priority="37" operator="lessThan">
      <formula>0</formula>
    </cfRule>
  </conditionalFormatting>
  <conditionalFormatting sqref="Q105:Q106">
    <cfRule type="cellIs" dxfId="47" priority="36" operator="lessThan">
      <formula>0</formula>
    </cfRule>
  </conditionalFormatting>
  <conditionalFormatting sqref="G105:G106">
    <cfRule type="cellIs" dxfId="46" priority="35" operator="lessThan">
      <formula>0</formula>
    </cfRule>
  </conditionalFormatting>
  <conditionalFormatting sqref="O105:O106">
    <cfRule type="cellIs" dxfId="45" priority="34" operator="lessThan">
      <formula>0</formula>
    </cfRule>
  </conditionalFormatting>
  <conditionalFormatting sqref="Q107:Q108">
    <cfRule type="cellIs" dxfId="44" priority="33" operator="lessThan">
      <formula>0</formula>
    </cfRule>
  </conditionalFormatting>
  <conditionalFormatting sqref="G107:G108">
    <cfRule type="cellIs" dxfId="43" priority="32" operator="lessThan">
      <formula>0</formula>
    </cfRule>
  </conditionalFormatting>
  <conditionalFormatting sqref="O107:O108">
    <cfRule type="cellIs" dxfId="42" priority="31" operator="lessThan">
      <formula>0</formula>
    </cfRule>
  </conditionalFormatting>
  <conditionalFormatting sqref="Q109:Q110">
    <cfRule type="cellIs" dxfId="41" priority="30" operator="lessThan">
      <formula>0</formula>
    </cfRule>
  </conditionalFormatting>
  <conditionalFormatting sqref="G109:G110">
    <cfRule type="cellIs" dxfId="40" priority="29" operator="lessThan">
      <formula>0</formula>
    </cfRule>
  </conditionalFormatting>
  <conditionalFormatting sqref="O109:O110">
    <cfRule type="cellIs" dxfId="39" priority="28" operator="lessThan">
      <formula>0</formula>
    </cfRule>
  </conditionalFormatting>
  <conditionalFormatting sqref="Q111:Q112">
    <cfRule type="cellIs" dxfId="38" priority="27" operator="lessThan">
      <formula>0</formula>
    </cfRule>
  </conditionalFormatting>
  <conditionalFormatting sqref="G111:G112">
    <cfRule type="cellIs" dxfId="37" priority="26" operator="lessThan">
      <formula>0</formula>
    </cfRule>
  </conditionalFormatting>
  <conditionalFormatting sqref="O111:O112">
    <cfRule type="cellIs" dxfId="36" priority="25" operator="lessThan">
      <formula>0</formula>
    </cfRule>
  </conditionalFormatting>
  <conditionalFormatting sqref="Q113:Q114">
    <cfRule type="cellIs" dxfId="35" priority="24" operator="lessThan">
      <formula>0</formula>
    </cfRule>
  </conditionalFormatting>
  <conditionalFormatting sqref="G113:G114">
    <cfRule type="cellIs" dxfId="34" priority="23" operator="lessThan">
      <formula>0</formula>
    </cfRule>
  </conditionalFormatting>
  <conditionalFormatting sqref="O113:O114">
    <cfRule type="cellIs" dxfId="33" priority="22" operator="lessThan">
      <formula>0</formula>
    </cfRule>
  </conditionalFormatting>
  <conditionalFormatting sqref="Q115:Q116">
    <cfRule type="cellIs" dxfId="32" priority="21" operator="lessThan">
      <formula>0</formula>
    </cfRule>
  </conditionalFormatting>
  <conditionalFormatting sqref="G115:G116">
    <cfRule type="cellIs" dxfId="31" priority="20" operator="lessThan">
      <formula>0</formula>
    </cfRule>
  </conditionalFormatting>
  <conditionalFormatting sqref="O115:O116">
    <cfRule type="cellIs" dxfId="30" priority="19" operator="lessThan">
      <formula>0</formula>
    </cfRule>
  </conditionalFormatting>
  <conditionalFormatting sqref="Q117:Q118">
    <cfRule type="cellIs" dxfId="29" priority="18" operator="lessThan">
      <formula>0</formula>
    </cfRule>
  </conditionalFormatting>
  <conditionalFormatting sqref="G117:G118">
    <cfRule type="cellIs" dxfId="28" priority="17" operator="lessThan">
      <formula>0</formula>
    </cfRule>
  </conditionalFormatting>
  <conditionalFormatting sqref="O117:O118">
    <cfRule type="cellIs" dxfId="27" priority="16" operator="lessThan">
      <formula>0</formula>
    </cfRule>
  </conditionalFormatting>
  <conditionalFormatting sqref="Q119:Q120">
    <cfRule type="cellIs" dxfId="26" priority="15" operator="lessThan">
      <formula>0</formula>
    </cfRule>
  </conditionalFormatting>
  <conditionalFormatting sqref="G119:G120">
    <cfRule type="cellIs" dxfId="25" priority="14" operator="lessThan">
      <formula>0</formula>
    </cfRule>
  </conditionalFormatting>
  <conditionalFormatting sqref="O119:O120">
    <cfRule type="cellIs" dxfId="24" priority="13" operator="lessThan">
      <formula>0</formula>
    </cfRule>
  </conditionalFormatting>
  <conditionalFormatting sqref="Q121:Q122">
    <cfRule type="cellIs" dxfId="23" priority="12" operator="lessThan">
      <formula>0</formula>
    </cfRule>
  </conditionalFormatting>
  <conditionalFormatting sqref="G121:G122">
    <cfRule type="cellIs" dxfId="22" priority="11" operator="lessThan">
      <formula>0</formula>
    </cfRule>
  </conditionalFormatting>
  <conditionalFormatting sqref="O121:O122">
    <cfRule type="cellIs" dxfId="21" priority="10" operator="lessThan">
      <formula>0</formula>
    </cfRule>
  </conditionalFormatting>
  <conditionalFormatting sqref="Q123:Q124">
    <cfRule type="cellIs" dxfId="20" priority="9" operator="lessThan">
      <formula>0</formula>
    </cfRule>
  </conditionalFormatting>
  <conditionalFormatting sqref="G123:G124">
    <cfRule type="cellIs" dxfId="19" priority="8" operator="lessThan">
      <formula>0</formula>
    </cfRule>
  </conditionalFormatting>
  <conditionalFormatting sqref="O123:O124">
    <cfRule type="cellIs" dxfId="18" priority="7" operator="lessThan">
      <formula>0</formula>
    </cfRule>
  </conditionalFormatting>
  <conditionalFormatting sqref="Q125:Q160">
    <cfRule type="cellIs" dxfId="17" priority="6" operator="lessThan">
      <formula>0</formula>
    </cfRule>
  </conditionalFormatting>
  <conditionalFormatting sqref="G125:G160">
    <cfRule type="cellIs" dxfId="16" priority="5" operator="lessThan">
      <formula>0</formula>
    </cfRule>
  </conditionalFormatting>
  <conditionalFormatting sqref="O125:O160">
    <cfRule type="cellIs" dxfId="15" priority="4" operator="lessThan">
      <formula>0</formula>
    </cfRule>
  </conditionalFormatting>
  <conditionalFormatting sqref="Q161">
    <cfRule type="cellIs" dxfId="14" priority="3" operator="lessThan">
      <formula>0</formula>
    </cfRule>
  </conditionalFormatting>
  <conditionalFormatting sqref="G161">
    <cfRule type="cellIs" dxfId="13" priority="2" operator="lessThan">
      <formula>0</formula>
    </cfRule>
  </conditionalFormatting>
  <conditionalFormatting sqref="O161">
    <cfRule type="cellIs" dxfId="12"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25" zoomScaleNormal="125" workbookViewId="0">
      <pane xSplit="6" ySplit="6" topLeftCell="G7" activePane="bottomRight" state="frozen"/>
      <selection pane="topRight" activeCell="H1" sqref="H1"/>
      <selection pane="bottomLeft" activeCell="A5" sqref="A5"/>
      <selection pane="bottomRight"/>
    </sheetView>
  </sheetViews>
  <sheetFormatPr baseColWidth="10" defaultColWidth="9.5703125" defaultRowHeight="16"/>
  <cols>
    <col min="1" max="1" width="5.7109375" style="197" customWidth="1"/>
    <col min="2" max="2" width="1.7109375" style="64" customWidth="1"/>
    <col min="3" max="3" width="7.42578125" style="64" customWidth="1"/>
    <col min="4" max="4" width="3.7109375" style="491" customWidth="1"/>
    <col min="5" max="5" width="5.5703125" style="491" customWidth="1"/>
    <col min="6" max="6" width="12.7109375" style="491" customWidth="1"/>
    <col min="7" max="7" width="2.28515625" style="491" customWidth="1"/>
    <col min="8" max="8" width="8.7109375" style="496" customWidth="1"/>
    <col min="9" max="9" width="10.7109375" style="492" customWidth="1"/>
    <col min="10" max="10" width="11.5703125" style="492" customWidth="1"/>
    <col min="11" max="11" width="2.28515625" style="1221" customWidth="1"/>
    <col min="12" max="12" width="8.7109375" style="496" hidden="1" customWidth="1"/>
    <col min="13" max="14" width="10.7109375" style="64" hidden="1" customWidth="1"/>
    <col min="15" max="15" width="2.28515625" style="1182" customWidth="1"/>
    <col min="16" max="16" width="8.7109375" style="496" hidden="1" customWidth="1"/>
    <col min="17" max="18" width="10.7109375" style="64" hidden="1" customWidth="1"/>
    <col min="19" max="19" width="2.28515625" style="1182" hidden="1" customWidth="1"/>
    <col min="20" max="20" width="8.7109375" style="496" hidden="1" customWidth="1"/>
    <col min="21" max="21" width="10.7109375" style="64" hidden="1" customWidth="1"/>
    <col min="22" max="22" width="10.7109375" style="65" hidden="1" customWidth="1"/>
    <col min="23" max="23" width="2.28515625" style="1222" hidden="1" customWidth="1"/>
    <col min="24" max="24" width="8.7109375" style="496" hidden="1" customWidth="1"/>
    <col min="25" max="26" width="10.7109375" style="65" hidden="1" customWidth="1"/>
    <col min="27" max="27" width="2.28515625" style="1222" hidden="1" customWidth="1"/>
    <col min="28" max="28" width="8.7109375" style="496" hidden="1" customWidth="1"/>
    <col min="29" max="29" width="10.7109375" style="65" hidden="1" customWidth="1"/>
    <col min="30" max="30" width="10.7109375" style="497" hidden="1" customWidth="1"/>
    <col min="31" max="31" width="2.28515625" style="1182" hidden="1" customWidth="1"/>
    <col min="32" max="32" width="8.7109375" style="496" hidden="1" customWidth="1"/>
    <col min="33" max="33" width="10.7109375" style="65" hidden="1" customWidth="1"/>
    <col min="34" max="34" width="10.7109375" style="497" hidden="1" customWidth="1"/>
    <col min="35" max="35" width="2.28515625" style="1182" hidden="1" customWidth="1"/>
    <col min="36" max="36" width="8.7109375" style="496" hidden="1" customWidth="1"/>
    <col min="37" max="37" width="10.7109375" style="65" hidden="1" customWidth="1"/>
    <col min="38" max="38" width="10.7109375" style="497" hidden="1" customWidth="1"/>
    <col min="39" max="39" width="2.28515625" style="1182" hidden="1" customWidth="1"/>
    <col min="40" max="40" width="8.7109375" style="496" hidden="1" customWidth="1"/>
    <col min="41" max="41" width="10.7109375" style="65" hidden="1" customWidth="1"/>
    <col min="42" max="42" width="10.7109375" style="497" hidden="1" customWidth="1"/>
    <col min="43" max="43" width="2.28515625" style="1182" hidden="1" customWidth="1"/>
    <col min="44" max="44" width="8.7109375" style="496" hidden="1" customWidth="1"/>
    <col min="45" max="45" width="10.7109375" style="65" hidden="1" customWidth="1"/>
    <col min="46" max="46" width="10.7109375" style="497" hidden="1" customWidth="1"/>
    <col min="47" max="47" width="2.28515625" style="1182" hidden="1" customWidth="1"/>
    <col min="48" max="48" width="8.7109375" style="496" hidden="1" customWidth="1"/>
    <col min="49" max="49" width="10.7109375" style="65" hidden="1" customWidth="1"/>
    <col min="50" max="50" width="10.7109375" style="497" hidden="1" customWidth="1"/>
    <col min="51" max="51" width="2.28515625" style="1182" hidden="1" customWidth="1"/>
    <col min="52" max="52" width="9.42578125" style="496" hidden="1" customWidth="1"/>
    <col min="53" max="53" width="10.42578125" style="65" hidden="1" customWidth="1"/>
    <col min="54" max="54" width="11.140625" style="497" hidden="1" customWidth="1"/>
    <col min="55" max="55" width="2.5703125" style="64" hidden="1" customWidth="1"/>
    <col min="56" max="56" width="6.7109375" style="197" customWidth="1"/>
    <col min="57" max="57" width="5.140625" style="197" customWidth="1"/>
    <col min="58" max="58" width="6.140625" style="197" customWidth="1"/>
    <col min="59" max="70" width="12.5703125" style="197" customWidth="1"/>
    <col min="71" max="71" width="12" style="197" customWidth="1"/>
    <col min="72" max="74" width="9.5703125" style="197" customWidth="1"/>
    <col min="75" max="75" width="9.85546875" style="197" customWidth="1"/>
    <col min="76" max="78" width="10.42578125" style="197" customWidth="1"/>
    <col min="79" max="104" width="9.5703125" style="197" customWidth="1"/>
    <col min="105" max="105" width="10" style="197" customWidth="1"/>
    <col min="106" max="106" width="9.7109375" style="197" customWidth="1"/>
    <col min="107" max="107" width="9.5703125" style="1969" customWidth="1"/>
    <col min="108" max="108" width="9.5703125" style="1758" customWidth="1"/>
    <col min="109" max="109" width="9.5703125" style="1758"/>
    <col min="110" max="124" width="9.5703125" style="1327"/>
    <col min="125" max="16384" width="9.5703125" style="1182"/>
  </cols>
  <sheetData>
    <row r="1" spans="1:124" ht="8" customHeight="1">
      <c r="A1" s="1579"/>
      <c r="B1" s="1579"/>
      <c r="C1" s="1579"/>
      <c r="D1" s="1579"/>
      <c r="E1" s="1579"/>
      <c r="F1" s="1579"/>
      <c r="G1" s="1579"/>
      <c r="H1" s="1579"/>
      <c r="I1" s="1579"/>
      <c r="J1" s="1579"/>
      <c r="K1" s="1579"/>
      <c r="L1" s="1579"/>
      <c r="M1" s="1579"/>
      <c r="N1" s="1579"/>
      <c r="O1" s="1579"/>
      <c r="P1" s="1579"/>
      <c r="Q1" s="1579"/>
      <c r="R1" s="1579"/>
      <c r="S1" s="1579"/>
      <c r="T1" s="1579"/>
      <c r="U1" s="1579"/>
      <c r="V1" s="1579"/>
      <c r="W1" s="1579"/>
      <c r="X1" s="1579"/>
      <c r="Y1" s="1579"/>
      <c r="Z1" s="1579"/>
      <c r="AA1" s="1579"/>
      <c r="AB1" s="1579"/>
      <c r="AC1" s="1579"/>
      <c r="AD1" s="1579"/>
      <c r="AE1" s="1579"/>
      <c r="AF1" s="1579"/>
      <c r="AG1" s="1579"/>
      <c r="AH1" s="1579"/>
      <c r="AI1" s="1579"/>
      <c r="AJ1" s="1579"/>
      <c r="AK1" s="1579"/>
      <c r="AL1" s="1579"/>
      <c r="AM1" s="1579"/>
      <c r="AN1" s="1579"/>
      <c r="AO1" s="1579"/>
      <c r="AP1" s="1579"/>
      <c r="AQ1" s="1579"/>
      <c r="AR1" s="1579"/>
      <c r="AS1" s="1579"/>
      <c r="AT1" s="1579"/>
      <c r="AU1" s="1579"/>
      <c r="AV1" s="1579"/>
      <c r="AW1" s="1579"/>
      <c r="AX1" s="1579"/>
      <c r="AY1" s="1579"/>
      <c r="AZ1" s="1579"/>
      <c r="BA1" s="1579"/>
      <c r="BB1" s="1579"/>
      <c r="BC1" s="1579"/>
      <c r="BG1" s="1964"/>
      <c r="BH1" s="1964"/>
      <c r="BI1" s="1964"/>
      <c r="BJ1" s="1964"/>
      <c r="BK1" s="1964"/>
      <c r="BL1" s="1964"/>
      <c r="BM1" s="1964"/>
      <c r="BN1" s="1964"/>
      <c r="BO1" s="1964"/>
      <c r="BP1" s="1964"/>
      <c r="BQ1" s="1964"/>
      <c r="BR1" s="1964"/>
    </row>
    <row r="2" spans="1:124" ht="40" customHeight="1">
      <c r="A2" s="197">
        <v>1</v>
      </c>
      <c r="B2" s="1338"/>
      <c r="C2" s="501" t="s">
        <v>431</v>
      </c>
      <c r="D2" s="500"/>
      <c r="E2" s="500"/>
      <c r="F2" s="198"/>
      <c r="G2" s="64"/>
      <c r="H2" s="64"/>
      <c r="I2" s="64"/>
      <c r="J2" s="64"/>
      <c r="K2" s="1182"/>
      <c r="L2" s="64"/>
      <c r="P2" s="64"/>
      <c r="T2" s="64"/>
      <c r="V2" s="64"/>
      <c r="W2" s="1182"/>
      <c r="X2" s="64"/>
      <c r="Y2" s="64"/>
      <c r="Z2" s="64"/>
      <c r="AA2" s="1182"/>
      <c r="AB2" s="64"/>
      <c r="AC2" s="64"/>
      <c r="AD2" s="64"/>
      <c r="AF2" s="64"/>
      <c r="AG2" s="64"/>
      <c r="AH2" s="64"/>
      <c r="AJ2" s="64"/>
      <c r="AK2" s="64"/>
      <c r="AL2" s="64"/>
      <c r="AN2" s="64"/>
      <c r="AO2" s="64"/>
      <c r="AP2" s="64"/>
      <c r="AR2" s="64"/>
      <c r="AS2" s="64"/>
      <c r="AT2" s="64"/>
      <c r="AV2" s="64"/>
      <c r="AW2" s="64"/>
      <c r="AX2" s="64"/>
      <c r="AZ2" s="64"/>
      <c r="BA2" s="64"/>
      <c r="BB2" s="64"/>
      <c r="BG2" s="1964"/>
      <c r="BH2" s="1964"/>
      <c r="BI2" s="1964"/>
      <c r="BJ2" s="1964"/>
      <c r="BK2" s="1964"/>
      <c r="BL2" s="1964"/>
      <c r="BM2" s="1964"/>
      <c r="BN2" s="1964"/>
      <c r="BO2" s="1964"/>
      <c r="BP2" s="1964"/>
      <c r="BQ2" s="1964"/>
      <c r="BR2" s="1964"/>
    </row>
    <row r="3" spans="1:124" s="1183" customFormat="1" ht="22" customHeight="1">
      <c r="A3" s="1032" t="s">
        <v>1310</v>
      </c>
      <c r="B3" s="493"/>
      <c r="C3" s="2275" t="s">
        <v>1323</v>
      </c>
      <c r="D3" s="2275"/>
      <c r="E3" s="2275"/>
      <c r="F3" s="2275"/>
      <c r="G3" s="494"/>
      <c r="H3" s="493"/>
      <c r="I3" s="493"/>
      <c r="J3" s="493"/>
      <c r="L3" s="493"/>
      <c r="M3" s="493"/>
      <c r="N3" s="493"/>
      <c r="P3" s="493"/>
      <c r="Q3" s="493"/>
      <c r="R3" s="493"/>
      <c r="T3" s="493"/>
      <c r="U3" s="493"/>
      <c r="V3" s="493"/>
      <c r="X3" s="493"/>
      <c r="Y3" s="493"/>
      <c r="Z3" s="493"/>
      <c r="AB3" s="493"/>
      <c r="AC3" s="493"/>
      <c r="AD3" s="493"/>
      <c r="AF3" s="493"/>
      <c r="AG3" s="493"/>
      <c r="AH3" s="493"/>
      <c r="AJ3" s="493"/>
      <c r="AK3" s="493"/>
      <c r="AL3" s="493"/>
      <c r="AN3" s="493"/>
      <c r="AO3" s="493"/>
      <c r="AP3" s="493"/>
      <c r="AR3" s="493"/>
      <c r="AS3" s="493"/>
      <c r="AT3" s="493"/>
      <c r="AV3" s="493"/>
      <c r="AW3" s="493"/>
      <c r="AX3" s="493"/>
      <c r="AZ3" s="493"/>
      <c r="BA3" s="493"/>
      <c r="BB3" s="493"/>
      <c r="BC3" s="493"/>
      <c r="BD3" s="2276"/>
      <c r="BE3" s="2276"/>
      <c r="BF3" s="495"/>
      <c r="BG3" s="495" t="s">
        <v>489</v>
      </c>
      <c r="BH3" s="495"/>
      <c r="BI3" s="495"/>
      <c r="BJ3" s="495"/>
      <c r="BK3" s="495"/>
      <c r="BL3" s="495"/>
      <c r="BM3" s="495"/>
      <c r="BN3" s="495"/>
      <c r="BO3" s="495"/>
      <c r="BP3" s="495"/>
      <c r="BQ3" s="495"/>
      <c r="BR3" s="495"/>
      <c r="BS3" s="495"/>
      <c r="BT3" s="2276" t="s">
        <v>521</v>
      </c>
      <c r="BU3" s="2276"/>
      <c r="BV3" s="2276"/>
      <c r="BW3" s="495"/>
      <c r="BX3" s="495"/>
      <c r="BY3" s="495"/>
      <c r="BZ3" s="495"/>
      <c r="CA3" s="495"/>
      <c r="CB3" s="495"/>
      <c r="CC3" s="495"/>
      <c r="CD3" s="495"/>
      <c r="CE3" s="495"/>
      <c r="CF3" s="495"/>
      <c r="CG3" s="495"/>
      <c r="CH3" s="495"/>
      <c r="CI3" s="495"/>
      <c r="CJ3" s="495"/>
      <c r="CK3" s="495"/>
      <c r="CL3" s="495"/>
      <c r="CM3" s="495"/>
      <c r="CN3" s="495"/>
      <c r="CO3" s="495"/>
      <c r="CP3" s="495"/>
      <c r="CQ3" s="495"/>
      <c r="CR3" s="495"/>
      <c r="CS3" s="495"/>
      <c r="CT3" s="495"/>
      <c r="CU3" s="495"/>
      <c r="CV3" s="495"/>
      <c r="CW3" s="495"/>
      <c r="CX3" s="495"/>
      <c r="CY3" s="495"/>
      <c r="CZ3" s="495"/>
      <c r="DA3" s="495"/>
      <c r="DB3" s="495"/>
      <c r="DC3" s="1970"/>
      <c r="DD3" s="1759"/>
      <c r="DE3" s="1759"/>
      <c r="DF3" s="1328"/>
      <c r="DG3" s="1328"/>
      <c r="DH3" s="1328"/>
      <c r="DI3" s="1328"/>
      <c r="DJ3" s="1328"/>
      <c r="DK3" s="1328"/>
      <c r="DL3" s="1328"/>
      <c r="DM3" s="1328"/>
      <c r="DN3" s="1328"/>
      <c r="DO3" s="1328"/>
      <c r="DP3" s="1328"/>
      <c r="DQ3" s="1328"/>
      <c r="DR3" s="1328"/>
      <c r="DS3" s="1328"/>
      <c r="DT3" s="1328"/>
    </row>
    <row r="4" spans="1:124" s="1183" customFormat="1" ht="5" customHeight="1">
      <c r="A4" s="495"/>
      <c r="B4" s="493"/>
      <c r="C4" s="493"/>
      <c r="D4" s="493"/>
      <c r="E4" s="493"/>
      <c r="F4" s="493"/>
      <c r="G4" s="493"/>
      <c r="H4" s="493"/>
      <c r="I4" s="493"/>
      <c r="J4" s="493"/>
      <c r="L4" s="493"/>
      <c r="M4" s="493"/>
      <c r="N4" s="493"/>
      <c r="P4" s="493"/>
      <c r="Q4" s="493"/>
      <c r="R4" s="493"/>
      <c r="T4" s="493"/>
      <c r="U4" s="493"/>
      <c r="V4" s="493"/>
      <c r="X4" s="493"/>
      <c r="Y4" s="493"/>
      <c r="Z4" s="493"/>
      <c r="AB4" s="493"/>
      <c r="AC4" s="493"/>
      <c r="AD4" s="493"/>
      <c r="AF4" s="493"/>
      <c r="AG4" s="493"/>
      <c r="AH4" s="493"/>
      <c r="AJ4" s="493"/>
      <c r="AK4" s="493"/>
      <c r="AL4" s="493"/>
      <c r="AN4" s="493"/>
      <c r="AO4" s="493"/>
      <c r="AP4" s="493"/>
      <c r="AR4" s="493"/>
      <c r="AS4" s="493"/>
      <c r="AT4" s="493"/>
      <c r="AV4" s="493"/>
      <c r="AW4" s="493"/>
      <c r="AX4" s="493"/>
      <c r="AZ4" s="493"/>
      <c r="BA4" s="493"/>
      <c r="BB4" s="493"/>
      <c r="BC4" s="493"/>
      <c r="BD4" s="1964"/>
      <c r="BE4" s="1964"/>
      <c r="BF4" s="495"/>
      <c r="BG4" s="495"/>
      <c r="BH4" s="495"/>
      <c r="BI4" s="495"/>
      <c r="BJ4" s="495"/>
      <c r="BK4" s="495"/>
      <c r="BL4" s="495"/>
      <c r="BM4" s="495"/>
      <c r="BN4" s="495"/>
      <c r="BO4" s="495"/>
      <c r="BP4" s="495"/>
      <c r="BQ4" s="495"/>
      <c r="BR4" s="495"/>
      <c r="BS4" s="495"/>
      <c r="BT4" s="1964"/>
      <c r="BU4" s="1964"/>
      <c r="BV4" s="1964"/>
      <c r="BW4" s="495"/>
      <c r="BX4" s="495"/>
      <c r="BY4" s="495"/>
      <c r="BZ4" s="495"/>
      <c r="CA4" s="495"/>
      <c r="CB4" s="495"/>
      <c r="CC4" s="495"/>
      <c r="CD4" s="495"/>
      <c r="CE4" s="495"/>
      <c r="CF4" s="495"/>
      <c r="CG4" s="495"/>
      <c r="CH4" s="495"/>
      <c r="CI4" s="495"/>
      <c r="CJ4" s="495"/>
      <c r="CK4" s="495"/>
      <c r="CL4" s="495"/>
      <c r="CM4" s="495"/>
      <c r="CN4" s="495"/>
      <c r="CO4" s="495"/>
      <c r="CP4" s="495"/>
      <c r="CQ4" s="495"/>
      <c r="CR4" s="495"/>
      <c r="CS4" s="495"/>
      <c r="CT4" s="495"/>
      <c r="CU4" s="495"/>
      <c r="CV4" s="495"/>
      <c r="CW4" s="495"/>
      <c r="CX4" s="495"/>
      <c r="CY4" s="495"/>
      <c r="CZ4" s="495"/>
      <c r="DA4" s="495"/>
      <c r="DB4" s="495"/>
      <c r="DC4" s="1970"/>
      <c r="DD4" s="1759"/>
      <c r="DE4" s="1759"/>
      <c r="DF4" s="1328"/>
      <c r="DG4" s="1328"/>
      <c r="DH4" s="1328"/>
      <c r="DI4" s="1328"/>
      <c r="DJ4" s="1328"/>
      <c r="DK4" s="1328"/>
      <c r="DL4" s="1328"/>
      <c r="DM4" s="1328"/>
      <c r="DN4" s="1328"/>
      <c r="DO4" s="1328"/>
      <c r="DP4" s="1328"/>
      <c r="DQ4" s="1328"/>
      <c r="DR4" s="1328"/>
      <c r="DS4" s="1328"/>
      <c r="DT4" s="1328"/>
    </row>
    <row r="5" spans="1:124" s="1183" customFormat="1" ht="15" customHeight="1">
      <c r="A5" s="495"/>
      <c r="B5" s="493"/>
      <c r="C5" s="518"/>
      <c r="D5" s="518"/>
      <c r="E5" s="518"/>
      <c r="F5" s="518"/>
      <c r="G5" s="494"/>
      <c r="H5" s="458" t="str">
        <f>Assets!H37</f>
        <v>Before tax</v>
      </c>
      <c r="I5" s="458"/>
      <c r="J5" s="1162" t="str">
        <f>Assets!I37</f>
        <v>Individual 1</v>
      </c>
      <c r="K5" s="1218"/>
      <c r="L5" s="458" t="str">
        <f>Assets!H38</f>
        <v>Before tax</v>
      </c>
      <c r="M5" s="458"/>
      <c r="N5" s="1162" t="str">
        <f>Assets!I38</f>
        <v>Individual 2</v>
      </c>
      <c r="O5" s="1218"/>
      <c r="P5" s="458" t="str">
        <f>Assets!H39</f>
        <v>After tax</v>
      </c>
      <c r="Q5" s="458"/>
      <c r="R5" s="1162" t="str">
        <f>Assets!I39</f>
        <v>Individual 2</v>
      </c>
      <c r="S5" s="1218"/>
      <c r="T5" s="458">
        <f>Assets!H40</f>
        <v>0</v>
      </c>
      <c r="U5" s="458"/>
      <c r="V5" s="458">
        <f>Assets!I40</f>
        <v>0</v>
      </c>
      <c r="W5" s="1218"/>
      <c r="X5" s="1169">
        <f>Assets!H41</f>
        <v>0</v>
      </c>
      <c r="Y5" s="458"/>
      <c r="Z5" s="1162">
        <f>Assets!I41</f>
        <v>0</v>
      </c>
      <c r="AA5" s="1218"/>
      <c r="AB5" s="459">
        <f>Assets!H42</f>
        <v>0</v>
      </c>
      <c r="AC5" s="459"/>
      <c r="AD5" s="1170">
        <f>Assets!I42</f>
        <v>0</v>
      </c>
      <c r="AE5" s="1223"/>
      <c r="AF5" s="459">
        <f>Assets!H43</f>
        <v>0</v>
      </c>
      <c r="AG5" s="459"/>
      <c r="AH5" s="1170">
        <f>Assets!I43</f>
        <v>0</v>
      </c>
      <c r="AI5" s="1223"/>
      <c r="AJ5" s="459">
        <f>Assets!H44</f>
        <v>0</v>
      </c>
      <c r="AK5" s="459"/>
      <c r="AL5" s="1170">
        <f>Assets!I44</f>
        <v>0</v>
      </c>
      <c r="AM5" s="1223"/>
      <c r="AN5" s="459">
        <f>Assets!H45</f>
        <v>0</v>
      </c>
      <c r="AO5" s="459"/>
      <c r="AP5" s="1170">
        <f>Assets!I45</f>
        <v>0</v>
      </c>
      <c r="AQ5" s="1223"/>
      <c r="AR5" s="459">
        <f>Assets!H46</f>
        <v>0</v>
      </c>
      <c r="AS5" s="459"/>
      <c r="AT5" s="1170">
        <f>Assets!I46</f>
        <v>0</v>
      </c>
      <c r="AU5" s="1223"/>
      <c r="AV5" s="459">
        <f>Assets!H47</f>
        <v>0</v>
      </c>
      <c r="AW5" s="459"/>
      <c r="AX5" s="1170">
        <f>Assets!I47</f>
        <v>0</v>
      </c>
      <c r="AY5" s="1223"/>
      <c r="AZ5" s="459">
        <f>Assets!H48</f>
        <v>0</v>
      </c>
      <c r="BA5" s="459"/>
      <c r="BB5" s="1170">
        <f>Assets!I48</f>
        <v>0</v>
      </c>
      <c r="BC5" s="493"/>
      <c r="BD5" s="1964"/>
      <c r="BE5" s="1964"/>
      <c r="BF5" s="495"/>
      <c r="BG5" s="495"/>
      <c r="BH5" s="495"/>
      <c r="BI5" s="495"/>
      <c r="BJ5" s="495"/>
      <c r="BK5" s="495"/>
      <c r="BL5" s="495"/>
      <c r="BM5" s="495"/>
      <c r="BN5" s="495"/>
      <c r="BO5" s="495"/>
      <c r="BP5" s="495"/>
      <c r="BQ5" s="495"/>
      <c r="BR5" s="495"/>
      <c r="BS5" s="495"/>
      <c r="BT5" s="197"/>
      <c r="BU5" s="1964"/>
      <c r="BV5" s="1964"/>
      <c r="BW5" s="495"/>
      <c r="BX5" s="495" t="s">
        <v>2467</v>
      </c>
      <c r="BY5" s="495"/>
      <c r="BZ5" s="1964"/>
      <c r="CA5" s="1964"/>
      <c r="CB5" s="1964"/>
      <c r="CC5" s="1964"/>
      <c r="CD5" s="1964"/>
      <c r="CE5" s="1964"/>
      <c r="CF5" s="1964"/>
      <c r="CG5" s="1964"/>
      <c r="CH5" s="1964"/>
      <c r="CI5" s="1964"/>
      <c r="CJ5" s="1964"/>
      <c r="CK5" s="1964"/>
      <c r="CL5" s="495"/>
      <c r="CM5" s="495"/>
      <c r="CN5" s="495"/>
      <c r="CO5" s="495"/>
      <c r="CP5" s="495"/>
      <c r="CQ5" s="495"/>
      <c r="CR5" s="495"/>
      <c r="CS5" s="495"/>
      <c r="CT5" s="495"/>
      <c r="CU5" s="495"/>
      <c r="CV5" s="495"/>
      <c r="CW5" s="495"/>
      <c r="CX5" s="495"/>
      <c r="CY5" s="495"/>
      <c r="CZ5" s="495"/>
      <c r="DA5" s="495"/>
      <c r="DB5" s="495"/>
      <c r="DC5" s="1970"/>
      <c r="DD5" s="1759"/>
      <c r="DE5" s="1759"/>
      <c r="DF5" s="1328"/>
      <c r="DG5" s="1328"/>
      <c r="DH5" s="1328"/>
      <c r="DI5" s="1328"/>
      <c r="DJ5" s="1328"/>
      <c r="DK5" s="1328"/>
      <c r="DL5" s="1328"/>
      <c r="DM5" s="1328"/>
      <c r="DN5" s="1328"/>
      <c r="DO5" s="1328"/>
      <c r="DP5" s="1328"/>
      <c r="DQ5" s="1328"/>
      <c r="DR5" s="1328"/>
      <c r="DS5" s="1328"/>
      <c r="DT5" s="1328"/>
    </row>
    <row r="6" spans="1:124" s="1184" customFormat="1" ht="46" customHeight="1">
      <c r="A6" s="522" t="s">
        <v>1324</v>
      </c>
      <c r="B6" s="518"/>
      <c r="C6" s="519" t="s">
        <v>466</v>
      </c>
      <c r="D6" s="1692" t="s">
        <v>2422</v>
      </c>
      <c r="E6" s="519" t="s">
        <v>6</v>
      </c>
      <c r="F6" s="519" t="s">
        <v>465</v>
      </c>
      <c r="G6" s="520"/>
      <c r="H6" s="2277" t="str">
        <f>IF(TRIM(Assets!C37)&lt;&gt;"",Assets!C37,"")</f>
        <v>Jon</v>
      </c>
      <c r="I6" s="2277"/>
      <c r="J6" s="2277"/>
      <c r="K6" s="1219"/>
      <c r="L6" s="2277" t="str">
        <f>IF(TRIM(Assets!C38)&lt;&gt;"",Assets!C38,"")</f>
        <v>Sally</v>
      </c>
      <c r="M6" s="2277"/>
      <c r="N6" s="2277"/>
      <c r="O6" s="1219"/>
      <c r="P6" s="2278" t="str">
        <f>IF(TRIM(Assets!C39)&lt;&gt;"",Assets!C39,"")</f>
        <v>Sally</v>
      </c>
      <c r="Q6" s="2277"/>
      <c r="R6" s="2277"/>
      <c r="S6" s="1219"/>
      <c r="T6" s="2277" t="str">
        <f>IF(TRIM(Assets!C40)&lt;&gt;"",Assets!C40,"")</f>
        <v/>
      </c>
      <c r="U6" s="2277"/>
      <c r="V6" s="2277"/>
      <c r="W6" s="1219"/>
      <c r="X6" s="2277" t="str">
        <f>IF(TRIM(Assets!C41)&lt;&gt;"",Assets!C41,"")</f>
        <v/>
      </c>
      <c r="Y6" s="2277"/>
      <c r="Z6" s="2277"/>
      <c r="AA6" s="1219"/>
      <c r="AB6" s="2279" t="str">
        <f>IF(TRIM(Assets!C42)&lt;&gt;"",Assets!C42,"")</f>
        <v/>
      </c>
      <c r="AC6" s="2279"/>
      <c r="AD6" s="2279"/>
      <c r="AE6" s="1224"/>
      <c r="AF6" s="2279" t="str">
        <f>IF(TRIM(Assets!C43)&lt;&gt;"",Assets!C43,"")</f>
        <v/>
      </c>
      <c r="AG6" s="2279"/>
      <c r="AH6" s="2279"/>
      <c r="AI6" s="1224"/>
      <c r="AJ6" s="2279" t="str">
        <f>IF(TRIM(Assets!C44)&lt;&gt;"",Assets!C44,"")</f>
        <v/>
      </c>
      <c r="AK6" s="2279"/>
      <c r="AL6" s="2279"/>
      <c r="AM6" s="1224"/>
      <c r="AN6" s="2279" t="str">
        <f>IF(TRIM(Assets!C45)&lt;&gt;"",Assets!C45,"")</f>
        <v/>
      </c>
      <c r="AO6" s="2279"/>
      <c r="AP6" s="2279"/>
      <c r="AQ6" s="1224"/>
      <c r="AR6" s="2279" t="str">
        <f>IF(TRIM(Assets!C46)&lt;&gt;"",Assets!C46,"")</f>
        <v/>
      </c>
      <c r="AS6" s="2279"/>
      <c r="AT6" s="2279"/>
      <c r="AU6" s="1224"/>
      <c r="AV6" s="2279" t="str">
        <f>IF(TRIM(Assets!C47)&lt;&gt;"",Assets!C47,"")</f>
        <v/>
      </c>
      <c r="AW6" s="2279"/>
      <c r="AX6" s="2279"/>
      <c r="AY6" s="1224"/>
      <c r="AZ6" s="2279" t="str">
        <f>IF(TRIM(Assets!C48)&lt;&gt;"",Assets!C48,"")</f>
        <v/>
      </c>
      <c r="BA6" s="2279"/>
      <c r="BB6" s="2279"/>
      <c r="BC6" s="521"/>
      <c r="BD6" s="2004"/>
      <c r="BE6" s="1965"/>
      <c r="BF6" s="1965"/>
      <c r="BG6" s="1329" t="str">
        <f>H6</f>
        <v>Jon</v>
      </c>
      <c r="BH6" s="1329" t="str">
        <f>L6</f>
        <v>Sally</v>
      </c>
      <c r="BI6" s="1329" t="str">
        <f>P6</f>
        <v>Sally</v>
      </c>
      <c r="BJ6" s="1329" t="str">
        <f>T6</f>
        <v/>
      </c>
      <c r="BK6" s="1329" t="str">
        <f>X6</f>
        <v/>
      </c>
      <c r="BL6" s="1329" t="str">
        <f>AB6</f>
        <v/>
      </c>
      <c r="BM6" s="1329" t="str">
        <f>AF6</f>
        <v/>
      </c>
      <c r="BN6" s="1329" t="str">
        <f>AJ6</f>
        <v/>
      </c>
      <c r="BO6" s="1329" t="str">
        <f>AN6</f>
        <v/>
      </c>
      <c r="BP6" s="1329" t="str">
        <f>AR6</f>
        <v/>
      </c>
      <c r="BQ6" s="1329" t="str">
        <f>AV6</f>
        <v/>
      </c>
      <c r="BR6" s="1329" t="str">
        <f>AZ6</f>
        <v/>
      </c>
      <c r="BS6" s="197"/>
      <c r="BT6" s="1965" t="s">
        <v>73</v>
      </c>
      <c r="BU6" s="1965" t="s">
        <v>522</v>
      </c>
      <c r="BV6" s="1965" t="s">
        <v>523</v>
      </c>
      <c r="BW6" s="1965"/>
      <c r="BX6" s="1965" t="s">
        <v>2094</v>
      </c>
      <c r="BY6" s="1965" t="s">
        <v>1491</v>
      </c>
      <c r="BZ6" s="2271" t="s">
        <v>452</v>
      </c>
      <c r="CA6" s="2271"/>
      <c r="CB6" s="2271"/>
      <c r="CC6" s="2271"/>
      <c r="CD6" s="2271"/>
      <c r="CE6" s="2271"/>
      <c r="CF6" s="2271"/>
      <c r="CG6" s="2271"/>
      <c r="CH6" s="2271"/>
      <c r="CI6" s="2271"/>
      <c r="CJ6" s="2271"/>
      <c r="CK6" s="2271"/>
      <c r="CL6" s="1965"/>
      <c r="CM6" s="2271" t="s">
        <v>1491</v>
      </c>
      <c r="CN6" s="2271"/>
      <c r="CO6" s="2271"/>
      <c r="CP6" s="2271"/>
      <c r="CQ6" s="2271"/>
      <c r="CR6" s="2271"/>
      <c r="CS6" s="2271"/>
      <c r="CT6" s="2271"/>
      <c r="CU6" s="2271"/>
      <c r="CV6" s="2271"/>
      <c r="CW6" s="2271"/>
      <c r="CX6" s="2271"/>
      <c r="CY6" s="1965"/>
      <c r="CZ6" s="1965"/>
      <c r="DA6" s="1965" t="s">
        <v>2603</v>
      </c>
      <c r="DB6" s="1965" t="s">
        <v>2604</v>
      </c>
      <c r="DC6" s="1971"/>
      <c r="DD6" s="1760"/>
      <c r="DE6" s="1760"/>
      <c r="DF6" s="1330"/>
      <c r="DG6" s="1330"/>
      <c r="DH6" s="1330"/>
      <c r="DI6" s="1330"/>
      <c r="DJ6" s="1330"/>
      <c r="DK6" s="1330"/>
      <c r="DL6" s="1330"/>
      <c r="DM6" s="1330"/>
      <c r="DN6" s="1330"/>
      <c r="DO6" s="1330"/>
      <c r="DP6" s="1330"/>
      <c r="DQ6" s="1330"/>
      <c r="DR6" s="1330"/>
      <c r="DS6" s="1330"/>
      <c r="DT6" s="1330"/>
    </row>
    <row r="7" spans="1:124" s="1185" customFormat="1" ht="18" customHeight="1">
      <c r="A7" s="523">
        <f ca="1">IF(E7=YEAR(Retire!$D$12),1,0)</f>
        <v>0</v>
      </c>
      <c r="B7" s="502"/>
      <c r="C7" s="503" t="str">
        <f ca="1">IF(E7=Retire!$D$12,"==&gt;","")</f>
        <v/>
      </c>
      <c r="D7" s="504">
        <v>1</v>
      </c>
      <c r="E7" s="504">
        <f ca="1">YEAR(TODAY())</f>
        <v>2022</v>
      </c>
      <c r="F7" s="505">
        <f ca="1">ROUND(BX7+BY7,0)</f>
        <v>550000</v>
      </c>
      <c r="G7" s="505"/>
      <c r="H7" s="506">
        <f>Assets!$G$37</f>
        <v>5.5E-2</v>
      </c>
      <c r="I7" s="507">
        <f>Assets!$F$37</f>
        <v>2000</v>
      </c>
      <c r="J7" s="507">
        <f>IF(Assets!C37&lt;&gt;"",Assets!E37,0)</f>
        <v>250000</v>
      </c>
      <c r="K7" s="1220"/>
      <c r="L7" s="506">
        <f>Assets!$G$38</f>
        <v>0.05</v>
      </c>
      <c r="M7" s="507">
        <f>Assets!$F$38</f>
        <v>1500</v>
      </c>
      <c r="N7" s="507">
        <f>IF(Assets!C38&lt;&gt;"",Assets!E38, 0)</f>
        <v>225000</v>
      </c>
      <c r="O7" s="1220"/>
      <c r="P7" s="506">
        <f>Assets!$G$39</f>
        <v>0.06</v>
      </c>
      <c r="Q7" s="508">
        <f>Assets!$F$39</f>
        <v>250</v>
      </c>
      <c r="R7" s="509">
        <f>IF(Assets!C39&lt;&gt;"",Assets!E39, 0)</f>
        <v>75000</v>
      </c>
      <c r="S7" s="1220"/>
      <c r="T7" s="506">
        <f>Assets!$G$40</f>
        <v>0</v>
      </c>
      <c r="U7" s="510">
        <f>Assets!$F$40</f>
        <v>0</v>
      </c>
      <c r="V7" s="507">
        <f>IF(Assets!C40&lt;&gt;"",Assets!E40, 0)</f>
        <v>0</v>
      </c>
      <c r="W7" s="1220"/>
      <c r="X7" s="506">
        <f>Assets!$G$41</f>
        <v>0</v>
      </c>
      <c r="Y7" s="510">
        <f>Assets!$F$41</f>
        <v>0</v>
      </c>
      <c r="Z7" s="507">
        <f>IF(Assets!C41&lt;&gt;"",Assets!E41, 0)</f>
        <v>0</v>
      </c>
      <c r="AA7" s="1220"/>
      <c r="AB7" s="506">
        <f>Assets!$G$42</f>
        <v>0</v>
      </c>
      <c r="AC7" s="507">
        <f>Assets!$F$42</f>
        <v>0</v>
      </c>
      <c r="AD7" s="507">
        <f>IF(Assets!C42&lt;&gt;"",Assets!E42, 0)</f>
        <v>0</v>
      </c>
      <c r="AF7" s="506">
        <f>Assets!$G$43</f>
        <v>0</v>
      </c>
      <c r="AG7" s="507">
        <f>Assets!$F$43</f>
        <v>0</v>
      </c>
      <c r="AH7" s="507">
        <f>IF(Assets!C43&lt;&gt;"",Assets!E43, 0)</f>
        <v>0</v>
      </c>
      <c r="AJ7" s="506">
        <f>Assets!$G$44</f>
        <v>0</v>
      </c>
      <c r="AK7" s="507">
        <f>Assets!$F$44</f>
        <v>0</v>
      </c>
      <c r="AL7" s="507">
        <f>IF(Assets!C44&lt;&gt;"",Assets!E44, 0)</f>
        <v>0</v>
      </c>
      <c r="AN7" s="506">
        <f>Assets!$G$45</f>
        <v>0</v>
      </c>
      <c r="AO7" s="507">
        <f>Assets!$F$45</f>
        <v>0</v>
      </c>
      <c r="AP7" s="507">
        <f>IF(Assets!C45&lt;&gt;"",Assets!E45, 0)</f>
        <v>0</v>
      </c>
      <c r="AR7" s="506">
        <f>Assets!$G$46</f>
        <v>0</v>
      </c>
      <c r="AS7" s="507">
        <f>Assets!$F$46</f>
        <v>0</v>
      </c>
      <c r="AT7" s="507">
        <f>IF(Assets!C46&lt;&gt;"",Assets!E46, 0)</f>
        <v>0</v>
      </c>
      <c r="AV7" s="506">
        <f>Assets!$G$47</f>
        <v>0</v>
      </c>
      <c r="AW7" s="507">
        <f>Assets!F$47</f>
        <v>0</v>
      </c>
      <c r="AX7" s="507">
        <f>IF(Assets!C47&lt;&gt;"",Assets!E47, 0)</f>
        <v>0</v>
      </c>
      <c r="AZ7" s="506">
        <f>Assets!$G$48</f>
        <v>0</v>
      </c>
      <c r="BA7" s="507">
        <f>Assets!$F$48</f>
        <v>0</v>
      </c>
      <c r="BB7" s="507">
        <f>IF(Assets!C48&lt;&gt;"",Assets!E48, 0)</f>
        <v>0</v>
      </c>
      <c r="BC7" s="502"/>
      <c r="BD7" s="2005"/>
      <c r="BE7" s="523"/>
      <c r="BF7" s="523"/>
      <c r="BG7" s="1331">
        <f t="shared" ref="BG7:BG38" si="0">IF($H$6&lt;&gt;"",J7,0)</f>
        <v>250000</v>
      </c>
      <c r="BH7" s="1331">
        <f t="shared" ref="BH7:BH38" si="1">IF($L$6&lt;&gt;"",N7,0)</f>
        <v>225000</v>
      </c>
      <c r="BI7" s="1331">
        <f t="shared" ref="BI7:BI38" si="2">IF($P$6&lt;&gt;"",R7,0)</f>
        <v>75000</v>
      </c>
      <c r="BJ7" s="1331">
        <f t="shared" ref="BJ7:BJ38" si="3">IF($T$6&lt;&gt;"",V7,0)</f>
        <v>0</v>
      </c>
      <c r="BK7" s="1331">
        <f t="shared" ref="BK7:BK38" si="4">IF($X$6&lt;&gt;"",Z7,0)</f>
        <v>0</v>
      </c>
      <c r="BL7" s="1331">
        <f t="shared" ref="BL7:BL38" si="5">IF($AB$6&lt;&gt;"",AD7,0)</f>
        <v>0</v>
      </c>
      <c r="BM7" s="1331">
        <f t="shared" ref="BM7:BM38" si="6">IF($AF$6&lt;&gt;"",AH7,0)</f>
        <v>0</v>
      </c>
      <c r="BN7" s="1331">
        <f t="shared" ref="BN7:BN38" si="7">IF($AJ$6&lt;&gt;"",AL7,0)</f>
        <v>0</v>
      </c>
      <c r="BO7" s="1331">
        <f t="shared" ref="BO7:BO38" si="8">IF($AN$6&lt;&gt;"",AP7,0)</f>
        <v>0</v>
      </c>
      <c r="BP7" s="1331">
        <f t="shared" ref="BP7:BP38" si="9">IF($AR$6&lt;&gt;"",AT7,0)</f>
        <v>0</v>
      </c>
      <c r="BQ7" s="1331">
        <f t="shared" ref="BQ7:BQ38" si="10">IF($AV$6&lt;&gt;"",AX7,0)</f>
        <v>0</v>
      </c>
      <c r="BR7" s="1331">
        <f t="shared" ref="BR7:BR38" si="11">IF($AZ$6&lt;&gt;"",BB7,0)</f>
        <v>0</v>
      </c>
      <c r="BS7" s="523"/>
      <c r="BT7" s="1332">
        <v>1</v>
      </c>
      <c r="BU7" s="1333" t="s">
        <v>1389</v>
      </c>
      <c r="BV7" s="1333" t="s">
        <v>524</v>
      </c>
      <c r="BW7" s="1333">
        <f ca="1">YEAR(TODAY())</f>
        <v>2022</v>
      </c>
      <c r="BX7" s="1331">
        <f>SUM(BZ7:CK7)</f>
        <v>475000</v>
      </c>
      <c r="BY7" s="1331">
        <f t="shared" ref="BY7:BY38" ca="1" si="12">SUM(CM7:DB7)</f>
        <v>75000</v>
      </c>
      <c r="BZ7" s="1334">
        <f>IF($H$5="Before tax",J7,0)</f>
        <v>250000</v>
      </c>
      <c r="CA7" s="1334">
        <f>IF($L$5="Before tax",N7,0)</f>
        <v>225000</v>
      </c>
      <c r="CB7" s="1334">
        <f>IF($P$5="Before tax",R7,0)</f>
        <v>0</v>
      </c>
      <c r="CC7" s="1334">
        <f>IF($T$5="Before tax",V7,0)</f>
        <v>0</v>
      </c>
      <c r="CD7" s="1334">
        <f>IF($X$5="Before tax",Z7,0)</f>
        <v>0</v>
      </c>
      <c r="CE7" s="1334">
        <f>IF($AB$5="Before tax",AD7,0)</f>
        <v>0</v>
      </c>
      <c r="CF7" s="1334">
        <f>IF($AF$5="Before tax",AH7,0)</f>
        <v>0</v>
      </c>
      <c r="CG7" s="1334">
        <f>IF($AJ$5="Before tax",AL7,0)</f>
        <v>0</v>
      </c>
      <c r="CH7" s="1334">
        <f>IF($AN$5="Before tax",AP7,0)</f>
        <v>0</v>
      </c>
      <c r="CI7" s="1334">
        <f>IF($AR$5="Before tax",AT7,0)</f>
        <v>0</v>
      </c>
      <c r="CJ7" s="1334">
        <f>IF($AV$5="Before tax",AX7,0)</f>
        <v>0</v>
      </c>
      <c r="CK7" s="1334">
        <f>IF($AZ$5="Before tax",BB7,0)</f>
        <v>0</v>
      </c>
      <c r="CL7" s="1334"/>
      <c r="CM7" s="1334">
        <f>IF($H$5="After tax",J7,0)</f>
        <v>0</v>
      </c>
      <c r="CN7" s="1334">
        <f>IF($L$5="After tax",N7,0)</f>
        <v>0</v>
      </c>
      <c r="CO7" s="1334">
        <f>IF($P$5="After tax",R7,0)</f>
        <v>75000</v>
      </c>
      <c r="CP7" s="1334">
        <f>IF($T$5="After tax",V7,0)</f>
        <v>0</v>
      </c>
      <c r="CQ7" s="1334">
        <f>IF($X$5="After tax",Z7,0)</f>
        <v>0</v>
      </c>
      <c r="CR7" s="1334">
        <f>IF($AB$5="After tax",AD7,0)</f>
        <v>0</v>
      </c>
      <c r="CS7" s="1334">
        <f>IF($AF$5="After tax",AH7,0)</f>
        <v>0</v>
      </c>
      <c r="CT7" s="1334">
        <f>IF($AJ$5="After tax",AL7,0)</f>
        <v>0</v>
      </c>
      <c r="CU7" s="1334">
        <f>IF($AN$5="After tax",AP7,0)</f>
        <v>0</v>
      </c>
      <c r="CV7" s="1334">
        <f>IF($AR$5="After tax",AT7,0)</f>
        <v>0</v>
      </c>
      <c r="CW7" s="1334">
        <f>IF($AV$5="After tax",AX7,0)</f>
        <v>0</v>
      </c>
      <c r="CX7" s="1334">
        <f>IF($AZ$5="After tax",BB7,0)</f>
        <v>0</v>
      </c>
      <c r="CY7" s="1334"/>
      <c r="CZ7" s="1334"/>
      <c r="DA7" s="1334">
        <f ca="1">Rental!Y37</f>
        <v>0</v>
      </c>
      <c r="DB7" s="1334">
        <f ca="1">Rental!AD37</f>
        <v>0</v>
      </c>
      <c r="DC7" s="1972"/>
      <c r="DD7" s="1761"/>
      <c r="DE7" s="1761"/>
      <c r="DF7" s="1335"/>
      <c r="DG7" s="1335"/>
      <c r="DH7" s="1335"/>
      <c r="DI7" s="1335"/>
      <c r="DJ7" s="1335"/>
      <c r="DK7" s="1335"/>
      <c r="DL7" s="1335"/>
      <c r="DM7" s="1335"/>
      <c r="DN7" s="1335"/>
      <c r="DO7" s="1335"/>
      <c r="DP7" s="1335"/>
      <c r="DQ7" s="1335"/>
      <c r="DR7" s="1335"/>
      <c r="DS7" s="1335"/>
      <c r="DT7" s="1335"/>
    </row>
    <row r="8" spans="1:124" s="1185" customFormat="1" ht="18" customHeight="1">
      <c r="A8" s="523">
        <f ca="1">IF(E8=YEAR(Retire!$D$12),1,0)</f>
        <v>0</v>
      </c>
      <c r="B8" s="502"/>
      <c r="C8" s="503" t="str">
        <f ca="1">IF(E8=Retire!$D$12,"==&gt;","")</f>
        <v/>
      </c>
      <c r="D8" s="512">
        <f t="shared" ref="D8:D49" si="13">SUM(D7+1)</f>
        <v>2</v>
      </c>
      <c r="E8" s="512">
        <f ca="1">E7+1</f>
        <v>2023</v>
      </c>
      <c r="F8" s="513">
        <f t="shared" ref="F8:F67" ca="1" si="14">ROUND(BX8+BY8,0)</f>
        <v>583250</v>
      </c>
      <c r="G8" s="505"/>
      <c r="H8" s="514">
        <f>Assets!$G$37</f>
        <v>5.5E-2</v>
      </c>
      <c r="I8" s="515">
        <f>Assets!$F$37</f>
        <v>2000</v>
      </c>
      <c r="J8" s="515">
        <f t="shared" ref="J8:J20" si="15">SUM((J7*H7)+J7+I7)</f>
        <v>265750</v>
      </c>
      <c r="K8" s="1220"/>
      <c r="L8" s="514">
        <f>Assets!$G$38</f>
        <v>0.05</v>
      </c>
      <c r="M8" s="515">
        <f>Assets!$F$38</f>
        <v>1500</v>
      </c>
      <c r="N8" s="515">
        <f t="shared" ref="N8:N17" si="16">SUM((N7*L7)+N7+M7)</f>
        <v>237750</v>
      </c>
      <c r="O8" s="1220"/>
      <c r="P8" s="514">
        <f>Assets!$G$39</f>
        <v>0.06</v>
      </c>
      <c r="Q8" s="516">
        <f>Assets!$F$39</f>
        <v>250</v>
      </c>
      <c r="R8" s="515">
        <f t="shared" ref="R8:R20" si="17">SUM((R7*P7)+R7+Q7)</f>
        <v>79750</v>
      </c>
      <c r="S8" s="1220"/>
      <c r="T8" s="514">
        <f>Assets!$G$40</f>
        <v>0</v>
      </c>
      <c r="U8" s="517">
        <f>Assets!$F$40</f>
        <v>0</v>
      </c>
      <c r="V8" s="515">
        <f t="shared" ref="V8:V20" si="18">SUM((V7*T7)+V7+U7)</f>
        <v>0</v>
      </c>
      <c r="W8" s="1220"/>
      <c r="X8" s="514">
        <f>Assets!$G$41</f>
        <v>0</v>
      </c>
      <c r="Y8" s="517">
        <f>Assets!$F$41</f>
        <v>0</v>
      </c>
      <c r="Z8" s="515">
        <f t="shared" ref="Z8:Z20" si="19">SUM((Z7*X7)+Z7+Y7)</f>
        <v>0</v>
      </c>
      <c r="AA8" s="1220"/>
      <c r="AB8" s="514">
        <f>Assets!$G$42</f>
        <v>0</v>
      </c>
      <c r="AC8" s="515">
        <f>Assets!$F$42</f>
        <v>0</v>
      </c>
      <c r="AD8" s="515">
        <f t="shared" ref="AD8:AD20" si="20">SUM((AD7*AB7)+AD7+AC7)</f>
        <v>0</v>
      </c>
      <c r="AE8" s="1220"/>
      <c r="AF8" s="514">
        <f>Assets!$G$43</f>
        <v>0</v>
      </c>
      <c r="AG8" s="515">
        <f>Assets!$F$43</f>
        <v>0</v>
      </c>
      <c r="AH8" s="515">
        <f t="shared" ref="AH8:AH17" si="21">SUM((AH7*AF7)+AH7+AG7)</f>
        <v>0</v>
      </c>
      <c r="AI8" s="1220"/>
      <c r="AJ8" s="514">
        <f>Assets!$G$44</f>
        <v>0</v>
      </c>
      <c r="AK8" s="515">
        <f>Assets!$F$44</f>
        <v>0</v>
      </c>
      <c r="AL8" s="515">
        <f t="shared" ref="AL8:AL17" si="22">SUM((AL7*AJ7)+AL7+AK7)</f>
        <v>0</v>
      </c>
      <c r="AM8" s="1220"/>
      <c r="AN8" s="514">
        <f>Assets!$G$45</f>
        <v>0</v>
      </c>
      <c r="AO8" s="515">
        <f>Assets!$F$45</f>
        <v>0</v>
      </c>
      <c r="AP8" s="515">
        <f t="shared" ref="AP8:AP17" si="23">SUM((AP7*AN7)+AP7+AO7)</f>
        <v>0</v>
      </c>
      <c r="AQ8" s="1220"/>
      <c r="AR8" s="514">
        <f>Assets!$G$46</f>
        <v>0</v>
      </c>
      <c r="AS8" s="515">
        <f>Assets!$F$46</f>
        <v>0</v>
      </c>
      <c r="AT8" s="515">
        <f t="shared" ref="AT8:AT17" si="24">SUM((AT7*AR7)+AT7+AS7)</f>
        <v>0</v>
      </c>
      <c r="AU8" s="1220"/>
      <c r="AV8" s="514">
        <f>Assets!$G$47</f>
        <v>0</v>
      </c>
      <c r="AW8" s="515">
        <f>Assets!F$47</f>
        <v>0</v>
      </c>
      <c r="AX8" s="515">
        <f t="shared" ref="AX8:AX17" si="25">SUM((AX7*AV7)+AX7+AW7)</f>
        <v>0</v>
      </c>
      <c r="AY8" s="1220"/>
      <c r="AZ8" s="514">
        <f>Assets!$G$48</f>
        <v>0</v>
      </c>
      <c r="BA8" s="515">
        <f>Assets!$F$48</f>
        <v>0</v>
      </c>
      <c r="BB8" s="515">
        <f t="shared" ref="BB8:BB17" si="26">SUM((BB7*AZ7)+BB7+BA7)</f>
        <v>0</v>
      </c>
      <c r="BC8" s="502"/>
      <c r="BD8" s="2005"/>
      <c r="BE8" s="523"/>
      <c r="BF8" s="523"/>
      <c r="BG8" s="1331">
        <f t="shared" si="0"/>
        <v>265750</v>
      </c>
      <c r="BH8" s="1331">
        <f t="shared" si="1"/>
        <v>237750</v>
      </c>
      <c r="BI8" s="1331">
        <f t="shared" si="2"/>
        <v>79750</v>
      </c>
      <c r="BJ8" s="1331">
        <f t="shared" si="3"/>
        <v>0</v>
      </c>
      <c r="BK8" s="1331">
        <f t="shared" si="4"/>
        <v>0</v>
      </c>
      <c r="BL8" s="1331">
        <f t="shared" si="5"/>
        <v>0</v>
      </c>
      <c r="BM8" s="1331">
        <f t="shared" si="6"/>
        <v>0</v>
      </c>
      <c r="BN8" s="1331">
        <f t="shared" si="7"/>
        <v>0</v>
      </c>
      <c r="BO8" s="1331">
        <f t="shared" si="8"/>
        <v>0</v>
      </c>
      <c r="BP8" s="1331">
        <f t="shared" si="9"/>
        <v>0</v>
      </c>
      <c r="BQ8" s="1331">
        <f t="shared" si="10"/>
        <v>0</v>
      </c>
      <c r="BR8" s="1331">
        <f t="shared" si="11"/>
        <v>0</v>
      </c>
      <c r="BS8" s="523"/>
      <c r="BT8" s="1332">
        <v>2</v>
      </c>
      <c r="BU8" s="1333" t="s">
        <v>510</v>
      </c>
      <c r="BV8" s="1333" t="s">
        <v>525</v>
      </c>
      <c r="BW8" s="1333">
        <f ca="1">BW7+1</f>
        <v>2023</v>
      </c>
      <c r="BX8" s="1331">
        <f t="shared" ref="BX8:BX55" si="27">SUM(BZ8:CK8)</f>
        <v>503500</v>
      </c>
      <c r="BY8" s="1331">
        <f t="shared" ca="1" si="12"/>
        <v>79750</v>
      </c>
      <c r="BZ8" s="1334">
        <f t="shared" ref="BZ8:BZ55" si="28">IF($H$5="Before tax",J8,0)</f>
        <v>265750</v>
      </c>
      <c r="CA8" s="1334">
        <f t="shared" ref="CA8:CA55" si="29">IF($L$5="Before tax",N8,0)</f>
        <v>237750</v>
      </c>
      <c r="CB8" s="1334">
        <f t="shared" ref="CB8:CB55" si="30">IF($P$5="Before tax",R8,0)</f>
        <v>0</v>
      </c>
      <c r="CC8" s="1334">
        <f t="shared" ref="CC8:CC55" si="31">IF($T$5="Before tax",V8,0)</f>
        <v>0</v>
      </c>
      <c r="CD8" s="1334">
        <f t="shared" ref="CD8:CD55" si="32">IF($X$5="Before tax",Z8,0)</f>
        <v>0</v>
      </c>
      <c r="CE8" s="1334">
        <f t="shared" ref="CE8:CE55" si="33">IF($AB$5="Before tax",AD8,0)</f>
        <v>0</v>
      </c>
      <c r="CF8" s="1334">
        <f t="shared" ref="CF8:CF55" si="34">IF($AF$5="Before tax",AH8,0)</f>
        <v>0</v>
      </c>
      <c r="CG8" s="1334">
        <f t="shared" ref="CG8:CG55" si="35">IF($AJ$5="Before tax",AL8,0)</f>
        <v>0</v>
      </c>
      <c r="CH8" s="1334">
        <f t="shared" ref="CH8:CH55" si="36">IF($AN$5="Before tax",AP8,0)</f>
        <v>0</v>
      </c>
      <c r="CI8" s="1334">
        <f t="shared" ref="CI8:CI55" si="37">IF($AR$5="Before tax",AT8,0)</f>
        <v>0</v>
      </c>
      <c r="CJ8" s="1334">
        <f t="shared" ref="CJ8:CJ55" si="38">IF($AV$5="Before tax",AX8,0)</f>
        <v>0</v>
      </c>
      <c r="CK8" s="1334">
        <f t="shared" ref="CK8:CK55" si="39">IF($AZ$5="Before tax",BB8,0)</f>
        <v>0</v>
      </c>
      <c r="CL8" s="1334"/>
      <c r="CM8" s="1334">
        <f t="shared" ref="CM8:CM55" si="40">IF($H$5="After tax",J8,0)</f>
        <v>0</v>
      </c>
      <c r="CN8" s="1334">
        <f t="shared" ref="CN8:CN55" si="41">IF($L$5="After tax",N8,0)</f>
        <v>0</v>
      </c>
      <c r="CO8" s="1334">
        <f t="shared" ref="CO8:CO55" si="42">IF($P$5="After tax",R8,0)</f>
        <v>79750</v>
      </c>
      <c r="CP8" s="1334">
        <f t="shared" ref="CP8:CP55" si="43">IF($T$5="After tax",V8,0)</f>
        <v>0</v>
      </c>
      <c r="CQ8" s="1334">
        <f t="shared" ref="CQ8:CQ55" si="44">IF($X$5="After tax",Z8,0)</f>
        <v>0</v>
      </c>
      <c r="CR8" s="1334">
        <f t="shared" ref="CR8:CR55" si="45">IF($AB$5="After tax",AD8,0)</f>
        <v>0</v>
      </c>
      <c r="CS8" s="1334">
        <f t="shared" ref="CS8:CS55" si="46">IF($AF$5="After tax",AH8,0)</f>
        <v>0</v>
      </c>
      <c r="CT8" s="1334">
        <f t="shared" ref="CT8:CT55" si="47">IF($AJ$5="After tax",AL8,0)</f>
        <v>0</v>
      </c>
      <c r="CU8" s="1334">
        <f t="shared" ref="CU8:CU55" si="48">IF($AN$5="After tax",AP8,0)</f>
        <v>0</v>
      </c>
      <c r="CV8" s="1334">
        <f t="shared" ref="CV8:CV55" si="49">IF($AR$5="After tax",AT8,0)</f>
        <v>0</v>
      </c>
      <c r="CW8" s="1334">
        <f t="shared" ref="CW8:CW55" si="50">IF($AV$5="After tax",AX8,0)</f>
        <v>0</v>
      </c>
      <c r="CX8" s="1334">
        <f t="shared" ref="CX8:CX55" si="51">IF($AZ$5="After tax",BB8,0)</f>
        <v>0</v>
      </c>
      <c r="CY8" s="1334"/>
      <c r="CZ8" s="1334"/>
      <c r="DA8" s="1334">
        <f ca="1">Rental!Y38</f>
        <v>0</v>
      </c>
      <c r="DB8" s="1334">
        <f ca="1">Rental!AD38</f>
        <v>0</v>
      </c>
      <c r="DC8" s="1972"/>
      <c r="DD8" s="1761"/>
      <c r="DE8" s="1761"/>
      <c r="DF8" s="1335"/>
      <c r="DG8" s="1335"/>
      <c r="DH8" s="1335"/>
      <c r="DI8" s="1335"/>
      <c r="DJ8" s="1335"/>
      <c r="DK8" s="1335"/>
      <c r="DL8" s="1335"/>
      <c r="DM8" s="1335"/>
      <c r="DN8" s="1335"/>
      <c r="DO8" s="1335"/>
      <c r="DP8" s="1335"/>
      <c r="DQ8" s="1335"/>
      <c r="DR8" s="1335"/>
      <c r="DS8" s="1335"/>
      <c r="DT8" s="1335"/>
    </row>
    <row r="9" spans="1:124" s="1185" customFormat="1" ht="18" customHeight="1">
      <c r="A9" s="523">
        <f ca="1">IF(E9=YEAR(Retire!$D$12),1,0)</f>
        <v>0</v>
      </c>
      <c r="B9" s="502"/>
      <c r="C9" s="503" t="str">
        <f ca="1">IF(E9=Retire!$D$12,"==&gt;","")</f>
        <v/>
      </c>
      <c r="D9" s="504">
        <f t="shared" si="13"/>
        <v>3</v>
      </c>
      <c r="E9" s="504">
        <f t="shared" ref="E9:E24" ca="1" si="52">E8+1</f>
        <v>2024</v>
      </c>
      <c r="F9" s="505">
        <f t="shared" ca="1" si="14"/>
        <v>618289</v>
      </c>
      <c r="G9" s="505"/>
      <c r="H9" s="506">
        <f>Assets!$G$37</f>
        <v>5.5E-2</v>
      </c>
      <c r="I9" s="507">
        <f>Assets!$F$37</f>
        <v>2000</v>
      </c>
      <c r="J9" s="507">
        <f t="shared" si="15"/>
        <v>282366.25</v>
      </c>
      <c r="K9" s="1220"/>
      <c r="L9" s="506">
        <f>Assets!$G$38</f>
        <v>0.05</v>
      </c>
      <c r="M9" s="507">
        <f>Assets!$F$38</f>
        <v>1500</v>
      </c>
      <c r="N9" s="507">
        <f t="shared" si="16"/>
        <v>251137.5</v>
      </c>
      <c r="O9" s="1220"/>
      <c r="P9" s="506">
        <f>Assets!$G$39</f>
        <v>0.06</v>
      </c>
      <c r="Q9" s="508">
        <f>Assets!$F$39</f>
        <v>250</v>
      </c>
      <c r="R9" s="507">
        <f t="shared" si="17"/>
        <v>84785</v>
      </c>
      <c r="S9" s="1220"/>
      <c r="T9" s="506">
        <f>Assets!$G$40</f>
        <v>0</v>
      </c>
      <c r="U9" s="510">
        <f>Assets!$F$40</f>
        <v>0</v>
      </c>
      <c r="V9" s="507">
        <f t="shared" si="18"/>
        <v>0</v>
      </c>
      <c r="W9" s="1220"/>
      <c r="X9" s="506">
        <f>Assets!$G$41</f>
        <v>0</v>
      </c>
      <c r="Y9" s="510">
        <f>Assets!$F$41</f>
        <v>0</v>
      </c>
      <c r="Z9" s="507">
        <f t="shared" si="19"/>
        <v>0</v>
      </c>
      <c r="AA9" s="1220"/>
      <c r="AB9" s="506">
        <f>Assets!$G$42</f>
        <v>0</v>
      </c>
      <c r="AC9" s="507">
        <f>Assets!$F$42</f>
        <v>0</v>
      </c>
      <c r="AD9" s="507">
        <f t="shared" si="20"/>
        <v>0</v>
      </c>
      <c r="AE9" s="1220"/>
      <c r="AF9" s="506">
        <f>Assets!$G$43</f>
        <v>0</v>
      </c>
      <c r="AG9" s="507">
        <f>Assets!$F$43</f>
        <v>0</v>
      </c>
      <c r="AH9" s="507">
        <f t="shared" si="21"/>
        <v>0</v>
      </c>
      <c r="AI9" s="1220"/>
      <c r="AJ9" s="506">
        <f>Assets!$G$44</f>
        <v>0</v>
      </c>
      <c r="AK9" s="507">
        <f>Assets!$F$44</f>
        <v>0</v>
      </c>
      <c r="AL9" s="507">
        <f t="shared" si="22"/>
        <v>0</v>
      </c>
      <c r="AM9" s="1220"/>
      <c r="AN9" s="506">
        <f>Assets!$G$45</f>
        <v>0</v>
      </c>
      <c r="AO9" s="507">
        <f>Assets!$F$45</f>
        <v>0</v>
      </c>
      <c r="AP9" s="507">
        <f t="shared" si="23"/>
        <v>0</v>
      </c>
      <c r="AQ9" s="1220"/>
      <c r="AR9" s="506">
        <f>Assets!$G$46</f>
        <v>0</v>
      </c>
      <c r="AS9" s="507">
        <f>Assets!$F$46</f>
        <v>0</v>
      </c>
      <c r="AT9" s="507">
        <f t="shared" si="24"/>
        <v>0</v>
      </c>
      <c r="AU9" s="1220"/>
      <c r="AV9" s="506">
        <f>Assets!$G$47</f>
        <v>0</v>
      </c>
      <c r="AW9" s="507">
        <f>Assets!F$47</f>
        <v>0</v>
      </c>
      <c r="AX9" s="507">
        <f t="shared" si="25"/>
        <v>0</v>
      </c>
      <c r="AY9" s="1220"/>
      <c r="AZ9" s="506">
        <f>Assets!$G$48</f>
        <v>0</v>
      </c>
      <c r="BA9" s="507">
        <f>Assets!$F$48</f>
        <v>0</v>
      </c>
      <c r="BB9" s="507">
        <f t="shared" si="26"/>
        <v>0</v>
      </c>
      <c r="BC9" s="502"/>
      <c r="BD9" s="2005"/>
      <c r="BE9" s="523"/>
      <c r="BF9" s="523"/>
      <c r="BG9" s="1331">
        <f t="shared" si="0"/>
        <v>282366.25</v>
      </c>
      <c r="BH9" s="1331">
        <f t="shared" si="1"/>
        <v>251137.5</v>
      </c>
      <c r="BI9" s="1331">
        <f t="shared" si="2"/>
        <v>84785</v>
      </c>
      <c r="BJ9" s="1331">
        <f t="shared" si="3"/>
        <v>0</v>
      </c>
      <c r="BK9" s="1331">
        <f t="shared" si="4"/>
        <v>0</v>
      </c>
      <c r="BL9" s="1331">
        <f t="shared" si="5"/>
        <v>0</v>
      </c>
      <c r="BM9" s="1331">
        <f t="shared" si="6"/>
        <v>0</v>
      </c>
      <c r="BN9" s="1331">
        <f t="shared" si="7"/>
        <v>0</v>
      </c>
      <c r="BO9" s="1331">
        <f t="shared" si="8"/>
        <v>0</v>
      </c>
      <c r="BP9" s="1331">
        <f t="shared" si="9"/>
        <v>0</v>
      </c>
      <c r="BQ9" s="1331">
        <f t="shared" si="10"/>
        <v>0</v>
      </c>
      <c r="BR9" s="1331">
        <f t="shared" si="11"/>
        <v>0</v>
      </c>
      <c r="BS9" s="523"/>
      <c r="BT9" s="1332">
        <v>3</v>
      </c>
      <c r="BU9" s="1333" t="s">
        <v>511</v>
      </c>
      <c r="BV9" s="1333" t="s">
        <v>526</v>
      </c>
      <c r="BW9" s="1333">
        <f t="shared" ref="BW9:BW72" ca="1" si="53">BW8+1</f>
        <v>2024</v>
      </c>
      <c r="BX9" s="1331">
        <f t="shared" si="27"/>
        <v>533503.75</v>
      </c>
      <c r="BY9" s="1331">
        <f t="shared" ca="1" si="12"/>
        <v>84785</v>
      </c>
      <c r="BZ9" s="1334">
        <f t="shared" si="28"/>
        <v>282366.25</v>
      </c>
      <c r="CA9" s="1334">
        <f t="shared" si="29"/>
        <v>251137.5</v>
      </c>
      <c r="CB9" s="1334">
        <f t="shared" si="30"/>
        <v>0</v>
      </c>
      <c r="CC9" s="1334">
        <f t="shared" si="31"/>
        <v>0</v>
      </c>
      <c r="CD9" s="1334">
        <f t="shared" si="32"/>
        <v>0</v>
      </c>
      <c r="CE9" s="1334">
        <f t="shared" si="33"/>
        <v>0</v>
      </c>
      <c r="CF9" s="1334">
        <f t="shared" si="34"/>
        <v>0</v>
      </c>
      <c r="CG9" s="1334">
        <f t="shared" si="35"/>
        <v>0</v>
      </c>
      <c r="CH9" s="1334">
        <f t="shared" si="36"/>
        <v>0</v>
      </c>
      <c r="CI9" s="1334">
        <f t="shared" si="37"/>
        <v>0</v>
      </c>
      <c r="CJ9" s="1334">
        <f t="shared" si="38"/>
        <v>0</v>
      </c>
      <c r="CK9" s="1334">
        <f t="shared" si="39"/>
        <v>0</v>
      </c>
      <c r="CL9" s="1334"/>
      <c r="CM9" s="1334">
        <f t="shared" si="40"/>
        <v>0</v>
      </c>
      <c r="CN9" s="1334">
        <f t="shared" si="41"/>
        <v>0</v>
      </c>
      <c r="CO9" s="1334">
        <f t="shared" si="42"/>
        <v>84785</v>
      </c>
      <c r="CP9" s="1334">
        <f t="shared" si="43"/>
        <v>0</v>
      </c>
      <c r="CQ9" s="1334">
        <f t="shared" si="44"/>
        <v>0</v>
      </c>
      <c r="CR9" s="1334">
        <f t="shared" si="45"/>
        <v>0</v>
      </c>
      <c r="CS9" s="1334">
        <f t="shared" si="46"/>
        <v>0</v>
      </c>
      <c r="CT9" s="1334">
        <f t="shared" si="47"/>
        <v>0</v>
      </c>
      <c r="CU9" s="1334">
        <f t="shared" si="48"/>
        <v>0</v>
      </c>
      <c r="CV9" s="1334">
        <f t="shared" si="49"/>
        <v>0</v>
      </c>
      <c r="CW9" s="1334">
        <f t="shared" si="50"/>
        <v>0</v>
      </c>
      <c r="CX9" s="1334">
        <f t="shared" si="51"/>
        <v>0</v>
      </c>
      <c r="CY9" s="1334"/>
      <c r="CZ9" s="1334"/>
      <c r="DA9" s="1334">
        <f ca="1">Rental!Y39</f>
        <v>0</v>
      </c>
      <c r="DB9" s="1334">
        <f ca="1">Rental!AD39</f>
        <v>0</v>
      </c>
      <c r="DC9" s="1972"/>
      <c r="DD9" s="1761"/>
      <c r="DE9" s="1761"/>
      <c r="DF9" s="1335"/>
      <c r="DG9" s="1335"/>
      <c r="DH9" s="1335"/>
      <c r="DI9" s="1335"/>
      <c r="DJ9" s="1335"/>
      <c r="DK9" s="1335"/>
      <c r="DL9" s="1335"/>
      <c r="DM9" s="1335"/>
      <c r="DN9" s="1335"/>
      <c r="DO9" s="1335"/>
      <c r="DP9" s="1335"/>
      <c r="DQ9" s="1335"/>
      <c r="DR9" s="1335"/>
      <c r="DS9" s="1335"/>
      <c r="DT9" s="1335"/>
    </row>
    <row r="10" spans="1:124" s="1185" customFormat="1" ht="18" customHeight="1">
      <c r="A10" s="523">
        <f ca="1">IF(E10=YEAR(Retire!$D$12),1,0)</f>
        <v>0</v>
      </c>
      <c r="B10" s="502"/>
      <c r="C10" s="503" t="str">
        <f ca="1">IF(E10=Retire!$D$12,"==&gt;","")</f>
        <v/>
      </c>
      <c r="D10" s="512">
        <f t="shared" si="13"/>
        <v>4</v>
      </c>
      <c r="E10" s="512">
        <f t="shared" ca="1" si="52"/>
        <v>2025</v>
      </c>
      <c r="F10" s="513">
        <f t="shared" ca="1" si="14"/>
        <v>655213</v>
      </c>
      <c r="G10" s="505"/>
      <c r="H10" s="514">
        <f>Assets!$G$37</f>
        <v>5.5E-2</v>
      </c>
      <c r="I10" s="515">
        <f>Assets!$F$37</f>
        <v>2000</v>
      </c>
      <c r="J10" s="515">
        <f t="shared" si="15"/>
        <v>299896.39374999999</v>
      </c>
      <c r="K10" s="1220"/>
      <c r="L10" s="514">
        <f>Assets!$G$38</f>
        <v>0.05</v>
      </c>
      <c r="M10" s="515">
        <f>Assets!$F$38</f>
        <v>1500</v>
      </c>
      <c r="N10" s="515">
        <f t="shared" si="16"/>
        <v>265194.375</v>
      </c>
      <c r="O10" s="1220"/>
      <c r="P10" s="514">
        <f>Assets!$G$39</f>
        <v>0.06</v>
      </c>
      <c r="Q10" s="516">
        <f>Assets!$F$39</f>
        <v>250</v>
      </c>
      <c r="R10" s="515">
        <f t="shared" si="17"/>
        <v>90122.1</v>
      </c>
      <c r="S10" s="1220"/>
      <c r="T10" s="514">
        <f>Assets!$G$40</f>
        <v>0</v>
      </c>
      <c r="U10" s="517">
        <f>Assets!$F$40</f>
        <v>0</v>
      </c>
      <c r="V10" s="515">
        <f t="shared" si="18"/>
        <v>0</v>
      </c>
      <c r="W10" s="1220"/>
      <c r="X10" s="514">
        <f>Assets!$G$41</f>
        <v>0</v>
      </c>
      <c r="Y10" s="517">
        <f>Assets!$F$41</f>
        <v>0</v>
      </c>
      <c r="Z10" s="515">
        <f t="shared" si="19"/>
        <v>0</v>
      </c>
      <c r="AA10" s="1220"/>
      <c r="AB10" s="514">
        <f>Assets!$G$42</f>
        <v>0</v>
      </c>
      <c r="AC10" s="515">
        <f>Assets!$F$42</f>
        <v>0</v>
      </c>
      <c r="AD10" s="515">
        <f t="shared" si="20"/>
        <v>0</v>
      </c>
      <c r="AE10" s="1220"/>
      <c r="AF10" s="514">
        <f>Assets!$G$43</f>
        <v>0</v>
      </c>
      <c r="AG10" s="515">
        <f>Assets!$F$43</f>
        <v>0</v>
      </c>
      <c r="AH10" s="515">
        <f t="shared" si="21"/>
        <v>0</v>
      </c>
      <c r="AI10" s="1220"/>
      <c r="AJ10" s="514">
        <f>Assets!$G$44</f>
        <v>0</v>
      </c>
      <c r="AK10" s="515">
        <f>Assets!$F$44</f>
        <v>0</v>
      </c>
      <c r="AL10" s="515">
        <f t="shared" si="22"/>
        <v>0</v>
      </c>
      <c r="AM10" s="1220"/>
      <c r="AN10" s="514">
        <f>Assets!$G$45</f>
        <v>0</v>
      </c>
      <c r="AO10" s="515">
        <f>Assets!$F$45</f>
        <v>0</v>
      </c>
      <c r="AP10" s="515">
        <f t="shared" si="23"/>
        <v>0</v>
      </c>
      <c r="AQ10" s="1220"/>
      <c r="AR10" s="514">
        <f>Assets!$G$46</f>
        <v>0</v>
      </c>
      <c r="AS10" s="515">
        <f>Assets!$F$46</f>
        <v>0</v>
      </c>
      <c r="AT10" s="515">
        <f t="shared" si="24"/>
        <v>0</v>
      </c>
      <c r="AU10" s="1220"/>
      <c r="AV10" s="514">
        <f>Assets!$G$47</f>
        <v>0</v>
      </c>
      <c r="AW10" s="515">
        <f>Assets!F$47</f>
        <v>0</v>
      </c>
      <c r="AX10" s="515">
        <f t="shared" si="25"/>
        <v>0</v>
      </c>
      <c r="AY10" s="1220"/>
      <c r="AZ10" s="514">
        <f>Assets!$G$48</f>
        <v>0</v>
      </c>
      <c r="BA10" s="515">
        <f>Assets!$F$48</f>
        <v>0</v>
      </c>
      <c r="BB10" s="515">
        <f t="shared" si="26"/>
        <v>0</v>
      </c>
      <c r="BC10" s="502"/>
      <c r="BD10" s="2005"/>
      <c r="BE10" s="523"/>
      <c r="BF10" s="523"/>
      <c r="BG10" s="1331">
        <f t="shared" si="0"/>
        <v>299896.39374999999</v>
      </c>
      <c r="BH10" s="1331">
        <f t="shared" si="1"/>
        <v>265194.375</v>
      </c>
      <c r="BI10" s="1331">
        <f t="shared" si="2"/>
        <v>90122.1</v>
      </c>
      <c r="BJ10" s="1331">
        <f t="shared" si="3"/>
        <v>0</v>
      </c>
      <c r="BK10" s="1331">
        <f t="shared" si="4"/>
        <v>0</v>
      </c>
      <c r="BL10" s="1331">
        <f t="shared" si="5"/>
        <v>0</v>
      </c>
      <c r="BM10" s="1331">
        <f t="shared" si="6"/>
        <v>0</v>
      </c>
      <c r="BN10" s="1331">
        <f t="shared" si="7"/>
        <v>0</v>
      </c>
      <c r="BO10" s="1331">
        <f t="shared" si="8"/>
        <v>0</v>
      </c>
      <c r="BP10" s="1331">
        <f t="shared" si="9"/>
        <v>0</v>
      </c>
      <c r="BQ10" s="1331">
        <f t="shared" si="10"/>
        <v>0</v>
      </c>
      <c r="BR10" s="1331">
        <f t="shared" si="11"/>
        <v>0</v>
      </c>
      <c r="BS10" s="523"/>
      <c r="BT10" s="1332">
        <v>4</v>
      </c>
      <c r="BU10" s="1333" t="s">
        <v>512</v>
      </c>
      <c r="BV10" s="1333" t="s">
        <v>100</v>
      </c>
      <c r="BW10" s="1333">
        <f t="shared" ca="1" si="53"/>
        <v>2025</v>
      </c>
      <c r="BX10" s="1331">
        <f t="shared" si="27"/>
        <v>565090.76875000005</v>
      </c>
      <c r="BY10" s="1331">
        <f t="shared" ca="1" si="12"/>
        <v>90122.1</v>
      </c>
      <c r="BZ10" s="1334">
        <f t="shared" si="28"/>
        <v>299896.39374999999</v>
      </c>
      <c r="CA10" s="1334">
        <f t="shared" si="29"/>
        <v>265194.375</v>
      </c>
      <c r="CB10" s="1334">
        <f t="shared" si="30"/>
        <v>0</v>
      </c>
      <c r="CC10" s="1334">
        <f t="shared" si="31"/>
        <v>0</v>
      </c>
      <c r="CD10" s="1334">
        <f t="shared" si="32"/>
        <v>0</v>
      </c>
      <c r="CE10" s="1334">
        <f t="shared" si="33"/>
        <v>0</v>
      </c>
      <c r="CF10" s="1334">
        <f t="shared" si="34"/>
        <v>0</v>
      </c>
      <c r="CG10" s="1334">
        <f t="shared" si="35"/>
        <v>0</v>
      </c>
      <c r="CH10" s="1334">
        <f t="shared" si="36"/>
        <v>0</v>
      </c>
      <c r="CI10" s="1334">
        <f t="shared" si="37"/>
        <v>0</v>
      </c>
      <c r="CJ10" s="1334">
        <f t="shared" si="38"/>
        <v>0</v>
      </c>
      <c r="CK10" s="1334">
        <f t="shared" si="39"/>
        <v>0</v>
      </c>
      <c r="CL10" s="1334"/>
      <c r="CM10" s="1334">
        <f t="shared" si="40"/>
        <v>0</v>
      </c>
      <c r="CN10" s="1334">
        <f t="shared" si="41"/>
        <v>0</v>
      </c>
      <c r="CO10" s="1334">
        <f t="shared" si="42"/>
        <v>90122.1</v>
      </c>
      <c r="CP10" s="1334">
        <f t="shared" si="43"/>
        <v>0</v>
      </c>
      <c r="CQ10" s="1334">
        <f t="shared" si="44"/>
        <v>0</v>
      </c>
      <c r="CR10" s="1334">
        <f t="shared" si="45"/>
        <v>0</v>
      </c>
      <c r="CS10" s="1334">
        <f t="shared" si="46"/>
        <v>0</v>
      </c>
      <c r="CT10" s="1334">
        <f t="shared" si="47"/>
        <v>0</v>
      </c>
      <c r="CU10" s="1334">
        <f t="shared" si="48"/>
        <v>0</v>
      </c>
      <c r="CV10" s="1334">
        <f t="shared" si="49"/>
        <v>0</v>
      </c>
      <c r="CW10" s="1334">
        <f t="shared" si="50"/>
        <v>0</v>
      </c>
      <c r="CX10" s="1334">
        <f t="shared" si="51"/>
        <v>0</v>
      </c>
      <c r="CY10" s="1334"/>
      <c r="CZ10" s="1334"/>
      <c r="DA10" s="1334">
        <f ca="1">Rental!Y40</f>
        <v>0</v>
      </c>
      <c r="DB10" s="1334">
        <f ca="1">Rental!AD40</f>
        <v>0</v>
      </c>
      <c r="DC10" s="1972"/>
      <c r="DD10" s="1761"/>
      <c r="DE10" s="1761"/>
      <c r="DF10" s="1335"/>
      <c r="DG10" s="1335"/>
      <c r="DH10" s="1335"/>
      <c r="DI10" s="1335"/>
      <c r="DJ10" s="1335"/>
      <c r="DK10" s="1335"/>
      <c r="DL10" s="1335"/>
      <c r="DM10" s="1335"/>
      <c r="DN10" s="1335"/>
      <c r="DO10" s="1335"/>
      <c r="DP10" s="1335"/>
      <c r="DQ10" s="1335"/>
      <c r="DR10" s="1335"/>
      <c r="DS10" s="1335"/>
      <c r="DT10" s="1335"/>
    </row>
    <row r="11" spans="1:124" s="1185" customFormat="1" ht="18" customHeight="1">
      <c r="A11" s="523">
        <f ca="1">IF(E11=YEAR(Retire!$D$12),1,0)</f>
        <v>0</v>
      </c>
      <c r="B11" s="502"/>
      <c r="C11" s="503" t="str">
        <f ca="1">IF(E11=Retire!$D$12,"==&gt;","")</f>
        <v/>
      </c>
      <c r="D11" s="504">
        <f t="shared" si="13"/>
        <v>5</v>
      </c>
      <c r="E11" s="504">
        <f t="shared" ca="1" si="52"/>
        <v>2026</v>
      </c>
      <c r="F11" s="505">
        <f t="shared" ca="1" si="14"/>
        <v>694124</v>
      </c>
      <c r="G11" s="505"/>
      <c r="H11" s="506">
        <f>Assets!$G$37</f>
        <v>5.5E-2</v>
      </c>
      <c r="I11" s="507">
        <f>Assets!$F$37</f>
        <v>2000</v>
      </c>
      <c r="J11" s="507">
        <f t="shared" si="15"/>
        <v>318390.69540624996</v>
      </c>
      <c r="K11" s="1220"/>
      <c r="L11" s="506">
        <f>Assets!$G$38</f>
        <v>0.05</v>
      </c>
      <c r="M11" s="507">
        <f>Assets!$F$38</f>
        <v>1500</v>
      </c>
      <c r="N11" s="507">
        <f t="shared" si="16"/>
        <v>279954.09375</v>
      </c>
      <c r="O11" s="1220"/>
      <c r="P11" s="506">
        <f>Assets!$G$39</f>
        <v>0.06</v>
      </c>
      <c r="Q11" s="508">
        <f>Assets!$F$39</f>
        <v>250</v>
      </c>
      <c r="R11" s="507">
        <f t="shared" si="17"/>
        <v>95779.426000000007</v>
      </c>
      <c r="S11" s="1220"/>
      <c r="T11" s="506">
        <f>Assets!$G$40</f>
        <v>0</v>
      </c>
      <c r="U11" s="510">
        <f>Assets!$F$40</f>
        <v>0</v>
      </c>
      <c r="V11" s="507">
        <f t="shared" si="18"/>
        <v>0</v>
      </c>
      <c r="W11" s="1220"/>
      <c r="X11" s="506">
        <f>Assets!$G$41</f>
        <v>0</v>
      </c>
      <c r="Y11" s="510">
        <f>Assets!$F$41</f>
        <v>0</v>
      </c>
      <c r="Z11" s="507">
        <f t="shared" si="19"/>
        <v>0</v>
      </c>
      <c r="AA11" s="1220"/>
      <c r="AB11" s="506">
        <f>Assets!$G$42</f>
        <v>0</v>
      </c>
      <c r="AC11" s="507">
        <f>Assets!$F$42</f>
        <v>0</v>
      </c>
      <c r="AD11" s="507">
        <f t="shared" si="20"/>
        <v>0</v>
      </c>
      <c r="AE11" s="1220"/>
      <c r="AF11" s="506">
        <f>Assets!$G$43</f>
        <v>0</v>
      </c>
      <c r="AG11" s="507">
        <f>Assets!$F$43</f>
        <v>0</v>
      </c>
      <c r="AH11" s="507">
        <f t="shared" si="21"/>
        <v>0</v>
      </c>
      <c r="AI11" s="1220"/>
      <c r="AJ11" s="506">
        <f>Assets!$G$44</f>
        <v>0</v>
      </c>
      <c r="AK11" s="507">
        <f>Assets!$F$44</f>
        <v>0</v>
      </c>
      <c r="AL11" s="507">
        <f t="shared" si="22"/>
        <v>0</v>
      </c>
      <c r="AM11" s="1220"/>
      <c r="AN11" s="506">
        <f>Assets!$G$45</f>
        <v>0</v>
      </c>
      <c r="AO11" s="507">
        <f>Assets!$F$45</f>
        <v>0</v>
      </c>
      <c r="AP11" s="507">
        <f t="shared" si="23"/>
        <v>0</v>
      </c>
      <c r="AQ11" s="1220"/>
      <c r="AR11" s="506">
        <f>Assets!$G$46</f>
        <v>0</v>
      </c>
      <c r="AS11" s="507">
        <f>Assets!$F$46</f>
        <v>0</v>
      </c>
      <c r="AT11" s="507">
        <f t="shared" si="24"/>
        <v>0</v>
      </c>
      <c r="AU11" s="1220"/>
      <c r="AV11" s="506">
        <f>Assets!$G$47</f>
        <v>0</v>
      </c>
      <c r="AW11" s="507">
        <f>Assets!F$47</f>
        <v>0</v>
      </c>
      <c r="AX11" s="507">
        <f t="shared" si="25"/>
        <v>0</v>
      </c>
      <c r="AY11" s="1220"/>
      <c r="AZ11" s="506">
        <f>Assets!$G$48</f>
        <v>0</v>
      </c>
      <c r="BA11" s="507">
        <f>Assets!$F$48</f>
        <v>0</v>
      </c>
      <c r="BB11" s="507">
        <f t="shared" si="26"/>
        <v>0</v>
      </c>
      <c r="BC11" s="502"/>
      <c r="BD11" s="2005"/>
      <c r="BE11" s="523"/>
      <c r="BF11" s="523"/>
      <c r="BG11" s="1331">
        <f t="shared" si="0"/>
        <v>318390.69540624996</v>
      </c>
      <c r="BH11" s="1331">
        <f t="shared" si="1"/>
        <v>279954.09375</v>
      </c>
      <c r="BI11" s="1331">
        <f t="shared" si="2"/>
        <v>95779.426000000007</v>
      </c>
      <c r="BJ11" s="1331">
        <f t="shared" si="3"/>
        <v>0</v>
      </c>
      <c r="BK11" s="1331">
        <f t="shared" si="4"/>
        <v>0</v>
      </c>
      <c r="BL11" s="1331">
        <f t="shared" si="5"/>
        <v>0</v>
      </c>
      <c r="BM11" s="1331">
        <f t="shared" si="6"/>
        <v>0</v>
      </c>
      <c r="BN11" s="1331">
        <f t="shared" si="7"/>
        <v>0</v>
      </c>
      <c r="BO11" s="1331">
        <f t="shared" si="8"/>
        <v>0</v>
      </c>
      <c r="BP11" s="1331">
        <f t="shared" si="9"/>
        <v>0</v>
      </c>
      <c r="BQ11" s="1331">
        <f t="shared" si="10"/>
        <v>0</v>
      </c>
      <c r="BR11" s="1331">
        <f t="shared" si="11"/>
        <v>0</v>
      </c>
      <c r="BS11" s="523"/>
      <c r="BT11" s="1332">
        <v>5</v>
      </c>
      <c r="BU11" s="1333" t="s">
        <v>513</v>
      </c>
      <c r="BV11" s="1333" t="s">
        <v>527</v>
      </c>
      <c r="BW11" s="1333">
        <f t="shared" ca="1" si="53"/>
        <v>2026</v>
      </c>
      <c r="BX11" s="1331">
        <f t="shared" si="27"/>
        <v>598344.78915624996</v>
      </c>
      <c r="BY11" s="1331">
        <f t="shared" ca="1" si="12"/>
        <v>95779.426000000007</v>
      </c>
      <c r="BZ11" s="1334">
        <f t="shared" si="28"/>
        <v>318390.69540624996</v>
      </c>
      <c r="CA11" s="1334">
        <f t="shared" si="29"/>
        <v>279954.09375</v>
      </c>
      <c r="CB11" s="1334">
        <f t="shared" si="30"/>
        <v>0</v>
      </c>
      <c r="CC11" s="1334">
        <f t="shared" si="31"/>
        <v>0</v>
      </c>
      <c r="CD11" s="1334">
        <f t="shared" si="32"/>
        <v>0</v>
      </c>
      <c r="CE11" s="1334">
        <f t="shared" si="33"/>
        <v>0</v>
      </c>
      <c r="CF11" s="1334">
        <f t="shared" si="34"/>
        <v>0</v>
      </c>
      <c r="CG11" s="1334">
        <f t="shared" si="35"/>
        <v>0</v>
      </c>
      <c r="CH11" s="1334">
        <f t="shared" si="36"/>
        <v>0</v>
      </c>
      <c r="CI11" s="1334">
        <f t="shared" si="37"/>
        <v>0</v>
      </c>
      <c r="CJ11" s="1334">
        <f t="shared" si="38"/>
        <v>0</v>
      </c>
      <c r="CK11" s="1334">
        <f t="shared" si="39"/>
        <v>0</v>
      </c>
      <c r="CL11" s="1334"/>
      <c r="CM11" s="1334">
        <f t="shared" si="40"/>
        <v>0</v>
      </c>
      <c r="CN11" s="1334">
        <f t="shared" si="41"/>
        <v>0</v>
      </c>
      <c r="CO11" s="1334">
        <f t="shared" si="42"/>
        <v>95779.426000000007</v>
      </c>
      <c r="CP11" s="1334">
        <f t="shared" si="43"/>
        <v>0</v>
      </c>
      <c r="CQ11" s="1334">
        <f t="shared" si="44"/>
        <v>0</v>
      </c>
      <c r="CR11" s="1334">
        <f t="shared" si="45"/>
        <v>0</v>
      </c>
      <c r="CS11" s="1334">
        <f t="shared" si="46"/>
        <v>0</v>
      </c>
      <c r="CT11" s="1334">
        <f t="shared" si="47"/>
        <v>0</v>
      </c>
      <c r="CU11" s="1334">
        <f t="shared" si="48"/>
        <v>0</v>
      </c>
      <c r="CV11" s="1334">
        <f t="shared" si="49"/>
        <v>0</v>
      </c>
      <c r="CW11" s="1334">
        <f t="shared" si="50"/>
        <v>0</v>
      </c>
      <c r="CX11" s="1334">
        <f t="shared" si="51"/>
        <v>0</v>
      </c>
      <c r="CY11" s="1334"/>
      <c r="CZ11" s="1334"/>
      <c r="DA11" s="1334">
        <f ca="1">Rental!Y41</f>
        <v>0</v>
      </c>
      <c r="DB11" s="1334">
        <f ca="1">Rental!AD41</f>
        <v>0</v>
      </c>
      <c r="DC11" s="1972"/>
      <c r="DD11" s="1761"/>
      <c r="DE11" s="1761"/>
      <c r="DF11" s="1335"/>
      <c r="DG11" s="1335"/>
      <c r="DH11" s="1335"/>
      <c r="DI11" s="1335"/>
      <c r="DJ11" s="1335"/>
      <c r="DK11" s="1335"/>
      <c r="DL11" s="1335"/>
      <c r="DM11" s="1335"/>
      <c r="DN11" s="1335"/>
      <c r="DO11" s="1335"/>
      <c r="DP11" s="1335"/>
      <c r="DQ11" s="1335"/>
      <c r="DR11" s="1335"/>
      <c r="DS11" s="1335"/>
      <c r="DT11" s="1335"/>
    </row>
    <row r="12" spans="1:124" s="1185" customFormat="1" ht="18" customHeight="1">
      <c r="A12" s="523">
        <f ca="1">IF(E12=YEAR(Retire!$D$12),1,0)</f>
        <v>0</v>
      </c>
      <c r="B12" s="502"/>
      <c r="C12" s="503" t="str">
        <f ca="1">IF(E12=Retire!$D$12,"==&gt;","")</f>
        <v/>
      </c>
      <c r="D12" s="512">
        <f t="shared" si="13"/>
        <v>6</v>
      </c>
      <c r="E12" s="512">
        <f t="shared" ca="1" si="52"/>
        <v>2027</v>
      </c>
      <c r="F12" s="513">
        <f t="shared" ca="1" si="14"/>
        <v>735130</v>
      </c>
      <c r="G12" s="505"/>
      <c r="H12" s="514">
        <f>Assets!$G$37</f>
        <v>5.5E-2</v>
      </c>
      <c r="I12" s="515">
        <f>Assets!$F$37</f>
        <v>2000</v>
      </c>
      <c r="J12" s="515">
        <f t="shared" si="15"/>
        <v>337902.1836535937</v>
      </c>
      <c r="K12" s="1220"/>
      <c r="L12" s="514">
        <f>Assets!$G$38</f>
        <v>0.05</v>
      </c>
      <c r="M12" s="515">
        <f>Assets!$F$38</f>
        <v>1500</v>
      </c>
      <c r="N12" s="515">
        <f t="shared" si="16"/>
        <v>295451.79843750002</v>
      </c>
      <c r="O12" s="1220"/>
      <c r="P12" s="514">
        <f>Assets!$G$39</f>
        <v>0.06</v>
      </c>
      <c r="Q12" s="516">
        <f>Assets!$F$39</f>
        <v>250</v>
      </c>
      <c r="R12" s="515">
        <f t="shared" si="17"/>
        <v>101776.19156000001</v>
      </c>
      <c r="S12" s="1220"/>
      <c r="T12" s="514">
        <f>Assets!$G$40</f>
        <v>0</v>
      </c>
      <c r="U12" s="517">
        <f>Assets!$F$40</f>
        <v>0</v>
      </c>
      <c r="V12" s="515">
        <f t="shared" si="18"/>
        <v>0</v>
      </c>
      <c r="W12" s="1220"/>
      <c r="X12" s="514">
        <f>Assets!$G$41</f>
        <v>0</v>
      </c>
      <c r="Y12" s="517">
        <f>Assets!$F$41</f>
        <v>0</v>
      </c>
      <c r="Z12" s="515">
        <f t="shared" si="19"/>
        <v>0</v>
      </c>
      <c r="AA12" s="1220"/>
      <c r="AB12" s="514">
        <f>Assets!$G$42</f>
        <v>0</v>
      </c>
      <c r="AC12" s="515">
        <f>Assets!$F$42</f>
        <v>0</v>
      </c>
      <c r="AD12" s="515">
        <f t="shared" si="20"/>
        <v>0</v>
      </c>
      <c r="AE12" s="1220"/>
      <c r="AF12" s="514">
        <f>Assets!$G$43</f>
        <v>0</v>
      </c>
      <c r="AG12" s="515">
        <f>Assets!$F$43</f>
        <v>0</v>
      </c>
      <c r="AH12" s="515">
        <f t="shared" si="21"/>
        <v>0</v>
      </c>
      <c r="AI12" s="1220"/>
      <c r="AJ12" s="514">
        <f>Assets!$G$44</f>
        <v>0</v>
      </c>
      <c r="AK12" s="515">
        <f>Assets!$F$44</f>
        <v>0</v>
      </c>
      <c r="AL12" s="515">
        <f t="shared" si="22"/>
        <v>0</v>
      </c>
      <c r="AM12" s="1220"/>
      <c r="AN12" s="514">
        <f>Assets!$G$45</f>
        <v>0</v>
      </c>
      <c r="AO12" s="515">
        <f>Assets!$F$45</f>
        <v>0</v>
      </c>
      <c r="AP12" s="515">
        <f t="shared" si="23"/>
        <v>0</v>
      </c>
      <c r="AQ12" s="1220"/>
      <c r="AR12" s="514">
        <f>Assets!$G$46</f>
        <v>0</v>
      </c>
      <c r="AS12" s="515">
        <f>Assets!$F$46</f>
        <v>0</v>
      </c>
      <c r="AT12" s="515">
        <f t="shared" si="24"/>
        <v>0</v>
      </c>
      <c r="AU12" s="1220"/>
      <c r="AV12" s="514">
        <f>Assets!$G$47</f>
        <v>0</v>
      </c>
      <c r="AW12" s="515">
        <f>Assets!F$47</f>
        <v>0</v>
      </c>
      <c r="AX12" s="515">
        <f t="shared" si="25"/>
        <v>0</v>
      </c>
      <c r="AY12" s="1220"/>
      <c r="AZ12" s="514">
        <f>Assets!$G$48</f>
        <v>0</v>
      </c>
      <c r="BA12" s="515">
        <f>Assets!$F$48</f>
        <v>0</v>
      </c>
      <c r="BB12" s="515">
        <f t="shared" si="26"/>
        <v>0</v>
      </c>
      <c r="BC12" s="502"/>
      <c r="BD12" s="2005"/>
      <c r="BE12" s="523"/>
      <c r="BF12" s="523"/>
      <c r="BG12" s="1331">
        <f t="shared" si="0"/>
        <v>337902.1836535937</v>
      </c>
      <c r="BH12" s="1331">
        <f t="shared" si="1"/>
        <v>295451.79843750002</v>
      </c>
      <c r="BI12" s="1331">
        <f t="shared" si="2"/>
        <v>101776.19156000001</v>
      </c>
      <c r="BJ12" s="1331">
        <f t="shared" si="3"/>
        <v>0</v>
      </c>
      <c r="BK12" s="1331">
        <f t="shared" si="4"/>
        <v>0</v>
      </c>
      <c r="BL12" s="1331">
        <f t="shared" si="5"/>
        <v>0</v>
      </c>
      <c r="BM12" s="1331">
        <f t="shared" si="6"/>
        <v>0</v>
      </c>
      <c r="BN12" s="1331">
        <f t="shared" si="7"/>
        <v>0</v>
      </c>
      <c r="BO12" s="1331">
        <f t="shared" si="8"/>
        <v>0</v>
      </c>
      <c r="BP12" s="1331">
        <f t="shared" si="9"/>
        <v>0</v>
      </c>
      <c r="BQ12" s="1331">
        <f t="shared" si="10"/>
        <v>0</v>
      </c>
      <c r="BR12" s="1331">
        <f t="shared" si="11"/>
        <v>0</v>
      </c>
      <c r="BS12" s="523"/>
      <c r="BT12" s="1332">
        <v>6</v>
      </c>
      <c r="BU12" s="1333" t="s">
        <v>514</v>
      </c>
      <c r="BV12" s="1333" t="s">
        <v>534</v>
      </c>
      <c r="BW12" s="1333">
        <f t="shared" ca="1" si="53"/>
        <v>2027</v>
      </c>
      <c r="BX12" s="1331">
        <f t="shared" si="27"/>
        <v>633353.98209109367</v>
      </c>
      <c r="BY12" s="1331">
        <f t="shared" ca="1" si="12"/>
        <v>101776.19156000001</v>
      </c>
      <c r="BZ12" s="1334">
        <f t="shared" si="28"/>
        <v>337902.1836535937</v>
      </c>
      <c r="CA12" s="1334">
        <f t="shared" si="29"/>
        <v>295451.79843750002</v>
      </c>
      <c r="CB12" s="1334">
        <f t="shared" si="30"/>
        <v>0</v>
      </c>
      <c r="CC12" s="1334">
        <f t="shared" si="31"/>
        <v>0</v>
      </c>
      <c r="CD12" s="1334">
        <f t="shared" si="32"/>
        <v>0</v>
      </c>
      <c r="CE12" s="1334">
        <f t="shared" si="33"/>
        <v>0</v>
      </c>
      <c r="CF12" s="1334">
        <f t="shared" si="34"/>
        <v>0</v>
      </c>
      <c r="CG12" s="1334">
        <f t="shared" si="35"/>
        <v>0</v>
      </c>
      <c r="CH12" s="1334">
        <f t="shared" si="36"/>
        <v>0</v>
      </c>
      <c r="CI12" s="1334">
        <f t="shared" si="37"/>
        <v>0</v>
      </c>
      <c r="CJ12" s="1334">
        <f t="shared" si="38"/>
        <v>0</v>
      </c>
      <c r="CK12" s="1334">
        <f t="shared" si="39"/>
        <v>0</v>
      </c>
      <c r="CL12" s="1334"/>
      <c r="CM12" s="1334">
        <f t="shared" si="40"/>
        <v>0</v>
      </c>
      <c r="CN12" s="1334">
        <f t="shared" si="41"/>
        <v>0</v>
      </c>
      <c r="CO12" s="1334">
        <f t="shared" si="42"/>
        <v>101776.19156000001</v>
      </c>
      <c r="CP12" s="1334">
        <f t="shared" si="43"/>
        <v>0</v>
      </c>
      <c r="CQ12" s="1334">
        <f t="shared" si="44"/>
        <v>0</v>
      </c>
      <c r="CR12" s="1334">
        <f t="shared" si="45"/>
        <v>0</v>
      </c>
      <c r="CS12" s="1334">
        <f t="shared" si="46"/>
        <v>0</v>
      </c>
      <c r="CT12" s="1334">
        <f t="shared" si="47"/>
        <v>0</v>
      </c>
      <c r="CU12" s="1334">
        <f t="shared" si="48"/>
        <v>0</v>
      </c>
      <c r="CV12" s="1334">
        <f t="shared" si="49"/>
        <v>0</v>
      </c>
      <c r="CW12" s="1334">
        <f t="shared" si="50"/>
        <v>0</v>
      </c>
      <c r="CX12" s="1334">
        <f t="shared" si="51"/>
        <v>0</v>
      </c>
      <c r="CY12" s="1334"/>
      <c r="CZ12" s="1334"/>
      <c r="DA12" s="1334">
        <f ca="1">Rental!Y42</f>
        <v>0</v>
      </c>
      <c r="DB12" s="1334">
        <f ca="1">Rental!AD42</f>
        <v>0</v>
      </c>
      <c r="DC12" s="1972"/>
      <c r="DD12" s="1761"/>
      <c r="DE12" s="1761"/>
      <c r="DF12" s="1335"/>
      <c r="DG12" s="1335"/>
      <c r="DH12" s="1335"/>
      <c r="DI12" s="1335"/>
      <c r="DJ12" s="1335"/>
      <c r="DK12" s="1335"/>
      <c r="DL12" s="1335"/>
      <c r="DM12" s="1335"/>
      <c r="DN12" s="1335"/>
      <c r="DO12" s="1335"/>
      <c r="DP12" s="1335"/>
      <c r="DQ12" s="1335"/>
      <c r="DR12" s="1335"/>
      <c r="DS12" s="1335"/>
      <c r="DT12" s="1335"/>
    </row>
    <row r="13" spans="1:124" s="1185" customFormat="1" ht="18" customHeight="1">
      <c r="A13" s="523">
        <f ca="1">IF(E13=YEAR(Retire!$D$12),1,0)</f>
        <v>0</v>
      </c>
      <c r="B13" s="502"/>
      <c r="C13" s="503" t="str">
        <f ca="1">IF(E13=Retire!$D$12,"==&gt;","")</f>
        <v/>
      </c>
      <c r="D13" s="504">
        <f t="shared" si="13"/>
        <v>7</v>
      </c>
      <c r="E13" s="504">
        <f t="shared" ca="1" si="52"/>
        <v>2028</v>
      </c>
      <c r="F13" s="505">
        <f t="shared" ca="1" si="14"/>
        <v>778344</v>
      </c>
      <c r="G13" s="505"/>
      <c r="H13" s="506">
        <f>Assets!$G$37</f>
        <v>5.5E-2</v>
      </c>
      <c r="I13" s="507">
        <f>Assets!$F$37</f>
        <v>2000</v>
      </c>
      <c r="J13" s="507">
        <f t="shared" si="15"/>
        <v>358486.80375454138</v>
      </c>
      <c r="K13" s="1220"/>
      <c r="L13" s="506">
        <f>Assets!$G$38</f>
        <v>0.05</v>
      </c>
      <c r="M13" s="507">
        <f>Assets!$F$38</f>
        <v>1500</v>
      </c>
      <c r="N13" s="507">
        <f t="shared" si="16"/>
        <v>311724.38835937501</v>
      </c>
      <c r="O13" s="1220"/>
      <c r="P13" s="506">
        <f>Assets!$G$39</f>
        <v>0.06</v>
      </c>
      <c r="Q13" s="508">
        <f>Assets!$F$39</f>
        <v>250</v>
      </c>
      <c r="R13" s="507">
        <f t="shared" si="17"/>
        <v>108132.76305360001</v>
      </c>
      <c r="S13" s="1220"/>
      <c r="T13" s="506">
        <f>Assets!$G$40</f>
        <v>0</v>
      </c>
      <c r="U13" s="510">
        <f>Assets!$F$40</f>
        <v>0</v>
      </c>
      <c r="V13" s="507">
        <f t="shared" si="18"/>
        <v>0</v>
      </c>
      <c r="W13" s="1220"/>
      <c r="X13" s="506">
        <f>Assets!$G$41</f>
        <v>0</v>
      </c>
      <c r="Y13" s="510">
        <f>Assets!$F$41</f>
        <v>0</v>
      </c>
      <c r="Z13" s="507">
        <f t="shared" si="19"/>
        <v>0</v>
      </c>
      <c r="AA13" s="1220"/>
      <c r="AB13" s="506">
        <f>Assets!$G$42</f>
        <v>0</v>
      </c>
      <c r="AC13" s="507">
        <f>Assets!$F$42</f>
        <v>0</v>
      </c>
      <c r="AD13" s="507">
        <f t="shared" si="20"/>
        <v>0</v>
      </c>
      <c r="AE13" s="1220"/>
      <c r="AF13" s="506">
        <f>Assets!$G$43</f>
        <v>0</v>
      </c>
      <c r="AG13" s="507">
        <f>Assets!$F$43</f>
        <v>0</v>
      </c>
      <c r="AH13" s="507">
        <f t="shared" si="21"/>
        <v>0</v>
      </c>
      <c r="AI13" s="1220"/>
      <c r="AJ13" s="506">
        <f>Assets!$G$44</f>
        <v>0</v>
      </c>
      <c r="AK13" s="507">
        <f>Assets!$F$44</f>
        <v>0</v>
      </c>
      <c r="AL13" s="507">
        <f t="shared" si="22"/>
        <v>0</v>
      </c>
      <c r="AM13" s="1220"/>
      <c r="AN13" s="506">
        <f>Assets!$G$45</f>
        <v>0</v>
      </c>
      <c r="AO13" s="507">
        <f>Assets!$F$45</f>
        <v>0</v>
      </c>
      <c r="AP13" s="507">
        <f t="shared" si="23"/>
        <v>0</v>
      </c>
      <c r="AQ13" s="1220"/>
      <c r="AR13" s="506">
        <f>Assets!$G$46</f>
        <v>0</v>
      </c>
      <c r="AS13" s="507">
        <f>Assets!$F$46</f>
        <v>0</v>
      </c>
      <c r="AT13" s="507">
        <f t="shared" si="24"/>
        <v>0</v>
      </c>
      <c r="AU13" s="1220"/>
      <c r="AV13" s="506">
        <f>Assets!$G$47</f>
        <v>0</v>
      </c>
      <c r="AW13" s="507">
        <f>Assets!F$47</f>
        <v>0</v>
      </c>
      <c r="AX13" s="507">
        <f t="shared" si="25"/>
        <v>0</v>
      </c>
      <c r="AY13" s="1220"/>
      <c r="AZ13" s="506">
        <f>Assets!$G$48</f>
        <v>0</v>
      </c>
      <c r="BA13" s="507">
        <f>Assets!$F$48</f>
        <v>0</v>
      </c>
      <c r="BB13" s="507">
        <f t="shared" si="26"/>
        <v>0</v>
      </c>
      <c r="BC13" s="502"/>
      <c r="BD13" s="2005"/>
      <c r="BE13" s="523"/>
      <c r="BF13" s="523"/>
      <c r="BG13" s="1331">
        <f t="shared" si="0"/>
        <v>358486.80375454138</v>
      </c>
      <c r="BH13" s="1331">
        <f t="shared" si="1"/>
        <v>311724.38835937501</v>
      </c>
      <c r="BI13" s="1331">
        <f t="shared" si="2"/>
        <v>108132.76305360001</v>
      </c>
      <c r="BJ13" s="1331">
        <f t="shared" si="3"/>
        <v>0</v>
      </c>
      <c r="BK13" s="1331">
        <f t="shared" si="4"/>
        <v>0</v>
      </c>
      <c r="BL13" s="1331">
        <f t="shared" si="5"/>
        <v>0</v>
      </c>
      <c r="BM13" s="1331">
        <f t="shared" si="6"/>
        <v>0</v>
      </c>
      <c r="BN13" s="1331">
        <f t="shared" si="7"/>
        <v>0</v>
      </c>
      <c r="BO13" s="1331">
        <f t="shared" si="8"/>
        <v>0</v>
      </c>
      <c r="BP13" s="1331">
        <f t="shared" si="9"/>
        <v>0</v>
      </c>
      <c r="BQ13" s="1331">
        <f t="shared" si="10"/>
        <v>0</v>
      </c>
      <c r="BR13" s="1331">
        <f t="shared" si="11"/>
        <v>0</v>
      </c>
      <c r="BS13" s="523"/>
      <c r="BT13" s="1332">
        <v>7</v>
      </c>
      <c r="BU13" s="1333" t="s">
        <v>515</v>
      </c>
      <c r="BV13" s="1333" t="s">
        <v>528</v>
      </c>
      <c r="BW13" s="1333">
        <f t="shared" ca="1" si="53"/>
        <v>2028</v>
      </c>
      <c r="BX13" s="1331">
        <f t="shared" si="27"/>
        <v>670211.19211391639</v>
      </c>
      <c r="BY13" s="1331">
        <f t="shared" ca="1" si="12"/>
        <v>108132.76305360001</v>
      </c>
      <c r="BZ13" s="1334">
        <f t="shared" si="28"/>
        <v>358486.80375454138</v>
      </c>
      <c r="CA13" s="1334">
        <f t="shared" si="29"/>
        <v>311724.38835937501</v>
      </c>
      <c r="CB13" s="1334">
        <f t="shared" si="30"/>
        <v>0</v>
      </c>
      <c r="CC13" s="1334">
        <f t="shared" si="31"/>
        <v>0</v>
      </c>
      <c r="CD13" s="1334">
        <f t="shared" si="32"/>
        <v>0</v>
      </c>
      <c r="CE13" s="1334">
        <f t="shared" si="33"/>
        <v>0</v>
      </c>
      <c r="CF13" s="1334">
        <f t="shared" si="34"/>
        <v>0</v>
      </c>
      <c r="CG13" s="1334">
        <f t="shared" si="35"/>
        <v>0</v>
      </c>
      <c r="CH13" s="1334">
        <f t="shared" si="36"/>
        <v>0</v>
      </c>
      <c r="CI13" s="1334">
        <f t="shared" si="37"/>
        <v>0</v>
      </c>
      <c r="CJ13" s="1334">
        <f t="shared" si="38"/>
        <v>0</v>
      </c>
      <c r="CK13" s="1334">
        <f t="shared" si="39"/>
        <v>0</v>
      </c>
      <c r="CL13" s="1334"/>
      <c r="CM13" s="1334">
        <f t="shared" si="40"/>
        <v>0</v>
      </c>
      <c r="CN13" s="1334">
        <f t="shared" si="41"/>
        <v>0</v>
      </c>
      <c r="CO13" s="1334">
        <f t="shared" si="42"/>
        <v>108132.76305360001</v>
      </c>
      <c r="CP13" s="1334">
        <f t="shared" si="43"/>
        <v>0</v>
      </c>
      <c r="CQ13" s="1334">
        <f t="shared" si="44"/>
        <v>0</v>
      </c>
      <c r="CR13" s="1334">
        <f t="shared" si="45"/>
        <v>0</v>
      </c>
      <c r="CS13" s="1334">
        <f t="shared" si="46"/>
        <v>0</v>
      </c>
      <c r="CT13" s="1334">
        <f t="shared" si="47"/>
        <v>0</v>
      </c>
      <c r="CU13" s="1334">
        <f t="shared" si="48"/>
        <v>0</v>
      </c>
      <c r="CV13" s="1334">
        <f t="shared" si="49"/>
        <v>0</v>
      </c>
      <c r="CW13" s="1334">
        <f t="shared" si="50"/>
        <v>0</v>
      </c>
      <c r="CX13" s="1334">
        <f t="shared" si="51"/>
        <v>0</v>
      </c>
      <c r="CY13" s="1334"/>
      <c r="CZ13" s="1334"/>
      <c r="DA13" s="1334">
        <f ca="1">Rental!Y43</f>
        <v>0</v>
      </c>
      <c r="DB13" s="1334">
        <f ca="1">Rental!AD43</f>
        <v>0</v>
      </c>
      <c r="DC13" s="1972"/>
      <c r="DD13" s="1761"/>
      <c r="DE13" s="1761"/>
      <c r="DF13" s="1335"/>
      <c r="DG13" s="1335"/>
      <c r="DH13" s="1335"/>
      <c r="DI13" s="1335"/>
      <c r="DJ13" s="1335"/>
      <c r="DK13" s="1335"/>
      <c r="DL13" s="1335"/>
      <c r="DM13" s="1335"/>
      <c r="DN13" s="1335"/>
      <c r="DO13" s="1335"/>
      <c r="DP13" s="1335"/>
      <c r="DQ13" s="1335"/>
      <c r="DR13" s="1335"/>
      <c r="DS13" s="1335"/>
      <c r="DT13" s="1335"/>
    </row>
    <row r="14" spans="1:124" s="1185" customFormat="1" ht="18" customHeight="1">
      <c r="A14" s="523">
        <f ca="1">IF(E14=YEAR(Retire!$D$12),1,0)</f>
        <v>0</v>
      </c>
      <c r="B14" s="502"/>
      <c r="C14" s="503" t="str">
        <f ca="1">IF(E14=Retire!$D$12,"==&gt;","")</f>
        <v/>
      </c>
      <c r="D14" s="512">
        <f t="shared" si="13"/>
        <v>8</v>
      </c>
      <c r="E14" s="512">
        <f t="shared" ca="1" si="52"/>
        <v>2029</v>
      </c>
      <c r="F14" s="513">
        <f t="shared" ca="1" si="14"/>
        <v>823885</v>
      </c>
      <c r="G14" s="505"/>
      <c r="H14" s="514">
        <f>Assets!$G$37</f>
        <v>5.5E-2</v>
      </c>
      <c r="I14" s="515">
        <f>Assets!$F$37</f>
        <v>2000</v>
      </c>
      <c r="J14" s="515">
        <f t="shared" si="15"/>
        <v>380203.57796104118</v>
      </c>
      <c r="K14" s="1220"/>
      <c r="L14" s="514">
        <f>Assets!$G$38</f>
        <v>0.05</v>
      </c>
      <c r="M14" s="515">
        <f>Assets!$F$38</f>
        <v>1500</v>
      </c>
      <c r="N14" s="515">
        <f t="shared" si="16"/>
        <v>328810.60777734377</v>
      </c>
      <c r="O14" s="1220"/>
      <c r="P14" s="514">
        <f>Assets!$G$39</f>
        <v>0.06</v>
      </c>
      <c r="Q14" s="516">
        <f>Assets!$F$39</f>
        <v>250</v>
      </c>
      <c r="R14" s="515">
        <f t="shared" si="17"/>
        <v>114870.72883681601</v>
      </c>
      <c r="S14" s="1220"/>
      <c r="T14" s="514">
        <f>Assets!$G$40</f>
        <v>0</v>
      </c>
      <c r="U14" s="517">
        <f>Assets!$F$40</f>
        <v>0</v>
      </c>
      <c r="V14" s="515">
        <f t="shared" si="18"/>
        <v>0</v>
      </c>
      <c r="W14" s="1220"/>
      <c r="X14" s="514">
        <f>Assets!$G$41</f>
        <v>0</v>
      </c>
      <c r="Y14" s="517">
        <f>Assets!$F$41</f>
        <v>0</v>
      </c>
      <c r="Z14" s="515">
        <f t="shared" si="19"/>
        <v>0</v>
      </c>
      <c r="AA14" s="1220"/>
      <c r="AB14" s="514">
        <f>Assets!$G$42</f>
        <v>0</v>
      </c>
      <c r="AC14" s="515">
        <f>Assets!$F$42</f>
        <v>0</v>
      </c>
      <c r="AD14" s="515">
        <f t="shared" si="20"/>
        <v>0</v>
      </c>
      <c r="AE14" s="1220"/>
      <c r="AF14" s="514">
        <f>Assets!$G$43</f>
        <v>0</v>
      </c>
      <c r="AG14" s="515">
        <f>Assets!$F$43</f>
        <v>0</v>
      </c>
      <c r="AH14" s="515">
        <f t="shared" si="21"/>
        <v>0</v>
      </c>
      <c r="AI14" s="1220"/>
      <c r="AJ14" s="514">
        <f>Assets!$G$44</f>
        <v>0</v>
      </c>
      <c r="AK14" s="515">
        <f>Assets!$F$44</f>
        <v>0</v>
      </c>
      <c r="AL14" s="515">
        <f t="shared" si="22"/>
        <v>0</v>
      </c>
      <c r="AM14" s="1220"/>
      <c r="AN14" s="514">
        <f>Assets!$G$45</f>
        <v>0</v>
      </c>
      <c r="AO14" s="515">
        <f>Assets!$F$45</f>
        <v>0</v>
      </c>
      <c r="AP14" s="515">
        <f t="shared" si="23"/>
        <v>0</v>
      </c>
      <c r="AQ14" s="1220"/>
      <c r="AR14" s="514">
        <f>Assets!$G$46</f>
        <v>0</v>
      </c>
      <c r="AS14" s="515">
        <f>Assets!$F$46</f>
        <v>0</v>
      </c>
      <c r="AT14" s="515">
        <f t="shared" si="24"/>
        <v>0</v>
      </c>
      <c r="AU14" s="1220"/>
      <c r="AV14" s="514">
        <f>Assets!$G$47</f>
        <v>0</v>
      </c>
      <c r="AW14" s="515">
        <f>Assets!F$47</f>
        <v>0</v>
      </c>
      <c r="AX14" s="515">
        <f t="shared" si="25"/>
        <v>0</v>
      </c>
      <c r="AY14" s="1220"/>
      <c r="AZ14" s="514">
        <f>Assets!$G$48</f>
        <v>0</v>
      </c>
      <c r="BA14" s="515">
        <f>Assets!$F$48</f>
        <v>0</v>
      </c>
      <c r="BB14" s="515">
        <f t="shared" si="26"/>
        <v>0</v>
      </c>
      <c r="BC14" s="502"/>
      <c r="BD14" s="2005"/>
      <c r="BE14" s="523"/>
      <c r="BF14" s="523"/>
      <c r="BG14" s="1331">
        <f t="shared" si="0"/>
        <v>380203.57796104118</v>
      </c>
      <c r="BH14" s="1331">
        <f t="shared" si="1"/>
        <v>328810.60777734377</v>
      </c>
      <c r="BI14" s="1331">
        <f t="shared" si="2"/>
        <v>114870.72883681601</v>
      </c>
      <c r="BJ14" s="1331">
        <f t="shared" si="3"/>
        <v>0</v>
      </c>
      <c r="BK14" s="1331">
        <f t="shared" si="4"/>
        <v>0</v>
      </c>
      <c r="BL14" s="1331">
        <f t="shared" si="5"/>
        <v>0</v>
      </c>
      <c r="BM14" s="1331">
        <f t="shared" si="6"/>
        <v>0</v>
      </c>
      <c r="BN14" s="1331">
        <f t="shared" si="7"/>
        <v>0</v>
      </c>
      <c r="BO14" s="1331">
        <f t="shared" si="8"/>
        <v>0</v>
      </c>
      <c r="BP14" s="1331">
        <f t="shared" si="9"/>
        <v>0</v>
      </c>
      <c r="BQ14" s="1331">
        <f t="shared" si="10"/>
        <v>0</v>
      </c>
      <c r="BR14" s="1331">
        <f t="shared" si="11"/>
        <v>0</v>
      </c>
      <c r="BS14" s="523"/>
      <c r="BT14" s="1332">
        <v>8</v>
      </c>
      <c r="BU14" s="1333" t="s">
        <v>516</v>
      </c>
      <c r="BV14" s="1333" t="s">
        <v>529</v>
      </c>
      <c r="BW14" s="1333">
        <f t="shared" ca="1" si="53"/>
        <v>2029</v>
      </c>
      <c r="BX14" s="1331">
        <f t="shared" si="27"/>
        <v>709014.18573838496</v>
      </c>
      <c r="BY14" s="1331">
        <f t="shared" ca="1" si="12"/>
        <v>114870.72883681601</v>
      </c>
      <c r="BZ14" s="1334">
        <f t="shared" si="28"/>
        <v>380203.57796104118</v>
      </c>
      <c r="CA14" s="1334">
        <f t="shared" si="29"/>
        <v>328810.60777734377</v>
      </c>
      <c r="CB14" s="1334">
        <f t="shared" si="30"/>
        <v>0</v>
      </c>
      <c r="CC14" s="1334">
        <f t="shared" si="31"/>
        <v>0</v>
      </c>
      <c r="CD14" s="1334">
        <f t="shared" si="32"/>
        <v>0</v>
      </c>
      <c r="CE14" s="1334">
        <f t="shared" si="33"/>
        <v>0</v>
      </c>
      <c r="CF14" s="1334">
        <f t="shared" si="34"/>
        <v>0</v>
      </c>
      <c r="CG14" s="1334">
        <f t="shared" si="35"/>
        <v>0</v>
      </c>
      <c r="CH14" s="1334">
        <f t="shared" si="36"/>
        <v>0</v>
      </c>
      <c r="CI14" s="1334">
        <f t="shared" si="37"/>
        <v>0</v>
      </c>
      <c r="CJ14" s="1334">
        <f t="shared" si="38"/>
        <v>0</v>
      </c>
      <c r="CK14" s="1334">
        <f t="shared" si="39"/>
        <v>0</v>
      </c>
      <c r="CL14" s="1334"/>
      <c r="CM14" s="1334">
        <f t="shared" si="40"/>
        <v>0</v>
      </c>
      <c r="CN14" s="1334">
        <f t="shared" si="41"/>
        <v>0</v>
      </c>
      <c r="CO14" s="1334">
        <f t="shared" si="42"/>
        <v>114870.72883681601</v>
      </c>
      <c r="CP14" s="1334">
        <f t="shared" si="43"/>
        <v>0</v>
      </c>
      <c r="CQ14" s="1334">
        <f t="shared" si="44"/>
        <v>0</v>
      </c>
      <c r="CR14" s="1334">
        <f t="shared" si="45"/>
        <v>0</v>
      </c>
      <c r="CS14" s="1334">
        <f t="shared" si="46"/>
        <v>0</v>
      </c>
      <c r="CT14" s="1334">
        <f t="shared" si="47"/>
        <v>0</v>
      </c>
      <c r="CU14" s="1334">
        <f t="shared" si="48"/>
        <v>0</v>
      </c>
      <c r="CV14" s="1334">
        <f t="shared" si="49"/>
        <v>0</v>
      </c>
      <c r="CW14" s="1334">
        <f t="shared" si="50"/>
        <v>0</v>
      </c>
      <c r="CX14" s="1334">
        <f t="shared" si="51"/>
        <v>0</v>
      </c>
      <c r="CY14" s="1334"/>
      <c r="CZ14" s="1334"/>
      <c r="DA14" s="1334">
        <f ca="1">Rental!Y44</f>
        <v>0</v>
      </c>
      <c r="DB14" s="1334">
        <f ca="1">Rental!AD44</f>
        <v>0</v>
      </c>
      <c r="DC14" s="1972"/>
      <c r="DD14" s="1761"/>
      <c r="DE14" s="1761"/>
      <c r="DF14" s="1335"/>
      <c r="DG14" s="1335"/>
      <c r="DH14" s="1335"/>
      <c r="DI14" s="1335"/>
      <c r="DJ14" s="1335"/>
      <c r="DK14" s="1335"/>
      <c r="DL14" s="1335"/>
      <c r="DM14" s="1335"/>
      <c r="DN14" s="1335"/>
      <c r="DO14" s="1335"/>
      <c r="DP14" s="1335"/>
      <c r="DQ14" s="1335"/>
      <c r="DR14" s="1335"/>
      <c r="DS14" s="1335"/>
      <c r="DT14" s="1335"/>
    </row>
    <row r="15" spans="1:124" s="1185" customFormat="1" ht="18" customHeight="1">
      <c r="A15" s="523">
        <f ca="1">IF(E15=YEAR(Retire!$D$12),1,0)</f>
        <v>0</v>
      </c>
      <c r="B15" s="502"/>
      <c r="C15" s="503" t="str">
        <f ca="1">IF(E15=Retire!$D$12,"==&gt;","")</f>
        <v/>
      </c>
      <c r="D15" s="504">
        <f t="shared" si="13"/>
        <v>9</v>
      </c>
      <c r="E15" s="504">
        <f t="shared" ca="1" si="52"/>
        <v>2030</v>
      </c>
      <c r="F15" s="505">
        <f t="shared" ca="1" si="14"/>
        <v>871879</v>
      </c>
      <c r="G15" s="505"/>
      <c r="H15" s="506">
        <f>Assets!$G$37</f>
        <v>5.5E-2</v>
      </c>
      <c r="I15" s="507">
        <f>Assets!$F$37</f>
        <v>2000</v>
      </c>
      <c r="J15" s="507">
        <f t="shared" si="15"/>
        <v>403114.77474889846</v>
      </c>
      <c r="K15" s="1220"/>
      <c r="L15" s="506">
        <f>Assets!$G$38</f>
        <v>0.05</v>
      </c>
      <c r="M15" s="507">
        <f>Assets!$F$38</f>
        <v>1500</v>
      </c>
      <c r="N15" s="507">
        <f t="shared" si="16"/>
        <v>346751.13816621096</v>
      </c>
      <c r="O15" s="1220"/>
      <c r="P15" s="506">
        <f>Assets!$G$39</f>
        <v>0.06</v>
      </c>
      <c r="Q15" s="508">
        <f>Assets!$F$39</f>
        <v>250</v>
      </c>
      <c r="R15" s="507">
        <f t="shared" si="17"/>
        <v>122012.97256702496</v>
      </c>
      <c r="S15" s="1220"/>
      <c r="T15" s="506">
        <f>Assets!$G$40</f>
        <v>0</v>
      </c>
      <c r="U15" s="510">
        <f>Assets!$F$40</f>
        <v>0</v>
      </c>
      <c r="V15" s="507">
        <f t="shared" si="18"/>
        <v>0</v>
      </c>
      <c r="W15" s="1220"/>
      <c r="X15" s="506">
        <f>Assets!$G$41</f>
        <v>0</v>
      </c>
      <c r="Y15" s="510">
        <f>Assets!$F$41</f>
        <v>0</v>
      </c>
      <c r="Z15" s="507">
        <f t="shared" si="19"/>
        <v>0</v>
      </c>
      <c r="AA15" s="1220"/>
      <c r="AB15" s="506">
        <f>Assets!$G$42</f>
        <v>0</v>
      </c>
      <c r="AC15" s="507">
        <f>Assets!$F$42</f>
        <v>0</v>
      </c>
      <c r="AD15" s="507">
        <f t="shared" si="20"/>
        <v>0</v>
      </c>
      <c r="AE15" s="1220"/>
      <c r="AF15" s="506">
        <f>Assets!$G$43</f>
        <v>0</v>
      </c>
      <c r="AG15" s="507">
        <f>Assets!$F$43</f>
        <v>0</v>
      </c>
      <c r="AH15" s="507">
        <f t="shared" si="21"/>
        <v>0</v>
      </c>
      <c r="AI15" s="1220"/>
      <c r="AJ15" s="506">
        <f>Assets!$G$44</f>
        <v>0</v>
      </c>
      <c r="AK15" s="507">
        <f>Assets!$F$44</f>
        <v>0</v>
      </c>
      <c r="AL15" s="507">
        <f t="shared" si="22"/>
        <v>0</v>
      </c>
      <c r="AM15" s="1220"/>
      <c r="AN15" s="506">
        <f>Assets!$G$45</f>
        <v>0</v>
      </c>
      <c r="AO15" s="507">
        <f>Assets!$F$45</f>
        <v>0</v>
      </c>
      <c r="AP15" s="507">
        <f t="shared" si="23"/>
        <v>0</v>
      </c>
      <c r="AQ15" s="1220"/>
      <c r="AR15" s="506">
        <f>Assets!$G$46</f>
        <v>0</v>
      </c>
      <c r="AS15" s="507">
        <f>Assets!$F$46</f>
        <v>0</v>
      </c>
      <c r="AT15" s="507">
        <f t="shared" si="24"/>
        <v>0</v>
      </c>
      <c r="AU15" s="1220"/>
      <c r="AV15" s="506">
        <f>Assets!$G$47</f>
        <v>0</v>
      </c>
      <c r="AW15" s="507">
        <f>Assets!F$47</f>
        <v>0</v>
      </c>
      <c r="AX15" s="507">
        <f t="shared" si="25"/>
        <v>0</v>
      </c>
      <c r="AY15" s="1220"/>
      <c r="AZ15" s="506">
        <f>Assets!$G$48</f>
        <v>0</v>
      </c>
      <c r="BA15" s="507">
        <f>Assets!$F$48</f>
        <v>0</v>
      </c>
      <c r="BB15" s="507">
        <f t="shared" si="26"/>
        <v>0</v>
      </c>
      <c r="BC15" s="502"/>
      <c r="BD15" s="2005"/>
      <c r="BE15" s="523"/>
      <c r="BF15" s="523"/>
      <c r="BG15" s="1331">
        <f t="shared" si="0"/>
        <v>403114.77474889846</v>
      </c>
      <c r="BH15" s="1331">
        <f t="shared" si="1"/>
        <v>346751.13816621096</v>
      </c>
      <c r="BI15" s="1331">
        <f t="shared" si="2"/>
        <v>122012.97256702496</v>
      </c>
      <c r="BJ15" s="1331">
        <f t="shared" si="3"/>
        <v>0</v>
      </c>
      <c r="BK15" s="1331">
        <f t="shared" si="4"/>
        <v>0</v>
      </c>
      <c r="BL15" s="1331">
        <f t="shared" si="5"/>
        <v>0</v>
      </c>
      <c r="BM15" s="1331">
        <f t="shared" si="6"/>
        <v>0</v>
      </c>
      <c r="BN15" s="1331">
        <f t="shared" si="7"/>
        <v>0</v>
      </c>
      <c r="BO15" s="1331">
        <f t="shared" si="8"/>
        <v>0</v>
      </c>
      <c r="BP15" s="1331">
        <f t="shared" si="9"/>
        <v>0</v>
      </c>
      <c r="BQ15" s="1331">
        <f t="shared" si="10"/>
        <v>0</v>
      </c>
      <c r="BR15" s="1331">
        <f t="shared" si="11"/>
        <v>0</v>
      </c>
      <c r="BS15" s="523"/>
      <c r="BT15" s="1332">
        <v>9</v>
      </c>
      <c r="BU15" s="1333" t="s">
        <v>517</v>
      </c>
      <c r="BV15" s="1333" t="s">
        <v>530</v>
      </c>
      <c r="BW15" s="1333">
        <f t="shared" ca="1" si="53"/>
        <v>2030</v>
      </c>
      <c r="BX15" s="1331">
        <f t="shared" si="27"/>
        <v>749865.91291510942</v>
      </c>
      <c r="BY15" s="1331">
        <f t="shared" ca="1" si="12"/>
        <v>122012.97256702496</v>
      </c>
      <c r="BZ15" s="1334">
        <f t="shared" si="28"/>
        <v>403114.77474889846</v>
      </c>
      <c r="CA15" s="1334">
        <f t="shared" si="29"/>
        <v>346751.13816621096</v>
      </c>
      <c r="CB15" s="1334">
        <f t="shared" si="30"/>
        <v>0</v>
      </c>
      <c r="CC15" s="1334">
        <f t="shared" si="31"/>
        <v>0</v>
      </c>
      <c r="CD15" s="1334">
        <f t="shared" si="32"/>
        <v>0</v>
      </c>
      <c r="CE15" s="1334">
        <f t="shared" si="33"/>
        <v>0</v>
      </c>
      <c r="CF15" s="1334">
        <f t="shared" si="34"/>
        <v>0</v>
      </c>
      <c r="CG15" s="1334">
        <f t="shared" si="35"/>
        <v>0</v>
      </c>
      <c r="CH15" s="1334">
        <f t="shared" si="36"/>
        <v>0</v>
      </c>
      <c r="CI15" s="1334">
        <f t="shared" si="37"/>
        <v>0</v>
      </c>
      <c r="CJ15" s="1334">
        <f t="shared" si="38"/>
        <v>0</v>
      </c>
      <c r="CK15" s="1334">
        <f t="shared" si="39"/>
        <v>0</v>
      </c>
      <c r="CL15" s="1334"/>
      <c r="CM15" s="1334">
        <f t="shared" si="40"/>
        <v>0</v>
      </c>
      <c r="CN15" s="1334">
        <f t="shared" si="41"/>
        <v>0</v>
      </c>
      <c r="CO15" s="1334">
        <f t="shared" si="42"/>
        <v>122012.97256702496</v>
      </c>
      <c r="CP15" s="1334">
        <f t="shared" si="43"/>
        <v>0</v>
      </c>
      <c r="CQ15" s="1334">
        <f t="shared" si="44"/>
        <v>0</v>
      </c>
      <c r="CR15" s="1334">
        <f t="shared" si="45"/>
        <v>0</v>
      </c>
      <c r="CS15" s="1334">
        <f t="shared" si="46"/>
        <v>0</v>
      </c>
      <c r="CT15" s="1334">
        <f t="shared" si="47"/>
        <v>0</v>
      </c>
      <c r="CU15" s="1334">
        <f t="shared" si="48"/>
        <v>0</v>
      </c>
      <c r="CV15" s="1334">
        <f t="shared" si="49"/>
        <v>0</v>
      </c>
      <c r="CW15" s="1334">
        <f t="shared" si="50"/>
        <v>0</v>
      </c>
      <c r="CX15" s="1334">
        <f t="shared" si="51"/>
        <v>0</v>
      </c>
      <c r="CY15" s="1334"/>
      <c r="CZ15" s="1334"/>
      <c r="DA15" s="1334">
        <f ca="1">Rental!Y45</f>
        <v>0</v>
      </c>
      <c r="DB15" s="1334">
        <f ca="1">Rental!AD45</f>
        <v>0</v>
      </c>
      <c r="DC15" s="1972"/>
      <c r="DD15" s="1761"/>
      <c r="DE15" s="1761"/>
      <c r="DF15" s="1335"/>
      <c r="DG15" s="1335"/>
      <c r="DH15" s="1335"/>
      <c r="DI15" s="1335"/>
      <c r="DJ15" s="1335"/>
      <c r="DK15" s="1335"/>
      <c r="DL15" s="1335"/>
      <c r="DM15" s="1335"/>
      <c r="DN15" s="1335"/>
      <c r="DO15" s="1335"/>
      <c r="DP15" s="1335"/>
      <c r="DQ15" s="1335"/>
      <c r="DR15" s="1335"/>
      <c r="DS15" s="1335"/>
      <c r="DT15" s="1335"/>
    </row>
    <row r="16" spans="1:124" s="1185" customFormat="1" ht="18" customHeight="1">
      <c r="A16" s="523">
        <f ca="1">IF(E16=YEAR(Retire!$D$12),1,0)</f>
        <v>0</v>
      </c>
      <c r="B16" s="502"/>
      <c r="C16" s="503" t="str">
        <f ca="1">IF(E16=Retire!$D$12,"==&gt;","")</f>
        <v/>
      </c>
      <c r="D16" s="512">
        <f t="shared" si="13"/>
        <v>10</v>
      </c>
      <c r="E16" s="512">
        <f t="shared" ca="1" si="52"/>
        <v>2031</v>
      </c>
      <c r="F16" s="513">
        <f t="shared" ca="1" si="14"/>
        <v>922459</v>
      </c>
      <c r="G16" s="505"/>
      <c r="H16" s="514">
        <f>Assets!$G$37</f>
        <v>5.5E-2</v>
      </c>
      <c r="I16" s="515">
        <f>Assets!$F$37</f>
        <v>2000</v>
      </c>
      <c r="J16" s="515">
        <f t="shared" si="15"/>
        <v>427286.0873600879</v>
      </c>
      <c r="K16" s="1220"/>
      <c r="L16" s="514">
        <f>Assets!$G$38</f>
        <v>0.05</v>
      </c>
      <c r="M16" s="515">
        <f>Assets!$F$38</f>
        <v>1500</v>
      </c>
      <c r="N16" s="515">
        <f t="shared" si="16"/>
        <v>365588.69507452153</v>
      </c>
      <c r="O16" s="1220"/>
      <c r="P16" s="514">
        <f>Assets!$G$39</f>
        <v>0.06</v>
      </c>
      <c r="Q16" s="516">
        <f>Assets!$F$39</f>
        <v>250</v>
      </c>
      <c r="R16" s="515">
        <f t="shared" si="17"/>
        <v>129583.75092104646</v>
      </c>
      <c r="S16" s="1220"/>
      <c r="T16" s="514">
        <f>Assets!$G$40</f>
        <v>0</v>
      </c>
      <c r="U16" s="517">
        <f>Assets!$F$40</f>
        <v>0</v>
      </c>
      <c r="V16" s="515">
        <f t="shared" si="18"/>
        <v>0</v>
      </c>
      <c r="W16" s="1220"/>
      <c r="X16" s="514">
        <f>Assets!$G$41</f>
        <v>0</v>
      </c>
      <c r="Y16" s="517">
        <f>Assets!$F$41</f>
        <v>0</v>
      </c>
      <c r="Z16" s="515">
        <f t="shared" si="19"/>
        <v>0</v>
      </c>
      <c r="AA16" s="1220"/>
      <c r="AB16" s="514">
        <f>Assets!$G$42</f>
        <v>0</v>
      </c>
      <c r="AC16" s="515">
        <f>Assets!$F$42</f>
        <v>0</v>
      </c>
      <c r="AD16" s="515">
        <f t="shared" si="20"/>
        <v>0</v>
      </c>
      <c r="AE16" s="1220"/>
      <c r="AF16" s="514">
        <f>Assets!$G$43</f>
        <v>0</v>
      </c>
      <c r="AG16" s="515">
        <f>Assets!$F$43</f>
        <v>0</v>
      </c>
      <c r="AH16" s="515">
        <f t="shared" si="21"/>
        <v>0</v>
      </c>
      <c r="AI16" s="1220"/>
      <c r="AJ16" s="514">
        <f>Assets!$G$44</f>
        <v>0</v>
      </c>
      <c r="AK16" s="515">
        <f>Assets!$F$44</f>
        <v>0</v>
      </c>
      <c r="AL16" s="515">
        <f t="shared" si="22"/>
        <v>0</v>
      </c>
      <c r="AM16" s="1220"/>
      <c r="AN16" s="514">
        <f>Assets!$G$45</f>
        <v>0</v>
      </c>
      <c r="AO16" s="515">
        <f>Assets!$F$45</f>
        <v>0</v>
      </c>
      <c r="AP16" s="515">
        <f t="shared" si="23"/>
        <v>0</v>
      </c>
      <c r="AQ16" s="1220"/>
      <c r="AR16" s="514">
        <f>Assets!$G$46</f>
        <v>0</v>
      </c>
      <c r="AS16" s="515">
        <f>Assets!$F$46</f>
        <v>0</v>
      </c>
      <c r="AT16" s="515">
        <f t="shared" si="24"/>
        <v>0</v>
      </c>
      <c r="AU16" s="1220"/>
      <c r="AV16" s="514">
        <f>Assets!$G$47</f>
        <v>0</v>
      </c>
      <c r="AW16" s="515">
        <f>Assets!F$47</f>
        <v>0</v>
      </c>
      <c r="AX16" s="515">
        <f t="shared" si="25"/>
        <v>0</v>
      </c>
      <c r="AY16" s="1220"/>
      <c r="AZ16" s="514">
        <f>Assets!$G$48</f>
        <v>0</v>
      </c>
      <c r="BA16" s="515">
        <f>Assets!$F$48</f>
        <v>0</v>
      </c>
      <c r="BB16" s="515">
        <f t="shared" si="26"/>
        <v>0</v>
      </c>
      <c r="BC16" s="502"/>
      <c r="BD16" s="2005"/>
      <c r="BE16" s="523"/>
      <c r="BF16" s="523"/>
      <c r="BG16" s="1331">
        <f t="shared" si="0"/>
        <v>427286.0873600879</v>
      </c>
      <c r="BH16" s="1331">
        <f t="shared" si="1"/>
        <v>365588.69507452153</v>
      </c>
      <c r="BI16" s="1331">
        <f t="shared" si="2"/>
        <v>129583.75092104646</v>
      </c>
      <c r="BJ16" s="1331">
        <f t="shared" si="3"/>
        <v>0</v>
      </c>
      <c r="BK16" s="1331">
        <f t="shared" si="4"/>
        <v>0</v>
      </c>
      <c r="BL16" s="1331">
        <f t="shared" si="5"/>
        <v>0</v>
      </c>
      <c r="BM16" s="1331">
        <f t="shared" si="6"/>
        <v>0</v>
      </c>
      <c r="BN16" s="1331">
        <f t="shared" si="7"/>
        <v>0</v>
      </c>
      <c r="BO16" s="1331">
        <f t="shared" si="8"/>
        <v>0</v>
      </c>
      <c r="BP16" s="1331">
        <f t="shared" si="9"/>
        <v>0</v>
      </c>
      <c r="BQ16" s="1331">
        <f t="shared" si="10"/>
        <v>0</v>
      </c>
      <c r="BR16" s="1331">
        <f t="shared" si="11"/>
        <v>0</v>
      </c>
      <c r="BS16" s="523"/>
      <c r="BT16" s="1332">
        <v>10</v>
      </c>
      <c r="BU16" s="1333" t="s">
        <v>518</v>
      </c>
      <c r="BV16" s="1333" t="s">
        <v>531</v>
      </c>
      <c r="BW16" s="1333">
        <f t="shared" ca="1" si="53"/>
        <v>2031</v>
      </c>
      <c r="BX16" s="1331">
        <f t="shared" si="27"/>
        <v>792874.78243460949</v>
      </c>
      <c r="BY16" s="1331">
        <f t="shared" ca="1" si="12"/>
        <v>129583.75092104646</v>
      </c>
      <c r="BZ16" s="1334">
        <f t="shared" si="28"/>
        <v>427286.0873600879</v>
      </c>
      <c r="CA16" s="1334">
        <f t="shared" si="29"/>
        <v>365588.69507452153</v>
      </c>
      <c r="CB16" s="1334">
        <f t="shared" si="30"/>
        <v>0</v>
      </c>
      <c r="CC16" s="1334">
        <f t="shared" si="31"/>
        <v>0</v>
      </c>
      <c r="CD16" s="1334">
        <f t="shared" si="32"/>
        <v>0</v>
      </c>
      <c r="CE16" s="1334">
        <f t="shared" si="33"/>
        <v>0</v>
      </c>
      <c r="CF16" s="1334">
        <f t="shared" si="34"/>
        <v>0</v>
      </c>
      <c r="CG16" s="1334">
        <f t="shared" si="35"/>
        <v>0</v>
      </c>
      <c r="CH16" s="1334">
        <f t="shared" si="36"/>
        <v>0</v>
      </c>
      <c r="CI16" s="1334">
        <f t="shared" si="37"/>
        <v>0</v>
      </c>
      <c r="CJ16" s="1334">
        <f t="shared" si="38"/>
        <v>0</v>
      </c>
      <c r="CK16" s="1334">
        <f t="shared" si="39"/>
        <v>0</v>
      </c>
      <c r="CL16" s="1334"/>
      <c r="CM16" s="1334">
        <f t="shared" si="40"/>
        <v>0</v>
      </c>
      <c r="CN16" s="1334">
        <f t="shared" si="41"/>
        <v>0</v>
      </c>
      <c r="CO16" s="1334">
        <f t="shared" si="42"/>
        <v>129583.75092104646</v>
      </c>
      <c r="CP16" s="1334">
        <f t="shared" si="43"/>
        <v>0</v>
      </c>
      <c r="CQ16" s="1334">
        <f t="shared" si="44"/>
        <v>0</v>
      </c>
      <c r="CR16" s="1334">
        <f t="shared" si="45"/>
        <v>0</v>
      </c>
      <c r="CS16" s="1334">
        <f t="shared" si="46"/>
        <v>0</v>
      </c>
      <c r="CT16" s="1334">
        <f t="shared" si="47"/>
        <v>0</v>
      </c>
      <c r="CU16" s="1334">
        <f t="shared" si="48"/>
        <v>0</v>
      </c>
      <c r="CV16" s="1334">
        <f t="shared" si="49"/>
        <v>0</v>
      </c>
      <c r="CW16" s="1334">
        <f t="shared" si="50"/>
        <v>0</v>
      </c>
      <c r="CX16" s="1334">
        <f t="shared" si="51"/>
        <v>0</v>
      </c>
      <c r="CY16" s="1334"/>
      <c r="CZ16" s="1334"/>
      <c r="DA16" s="1334">
        <f ca="1">Rental!Y46</f>
        <v>0</v>
      </c>
      <c r="DB16" s="1334">
        <f ca="1">Rental!AD46</f>
        <v>0</v>
      </c>
      <c r="DC16" s="1972"/>
      <c r="DD16" s="1761"/>
      <c r="DE16" s="1761"/>
      <c r="DF16" s="1335"/>
      <c r="DG16" s="1335"/>
      <c r="DH16" s="1335"/>
      <c r="DI16" s="1335"/>
      <c r="DJ16" s="1335"/>
      <c r="DK16" s="1335"/>
      <c r="DL16" s="1335"/>
      <c r="DM16" s="1335"/>
      <c r="DN16" s="1335"/>
      <c r="DO16" s="1335"/>
      <c r="DP16" s="1335"/>
      <c r="DQ16" s="1335"/>
      <c r="DR16" s="1335"/>
      <c r="DS16" s="1335"/>
      <c r="DT16" s="1335"/>
    </row>
    <row r="17" spans="1:124" s="1185" customFormat="1" ht="18" customHeight="1">
      <c r="A17" s="523">
        <f ca="1">IF(E17=YEAR(Retire!$D$12),1,0)</f>
        <v>0</v>
      </c>
      <c r="B17" s="502"/>
      <c r="C17" s="503" t="str">
        <f ca="1">IF(E17=Retire!$D$12,"==&gt;","")</f>
        <v/>
      </c>
      <c r="D17" s="504">
        <f t="shared" si="13"/>
        <v>11</v>
      </c>
      <c r="E17" s="504">
        <f t="shared" ca="1" si="52"/>
        <v>2032</v>
      </c>
      <c r="F17" s="505">
        <f t="shared" ca="1" si="14"/>
        <v>975764</v>
      </c>
      <c r="G17" s="505"/>
      <c r="H17" s="506">
        <f>Assets!$G$37</f>
        <v>5.5E-2</v>
      </c>
      <c r="I17" s="507">
        <f>Assets!$F$37</f>
        <v>2000</v>
      </c>
      <c r="J17" s="507">
        <f t="shared" si="15"/>
        <v>452786.82216489274</v>
      </c>
      <c r="K17" s="1220"/>
      <c r="L17" s="506">
        <f>Assets!$G$38</f>
        <v>0.05</v>
      </c>
      <c r="M17" s="507">
        <f>Assets!$F$38</f>
        <v>1500</v>
      </c>
      <c r="N17" s="507">
        <f t="shared" si="16"/>
        <v>385368.12982824759</v>
      </c>
      <c r="O17" s="1220"/>
      <c r="P17" s="506">
        <f>Assets!$G$39</f>
        <v>0.06</v>
      </c>
      <c r="Q17" s="508">
        <f>Assets!$F$39</f>
        <v>250</v>
      </c>
      <c r="R17" s="507">
        <f t="shared" si="17"/>
        <v>137608.77597630926</v>
      </c>
      <c r="S17" s="1220"/>
      <c r="T17" s="506">
        <f>Assets!$G$40</f>
        <v>0</v>
      </c>
      <c r="U17" s="510">
        <f>Assets!$F$40</f>
        <v>0</v>
      </c>
      <c r="V17" s="507">
        <f t="shared" si="18"/>
        <v>0</v>
      </c>
      <c r="W17" s="1220"/>
      <c r="X17" s="506">
        <f>Assets!$G$41</f>
        <v>0</v>
      </c>
      <c r="Y17" s="510">
        <f>Assets!$F$41</f>
        <v>0</v>
      </c>
      <c r="Z17" s="507">
        <f t="shared" si="19"/>
        <v>0</v>
      </c>
      <c r="AA17" s="1220"/>
      <c r="AB17" s="506">
        <f>Assets!$G$42</f>
        <v>0</v>
      </c>
      <c r="AC17" s="507">
        <f>Assets!$F$42</f>
        <v>0</v>
      </c>
      <c r="AD17" s="507">
        <f t="shared" si="20"/>
        <v>0</v>
      </c>
      <c r="AE17" s="1220"/>
      <c r="AF17" s="506">
        <f>Assets!$G$43</f>
        <v>0</v>
      </c>
      <c r="AG17" s="507">
        <f>Assets!$F$43</f>
        <v>0</v>
      </c>
      <c r="AH17" s="507">
        <f t="shared" si="21"/>
        <v>0</v>
      </c>
      <c r="AI17" s="1220"/>
      <c r="AJ17" s="506">
        <f>Assets!$G$44</f>
        <v>0</v>
      </c>
      <c r="AK17" s="507">
        <f>Assets!$F$44</f>
        <v>0</v>
      </c>
      <c r="AL17" s="507">
        <f t="shared" si="22"/>
        <v>0</v>
      </c>
      <c r="AM17" s="1220"/>
      <c r="AN17" s="506">
        <f>Assets!$G$45</f>
        <v>0</v>
      </c>
      <c r="AO17" s="507">
        <f>Assets!$F$45</f>
        <v>0</v>
      </c>
      <c r="AP17" s="507">
        <f t="shared" si="23"/>
        <v>0</v>
      </c>
      <c r="AQ17" s="1220"/>
      <c r="AR17" s="506">
        <f>Assets!$G$46</f>
        <v>0</v>
      </c>
      <c r="AS17" s="507">
        <f>Assets!$F$46</f>
        <v>0</v>
      </c>
      <c r="AT17" s="507">
        <f t="shared" si="24"/>
        <v>0</v>
      </c>
      <c r="AU17" s="1220"/>
      <c r="AV17" s="506">
        <f>Assets!$G$47</f>
        <v>0</v>
      </c>
      <c r="AW17" s="507">
        <f>Assets!F$47</f>
        <v>0</v>
      </c>
      <c r="AX17" s="507">
        <f t="shared" si="25"/>
        <v>0</v>
      </c>
      <c r="AY17" s="1220"/>
      <c r="AZ17" s="506">
        <f>Assets!$G$48</f>
        <v>0</v>
      </c>
      <c r="BA17" s="507">
        <f>Assets!$F$48</f>
        <v>0</v>
      </c>
      <c r="BB17" s="507">
        <f t="shared" si="26"/>
        <v>0</v>
      </c>
      <c r="BC17" s="502"/>
      <c r="BD17" s="2005"/>
      <c r="BE17" s="523"/>
      <c r="BF17" s="523"/>
      <c r="BG17" s="1331">
        <f t="shared" si="0"/>
        <v>452786.82216489274</v>
      </c>
      <c r="BH17" s="1331">
        <f t="shared" si="1"/>
        <v>385368.12982824759</v>
      </c>
      <c r="BI17" s="1331">
        <f t="shared" si="2"/>
        <v>137608.77597630926</v>
      </c>
      <c r="BJ17" s="1331">
        <f t="shared" si="3"/>
        <v>0</v>
      </c>
      <c r="BK17" s="1331">
        <f t="shared" si="4"/>
        <v>0</v>
      </c>
      <c r="BL17" s="1331">
        <f t="shared" si="5"/>
        <v>0</v>
      </c>
      <c r="BM17" s="1331">
        <f t="shared" si="6"/>
        <v>0</v>
      </c>
      <c r="BN17" s="1331">
        <f t="shared" si="7"/>
        <v>0</v>
      </c>
      <c r="BO17" s="1331">
        <f t="shared" si="8"/>
        <v>0</v>
      </c>
      <c r="BP17" s="1331">
        <f t="shared" si="9"/>
        <v>0</v>
      </c>
      <c r="BQ17" s="1331">
        <f t="shared" si="10"/>
        <v>0</v>
      </c>
      <c r="BR17" s="1331">
        <f t="shared" si="11"/>
        <v>0</v>
      </c>
      <c r="BS17" s="523"/>
      <c r="BT17" s="1332">
        <v>11</v>
      </c>
      <c r="BU17" s="1333" t="s">
        <v>519</v>
      </c>
      <c r="BV17" s="1333" t="s">
        <v>532</v>
      </c>
      <c r="BW17" s="1333">
        <f t="shared" ca="1" si="53"/>
        <v>2032</v>
      </c>
      <c r="BX17" s="1331">
        <f t="shared" si="27"/>
        <v>838154.95199314039</v>
      </c>
      <c r="BY17" s="1331">
        <f t="shared" ca="1" si="12"/>
        <v>137608.77597630926</v>
      </c>
      <c r="BZ17" s="1334">
        <f t="shared" si="28"/>
        <v>452786.82216489274</v>
      </c>
      <c r="CA17" s="1334">
        <f t="shared" si="29"/>
        <v>385368.12982824759</v>
      </c>
      <c r="CB17" s="1334">
        <f t="shared" si="30"/>
        <v>0</v>
      </c>
      <c r="CC17" s="1334">
        <f t="shared" si="31"/>
        <v>0</v>
      </c>
      <c r="CD17" s="1334">
        <f t="shared" si="32"/>
        <v>0</v>
      </c>
      <c r="CE17" s="1334">
        <f t="shared" si="33"/>
        <v>0</v>
      </c>
      <c r="CF17" s="1334">
        <f t="shared" si="34"/>
        <v>0</v>
      </c>
      <c r="CG17" s="1334">
        <f t="shared" si="35"/>
        <v>0</v>
      </c>
      <c r="CH17" s="1334">
        <f t="shared" si="36"/>
        <v>0</v>
      </c>
      <c r="CI17" s="1334">
        <f t="shared" si="37"/>
        <v>0</v>
      </c>
      <c r="CJ17" s="1334">
        <f t="shared" si="38"/>
        <v>0</v>
      </c>
      <c r="CK17" s="1334">
        <f t="shared" si="39"/>
        <v>0</v>
      </c>
      <c r="CL17" s="1334"/>
      <c r="CM17" s="1334">
        <f t="shared" si="40"/>
        <v>0</v>
      </c>
      <c r="CN17" s="1334">
        <f t="shared" si="41"/>
        <v>0</v>
      </c>
      <c r="CO17" s="1334">
        <f t="shared" si="42"/>
        <v>137608.77597630926</v>
      </c>
      <c r="CP17" s="1334">
        <f t="shared" si="43"/>
        <v>0</v>
      </c>
      <c r="CQ17" s="1334">
        <f t="shared" si="44"/>
        <v>0</v>
      </c>
      <c r="CR17" s="1334">
        <f t="shared" si="45"/>
        <v>0</v>
      </c>
      <c r="CS17" s="1334">
        <f t="shared" si="46"/>
        <v>0</v>
      </c>
      <c r="CT17" s="1334">
        <f t="shared" si="47"/>
        <v>0</v>
      </c>
      <c r="CU17" s="1334">
        <f t="shared" si="48"/>
        <v>0</v>
      </c>
      <c r="CV17" s="1334">
        <f t="shared" si="49"/>
        <v>0</v>
      </c>
      <c r="CW17" s="1334">
        <f t="shared" si="50"/>
        <v>0</v>
      </c>
      <c r="CX17" s="1334">
        <f t="shared" si="51"/>
        <v>0</v>
      </c>
      <c r="CY17" s="1334"/>
      <c r="CZ17" s="1334"/>
      <c r="DA17" s="1334">
        <f ca="1">Rental!Y47</f>
        <v>0</v>
      </c>
      <c r="DB17" s="1334">
        <f ca="1">Rental!AD47</f>
        <v>0</v>
      </c>
      <c r="DC17" s="1972"/>
      <c r="DD17" s="1761"/>
      <c r="DE17" s="1761"/>
      <c r="DF17" s="1335"/>
      <c r="DG17" s="1335"/>
      <c r="DH17" s="1335"/>
      <c r="DI17" s="1335"/>
      <c r="DJ17" s="1335"/>
      <c r="DK17" s="1335"/>
      <c r="DL17" s="1335"/>
      <c r="DM17" s="1335"/>
      <c r="DN17" s="1335"/>
      <c r="DO17" s="1335"/>
      <c r="DP17" s="1335"/>
      <c r="DQ17" s="1335"/>
      <c r="DR17" s="1335"/>
      <c r="DS17" s="1335"/>
      <c r="DT17" s="1335"/>
    </row>
    <row r="18" spans="1:124" s="1185" customFormat="1" ht="18" customHeight="1">
      <c r="A18" s="523">
        <f ca="1">IF(E18=YEAR(Retire!$D$12),1,0)</f>
        <v>0</v>
      </c>
      <c r="B18" s="502"/>
      <c r="C18" s="503" t="str">
        <f ca="1">IF(E18=Retire!$D$12,"==&gt;","")</f>
        <v/>
      </c>
      <c r="D18" s="512">
        <f t="shared" si="13"/>
        <v>12</v>
      </c>
      <c r="E18" s="512">
        <f t="shared" ca="1" si="52"/>
        <v>2033</v>
      </c>
      <c r="F18" s="513">
        <f t="shared" ca="1" si="14"/>
        <v>1031942</v>
      </c>
      <c r="G18" s="505"/>
      <c r="H18" s="514">
        <f>Assets!$G$37</f>
        <v>5.5E-2</v>
      </c>
      <c r="I18" s="515">
        <f>Assets!$F$37</f>
        <v>2000</v>
      </c>
      <c r="J18" s="515">
        <f>SUM((J17*H17)+J17+I17)</f>
        <v>479690.09738396184</v>
      </c>
      <c r="K18" s="1220"/>
      <c r="L18" s="514">
        <f>Assets!$G$38</f>
        <v>0.05</v>
      </c>
      <c r="M18" s="515">
        <f>Assets!$F$38</f>
        <v>1500</v>
      </c>
      <c r="N18" s="515">
        <f>SUM((N17*L17)+N17+M17)</f>
        <v>406136.53631965996</v>
      </c>
      <c r="O18" s="1220"/>
      <c r="P18" s="514">
        <f>Assets!$G$39</f>
        <v>0.06</v>
      </c>
      <c r="Q18" s="516">
        <f>Assets!$F$39</f>
        <v>250</v>
      </c>
      <c r="R18" s="515">
        <f>SUM((R17*P17)+R17+Q17)</f>
        <v>146115.30253488783</v>
      </c>
      <c r="S18" s="1220"/>
      <c r="T18" s="514">
        <f>Assets!$G$40</f>
        <v>0</v>
      </c>
      <c r="U18" s="517">
        <f>Assets!$F$40</f>
        <v>0</v>
      </c>
      <c r="V18" s="515">
        <f>SUM((V17*T17)+V17+U17)</f>
        <v>0</v>
      </c>
      <c r="W18" s="1220"/>
      <c r="X18" s="514">
        <f>Assets!$G$41</f>
        <v>0</v>
      </c>
      <c r="Y18" s="517">
        <f>Assets!$F$41</f>
        <v>0</v>
      </c>
      <c r="Z18" s="515">
        <f>SUM((Z17*X17)+Z17+Y17)</f>
        <v>0</v>
      </c>
      <c r="AA18" s="1220"/>
      <c r="AB18" s="514">
        <f>Assets!$G$42</f>
        <v>0</v>
      </c>
      <c r="AC18" s="515">
        <f>Assets!$F$42</f>
        <v>0</v>
      </c>
      <c r="AD18" s="515">
        <f>SUM((AD17*AB17)+AD17+AC17)</f>
        <v>0</v>
      </c>
      <c r="AE18" s="1220"/>
      <c r="AF18" s="514">
        <f>Assets!$G$43</f>
        <v>0</v>
      </c>
      <c r="AG18" s="515">
        <f>Assets!$F$43</f>
        <v>0</v>
      </c>
      <c r="AH18" s="515">
        <f>SUM((AH17*AF17)+AH17+AG17)</f>
        <v>0</v>
      </c>
      <c r="AI18" s="1220"/>
      <c r="AJ18" s="514">
        <f>Assets!$G$44</f>
        <v>0</v>
      </c>
      <c r="AK18" s="515">
        <f>Assets!$F$44</f>
        <v>0</v>
      </c>
      <c r="AL18" s="515">
        <f>SUM((AL17*AJ17)+AL17+AK17)</f>
        <v>0</v>
      </c>
      <c r="AM18" s="1220"/>
      <c r="AN18" s="514">
        <f>Assets!$G$45</f>
        <v>0</v>
      </c>
      <c r="AO18" s="515">
        <f>Assets!$F$45</f>
        <v>0</v>
      </c>
      <c r="AP18" s="515">
        <f>SUM((AP17*AN17)+AP17+AO17)</f>
        <v>0</v>
      </c>
      <c r="AQ18" s="1220"/>
      <c r="AR18" s="514">
        <f>Assets!$G$46</f>
        <v>0</v>
      </c>
      <c r="AS18" s="515">
        <f>Assets!$F$46</f>
        <v>0</v>
      </c>
      <c r="AT18" s="515">
        <f>SUM((AT17*AR17)+AT17+AS17)</f>
        <v>0</v>
      </c>
      <c r="AU18" s="1220"/>
      <c r="AV18" s="514">
        <f>Assets!$G$47</f>
        <v>0</v>
      </c>
      <c r="AW18" s="515">
        <f>Assets!F$47</f>
        <v>0</v>
      </c>
      <c r="AX18" s="515">
        <f>SUM((AX17*AV17)+AX17+AW17)</f>
        <v>0</v>
      </c>
      <c r="AY18" s="1220"/>
      <c r="AZ18" s="514">
        <f>Assets!$G$48</f>
        <v>0</v>
      </c>
      <c r="BA18" s="515">
        <f>Assets!$F$48</f>
        <v>0</v>
      </c>
      <c r="BB18" s="515">
        <f>SUM((BB17*AZ17)+BB17+BA17)</f>
        <v>0</v>
      </c>
      <c r="BC18" s="502"/>
      <c r="BD18" s="2005"/>
      <c r="BE18" s="523"/>
      <c r="BF18" s="523"/>
      <c r="BG18" s="1331">
        <f t="shared" si="0"/>
        <v>479690.09738396184</v>
      </c>
      <c r="BH18" s="1331">
        <f t="shared" si="1"/>
        <v>406136.53631965996</v>
      </c>
      <c r="BI18" s="1331">
        <f t="shared" si="2"/>
        <v>146115.30253488783</v>
      </c>
      <c r="BJ18" s="1331">
        <f t="shared" si="3"/>
        <v>0</v>
      </c>
      <c r="BK18" s="1331">
        <f t="shared" si="4"/>
        <v>0</v>
      </c>
      <c r="BL18" s="1331">
        <f t="shared" si="5"/>
        <v>0</v>
      </c>
      <c r="BM18" s="1331">
        <f t="shared" si="6"/>
        <v>0</v>
      </c>
      <c r="BN18" s="1331">
        <f t="shared" si="7"/>
        <v>0</v>
      </c>
      <c r="BO18" s="1331">
        <f t="shared" si="8"/>
        <v>0</v>
      </c>
      <c r="BP18" s="1331">
        <f t="shared" si="9"/>
        <v>0</v>
      </c>
      <c r="BQ18" s="1331">
        <f t="shared" si="10"/>
        <v>0</v>
      </c>
      <c r="BR18" s="1331">
        <f t="shared" si="11"/>
        <v>0</v>
      </c>
      <c r="BS18" s="523"/>
      <c r="BT18" s="1332">
        <v>12</v>
      </c>
      <c r="BU18" s="1333" t="s">
        <v>520</v>
      </c>
      <c r="BV18" s="1333" t="s">
        <v>533</v>
      </c>
      <c r="BW18" s="1333">
        <f t="shared" ca="1" si="53"/>
        <v>2033</v>
      </c>
      <c r="BX18" s="1331">
        <f t="shared" si="27"/>
        <v>885826.6337036218</v>
      </c>
      <c r="BY18" s="1331">
        <f t="shared" ca="1" si="12"/>
        <v>146115.30253488783</v>
      </c>
      <c r="BZ18" s="1334">
        <f t="shared" si="28"/>
        <v>479690.09738396184</v>
      </c>
      <c r="CA18" s="1334">
        <f t="shared" si="29"/>
        <v>406136.53631965996</v>
      </c>
      <c r="CB18" s="1334">
        <f t="shared" si="30"/>
        <v>0</v>
      </c>
      <c r="CC18" s="1334">
        <f t="shared" si="31"/>
        <v>0</v>
      </c>
      <c r="CD18" s="1334">
        <f t="shared" si="32"/>
        <v>0</v>
      </c>
      <c r="CE18" s="1334">
        <f t="shared" si="33"/>
        <v>0</v>
      </c>
      <c r="CF18" s="1334">
        <f t="shared" si="34"/>
        <v>0</v>
      </c>
      <c r="CG18" s="1334">
        <f t="shared" si="35"/>
        <v>0</v>
      </c>
      <c r="CH18" s="1334">
        <f t="shared" si="36"/>
        <v>0</v>
      </c>
      <c r="CI18" s="1334">
        <f t="shared" si="37"/>
        <v>0</v>
      </c>
      <c r="CJ18" s="1334">
        <f t="shared" si="38"/>
        <v>0</v>
      </c>
      <c r="CK18" s="1334">
        <f t="shared" si="39"/>
        <v>0</v>
      </c>
      <c r="CL18" s="1334"/>
      <c r="CM18" s="1334">
        <f t="shared" si="40"/>
        <v>0</v>
      </c>
      <c r="CN18" s="1334">
        <f t="shared" si="41"/>
        <v>0</v>
      </c>
      <c r="CO18" s="1334">
        <f t="shared" si="42"/>
        <v>146115.30253488783</v>
      </c>
      <c r="CP18" s="1334">
        <f t="shared" si="43"/>
        <v>0</v>
      </c>
      <c r="CQ18" s="1334">
        <f t="shared" si="44"/>
        <v>0</v>
      </c>
      <c r="CR18" s="1334">
        <f t="shared" si="45"/>
        <v>0</v>
      </c>
      <c r="CS18" s="1334">
        <f t="shared" si="46"/>
        <v>0</v>
      </c>
      <c r="CT18" s="1334">
        <f t="shared" si="47"/>
        <v>0</v>
      </c>
      <c r="CU18" s="1334">
        <f t="shared" si="48"/>
        <v>0</v>
      </c>
      <c r="CV18" s="1334">
        <f t="shared" si="49"/>
        <v>0</v>
      </c>
      <c r="CW18" s="1334">
        <f t="shared" si="50"/>
        <v>0</v>
      </c>
      <c r="CX18" s="1334">
        <f t="shared" si="51"/>
        <v>0</v>
      </c>
      <c r="CY18" s="1334"/>
      <c r="CZ18" s="1334"/>
      <c r="DA18" s="1334">
        <f ca="1">Rental!Y48</f>
        <v>0</v>
      </c>
      <c r="DB18" s="1334">
        <f ca="1">Rental!AD48</f>
        <v>0</v>
      </c>
      <c r="DC18" s="1972"/>
      <c r="DD18" s="1761"/>
      <c r="DE18" s="1761"/>
      <c r="DF18" s="1335"/>
      <c r="DG18" s="1335"/>
      <c r="DH18" s="1335"/>
      <c r="DI18" s="1335"/>
      <c r="DJ18" s="1335"/>
      <c r="DK18" s="1335"/>
      <c r="DL18" s="1335"/>
      <c r="DM18" s="1335"/>
      <c r="DN18" s="1335"/>
      <c r="DO18" s="1335"/>
      <c r="DP18" s="1335"/>
      <c r="DQ18" s="1335"/>
      <c r="DR18" s="1335"/>
      <c r="DS18" s="1335"/>
      <c r="DT18" s="1335"/>
    </row>
    <row r="19" spans="1:124" s="1185" customFormat="1" ht="18" customHeight="1">
      <c r="A19" s="523">
        <f ca="1">IF(E19=YEAR(Retire!$D$12),1,0)</f>
        <v>0</v>
      </c>
      <c r="B19" s="502"/>
      <c r="C19" s="503" t="str">
        <f ca="1">IF(E19=Retire!$D$12,"==&gt;","")</f>
        <v>==&gt;</v>
      </c>
      <c r="D19" s="504">
        <f t="shared" si="13"/>
        <v>13</v>
      </c>
      <c r="E19" s="504">
        <f t="shared" ca="1" si="52"/>
        <v>2034</v>
      </c>
      <c r="F19" s="505">
        <f t="shared" ca="1" si="14"/>
        <v>1091149</v>
      </c>
      <c r="G19" s="505"/>
      <c r="H19" s="506">
        <f>Assets!$G$37</f>
        <v>5.5E-2</v>
      </c>
      <c r="I19" s="507">
        <f>Assets!$F$37</f>
        <v>2000</v>
      </c>
      <c r="J19" s="507">
        <f t="shared" si="15"/>
        <v>508073.05274007976</v>
      </c>
      <c r="K19" s="1220"/>
      <c r="L19" s="506">
        <f>Assets!$G$38</f>
        <v>0.05</v>
      </c>
      <c r="M19" s="507">
        <f>Assets!$F$38</f>
        <v>1500</v>
      </c>
      <c r="N19" s="507">
        <f>SUM((N18*L18)+N18+M18)</f>
        <v>427943.36313564295</v>
      </c>
      <c r="O19" s="1220"/>
      <c r="P19" s="506">
        <f>Assets!$G$39</f>
        <v>0.06</v>
      </c>
      <c r="Q19" s="508">
        <f>Assets!$F$39</f>
        <v>250</v>
      </c>
      <c r="R19" s="507">
        <f t="shared" si="17"/>
        <v>155132.22068698111</v>
      </c>
      <c r="S19" s="1220"/>
      <c r="T19" s="506">
        <f>Assets!$G$40</f>
        <v>0</v>
      </c>
      <c r="U19" s="510">
        <f>Assets!$F$40</f>
        <v>0</v>
      </c>
      <c r="V19" s="507">
        <f t="shared" si="18"/>
        <v>0</v>
      </c>
      <c r="W19" s="1220"/>
      <c r="X19" s="506">
        <f>Assets!$G$41</f>
        <v>0</v>
      </c>
      <c r="Y19" s="510">
        <f>Assets!$F$41</f>
        <v>0</v>
      </c>
      <c r="Z19" s="507">
        <f t="shared" si="19"/>
        <v>0</v>
      </c>
      <c r="AA19" s="1220"/>
      <c r="AB19" s="506">
        <f>Assets!$G$42</f>
        <v>0</v>
      </c>
      <c r="AC19" s="507">
        <f>Assets!$F$42</f>
        <v>0</v>
      </c>
      <c r="AD19" s="507">
        <f t="shared" si="20"/>
        <v>0</v>
      </c>
      <c r="AE19" s="1220"/>
      <c r="AF19" s="506">
        <f>Assets!$G$43</f>
        <v>0</v>
      </c>
      <c r="AG19" s="507">
        <f>Assets!$F$43</f>
        <v>0</v>
      </c>
      <c r="AH19" s="507">
        <f>SUM((AH18*AF18)+AH18+AG18)</f>
        <v>0</v>
      </c>
      <c r="AI19" s="1220"/>
      <c r="AJ19" s="506">
        <f>Assets!$G$44</f>
        <v>0</v>
      </c>
      <c r="AK19" s="507">
        <f>Assets!$F$44</f>
        <v>0</v>
      </c>
      <c r="AL19" s="507">
        <f>SUM((AL18*AJ18)+AL18+AK18)</f>
        <v>0</v>
      </c>
      <c r="AM19" s="1220"/>
      <c r="AN19" s="506">
        <f>Assets!$G$45</f>
        <v>0</v>
      </c>
      <c r="AO19" s="507">
        <f>Assets!$F$45</f>
        <v>0</v>
      </c>
      <c r="AP19" s="507">
        <f>SUM((AP18*AN18)+AP18+AO18)</f>
        <v>0</v>
      </c>
      <c r="AQ19" s="1220"/>
      <c r="AR19" s="506">
        <f>Assets!$G$46</f>
        <v>0</v>
      </c>
      <c r="AS19" s="507">
        <f>Assets!$F$46</f>
        <v>0</v>
      </c>
      <c r="AT19" s="507">
        <f>SUM((AT18*AR18)+AT18+AS18)</f>
        <v>0</v>
      </c>
      <c r="AU19" s="1220"/>
      <c r="AV19" s="506">
        <f>Assets!$G$47</f>
        <v>0</v>
      </c>
      <c r="AW19" s="507">
        <f>Assets!F$47</f>
        <v>0</v>
      </c>
      <c r="AX19" s="507">
        <f>SUM((AX18*AV18)+AX18+AW18)</f>
        <v>0</v>
      </c>
      <c r="AY19" s="1220"/>
      <c r="AZ19" s="506">
        <f>Assets!$G$48</f>
        <v>0</v>
      </c>
      <c r="BA19" s="507">
        <f>Assets!$F$48</f>
        <v>0</v>
      </c>
      <c r="BB19" s="507">
        <f>SUM((BB18*AZ18)+BB18+BA18)</f>
        <v>0</v>
      </c>
      <c r="BC19" s="502"/>
      <c r="BD19" s="2005"/>
      <c r="BE19" s="523"/>
      <c r="BF19" s="523"/>
      <c r="BG19" s="1331">
        <f t="shared" si="0"/>
        <v>508073.05274007976</v>
      </c>
      <c r="BH19" s="1331">
        <f t="shared" si="1"/>
        <v>427943.36313564295</v>
      </c>
      <c r="BI19" s="1331">
        <f t="shared" si="2"/>
        <v>155132.22068698111</v>
      </c>
      <c r="BJ19" s="1331">
        <f t="shared" si="3"/>
        <v>0</v>
      </c>
      <c r="BK19" s="1331">
        <f t="shared" si="4"/>
        <v>0</v>
      </c>
      <c r="BL19" s="1331">
        <f t="shared" si="5"/>
        <v>0</v>
      </c>
      <c r="BM19" s="1331">
        <f t="shared" si="6"/>
        <v>0</v>
      </c>
      <c r="BN19" s="1331">
        <f t="shared" si="7"/>
        <v>0</v>
      </c>
      <c r="BO19" s="1331">
        <f t="shared" si="8"/>
        <v>0</v>
      </c>
      <c r="BP19" s="1331">
        <f t="shared" si="9"/>
        <v>0</v>
      </c>
      <c r="BQ19" s="1331">
        <f t="shared" si="10"/>
        <v>0</v>
      </c>
      <c r="BR19" s="1331">
        <f t="shared" si="11"/>
        <v>0</v>
      </c>
      <c r="BS19" s="523"/>
      <c r="BT19" s="523"/>
      <c r="BU19" s="1333"/>
      <c r="BV19" s="523"/>
      <c r="BW19" s="1333">
        <f t="shared" ca="1" si="53"/>
        <v>2034</v>
      </c>
      <c r="BX19" s="1331">
        <f t="shared" si="27"/>
        <v>936016.41587572265</v>
      </c>
      <c r="BY19" s="1331">
        <f t="shared" ca="1" si="12"/>
        <v>155132.22068698111</v>
      </c>
      <c r="BZ19" s="1334">
        <f t="shared" si="28"/>
        <v>508073.05274007976</v>
      </c>
      <c r="CA19" s="1334">
        <f t="shared" si="29"/>
        <v>427943.36313564295</v>
      </c>
      <c r="CB19" s="1334">
        <f t="shared" si="30"/>
        <v>0</v>
      </c>
      <c r="CC19" s="1334">
        <f t="shared" si="31"/>
        <v>0</v>
      </c>
      <c r="CD19" s="1334">
        <f t="shared" si="32"/>
        <v>0</v>
      </c>
      <c r="CE19" s="1334">
        <f t="shared" si="33"/>
        <v>0</v>
      </c>
      <c r="CF19" s="1334">
        <f t="shared" si="34"/>
        <v>0</v>
      </c>
      <c r="CG19" s="1334">
        <f t="shared" si="35"/>
        <v>0</v>
      </c>
      <c r="CH19" s="1334">
        <f t="shared" si="36"/>
        <v>0</v>
      </c>
      <c r="CI19" s="1334">
        <f t="shared" si="37"/>
        <v>0</v>
      </c>
      <c r="CJ19" s="1334">
        <f t="shared" si="38"/>
        <v>0</v>
      </c>
      <c r="CK19" s="1334">
        <f t="shared" si="39"/>
        <v>0</v>
      </c>
      <c r="CL19" s="1334"/>
      <c r="CM19" s="1334">
        <f t="shared" si="40"/>
        <v>0</v>
      </c>
      <c r="CN19" s="1334">
        <f t="shared" si="41"/>
        <v>0</v>
      </c>
      <c r="CO19" s="1334">
        <f t="shared" si="42"/>
        <v>155132.22068698111</v>
      </c>
      <c r="CP19" s="1334">
        <f t="shared" si="43"/>
        <v>0</v>
      </c>
      <c r="CQ19" s="1334">
        <f t="shared" si="44"/>
        <v>0</v>
      </c>
      <c r="CR19" s="1334">
        <f t="shared" si="45"/>
        <v>0</v>
      </c>
      <c r="CS19" s="1334">
        <f t="shared" si="46"/>
        <v>0</v>
      </c>
      <c r="CT19" s="1334">
        <f t="shared" si="47"/>
        <v>0</v>
      </c>
      <c r="CU19" s="1334">
        <f t="shared" si="48"/>
        <v>0</v>
      </c>
      <c r="CV19" s="1334">
        <f t="shared" si="49"/>
        <v>0</v>
      </c>
      <c r="CW19" s="1334">
        <f t="shared" si="50"/>
        <v>0</v>
      </c>
      <c r="CX19" s="1334">
        <f t="shared" si="51"/>
        <v>0</v>
      </c>
      <c r="CY19" s="1334"/>
      <c r="CZ19" s="1334"/>
      <c r="DA19" s="1334">
        <f ca="1">Rental!Y49</f>
        <v>0</v>
      </c>
      <c r="DB19" s="1334">
        <f ca="1">Rental!AD49</f>
        <v>0</v>
      </c>
      <c r="DC19" s="1972"/>
      <c r="DD19" s="1761"/>
      <c r="DE19" s="1761"/>
      <c r="DF19" s="1335"/>
      <c r="DG19" s="1335"/>
      <c r="DH19" s="1335"/>
      <c r="DI19" s="1335"/>
      <c r="DJ19" s="1335"/>
      <c r="DK19" s="1335"/>
      <c r="DL19" s="1335"/>
      <c r="DM19" s="1335"/>
      <c r="DN19" s="1335"/>
      <c r="DO19" s="1335"/>
      <c r="DP19" s="1335"/>
      <c r="DQ19" s="1335"/>
      <c r="DR19" s="1335"/>
      <c r="DS19" s="1335"/>
      <c r="DT19" s="1335"/>
    </row>
    <row r="20" spans="1:124" s="1185" customFormat="1" ht="18" customHeight="1">
      <c r="A20" s="523">
        <f ca="1">IF(E20=YEAR(Retire!$D$12),1,0)</f>
        <v>0</v>
      </c>
      <c r="B20" s="502"/>
      <c r="C20" s="503" t="str">
        <f ca="1">IF(E20=Retire!$D$12,"==&gt;","")</f>
        <v/>
      </c>
      <c r="D20" s="512">
        <f t="shared" si="13"/>
        <v>14</v>
      </c>
      <c r="E20" s="512">
        <f t="shared" ca="1" si="52"/>
        <v>2035</v>
      </c>
      <c r="F20" s="513">
        <f t="shared" ca="1" si="14"/>
        <v>1153548</v>
      </c>
      <c r="G20" s="505"/>
      <c r="H20" s="514">
        <f>Assets!$G$37</f>
        <v>5.5E-2</v>
      </c>
      <c r="I20" s="515">
        <f>Assets!$F$37</f>
        <v>2000</v>
      </c>
      <c r="J20" s="515">
        <f t="shared" si="15"/>
        <v>538017.07064078411</v>
      </c>
      <c r="K20" s="1220"/>
      <c r="L20" s="514">
        <f>Assets!$G$38</f>
        <v>0.05</v>
      </c>
      <c r="M20" s="515">
        <f>Assets!$F$38</f>
        <v>1500</v>
      </c>
      <c r="N20" s="515">
        <f>SUM((N19*L19)+N19+M19)</f>
        <v>450840.53129242512</v>
      </c>
      <c r="O20" s="1220"/>
      <c r="P20" s="514">
        <f>Assets!$G$39</f>
        <v>0.06</v>
      </c>
      <c r="Q20" s="516">
        <f>Assets!$F$39</f>
        <v>250</v>
      </c>
      <c r="R20" s="515">
        <f t="shared" si="17"/>
        <v>164690.15392819996</v>
      </c>
      <c r="S20" s="1220"/>
      <c r="T20" s="514">
        <f>Assets!$G$40</f>
        <v>0</v>
      </c>
      <c r="U20" s="517">
        <f>Assets!$F$40</f>
        <v>0</v>
      </c>
      <c r="V20" s="515">
        <f t="shared" si="18"/>
        <v>0</v>
      </c>
      <c r="W20" s="1220"/>
      <c r="X20" s="514">
        <f>Assets!$G$41</f>
        <v>0</v>
      </c>
      <c r="Y20" s="517">
        <f>Assets!$F$41</f>
        <v>0</v>
      </c>
      <c r="Z20" s="515">
        <f t="shared" si="19"/>
        <v>0</v>
      </c>
      <c r="AA20" s="1220"/>
      <c r="AB20" s="514">
        <f>Assets!$G$42</f>
        <v>0</v>
      </c>
      <c r="AC20" s="515">
        <f>Assets!$F$42</f>
        <v>0</v>
      </c>
      <c r="AD20" s="515">
        <f t="shared" si="20"/>
        <v>0</v>
      </c>
      <c r="AE20" s="1220"/>
      <c r="AF20" s="514">
        <f>Assets!$G$43</f>
        <v>0</v>
      </c>
      <c r="AG20" s="515">
        <f>Assets!$F$43</f>
        <v>0</v>
      </c>
      <c r="AH20" s="515">
        <f>SUM((AH19*AF19)+AH19+AG19)</f>
        <v>0</v>
      </c>
      <c r="AI20" s="1220"/>
      <c r="AJ20" s="514">
        <f>Assets!$G$44</f>
        <v>0</v>
      </c>
      <c r="AK20" s="515">
        <f>Assets!$F$44</f>
        <v>0</v>
      </c>
      <c r="AL20" s="515">
        <f>SUM((AL19*AJ19)+AL19+AK19)</f>
        <v>0</v>
      </c>
      <c r="AM20" s="1220"/>
      <c r="AN20" s="514">
        <f>Assets!$G$45</f>
        <v>0</v>
      </c>
      <c r="AO20" s="515">
        <f>Assets!$F$45</f>
        <v>0</v>
      </c>
      <c r="AP20" s="515">
        <f>SUM((AP19*AN19)+AP19+AO19)</f>
        <v>0</v>
      </c>
      <c r="AQ20" s="1220"/>
      <c r="AR20" s="514">
        <f>Assets!$G$46</f>
        <v>0</v>
      </c>
      <c r="AS20" s="515">
        <f>Assets!$F$46</f>
        <v>0</v>
      </c>
      <c r="AT20" s="515">
        <f>SUM((AT19*AR19)+AT19+AS19)</f>
        <v>0</v>
      </c>
      <c r="AU20" s="1220"/>
      <c r="AV20" s="514">
        <f>Assets!$G$47</f>
        <v>0</v>
      </c>
      <c r="AW20" s="515">
        <f>Assets!F$47</f>
        <v>0</v>
      </c>
      <c r="AX20" s="515">
        <f>SUM((AX19*AV19)+AX19+AW19)</f>
        <v>0</v>
      </c>
      <c r="AY20" s="1220"/>
      <c r="AZ20" s="514">
        <f>Assets!$G$48</f>
        <v>0</v>
      </c>
      <c r="BA20" s="515">
        <f>Assets!$F$48</f>
        <v>0</v>
      </c>
      <c r="BB20" s="515">
        <f>SUM((BB19*AZ19)+BB19+BA19)</f>
        <v>0</v>
      </c>
      <c r="BC20" s="502"/>
      <c r="BD20" s="2005"/>
      <c r="BE20" s="523"/>
      <c r="BF20" s="523"/>
      <c r="BG20" s="1331">
        <f t="shared" si="0"/>
        <v>538017.07064078411</v>
      </c>
      <c r="BH20" s="1331">
        <f t="shared" si="1"/>
        <v>450840.53129242512</v>
      </c>
      <c r="BI20" s="1331">
        <f t="shared" si="2"/>
        <v>164690.15392819996</v>
      </c>
      <c r="BJ20" s="1331">
        <f t="shared" si="3"/>
        <v>0</v>
      </c>
      <c r="BK20" s="1331">
        <f t="shared" si="4"/>
        <v>0</v>
      </c>
      <c r="BL20" s="1331">
        <f t="shared" si="5"/>
        <v>0</v>
      </c>
      <c r="BM20" s="1331">
        <f t="shared" si="6"/>
        <v>0</v>
      </c>
      <c r="BN20" s="1331">
        <f t="shared" si="7"/>
        <v>0</v>
      </c>
      <c r="BO20" s="1331">
        <f t="shared" si="8"/>
        <v>0</v>
      </c>
      <c r="BP20" s="1331">
        <f t="shared" si="9"/>
        <v>0</v>
      </c>
      <c r="BQ20" s="1331">
        <f t="shared" si="10"/>
        <v>0</v>
      </c>
      <c r="BR20" s="1331">
        <f t="shared" si="11"/>
        <v>0</v>
      </c>
      <c r="BS20" s="523"/>
      <c r="BT20" s="523"/>
      <c r="BU20" s="523"/>
      <c r="BV20" s="523"/>
      <c r="BW20" s="1333">
        <f t="shared" ca="1" si="53"/>
        <v>2035</v>
      </c>
      <c r="BX20" s="1331">
        <f t="shared" si="27"/>
        <v>988857.60193320923</v>
      </c>
      <c r="BY20" s="1331">
        <f t="shared" ca="1" si="12"/>
        <v>164690.15392819996</v>
      </c>
      <c r="BZ20" s="1334">
        <f t="shared" si="28"/>
        <v>538017.07064078411</v>
      </c>
      <c r="CA20" s="1334">
        <f t="shared" si="29"/>
        <v>450840.53129242512</v>
      </c>
      <c r="CB20" s="1334">
        <f t="shared" si="30"/>
        <v>0</v>
      </c>
      <c r="CC20" s="1334">
        <f t="shared" si="31"/>
        <v>0</v>
      </c>
      <c r="CD20" s="1334">
        <f t="shared" si="32"/>
        <v>0</v>
      </c>
      <c r="CE20" s="1334">
        <f t="shared" si="33"/>
        <v>0</v>
      </c>
      <c r="CF20" s="1334">
        <f t="shared" si="34"/>
        <v>0</v>
      </c>
      <c r="CG20" s="1334">
        <f t="shared" si="35"/>
        <v>0</v>
      </c>
      <c r="CH20" s="1334">
        <f t="shared" si="36"/>
        <v>0</v>
      </c>
      <c r="CI20" s="1334">
        <f t="shared" si="37"/>
        <v>0</v>
      </c>
      <c r="CJ20" s="1334">
        <f t="shared" si="38"/>
        <v>0</v>
      </c>
      <c r="CK20" s="1334">
        <f t="shared" si="39"/>
        <v>0</v>
      </c>
      <c r="CL20" s="1334"/>
      <c r="CM20" s="1334">
        <f t="shared" si="40"/>
        <v>0</v>
      </c>
      <c r="CN20" s="1334">
        <f t="shared" si="41"/>
        <v>0</v>
      </c>
      <c r="CO20" s="1334">
        <f t="shared" si="42"/>
        <v>164690.15392819996</v>
      </c>
      <c r="CP20" s="1334">
        <f t="shared" si="43"/>
        <v>0</v>
      </c>
      <c r="CQ20" s="1334">
        <f t="shared" si="44"/>
        <v>0</v>
      </c>
      <c r="CR20" s="1334">
        <f t="shared" si="45"/>
        <v>0</v>
      </c>
      <c r="CS20" s="1334">
        <f t="shared" si="46"/>
        <v>0</v>
      </c>
      <c r="CT20" s="1334">
        <f t="shared" si="47"/>
        <v>0</v>
      </c>
      <c r="CU20" s="1334">
        <f t="shared" si="48"/>
        <v>0</v>
      </c>
      <c r="CV20" s="1334">
        <f t="shared" si="49"/>
        <v>0</v>
      </c>
      <c r="CW20" s="1334">
        <f t="shared" si="50"/>
        <v>0</v>
      </c>
      <c r="CX20" s="1334">
        <f t="shared" si="51"/>
        <v>0</v>
      </c>
      <c r="CY20" s="1334"/>
      <c r="CZ20" s="1334"/>
      <c r="DA20" s="1334">
        <f ca="1">Rental!Y50</f>
        <v>0</v>
      </c>
      <c r="DB20" s="1334">
        <f ca="1">Rental!AD50</f>
        <v>0</v>
      </c>
      <c r="DC20" s="1972"/>
      <c r="DD20" s="1761"/>
      <c r="DE20" s="1761"/>
      <c r="DF20" s="1335"/>
      <c r="DG20" s="1335"/>
      <c r="DH20" s="1335"/>
      <c r="DI20" s="1335"/>
      <c r="DJ20" s="1335"/>
      <c r="DK20" s="1335"/>
      <c r="DL20" s="1335"/>
      <c r="DM20" s="1335"/>
      <c r="DN20" s="1335"/>
      <c r="DO20" s="1335"/>
      <c r="DP20" s="1335"/>
      <c r="DQ20" s="1335"/>
      <c r="DR20" s="1335"/>
      <c r="DS20" s="1335"/>
      <c r="DT20" s="1335"/>
    </row>
    <row r="21" spans="1:124" s="1185" customFormat="1" ht="18" customHeight="1">
      <c r="A21" s="523">
        <f ca="1">IF(E21=YEAR(Retire!$D$12),1,0)</f>
        <v>0</v>
      </c>
      <c r="B21" s="502"/>
      <c r="C21" s="503" t="str">
        <f ca="1">IF(E21=Retire!$D$12,"==&gt;","")</f>
        <v/>
      </c>
      <c r="D21" s="504">
        <f t="shared" si="13"/>
        <v>15</v>
      </c>
      <c r="E21" s="504">
        <f t="shared" ca="1" si="52"/>
        <v>2036</v>
      </c>
      <c r="F21" s="505">
        <f t="shared" ca="1" si="14"/>
        <v>1219312</v>
      </c>
      <c r="G21" s="505"/>
      <c r="H21" s="506">
        <f>Assets!$G$37</f>
        <v>5.5E-2</v>
      </c>
      <c r="I21" s="507">
        <f>Assets!$F$37</f>
        <v>2000</v>
      </c>
      <c r="J21" s="507">
        <f>SUM((J20*H20)+J20+I20)</f>
        <v>569608.00952602725</v>
      </c>
      <c r="K21" s="1220"/>
      <c r="L21" s="506">
        <f>Assets!$G$38</f>
        <v>0.05</v>
      </c>
      <c r="M21" s="507">
        <f>Assets!$F$38</f>
        <v>1500</v>
      </c>
      <c r="N21" s="507">
        <f>SUM((N20*L20)+N20+M20)</f>
        <v>474882.55785704637</v>
      </c>
      <c r="O21" s="1220"/>
      <c r="P21" s="506">
        <f>Assets!$G$39</f>
        <v>0.06</v>
      </c>
      <c r="Q21" s="508">
        <f>Assets!$F$39</f>
        <v>250</v>
      </c>
      <c r="R21" s="507">
        <f>SUM((R20*P20)+R20+Q20)</f>
        <v>174821.56316389196</v>
      </c>
      <c r="S21" s="1220"/>
      <c r="T21" s="506">
        <f>Assets!$G$40</f>
        <v>0</v>
      </c>
      <c r="U21" s="510">
        <f>Assets!$F$40</f>
        <v>0</v>
      </c>
      <c r="V21" s="507">
        <f>SUM((V20*T20)+V20+U20)</f>
        <v>0</v>
      </c>
      <c r="W21" s="1220"/>
      <c r="X21" s="506">
        <f>Assets!$G$41</f>
        <v>0</v>
      </c>
      <c r="Y21" s="510">
        <f>Assets!$F$41</f>
        <v>0</v>
      </c>
      <c r="Z21" s="507">
        <f>SUM((Z20*X20)+Z20+Y20)</f>
        <v>0</v>
      </c>
      <c r="AA21" s="1220"/>
      <c r="AB21" s="506">
        <f>Assets!$G$42</f>
        <v>0</v>
      </c>
      <c r="AC21" s="507">
        <f>Assets!$F$42</f>
        <v>0</v>
      </c>
      <c r="AD21" s="507">
        <f>SUM((AD20*AB20)+AD20+AC20)</f>
        <v>0</v>
      </c>
      <c r="AE21" s="1220"/>
      <c r="AF21" s="506">
        <f>Assets!$G$43</f>
        <v>0</v>
      </c>
      <c r="AG21" s="507">
        <f>Assets!$F$43</f>
        <v>0</v>
      </c>
      <c r="AH21" s="507">
        <f>SUM((AH20*AF20)+AH20+AG20)</f>
        <v>0</v>
      </c>
      <c r="AI21" s="1220"/>
      <c r="AJ21" s="506">
        <f>Assets!$G$44</f>
        <v>0</v>
      </c>
      <c r="AK21" s="507">
        <f>Assets!$F$44</f>
        <v>0</v>
      </c>
      <c r="AL21" s="507">
        <f>SUM((AL20*AJ20)+AL20+AK20)</f>
        <v>0</v>
      </c>
      <c r="AM21" s="1220"/>
      <c r="AN21" s="506">
        <f>Assets!$G$45</f>
        <v>0</v>
      </c>
      <c r="AO21" s="507">
        <f>Assets!$F$45</f>
        <v>0</v>
      </c>
      <c r="AP21" s="507">
        <f>SUM((AP20*AN20)+AP20+AO20)</f>
        <v>0</v>
      </c>
      <c r="AQ21" s="1220"/>
      <c r="AR21" s="506">
        <f>Assets!$G$46</f>
        <v>0</v>
      </c>
      <c r="AS21" s="507">
        <f>Assets!$F$46</f>
        <v>0</v>
      </c>
      <c r="AT21" s="507">
        <f>SUM((AT20*AR20)+AT20+AS20)</f>
        <v>0</v>
      </c>
      <c r="AU21" s="1220"/>
      <c r="AV21" s="506">
        <f>Assets!$G$47</f>
        <v>0</v>
      </c>
      <c r="AW21" s="507">
        <f>Assets!F$47</f>
        <v>0</v>
      </c>
      <c r="AX21" s="507">
        <f>SUM((AX20*AV20)+AX20+AW20)</f>
        <v>0</v>
      </c>
      <c r="AY21" s="1220"/>
      <c r="AZ21" s="506">
        <f>Assets!$G$48</f>
        <v>0</v>
      </c>
      <c r="BA21" s="507">
        <f>Assets!$F$48</f>
        <v>0</v>
      </c>
      <c r="BB21" s="507">
        <f>SUM((BB20*AZ20)+BB20+BA20)</f>
        <v>0</v>
      </c>
      <c r="BC21" s="502"/>
      <c r="BD21" s="2005"/>
      <c r="BE21" s="523"/>
      <c r="BF21" s="523"/>
      <c r="BG21" s="1331">
        <f t="shared" si="0"/>
        <v>569608.00952602725</v>
      </c>
      <c r="BH21" s="1331">
        <f t="shared" si="1"/>
        <v>474882.55785704637</v>
      </c>
      <c r="BI21" s="1331">
        <f t="shared" si="2"/>
        <v>174821.56316389196</v>
      </c>
      <c r="BJ21" s="1331">
        <f t="shared" si="3"/>
        <v>0</v>
      </c>
      <c r="BK21" s="1331">
        <f t="shared" si="4"/>
        <v>0</v>
      </c>
      <c r="BL21" s="1331">
        <f t="shared" si="5"/>
        <v>0</v>
      </c>
      <c r="BM21" s="1331">
        <f t="shared" si="6"/>
        <v>0</v>
      </c>
      <c r="BN21" s="1331">
        <f t="shared" si="7"/>
        <v>0</v>
      </c>
      <c r="BO21" s="1331">
        <f t="shared" si="8"/>
        <v>0</v>
      </c>
      <c r="BP21" s="1331">
        <f t="shared" si="9"/>
        <v>0</v>
      </c>
      <c r="BQ21" s="1331">
        <f t="shared" si="10"/>
        <v>0</v>
      </c>
      <c r="BR21" s="1331">
        <f t="shared" si="11"/>
        <v>0</v>
      </c>
      <c r="BS21" s="523"/>
      <c r="BT21" s="523"/>
      <c r="BU21" s="523"/>
      <c r="BV21" s="523"/>
      <c r="BW21" s="1333">
        <f t="shared" ca="1" si="53"/>
        <v>2036</v>
      </c>
      <c r="BX21" s="1331">
        <f t="shared" si="27"/>
        <v>1044490.5673830736</v>
      </c>
      <c r="BY21" s="1331">
        <f t="shared" ca="1" si="12"/>
        <v>174821.56316389196</v>
      </c>
      <c r="BZ21" s="1334">
        <f t="shared" si="28"/>
        <v>569608.00952602725</v>
      </c>
      <c r="CA21" s="1334">
        <f t="shared" si="29"/>
        <v>474882.55785704637</v>
      </c>
      <c r="CB21" s="1334">
        <f t="shared" si="30"/>
        <v>0</v>
      </c>
      <c r="CC21" s="1334">
        <f t="shared" si="31"/>
        <v>0</v>
      </c>
      <c r="CD21" s="1334">
        <f t="shared" si="32"/>
        <v>0</v>
      </c>
      <c r="CE21" s="1334">
        <f t="shared" si="33"/>
        <v>0</v>
      </c>
      <c r="CF21" s="1334">
        <f t="shared" si="34"/>
        <v>0</v>
      </c>
      <c r="CG21" s="1334">
        <f t="shared" si="35"/>
        <v>0</v>
      </c>
      <c r="CH21" s="1334">
        <f t="shared" si="36"/>
        <v>0</v>
      </c>
      <c r="CI21" s="1334">
        <f t="shared" si="37"/>
        <v>0</v>
      </c>
      <c r="CJ21" s="1334">
        <f t="shared" si="38"/>
        <v>0</v>
      </c>
      <c r="CK21" s="1334">
        <f t="shared" si="39"/>
        <v>0</v>
      </c>
      <c r="CL21" s="1334"/>
      <c r="CM21" s="1334">
        <f t="shared" si="40"/>
        <v>0</v>
      </c>
      <c r="CN21" s="1334">
        <f t="shared" si="41"/>
        <v>0</v>
      </c>
      <c r="CO21" s="1334">
        <f t="shared" si="42"/>
        <v>174821.56316389196</v>
      </c>
      <c r="CP21" s="1334">
        <f t="shared" si="43"/>
        <v>0</v>
      </c>
      <c r="CQ21" s="1334">
        <f t="shared" si="44"/>
        <v>0</v>
      </c>
      <c r="CR21" s="1334">
        <f t="shared" si="45"/>
        <v>0</v>
      </c>
      <c r="CS21" s="1334">
        <f t="shared" si="46"/>
        <v>0</v>
      </c>
      <c r="CT21" s="1334">
        <f t="shared" si="47"/>
        <v>0</v>
      </c>
      <c r="CU21" s="1334">
        <f t="shared" si="48"/>
        <v>0</v>
      </c>
      <c r="CV21" s="1334">
        <f t="shared" si="49"/>
        <v>0</v>
      </c>
      <c r="CW21" s="1334">
        <f t="shared" si="50"/>
        <v>0</v>
      </c>
      <c r="CX21" s="1334">
        <f t="shared" si="51"/>
        <v>0</v>
      </c>
      <c r="CY21" s="1334"/>
      <c r="CZ21" s="1334"/>
      <c r="DA21" s="1334">
        <f ca="1">Rental!Y51</f>
        <v>0</v>
      </c>
      <c r="DB21" s="1334">
        <f ca="1">Rental!AD51</f>
        <v>0</v>
      </c>
      <c r="DC21" s="1972"/>
      <c r="DD21" s="1761"/>
      <c r="DE21" s="1761"/>
      <c r="DF21" s="1335"/>
      <c r="DG21" s="1335"/>
      <c r="DH21" s="1335"/>
      <c r="DI21" s="1335"/>
      <c r="DJ21" s="1335"/>
      <c r="DK21" s="1335"/>
      <c r="DL21" s="1335"/>
      <c r="DM21" s="1335"/>
      <c r="DN21" s="1335"/>
      <c r="DO21" s="1335"/>
      <c r="DP21" s="1335"/>
      <c r="DQ21" s="1335"/>
      <c r="DR21" s="1335"/>
      <c r="DS21" s="1335"/>
      <c r="DT21" s="1335"/>
    </row>
    <row r="22" spans="1:124" s="1185" customFormat="1" ht="18" customHeight="1">
      <c r="A22" s="523">
        <f ca="1">IF(E22=YEAR(Retire!$D$12),1,0)</f>
        <v>0</v>
      </c>
      <c r="B22" s="502"/>
      <c r="C22" s="503" t="str">
        <f ca="1">IF(E22=Retire!$D$12,"==&gt;","")</f>
        <v/>
      </c>
      <c r="D22" s="512">
        <f t="shared" si="13"/>
        <v>16</v>
      </c>
      <c r="E22" s="512">
        <f t="shared" ca="1" si="52"/>
        <v>2037</v>
      </c>
      <c r="F22" s="513">
        <f t="shared" ca="1" si="14"/>
        <v>1288624</v>
      </c>
      <c r="G22" s="505"/>
      <c r="H22" s="514">
        <f>Assets!$G$37</f>
        <v>5.5E-2</v>
      </c>
      <c r="I22" s="515">
        <f>Assets!$F$37</f>
        <v>2000</v>
      </c>
      <c r="J22" s="515">
        <f>SUM((J21*H21)+J21+I21)</f>
        <v>602936.45004995877</v>
      </c>
      <c r="K22" s="1220"/>
      <c r="L22" s="514">
        <f>Assets!$G$38</f>
        <v>0.05</v>
      </c>
      <c r="M22" s="515">
        <f>Assets!$F$38</f>
        <v>1500</v>
      </c>
      <c r="N22" s="515">
        <f>SUM((N21*L21)+N21+M21)</f>
        <v>500126.68574989866</v>
      </c>
      <c r="O22" s="1220"/>
      <c r="P22" s="514">
        <f>Assets!$G$39</f>
        <v>0.06</v>
      </c>
      <c r="Q22" s="516">
        <f>Assets!$F$39</f>
        <v>250</v>
      </c>
      <c r="R22" s="515">
        <f>SUM((R21*P21)+R21+Q21)</f>
        <v>185560.85695372548</v>
      </c>
      <c r="S22" s="1220"/>
      <c r="T22" s="514">
        <f>Assets!$G$40</f>
        <v>0</v>
      </c>
      <c r="U22" s="517">
        <f>Assets!$F$40</f>
        <v>0</v>
      </c>
      <c r="V22" s="515">
        <f>SUM((V21*T21)+V21+U21)</f>
        <v>0</v>
      </c>
      <c r="W22" s="1220"/>
      <c r="X22" s="514">
        <f>Assets!$G$41</f>
        <v>0</v>
      </c>
      <c r="Y22" s="517">
        <f>Assets!$F$41</f>
        <v>0</v>
      </c>
      <c r="Z22" s="515">
        <f>SUM((Z21*X21)+Z21+Y21)</f>
        <v>0</v>
      </c>
      <c r="AA22" s="1220"/>
      <c r="AB22" s="514">
        <f>Assets!$G$42</f>
        <v>0</v>
      </c>
      <c r="AC22" s="515">
        <f>Assets!$F$42</f>
        <v>0</v>
      </c>
      <c r="AD22" s="515">
        <f>SUM((AD21*AB21)+AD21+AC21)</f>
        <v>0</v>
      </c>
      <c r="AE22" s="1220"/>
      <c r="AF22" s="514">
        <f>Assets!$G$43</f>
        <v>0</v>
      </c>
      <c r="AG22" s="515">
        <f>Assets!$F$43</f>
        <v>0</v>
      </c>
      <c r="AH22" s="515">
        <f>SUM((AH21*AF21)+AH21+AG21)</f>
        <v>0</v>
      </c>
      <c r="AI22" s="1220"/>
      <c r="AJ22" s="514">
        <f>Assets!$G$44</f>
        <v>0</v>
      </c>
      <c r="AK22" s="515">
        <f>Assets!$F$44</f>
        <v>0</v>
      </c>
      <c r="AL22" s="515">
        <f>SUM((AL21*AJ21)+AL21+AK21)</f>
        <v>0</v>
      </c>
      <c r="AM22" s="1220"/>
      <c r="AN22" s="514">
        <f>Assets!$G$45</f>
        <v>0</v>
      </c>
      <c r="AO22" s="515">
        <f>Assets!$F$45</f>
        <v>0</v>
      </c>
      <c r="AP22" s="515">
        <f>SUM((AP21*AN21)+AP21+AO21)</f>
        <v>0</v>
      </c>
      <c r="AQ22" s="1220"/>
      <c r="AR22" s="514">
        <f>Assets!$G$46</f>
        <v>0</v>
      </c>
      <c r="AS22" s="515">
        <f>Assets!$F$46</f>
        <v>0</v>
      </c>
      <c r="AT22" s="515">
        <f>SUM((AT21*AR21)+AT21+AS21)</f>
        <v>0</v>
      </c>
      <c r="AU22" s="1220"/>
      <c r="AV22" s="514">
        <f>Assets!$G$47</f>
        <v>0</v>
      </c>
      <c r="AW22" s="515">
        <f>Assets!F$47</f>
        <v>0</v>
      </c>
      <c r="AX22" s="515">
        <f>SUM((AX21*AV21)+AX21+AW21)</f>
        <v>0</v>
      </c>
      <c r="AY22" s="1220"/>
      <c r="AZ22" s="514">
        <f>Assets!$G$48</f>
        <v>0</v>
      </c>
      <c r="BA22" s="515">
        <f>Assets!$F$48</f>
        <v>0</v>
      </c>
      <c r="BB22" s="515">
        <f>SUM((BB21*AZ21)+BB21+BA21)</f>
        <v>0</v>
      </c>
      <c r="BC22" s="502"/>
      <c r="BD22" s="2005"/>
      <c r="BE22" s="523"/>
      <c r="BF22" s="523"/>
      <c r="BG22" s="1331">
        <f t="shared" si="0"/>
        <v>602936.45004995877</v>
      </c>
      <c r="BH22" s="1331">
        <f t="shared" si="1"/>
        <v>500126.68574989866</v>
      </c>
      <c r="BI22" s="1331">
        <f t="shared" si="2"/>
        <v>185560.85695372548</v>
      </c>
      <c r="BJ22" s="1331">
        <f t="shared" si="3"/>
        <v>0</v>
      </c>
      <c r="BK22" s="1331">
        <f t="shared" si="4"/>
        <v>0</v>
      </c>
      <c r="BL22" s="1331">
        <f t="shared" si="5"/>
        <v>0</v>
      </c>
      <c r="BM22" s="1331">
        <f t="shared" si="6"/>
        <v>0</v>
      </c>
      <c r="BN22" s="1331">
        <f t="shared" si="7"/>
        <v>0</v>
      </c>
      <c r="BO22" s="1331">
        <f t="shared" si="8"/>
        <v>0</v>
      </c>
      <c r="BP22" s="1331">
        <f t="shared" si="9"/>
        <v>0</v>
      </c>
      <c r="BQ22" s="1331">
        <f t="shared" si="10"/>
        <v>0</v>
      </c>
      <c r="BR22" s="1331">
        <f t="shared" si="11"/>
        <v>0</v>
      </c>
      <c r="BS22" s="523"/>
      <c r="BT22" s="523"/>
      <c r="BU22" s="523"/>
      <c r="BV22" s="523"/>
      <c r="BW22" s="1333">
        <f t="shared" ca="1" si="53"/>
        <v>2037</v>
      </c>
      <c r="BX22" s="1331">
        <f t="shared" si="27"/>
        <v>1103063.1357998573</v>
      </c>
      <c r="BY22" s="1331">
        <f t="shared" ca="1" si="12"/>
        <v>185560.85695372548</v>
      </c>
      <c r="BZ22" s="1334">
        <f t="shared" si="28"/>
        <v>602936.45004995877</v>
      </c>
      <c r="CA22" s="1334">
        <f t="shared" si="29"/>
        <v>500126.68574989866</v>
      </c>
      <c r="CB22" s="1334">
        <f t="shared" si="30"/>
        <v>0</v>
      </c>
      <c r="CC22" s="1334">
        <f t="shared" si="31"/>
        <v>0</v>
      </c>
      <c r="CD22" s="1334">
        <f t="shared" si="32"/>
        <v>0</v>
      </c>
      <c r="CE22" s="1334">
        <f t="shared" si="33"/>
        <v>0</v>
      </c>
      <c r="CF22" s="1334">
        <f t="shared" si="34"/>
        <v>0</v>
      </c>
      <c r="CG22" s="1334">
        <f t="shared" si="35"/>
        <v>0</v>
      </c>
      <c r="CH22" s="1334">
        <f t="shared" si="36"/>
        <v>0</v>
      </c>
      <c r="CI22" s="1334">
        <f t="shared" si="37"/>
        <v>0</v>
      </c>
      <c r="CJ22" s="1334">
        <f t="shared" si="38"/>
        <v>0</v>
      </c>
      <c r="CK22" s="1334">
        <f t="shared" si="39"/>
        <v>0</v>
      </c>
      <c r="CL22" s="1334"/>
      <c r="CM22" s="1334">
        <f t="shared" si="40"/>
        <v>0</v>
      </c>
      <c r="CN22" s="1334">
        <f t="shared" si="41"/>
        <v>0</v>
      </c>
      <c r="CO22" s="1334">
        <f t="shared" si="42"/>
        <v>185560.85695372548</v>
      </c>
      <c r="CP22" s="1334">
        <f t="shared" si="43"/>
        <v>0</v>
      </c>
      <c r="CQ22" s="1334">
        <f t="shared" si="44"/>
        <v>0</v>
      </c>
      <c r="CR22" s="1334">
        <f t="shared" si="45"/>
        <v>0</v>
      </c>
      <c r="CS22" s="1334">
        <f t="shared" si="46"/>
        <v>0</v>
      </c>
      <c r="CT22" s="1334">
        <f t="shared" si="47"/>
        <v>0</v>
      </c>
      <c r="CU22" s="1334">
        <f t="shared" si="48"/>
        <v>0</v>
      </c>
      <c r="CV22" s="1334">
        <f t="shared" si="49"/>
        <v>0</v>
      </c>
      <c r="CW22" s="1334">
        <f t="shared" si="50"/>
        <v>0</v>
      </c>
      <c r="CX22" s="1334">
        <f t="shared" si="51"/>
        <v>0</v>
      </c>
      <c r="CY22" s="1334"/>
      <c r="CZ22" s="1334"/>
      <c r="DA22" s="1334">
        <f ca="1">Rental!Y52</f>
        <v>0</v>
      </c>
      <c r="DB22" s="1334">
        <f ca="1">Rental!AD52</f>
        <v>0</v>
      </c>
      <c r="DC22" s="1972"/>
      <c r="DD22" s="1761"/>
      <c r="DE22" s="1761"/>
      <c r="DF22" s="1335"/>
      <c r="DG22" s="1335"/>
      <c r="DH22" s="1335"/>
      <c r="DI22" s="1335"/>
      <c r="DJ22" s="1335"/>
      <c r="DK22" s="1335"/>
      <c r="DL22" s="1335"/>
      <c r="DM22" s="1335"/>
      <c r="DN22" s="1335"/>
      <c r="DO22" s="1335"/>
      <c r="DP22" s="1335"/>
      <c r="DQ22" s="1335"/>
      <c r="DR22" s="1335"/>
      <c r="DS22" s="1335"/>
      <c r="DT22" s="1335"/>
    </row>
    <row r="23" spans="1:124" s="1185" customFormat="1" ht="18" customHeight="1">
      <c r="A23" s="523">
        <f ca="1">IF(E23=YEAR(Retire!$D$12),1,0)</f>
        <v>0</v>
      </c>
      <c r="B23" s="502"/>
      <c r="C23" s="503" t="str">
        <f ca="1">IF(E23=Retire!$D$12,"==&gt;","")</f>
        <v/>
      </c>
      <c r="D23" s="504">
        <f t="shared" si="13"/>
        <v>17</v>
      </c>
      <c r="E23" s="504">
        <f t="shared" ca="1" si="52"/>
        <v>2038</v>
      </c>
      <c r="F23" s="505">
        <f t="shared" ca="1" si="14"/>
        <v>1361675</v>
      </c>
      <c r="G23" s="505"/>
      <c r="H23" s="506">
        <f>Assets!$G$37</f>
        <v>5.5E-2</v>
      </c>
      <c r="I23" s="507">
        <f>Assets!$F$37</f>
        <v>2000</v>
      </c>
      <c r="J23" s="507">
        <f t="shared" ref="J23:J44" si="54">SUM((J22*H22)+J22+I22)</f>
        <v>638097.95480270649</v>
      </c>
      <c r="K23" s="1220"/>
      <c r="L23" s="506">
        <f>Assets!$G$38</f>
        <v>0.05</v>
      </c>
      <c r="M23" s="507">
        <f>Assets!$F$38</f>
        <v>1500</v>
      </c>
      <c r="N23" s="507">
        <f t="shared" ref="N23:N44" si="55">SUM((N22*L22)+N22+M22)</f>
        <v>526633.02003739355</v>
      </c>
      <c r="O23" s="1220"/>
      <c r="P23" s="506">
        <f>Assets!$G$39</f>
        <v>0.06</v>
      </c>
      <c r="Q23" s="508">
        <f>Assets!$F$39</f>
        <v>250</v>
      </c>
      <c r="R23" s="507">
        <f t="shared" ref="R23:R44" si="56">SUM((R22*P22)+R22+Q22)</f>
        <v>196944.50837094901</v>
      </c>
      <c r="S23" s="1220"/>
      <c r="T23" s="506">
        <f>Assets!$G$40</f>
        <v>0</v>
      </c>
      <c r="U23" s="510">
        <f>Assets!$F$40</f>
        <v>0</v>
      </c>
      <c r="V23" s="507">
        <f t="shared" ref="V23:V44" si="57">SUM((V22*T22)+V22+U22)</f>
        <v>0</v>
      </c>
      <c r="W23" s="1220"/>
      <c r="X23" s="506">
        <f>Assets!$G$41</f>
        <v>0</v>
      </c>
      <c r="Y23" s="510">
        <f>Assets!$F$41</f>
        <v>0</v>
      </c>
      <c r="Z23" s="507">
        <f t="shared" ref="Z23:Z44" si="58">SUM((Z22*X22)+Z22+Y22)</f>
        <v>0</v>
      </c>
      <c r="AA23" s="1220"/>
      <c r="AB23" s="506">
        <f>Assets!$G$42</f>
        <v>0</v>
      </c>
      <c r="AC23" s="507">
        <f>Assets!$F$42</f>
        <v>0</v>
      </c>
      <c r="AD23" s="507">
        <f t="shared" ref="AD23:AD44" si="59">SUM((AD22*AB22)+AD22+AC22)</f>
        <v>0</v>
      </c>
      <c r="AE23" s="1220"/>
      <c r="AF23" s="506">
        <f>Assets!$G$43</f>
        <v>0</v>
      </c>
      <c r="AG23" s="507">
        <f>Assets!$F$43</f>
        <v>0</v>
      </c>
      <c r="AH23" s="507">
        <f t="shared" ref="AH23:AH44" si="60">SUM((AH22*AF22)+AH22+AG22)</f>
        <v>0</v>
      </c>
      <c r="AI23" s="1220"/>
      <c r="AJ23" s="506">
        <f>Assets!$G$44</f>
        <v>0</v>
      </c>
      <c r="AK23" s="507">
        <f>Assets!$F$44</f>
        <v>0</v>
      </c>
      <c r="AL23" s="507">
        <f t="shared" ref="AL23:AL44" si="61">SUM((AL22*AJ22)+AL22+AK22)</f>
        <v>0</v>
      </c>
      <c r="AM23" s="1220"/>
      <c r="AN23" s="506">
        <f>Assets!$G$45</f>
        <v>0</v>
      </c>
      <c r="AO23" s="507">
        <f>Assets!$F$45</f>
        <v>0</v>
      </c>
      <c r="AP23" s="507">
        <f t="shared" ref="AP23:AP44" si="62">SUM((AP22*AN22)+AP22+AO22)</f>
        <v>0</v>
      </c>
      <c r="AQ23" s="1220"/>
      <c r="AR23" s="506">
        <f>Assets!$G$46</f>
        <v>0</v>
      </c>
      <c r="AS23" s="507">
        <f>Assets!$F$46</f>
        <v>0</v>
      </c>
      <c r="AT23" s="507">
        <f t="shared" ref="AT23:AT44" si="63">SUM((AT22*AR22)+AT22+AS22)</f>
        <v>0</v>
      </c>
      <c r="AU23" s="1220"/>
      <c r="AV23" s="506">
        <f>Assets!$G$47</f>
        <v>0</v>
      </c>
      <c r="AW23" s="507">
        <f>Assets!F$47</f>
        <v>0</v>
      </c>
      <c r="AX23" s="507">
        <f t="shared" ref="AX23:AX44" si="64">SUM((AX22*AV22)+AX22+AW22)</f>
        <v>0</v>
      </c>
      <c r="AY23" s="1220"/>
      <c r="AZ23" s="506">
        <f>Assets!$G$48</f>
        <v>0</v>
      </c>
      <c r="BA23" s="507">
        <f>Assets!$F$48</f>
        <v>0</v>
      </c>
      <c r="BB23" s="507">
        <f t="shared" ref="BB23:BB44" si="65">SUM((BB22*AZ22)+BB22+BA22)</f>
        <v>0</v>
      </c>
      <c r="BC23" s="502"/>
      <c r="BD23" s="2005"/>
      <c r="BE23" s="523"/>
      <c r="BF23" s="523"/>
      <c r="BG23" s="1331">
        <f t="shared" si="0"/>
        <v>638097.95480270649</v>
      </c>
      <c r="BH23" s="1331">
        <f t="shared" si="1"/>
        <v>526633.02003739355</v>
      </c>
      <c r="BI23" s="1331">
        <f t="shared" si="2"/>
        <v>196944.50837094901</v>
      </c>
      <c r="BJ23" s="1331">
        <f t="shared" si="3"/>
        <v>0</v>
      </c>
      <c r="BK23" s="1331">
        <f t="shared" si="4"/>
        <v>0</v>
      </c>
      <c r="BL23" s="1331">
        <f t="shared" si="5"/>
        <v>0</v>
      </c>
      <c r="BM23" s="1331">
        <f t="shared" si="6"/>
        <v>0</v>
      </c>
      <c r="BN23" s="1331">
        <f t="shared" si="7"/>
        <v>0</v>
      </c>
      <c r="BO23" s="1331">
        <f t="shared" si="8"/>
        <v>0</v>
      </c>
      <c r="BP23" s="1331">
        <f t="shared" si="9"/>
        <v>0</v>
      </c>
      <c r="BQ23" s="1331">
        <f t="shared" si="10"/>
        <v>0</v>
      </c>
      <c r="BR23" s="1331">
        <f t="shared" si="11"/>
        <v>0</v>
      </c>
      <c r="BS23" s="523"/>
      <c r="BT23" s="523"/>
      <c r="BU23" s="523"/>
      <c r="BV23" s="523"/>
      <c r="BW23" s="1333">
        <f t="shared" ca="1" si="53"/>
        <v>2038</v>
      </c>
      <c r="BX23" s="1331">
        <f t="shared" si="27"/>
        <v>1164730.9748400999</v>
      </c>
      <c r="BY23" s="1331">
        <f t="shared" ca="1" si="12"/>
        <v>196944.50837094901</v>
      </c>
      <c r="BZ23" s="1334">
        <f t="shared" si="28"/>
        <v>638097.95480270649</v>
      </c>
      <c r="CA23" s="1334">
        <f t="shared" si="29"/>
        <v>526633.02003739355</v>
      </c>
      <c r="CB23" s="1334">
        <f t="shared" si="30"/>
        <v>0</v>
      </c>
      <c r="CC23" s="1334">
        <f t="shared" si="31"/>
        <v>0</v>
      </c>
      <c r="CD23" s="1334">
        <f t="shared" si="32"/>
        <v>0</v>
      </c>
      <c r="CE23" s="1334">
        <f t="shared" si="33"/>
        <v>0</v>
      </c>
      <c r="CF23" s="1334">
        <f t="shared" si="34"/>
        <v>0</v>
      </c>
      <c r="CG23" s="1334">
        <f t="shared" si="35"/>
        <v>0</v>
      </c>
      <c r="CH23" s="1334">
        <f t="shared" si="36"/>
        <v>0</v>
      </c>
      <c r="CI23" s="1334">
        <f t="shared" si="37"/>
        <v>0</v>
      </c>
      <c r="CJ23" s="1334">
        <f t="shared" si="38"/>
        <v>0</v>
      </c>
      <c r="CK23" s="1334">
        <f t="shared" si="39"/>
        <v>0</v>
      </c>
      <c r="CL23" s="1334"/>
      <c r="CM23" s="1334">
        <f t="shared" si="40"/>
        <v>0</v>
      </c>
      <c r="CN23" s="1334">
        <f t="shared" si="41"/>
        <v>0</v>
      </c>
      <c r="CO23" s="1334">
        <f t="shared" si="42"/>
        <v>196944.50837094901</v>
      </c>
      <c r="CP23" s="1334">
        <f t="shared" si="43"/>
        <v>0</v>
      </c>
      <c r="CQ23" s="1334">
        <f t="shared" si="44"/>
        <v>0</v>
      </c>
      <c r="CR23" s="1334">
        <f t="shared" si="45"/>
        <v>0</v>
      </c>
      <c r="CS23" s="1334">
        <f t="shared" si="46"/>
        <v>0</v>
      </c>
      <c r="CT23" s="1334">
        <f t="shared" si="47"/>
        <v>0</v>
      </c>
      <c r="CU23" s="1334">
        <f t="shared" si="48"/>
        <v>0</v>
      </c>
      <c r="CV23" s="1334">
        <f t="shared" si="49"/>
        <v>0</v>
      </c>
      <c r="CW23" s="1334">
        <f t="shared" si="50"/>
        <v>0</v>
      </c>
      <c r="CX23" s="1334">
        <f t="shared" si="51"/>
        <v>0</v>
      </c>
      <c r="CY23" s="1334"/>
      <c r="CZ23" s="1334"/>
      <c r="DA23" s="1334">
        <f ca="1">Rental!Y53</f>
        <v>0</v>
      </c>
      <c r="DB23" s="1334">
        <f ca="1">Rental!AD53</f>
        <v>0</v>
      </c>
      <c r="DC23" s="1972"/>
      <c r="DD23" s="1761"/>
      <c r="DE23" s="1761"/>
      <c r="DF23" s="1335"/>
      <c r="DG23" s="1335"/>
      <c r="DH23" s="1335"/>
      <c r="DI23" s="1335"/>
      <c r="DJ23" s="1335"/>
      <c r="DK23" s="1335"/>
      <c r="DL23" s="1335"/>
      <c r="DM23" s="1335"/>
      <c r="DN23" s="1335"/>
      <c r="DO23" s="1335"/>
      <c r="DP23" s="1335"/>
      <c r="DQ23" s="1335"/>
      <c r="DR23" s="1335"/>
      <c r="DS23" s="1335"/>
      <c r="DT23" s="1335"/>
    </row>
    <row r="24" spans="1:124" s="1185" customFormat="1" ht="18" customHeight="1">
      <c r="A24" s="523">
        <f ca="1">IF(E24=YEAR(Retire!$D$12),1,0)</f>
        <v>0</v>
      </c>
      <c r="B24" s="502"/>
      <c r="C24" s="503" t="str">
        <f ca="1">IF(E24=Retire!$D$12,"==&gt;","")</f>
        <v/>
      </c>
      <c r="D24" s="512">
        <f t="shared" si="13"/>
        <v>18</v>
      </c>
      <c r="E24" s="512">
        <f t="shared" ca="1" si="52"/>
        <v>2039</v>
      </c>
      <c r="F24" s="513">
        <f t="shared" ca="1" si="14"/>
        <v>1438669</v>
      </c>
      <c r="G24" s="505"/>
      <c r="H24" s="514">
        <f>Assets!$G$37</f>
        <v>5.5E-2</v>
      </c>
      <c r="I24" s="515">
        <f>Assets!$F$37</f>
        <v>2000</v>
      </c>
      <c r="J24" s="515">
        <f t="shared" si="54"/>
        <v>675193.34231685533</v>
      </c>
      <c r="K24" s="1220"/>
      <c r="L24" s="514">
        <f>Assets!$G$38</f>
        <v>0.05</v>
      </c>
      <c r="M24" s="515">
        <f>Assets!$F$38</f>
        <v>1500</v>
      </c>
      <c r="N24" s="515">
        <f t="shared" si="55"/>
        <v>554464.67103926325</v>
      </c>
      <c r="O24" s="1220"/>
      <c r="P24" s="514">
        <f>Assets!$G$39</f>
        <v>0.06</v>
      </c>
      <c r="Q24" s="516">
        <f>Assets!$F$39</f>
        <v>250</v>
      </c>
      <c r="R24" s="515">
        <f t="shared" si="56"/>
        <v>209011.17887320596</v>
      </c>
      <c r="S24" s="1220"/>
      <c r="T24" s="514">
        <f>Assets!$G$40</f>
        <v>0</v>
      </c>
      <c r="U24" s="517">
        <f>Assets!$F$40</f>
        <v>0</v>
      </c>
      <c r="V24" s="515">
        <f t="shared" si="57"/>
        <v>0</v>
      </c>
      <c r="W24" s="1220"/>
      <c r="X24" s="514">
        <f>Assets!$G$41</f>
        <v>0</v>
      </c>
      <c r="Y24" s="517">
        <f>Assets!$F$41</f>
        <v>0</v>
      </c>
      <c r="Z24" s="515">
        <f t="shared" si="58"/>
        <v>0</v>
      </c>
      <c r="AA24" s="1220"/>
      <c r="AB24" s="514">
        <f>Assets!$G$42</f>
        <v>0</v>
      </c>
      <c r="AC24" s="515">
        <f>Assets!$F$42</f>
        <v>0</v>
      </c>
      <c r="AD24" s="515">
        <f t="shared" si="59"/>
        <v>0</v>
      </c>
      <c r="AE24" s="1220"/>
      <c r="AF24" s="514">
        <f>Assets!$G$43</f>
        <v>0</v>
      </c>
      <c r="AG24" s="515">
        <f>Assets!$F$43</f>
        <v>0</v>
      </c>
      <c r="AH24" s="515">
        <f t="shared" si="60"/>
        <v>0</v>
      </c>
      <c r="AI24" s="1220"/>
      <c r="AJ24" s="514">
        <f>Assets!$G$44</f>
        <v>0</v>
      </c>
      <c r="AK24" s="515">
        <f>Assets!$F$44</f>
        <v>0</v>
      </c>
      <c r="AL24" s="515">
        <f t="shared" si="61"/>
        <v>0</v>
      </c>
      <c r="AM24" s="1220"/>
      <c r="AN24" s="514">
        <f>Assets!$G$45</f>
        <v>0</v>
      </c>
      <c r="AO24" s="515">
        <f>Assets!$F$45</f>
        <v>0</v>
      </c>
      <c r="AP24" s="515">
        <f t="shared" si="62"/>
        <v>0</v>
      </c>
      <c r="AQ24" s="1220"/>
      <c r="AR24" s="514">
        <f>Assets!$G$46</f>
        <v>0</v>
      </c>
      <c r="AS24" s="515">
        <f>Assets!$F$46</f>
        <v>0</v>
      </c>
      <c r="AT24" s="515">
        <f t="shared" si="63"/>
        <v>0</v>
      </c>
      <c r="AU24" s="1220"/>
      <c r="AV24" s="514">
        <f>Assets!$G$47</f>
        <v>0</v>
      </c>
      <c r="AW24" s="515">
        <f>Assets!F$47</f>
        <v>0</v>
      </c>
      <c r="AX24" s="515">
        <f t="shared" si="64"/>
        <v>0</v>
      </c>
      <c r="AY24" s="1220"/>
      <c r="AZ24" s="514">
        <f>Assets!$G$48</f>
        <v>0</v>
      </c>
      <c r="BA24" s="515">
        <f>Assets!$F$48</f>
        <v>0</v>
      </c>
      <c r="BB24" s="515">
        <f t="shared" si="65"/>
        <v>0</v>
      </c>
      <c r="BC24" s="502"/>
      <c r="BD24" s="2005"/>
      <c r="BE24" s="523"/>
      <c r="BF24" s="523"/>
      <c r="BG24" s="1331">
        <f t="shared" si="0"/>
        <v>675193.34231685533</v>
      </c>
      <c r="BH24" s="1331">
        <f t="shared" si="1"/>
        <v>554464.67103926325</v>
      </c>
      <c r="BI24" s="1331">
        <f t="shared" si="2"/>
        <v>209011.17887320596</v>
      </c>
      <c r="BJ24" s="1331">
        <f t="shared" si="3"/>
        <v>0</v>
      </c>
      <c r="BK24" s="1331">
        <f t="shared" si="4"/>
        <v>0</v>
      </c>
      <c r="BL24" s="1331">
        <f t="shared" si="5"/>
        <v>0</v>
      </c>
      <c r="BM24" s="1331">
        <f t="shared" si="6"/>
        <v>0</v>
      </c>
      <c r="BN24" s="1331">
        <f t="shared" si="7"/>
        <v>0</v>
      </c>
      <c r="BO24" s="1331">
        <f t="shared" si="8"/>
        <v>0</v>
      </c>
      <c r="BP24" s="1331">
        <f t="shared" si="9"/>
        <v>0</v>
      </c>
      <c r="BQ24" s="1331">
        <f t="shared" si="10"/>
        <v>0</v>
      </c>
      <c r="BR24" s="1331">
        <f t="shared" si="11"/>
        <v>0</v>
      </c>
      <c r="BS24" s="523"/>
      <c r="BT24" s="523"/>
      <c r="BU24" s="523"/>
      <c r="BV24" s="523"/>
      <c r="BW24" s="1333">
        <f t="shared" ca="1" si="53"/>
        <v>2039</v>
      </c>
      <c r="BX24" s="1331">
        <f t="shared" si="27"/>
        <v>1229658.0133561185</v>
      </c>
      <c r="BY24" s="1331">
        <f t="shared" ca="1" si="12"/>
        <v>209011.17887320596</v>
      </c>
      <c r="BZ24" s="1334">
        <f t="shared" si="28"/>
        <v>675193.34231685533</v>
      </c>
      <c r="CA24" s="1334">
        <f t="shared" si="29"/>
        <v>554464.67103926325</v>
      </c>
      <c r="CB24" s="1334">
        <f t="shared" si="30"/>
        <v>0</v>
      </c>
      <c r="CC24" s="1334">
        <f t="shared" si="31"/>
        <v>0</v>
      </c>
      <c r="CD24" s="1334">
        <f t="shared" si="32"/>
        <v>0</v>
      </c>
      <c r="CE24" s="1334">
        <f t="shared" si="33"/>
        <v>0</v>
      </c>
      <c r="CF24" s="1334">
        <f t="shared" si="34"/>
        <v>0</v>
      </c>
      <c r="CG24" s="1334">
        <f t="shared" si="35"/>
        <v>0</v>
      </c>
      <c r="CH24" s="1334">
        <f t="shared" si="36"/>
        <v>0</v>
      </c>
      <c r="CI24" s="1334">
        <f t="shared" si="37"/>
        <v>0</v>
      </c>
      <c r="CJ24" s="1334">
        <f t="shared" si="38"/>
        <v>0</v>
      </c>
      <c r="CK24" s="1334">
        <f t="shared" si="39"/>
        <v>0</v>
      </c>
      <c r="CL24" s="1334"/>
      <c r="CM24" s="1334">
        <f t="shared" si="40"/>
        <v>0</v>
      </c>
      <c r="CN24" s="1334">
        <f t="shared" si="41"/>
        <v>0</v>
      </c>
      <c r="CO24" s="1334">
        <f t="shared" si="42"/>
        <v>209011.17887320596</v>
      </c>
      <c r="CP24" s="1334">
        <f t="shared" si="43"/>
        <v>0</v>
      </c>
      <c r="CQ24" s="1334">
        <f t="shared" si="44"/>
        <v>0</v>
      </c>
      <c r="CR24" s="1334">
        <f t="shared" si="45"/>
        <v>0</v>
      </c>
      <c r="CS24" s="1334">
        <f t="shared" si="46"/>
        <v>0</v>
      </c>
      <c r="CT24" s="1334">
        <f t="shared" si="47"/>
        <v>0</v>
      </c>
      <c r="CU24" s="1334">
        <f t="shared" si="48"/>
        <v>0</v>
      </c>
      <c r="CV24" s="1334">
        <f t="shared" si="49"/>
        <v>0</v>
      </c>
      <c r="CW24" s="1334">
        <f t="shared" si="50"/>
        <v>0</v>
      </c>
      <c r="CX24" s="1334">
        <f t="shared" si="51"/>
        <v>0</v>
      </c>
      <c r="CY24" s="1334"/>
      <c r="CZ24" s="1334"/>
      <c r="DA24" s="1334">
        <f ca="1">Rental!Y54</f>
        <v>0</v>
      </c>
      <c r="DB24" s="1334">
        <f ca="1">Rental!AD54</f>
        <v>0</v>
      </c>
      <c r="DC24" s="1972"/>
      <c r="DD24" s="1761"/>
      <c r="DE24" s="1761"/>
      <c r="DF24" s="1335"/>
      <c r="DG24" s="1335"/>
      <c r="DH24" s="1335"/>
      <c r="DI24" s="1335"/>
      <c r="DJ24" s="1335"/>
      <c r="DK24" s="1335"/>
      <c r="DL24" s="1335"/>
      <c r="DM24" s="1335"/>
      <c r="DN24" s="1335"/>
      <c r="DO24" s="1335"/>
      <c r="DP24" s="1335"/>
      <c r="DQ24" s="1335"/>
      <c r="DR24" s="1335"/>
      <c r="DS24" s="1335"/>
      <c r="DT24" s="1335"/>
    </row>
    <row r="25" spans="1:124" s="1185" customFormat="1" ht="18" customHeight="1">
      <c r="A25" s="523">
        <f ca="1">IF(E25=YEAR(Retire!$D$12),1,0)</f>
        <v>0</v>
      </c>
      <c r="B25" s="502"/>
      <c r="C25" s="503" t="str">
        <f ca="1">IF(E25=Retire!$D$12,"==&gt;","")</f>
        <v/>
      </c>
      <c r="D25" s="504">
        <f t="shared" si="13"/>
        <v>19</v>
      </c>
      <c r="E25" s="504">
        <f t="shared" ref="E25:E40" ca="1" si="66">E24+1</f>
        <v>2040</v>
      </c>
      <c r="F25" s="505">
        <f t="shared" ca="1" si="14"/>
        <v>1519819</v>
      </c>
      <c r="G25" s="505"/>
      <c r="H25" s="506">
        <f>Assets!$G$37</f>
        <v>5.5E-2</v>
      </c>
      <c r="I25" s="507">
        <f>Assets!$F$37</f>
        <v>2000</v>
      </c>
      <c r="J25" s="507">
        <f t="shared" si="54"/>
        <v>714328.97614428238</v>
      </c>
      <c r="K25" s="1220"/>
      <c r="L25" s="506">
        <f>Assets!$G$38</f>
        <v>0.05</v>
      </c>
      <c r="M25" s="507">
        <f>Assets!$F$38</f>
        <v>1500</v>
      </c>
      <c r="N25" s="507">
        <f t="shared" si="55"/>
        <v>583687.90459122637</v>
      </c>
      <c r="O25" s="1220"/>
      <c r="P25" s="506">
        <f>Assets!$G$39</f>
        <v>0.06</v>
      </c>
      <c r="Q25" s="508">
        <f>Assets!$F$39</f>
        <v>250</v>
      </c>
      <c r="R25" s="507">
        <f t="shared" si="56"/>
        <v>221801.84960559831</v>
      </c>
      <c r="S25" s="1220"/>
      <c r="T25" s="506">
        <f>Assets!$G$40</f>
        <v>0</v>
      </c>
      <c r="U25" s="510">
        <f>Assets!$F$40</f>
        <v>0</v>
      </c>
      <c r="V25" s="507">
        <f t="shared" si="57"/>
        <v>0</v>
      </c>
      <c r="W25" s="1220"/>
      <c r="X25" s="506">
        <f>Assets!$G$41</f>
        <v>0</v>
      </c>
      <c r="Y25" s="510">
        <f>Assets!$F$41</f>
        <v>0</v>
      </c>
      <c r="Z25" s="507">
        <f t="shared" si="58"/>
        <v>0</v>
      </c>
      <c r="AA25" s="1220"/>
      <c r="AB25" s="506">
        <f>Assets!$G$42</f>
        <v>0</v>
      </c>
      <c r="AC25" s="507">
        <f>Assets!$F$42</f>
        <v>0</v>
      </c>
      <c r="AD25" s="507">
        <f t="shared" si="59"/>
        <v>0</v>
      </c>
      <c r="AE25" s="1220"/>
      <c r="AF25" s="506">
        <f>Assets!$G$43</f>
        <v>0</v>
      </c>
      <c r="AG25" s="507">
        <f>Assets!$F$43</f>
        <v>0</v>
      </c>
      <c r="AH25" s="507">
        <f t="shared" si="60"/>
        <v>0</v>
      </c>
      <c r="AI25" s="1220"/>
      <c r="AJ25" s="506">
        <f>Assets!$G$44</f>
        <v>0</v>
      </c>
      <c r="AK25" s="507">
        <f>Assets!$F$44</f>
        <v>0</v>
      </c>
      <c r="AL25" s="507">
        <f t="shared" si="61"/>
        <v>0</v>
      </c>
      <c r="AM25" s="1220"/>
      <c r="AN25" s="506">
        <f>Assets!$G$45</f>
        <v>0</v>
      </c>
      <c r="AO25" s="507">
        <f>Assets!$F$45</f>
        <v>0</v>
      </c>
      <c r="AP25" s="507">
        <f t="shared" si="62"/>
        <v>0</v>
      </c>
      <c r="AQ25" s="1220"/>
      <c r="AR25" s="506">
        <f>Assets!$G$46</f>
        <v>0</v>
      </c>
      <c r="AS25" s="507">
        <f>Assets!$F$46</f>
        <v>0</v>
      </c>
      <c r="AT25" s="507">
        <f t="shared" si="63"/>
        <v>0</v>
      </c>
      <c r="AU25" s="1220"/>
      <c r="AV25" s="506">
        <f>Assets!$G$47</f>
        <v>0</v>
      </c>
      <c r="AW25" s="507">
        <f>Assets!F$47</f>
        <v>0</v>
      </c>
      <c r="AX25" s="507">
        <f t="shared" si="64"/>
        <v>0</v>
      </c>
      <c r="AY25" s="1220"/>
      <c r="AZ25" s="506">
        <f>Assets!$G$48</f>
        <v>0</v>
      </c>
      <c r="BA25" s="507">
        <f>Assets!$F$48</f>
        <v>0</v>
      </c>
      <c r="BB25" s="507">
        <f t="shared" si="65"/>
        <v>0</v>
      </c>
      <c r="BC25" s="502"/>
      <c r="BD25" s="2005"/>
      <c r="BE25" s="523"/>
      <c r="BF25" s="523"/>
      <c r="BG25" s="1331">
        <f t="shared" si="0"/>
        <v>714328.97614428238</v>
      </c>
      <c r="BH25" s="1331">
        <f t="shared" si="1"/>
        <v>583687.90459122637</v>
      </c>
      <c r="BI25" s="1331">
        <f t="shared" si="2"/>
        <v>221801.84960559831</v>
      </c>
      <c r="BJ25" s="1331">
        <f t="shared" si="3"/>
        <v>0</v>
      </c>
      <c r="BK25" s="1331">
        <f t="shared" si="4"/>
        <v>0</v>
      </c>
      <c r="BL25" s="1331">
        <f t="shared" si="5"/>
        <v>0</v>
      </c>
      <c r="BM25" s="1331">
        <f t="shared" si="6"/>
        <v>0</v>
      </c>
      <c r="BN25" s="1331">
        <f t="shared" si="7"/>
        <v>0</v>
      </c>
      <c r="BO25" s="1331">
        <f t="shared" si="8"/>
        <v>0</v>
      </c>
      <c r="BP25" s="1331">
        <f t="shared" si="9"/>
        <v>0</v>
      </c>
      <c r="BQ25" s="1331">
        <f t="shared" si="10"/>
        <v>0</v>
      </c>
      <c r="BR25" s="1331">
        <f t="shared" si="11"/>
        <v>0</v>
      </c>
      <c r="BS25" s="523"/>
      <c r="BT25" s="523"/>
      <c r="BU25" s="523"/>
      <c r="BV25" s="523"/>
      <c r="BW25" s="1333">
        <f t="shared" ca="1" si="53"/>
        <v>2040</v>
      </c>
      <c r="BX25" s="1331">
        <f t="shared" si="27"/>
        <v>1298016.8807355086</v>
      </c>
      <c r="BY25" s="1331">
        <f t="shared" ca="1" si="12"/>
        <v>221801.84960559831</v>
      </c>
      <c r="BZ25" s="1334">
        <f t="shared" si="28"/>
        <v>714328.97614428238</v>
      </c>
      <c r="CA25" s="1334">
        <f t="shared" si="29"/>
        <v>583687.90459122637</v>
      </c>
      <c r="CB25" s="1334">
        <f t="shared" si="30"/>
        <v>0</v>
      </c>
      <c r="CC25" s="1334">
        <f t="shared" si="31"/>
        <v>0</v>
      </c>
      <c r="CD25" s="1334">
        <f t="shared" si="32"/>
        <v>0</v>
      </c>
      <c r="CE25" s="1334">
        <f t="shared" si="33"/>
        <v>0</v>
      </c>
      <c r="CF25" s="1334">
        <f t="shared" si="34"/>
        <v>0</v>
      </c>
      <c r="CG25" s="1334">
        <f t="shared" si="35"/>
        <v>0</v>
      </c>
      <c r="CH25" s="1334">
        <f t="shared" si="36"/>
        <v>0</v>
      </c>
      <c r="CI25" s="1334">
        <f t="shared" si="37"/>
        <v>0</v>
      </c>
      <c r="CJ25" s="1334">
        <f t="shared" si="38"/>
        <v>0</v>
      </c>
      <c r="CK25" s="1334">
        <f t="shared" si="39"/>
        <v>0</v>
      </c>
      <c r="CL25" s="1334"/>
      <c r="CM25" s="1334">
        <f t="shared" si="40"/>
        <v>0</v>
      </c>
      <c r="CN25" s="1334">
        <f t="shared" si="41"/>
        <v>0</v>
      </c>
      <c r="CO25" s="1334">
        <f t="shared" si="42"/>
        <v>221801.84960559831</v>
      </c>
      <c r="CP25" s="1334">
        <f t="shared" si="43"/>
        <v>0</v>
      </c>
      <c r="CQ25" s="1334">
        <f t="shared" si="44"/>
        <v>0</v>
      </c>
      <c r="CR25" s="1334">
        <f t="shared" si="45"/>
        <v>0</v>
      </c>
      <c r="CS25" s="1334">
        <f t="shared" si="46"/>
        <v>0</v>
      </c>
      <c r="CT25" s="1334">
        <f t="shared" si="47"/>
        <v>0</v>
      </c>
      <c r="CU25" s="1334">
        <f t="shared" si="48"/>
        <v>0</v>
      </c>
      <c r="CV25" s="1334">
        <f t="shared" si="49"/>
        <v>0</v>
      </c>
      <c r="CW25" s="1334">
        <f t="shared" si="50"/>
        <v>0</v>
      </c>
      <c r="CX25" s="1334">
        <f t="shared" si="51"/>
        <v>0</v>
      </c>
      <c r="CY25" s="1334"/>
      <c r="CZ25" s="1334"/>
      <c r="DA25" s="1334">
        <f ca="1">Rental!Y55</f>
        <v>0</v>
      </c>
      <c r="DB25" s="1334">
        <f ca="1">Rental!AD55</f>
        <v>0</v>
      </c>
      <c r="DC25" s="1972"/>
      <c r="DD25" s="1761"/>
      <c r="DE25" s="1761"/>
      <c r="DF25" s="1335"/>
      <c r="DG25" s="1335"/>
      <c r="DH25" s="1335"/>
      <c r="DI25" s="1335"/>
      <c r="DJ25" s="1335"/>
      <c r="DK25" s="1335"/>
      <c r="DL25" s="1335"/>
      <c r="DM25" s="1335"/>
      <c r="DN25" s="1335"/>
      <c r="DO25" s="1335"/>
      <c r="DP25" s="1335"/>
      <c r="DQ25" s="1335"/>
      <c r="DR25" s="1335"/>
      <c r="DS25" s="1335"/>
      <c r="DT25" s="1335"/>
    </row>
    <row r="26" spans="1:124" s="1185" customFormat="1" ht="18" customHeight="1">
      <c r="A26" s="523">
        <f ca="1">IF(E26=YEAR(Retire!$D$12),1,0)</f>
        <v>0</v>
      </c>
      <c r="B26" s="502"/>
      <c r="C26" s="503" t="str">
        <f ca="1">IF(E26=Retire!$D$12,"==&gt;","")</f>
        <v/>
      </c>
      <c r="D26" s="512">
        <f t="shared" si="13"/>
        <v>20</v>
      </c>
      <c r="E26" s="512">
        <f t="shared" ca="1" si="66"/>
        <v>2041</v>
      </c>
      <c r="F26" s="513">
        <f t="shared" ca="1" si="14"/>
        <v>1605349</v>
      </c>
      <c r="G26" s="505"/>
      <c r="H26" s="514">
        <f>Assets!$G$37</f>
        <v>5.5E-2</v>
      </c>
      <c r="I26" s="515">
        <f>Assets!$F$37</f>
        <v>2000</v>
      </c>
      <c r="J26" s="515">
        <f t="shared" si="54"/>
        <v>755617.06983221788</v>
      </c>
      <c r="K26" s="1220"/>
      <c r="L26" s="514">
        <f>Assets!$G$38</f>
        <v>0.05</v>
      </c>
      <c r="M26" s="515">
        <f>Assets!$F$38</f>
        <v>1500</v>
      </c>
      <c r="N26" s="515">
        <f t="shared" si="55"/>
        <v>614372.29982078774</v>
      </c>
      <c r="O26" s="1220"/>
      <c r="P26" s="514">
        <f>Assets!$G$39</f>
        <v>0.06</v>
      </c>
      <c r="Q26" s="516">
        <f>Assets!$F$39</f>
        <v>250</v>
      </c>
      <c r="R26" s="515">
        <f t="shared" si="56"/>
        <v>235359.9605819342</v>
      </c>
      <c r="S26" s="1220"/>
      <c r="T26" s="514">
        <f>Assets!$G$40</f>
        <v>0</v>
      </c>
      <c r="U26" s="517">
        <f>Assets!$F$40</f>
        <v>0</v>
      </c>
      <c r="V26" s="515">
        <f t="shared" si="57"/>
        <v>0</v>
      </c>
      <c r="W26" s="1220"/>
      <c r="X26" s="514">
        <f>Assets!$G$41</f>
        <v>0</v>
      </c>
      <c r="Y26" s="517">
        <f>Assets!$F$41</f>
        <v>0</v>
      </c>
      <c r="Z26" s="515">
        <f t="shared" si="58"/>
        <v>0</v>
      </c>
      <c r="AA26" s="1220"/>
      <c r="AB26" s="514">
        <f>Assets!$G$42</f>
        <v>0</v>
      </c>
      <c r="AC26" s="515">
        <f>Assets!$F$42</f>
        <v>0</v>
      </c>
      <c r="AD26" s="515">
        <f t="shared" si="59"/>
        <v>0</v>
      </c>
      <c r="AE26" s="1220"/>
      <c r="AF26" s="514">
        <f>Assets!$G$43</f>
        <v>0</v>
      </c>
      <c r="AG26" s="515">
        <f>Assets!$F$43</f>
        <v>0</v>
      </c>
      <c r="AH26" s="515">
        <f t="shared" si="60"/>
        <v>0</v>
      </c>
      <c r="AI26" s="1220"/>
      <c r="AJ26" s="514">
        <f>Assets!$G$44</f>
        <v>0</v>
      </c>
      <c r="AK26" s="515">
        <f>Assets!$F$44</f>
        <v>0</v>
      </c>
      <c r="AL26" s="515">
        <f t="shared" si="61"/>
        <v>0</v>
      </c>
      <c r="AM26" s="1220"/>
      <c r="AN26" s="514">
        <f>Assets!$G$45</f>
        <v>0</v>
      </c>
      <c r="AO26" s="515">
        <f>Assets!$F$45</f>
        <v>0</v>
      </c>
      <c r="AP26" s="515">
        <f t="shared" si="62"/>
        <v>0</v>
      </c>
      <c r="AQ26" s="1220"/>
      <c r="AR26" s="514">
        <f>Assets!$G$46</f>
        <v>0</v>
      </c>
      <c r="AS26" s="515">
        <f>Assets!$F$46</f>
        <v>0</v>
      </c>
      <c r="AT26" s="515">
        <f t="shared" si="63"/>
        <v>0</v>
      </c>
      <c r="AU26" s="1220"/>
      <c r="AV26" s="514">
        <f>Assets!$G$47</f>
        <v>0</v>
      </c>
      <c r="AW26" s="515">
        <f>Assets!F$47</f>
        <v>0</v>
      </c>
      <c r="AX26" s="515">
        <f t="shared" si="64"/>
        <v>0</v>
      </c>
      <c r="AY26" s="1220"/>
      <c r="AZ26" s="514">
        <f>Assets!$G$48</f>
        <v>0</v>
      </c>
      <c r="BA26" s="515">
        <f>Assets!$F$48</f>
        <v>0</v>
      </c>
      <c r="BB26" s="515">
        <f t="shared" si="65"/>
        <v>0</v>
      </c>
      <c r="BC26" s="502"/>
      <c r="BD26" s="2005"/>
      <c r="BE26" s="523"/>
      <c r="BF26" s="523"/>
      <c r="BG26" s="1331">
        <f t="shared" si="0"/>
        <v>755617.06983221788</v>
      </c>
      <c r="BH26" s="1331">
        <f t="shared" si="1"/>
        <v>614372.29982078774</v>
      </c>
      <c r="BI26" s="1331">
        <f t="shared" si="2"/>
        <v>235359.9605819342</v>
      </c>
      <c r="BJ26" s="1331">
        <f t="shared" si="3"/>
        <v>0</v>
      </c>
      <c r="BK26" s="1331">
        <f t="shared" si="4"/>
        <v>0</v>
      </c>
      <c r="BL26" s="1331">
        <f t="shared" si="5"/>
        <v>0</v>
      </c>
      <c r="BM26" s="1331">
        <f t="shared" si="6"/>
        <v>0</v>
      </c>
      <c r="BN26" s="1331">
        <f t="shared" si="7"/>
        <v>0</v>
      </c>
      <c r="BO26" s="1331">
        <f t="shared" si="8"/>
        <v>0</v>
      </c>
      <c r="BP26" s="1331">
        <f t="shared" si="9"/>
        <v>0</v>
      </c>
      <c r="BQ26" s="1331">
        <f t="shared" si="10"/>
        <v>0</v>
      </c>
      <c r="BR26" s="1331">
        <f t="shared" si="11"/>
        <v>0</v>
      </c>
      <c r="BS26" s="523"/>
      <c r="BT26" s="523"/>
      <c r="BU26" s="523"/>
      <c r="BV26" s="523"/>
      <c r="BW26" s="1333">
        <f t="shared" ca="1" si="53"/>
        <v>2041</v>
      </c>
      <c r="BX26" s="1331">
        <f t="shared" si="27"/>
        <v>1369989.3696530056</v>
      </c>
      <c r="BY26" s="1331">
        <f t="shared" ca="1" si="12"/>
        <v>235359.9605819342</v>
      </c>
      <c r="BZ26" s="1334">
        <f t="shared" si="28"/>
        <v>755617.06983221788</v>
      </c>
      <c r="CA26" s="1334">
        <f t="shared" si="29"/>
        <v>614372.29982078774</v>
      </c>
      <c r="CB26" s="1334">
        <f t="shared" si="30"/>
        <v>0</v>
      </c>
      <c r="CC26" s="1334">
        <f t="shared" si="31"/>
        <v>0</v>
      </c>
      <c r="CD26" s="1334">
        <f t="shared" si="32"/>
        <v>0</v>
      </c>
      <c r="CE26" s="1334">
        <f t="shared" si="33"/>
        <v>0</v>
      </c>
      <c r="CF26" s="1334">
        <f t="shared" si="34"/>
        <v>0</v>
      </c>
      <c r="CG26" s="1334">
        <f t="shared" si="35"/>
        <v>0</v>
      </c>
      <c r="CH26" s="1334">
        <f t="shared" si="36"/>
        <v>0</v>
      </c>
      <c r="CI26" s="1334">
        <f t="shared" si="37"/>
        <v>0</v>
      </c>
      <c r="CJ26" s="1334">
        <f t="shared" si="38"/>
        <v>0</v>
      </c>
      <c r="CK26" s="1334">
        <f t="shared" si="39"/>
        <v>0</v>
      </c>
      <c r="CL26" s="1334"/>
      <c r="CM26" s="1334">
        <f t="shared" si="40"/>
        <v>0</v>
      </c>
      <c r="CN26" s="1334">
        <f t="shared" si="41"/>
        <v>0</v>
      </c>
      <c r="CO26" s="1334">
        <f t="shared" si="42"/>
        <v>235359.9605819342</v>
      </c>
      <c r="CP26" s="1334">
        <f t="shared" si="43"/>
        <v>0</v>
      </c>
      <c r="CQ26" s="1334">
        <f t="shared" si="44"/>
        <v>0</v>
      </c>
      <c r="CR26" s="1334">
        <f t="shared" si="45"/>
        <v>0</v>
      </c>
      <c r="CS26" s="1334">
        <f t="shared" si="46"/>
        <v>0</v>
      </c>
      <c r="CT26" s="1334">
        <f t="shared" si="47"/>
        <v>0</v>
      </c>
      <c r="CU26" s="1334">
        <f t="shared" si="48"/>
        <v>0</v>
      </c>
      <c r="CV26" s="1334">
        <f t="shared" si="49"/>
        <v>0</v>
      </c>
      <c r="CW26" s="1334">
        <f t="shared" si="50"/>
        <v>0</v>
      </c>
      <c r="CX26" s="1334">
        <f t="shared" si="51"/>
        <v>0</v>
      </c>
      <c r="CY26" s="1334"/>
      <c r="CZ26" s="1334"/>
      <c r="DA26" s="1334">
        <f ca="1">Rental!Y56</f>
        <v>0</v>
      </c>
      <c r="DB26" s="1334">
        <f ca="1">Rental!AD56</f>
        <v>0</v>
      </c>
      <c r="DC26" s="1972"/>
      <c r="DD26" s="1761"/>
      <c r="DE26" s="1761"/>
      <c r="DF26" s="1335"/>
      <c r="DG26" s="1335"/>
      <c r="DH26" s="1335"/>
      <c r="DI26" s="1335"/>
      <c r="DJ26" s="1335"/>
      <c r="DK26" s="1335"/>
      <c r="DL26" s="1335"/>
      <c r="DM26" s="1335"/>
      <c r="DN26" s="1335"/>
      <c r="DO26" s="1335"/>
      <c r="DP26" s="1335"/>
      <c r="DQ26" s="1335"/>
      <c r="DR26" s="1335"/>
      <c r="DS26" s="1335"/>
      <c r="DT26" s="1335"/>
    </row>
    <row r="27" spans="1:124" s="1185" customFormat="1" ht="18" customHeight="1">
      <c r="A27" s="523">
        <f ca="1">IF(E27=YEAR(Retire!$D$12),1,0)</f>
        <v>0</v>
      </c>
      <c r="B27" s="502"/>
      <c r="C27" s="503" t="str">
        <f ca="1">IF(E27=Retire!$D$12,"==&gt;","")</f>
        <v/>
      </c>
      <c r="D27" s="504">
        <f t="shared" si="13"/>
        <v>21</v>
      </c>
      <c r="E27" s="504">
        <f t="shared" ca="1" si="66"/>
        <v>2042</v>
      </c>
      <c r="F27" s="505">
        <f t="shared" ca="1" si="14"/>
        <v>1695498</v>
      </c>
      <c r="G27" s="505"/>
      <c r="H27" s="506">
        <f>Assets!$G$37</f>
        <v>5.5E-2</v>
      </c>
      <c r="I27" s="507">
        <f>Assets!$F$37</f>
        <v>2000</v>
      </c>
      <c r="J27" s="507">
        <f t="shared" si="54"/>
        <v>799176.0086729899</v>
      </c>
      <c r="K27" s="1220"/>
      <c r="L27" s="506">
        <f>Assets!$G$38</f>
        <v>0.05</v>
      </c>
      <c r="M27" s="507">
        <f>Assets!$F$38</f>
        <v>1500</v>
      </c>
      <c r="N27" s="507">
        <f t="shared" si="55"/>
        <v>646590.91481182713</v>
      </c>
      <c r="O27" s="1220"/>
      <c r="P27" s="506">
        <f>Assets!$G$39</f>
        <v>0.06</v>
      </c>
      <c r="Q27" s="508">
        <f>Assets!$F$39</f>
        <v>250</v>
      </c>
      <c r="R27" s="507">
        <f t="shared" si="56"/>
        <v>249731.55821685024</v>
      </c>
      <c r="S27" s="1220"/>
      <c r="T27" s="506">
        <f>Assets!$G$40</f>
        <v>0</v>
      </c>
      <c r="U27" s="510">
        <f>Assets!$F$40</f>
        <v>0</v>
      </c>
      <c r="V27" s="507">
        <f t="shared" si="57"/>
        <v>0</v>
      </c>
      <c r="W27" s="1220"/>
      <c r="X27" s="506">
        <f>Assets!$G$41</f>
        <v>0</v>
      </c>
      <c r="Y27" s="510">
        <f>Assets!$F$41</f>
        <v>0</v>
      </c>
      <c r="Z27" s="507">
        <f t="shared" si="58"/>
        <v>0</v>
      </c>
      <c r="AA27" s="1220"/>
      <c r="AB27" s="506">
        <f>Assets!$G$42</f>
        <v>0</v>
      </c>
      <c r="AC27" s="507">
        <f>Assets!$F$42</f>
        <v>0</v>
      </c>
      <c r="AD27" s="507">
        <f t="shared" si="59"/>
        <v>0</v>
      </c>
      <c r="AE27" s="1220"/>
      <c r="AF27" s="506">
        <f>Assets!$G$43</f>
        <v>0</v>
      </c>
      <c r="AG27" s="507">
        <f>Assets!$F$43</f>
        <v>0</v>
      </c>
      <c r="AH27" s="507">
        <f t="shared" si="60"/>
        <v>0</v>
      </c>
      <c r="AI27" s="1220"/>
      <c r="AJ27" s="506">
        <f>Assets!$G$44</f>
        <v>0</v>
      </c>
      <c r="AK27" s="507">
        <f>Assets!$F$44</f>
        <v>0</v>
      </c>
      <c r="AL27" s="507">
        <f t="shared" si="61"/>
        <v>0</v>
      </c>
      <c r="AM27" s="1220"/>
      <c r="AN27" s="506">
        <f>Assets!$G$45</f>
        <v>0</v>
      </c>
      <c r="AO27" s="507">
        <f>Assets!$F$45</f>
        <v>0</v>
      </c>
      <c r="AP27" s="507">
        <f t="shared" si="62"/>
        <v>0</v>
      </c>
      <c r="AQ27" s="1220"/>
      <c r="AR27" s="506">
        <f>Assets!$G$46</f>
        <v>0</v>
      </c>
      <c r="AS27" s="507">
        <f>Assets!$F$46</f>
        <v>0</v>
      </c>
      <c r="AT27" s="507">
        <f t="shared" si="63"/>
        <v>0</v>
      </c>
      <c r="AU27" s="1220"/>
      <c r="AV27" s="506">
        <f>Assets!$G$47</f>
        <v>0</v>
      </c>
      <c r="AW27" s="507">
        <f>Assets!F$47</f>
        <v>0</v>
      </c>
      <c r="AX27" s="507">
        <f t="shared" si="64"/>
        <v>0</v>
      </c>
      <c r="AY27" s="1220"/>
      <c r="AZ27" s="506">
        <f>Assets!$G$48</f>
        <v>0</v>
      </c>
      <c r="BA27" s="507">
        <f>Assets!$F$48</f>
        <v>0</v>
      </c>
      <c r="BB27" s="507">
        <f t="shared" si="65"/>
        <v>0</v>
      </c>
      <c r="BC27" s="502"/>
      <c r="BD27" s="2005"/>
      <c r="BE27" s="523"/>
      <c r="BF27" s="523"/>
      <c r="BG27" s="1331">
        <f t="shared" si="0"/>
        <v>799176.0086729899</v>
      </c>
      <c r="BH27" s="1331">
        <f t="shared" si="1"/>
        <v>646590.91481182713</v>
      </c>
      <c r="BI27" s="1331">
        <f t="shared" si="2"/>
        <v>249731.55821685024</v>
      </c>
      <c r="BJ27" s="1331">
        <f t="shared" si="3"/>
        <v>0</v>
      </c>
      <c r="BK27" s="1331">
        <f t="shared" si="4"/>
        <v>0</v>
      </c>
      <c r="BL27" s="1331">
        <f t="shared" si="5"/>
        <v>0</v>
      </c>
      <c r="BM27" s="1331">
        <f t="shared" si="6"/>
        <v>0</v>
      </c>
      <c r="BN27" s="1331">
        <f t="shared" si="7"/>
        <v>0</v>
      </c>
      <c r="BO27" s="1331">
        <f t="shared" si="8"/>
        <v>0</v>
      </c>
      <c r="BP27" s="1331">
        <f t="shared" si="9"/>
        <v>0</v>
      </c>
      <c r="BQ27" s="1331">
        <f t="shared" si="10"/>
        <v>0</v>
      </c>
      <c r="BR27" s="1331">
        <f t="shared" si="11"/>
        <v>0</v>
      </c>
      <c r="BS27" s="523"/>
      <c r="BT27" s="523"/>
      <c r="BU27" s="523"/>
      <c r="BV27" s="523"/>
      <c r="BW27" s="1333">
        <f t="shared" ca="1" si="53"/>
        <v>2042</v>
      </c>
      <c r="BX27" s="1331">
        <f t="shared" si="27"/>
        <v>1445766.9234848171</v>
      </c>
      <c r="BY27" s="1331">
        <f t="shared" ca="1" si="12"/>
        <v>249731.55821685024</v>
      </c>
      <c r="BZ27" s="1334">
        <f t="shared" si="28"/>
        <v>799176.0086729899</v>
      </c>
      <c r="CA27" s="1334">
        <f t="shared" si="29"/>
        <v>646590.91481182713</v>
      </c>
      <c r="CB27" s="1334">
        <f t="shared" si="30"/>
        <v>0</v>
      </c>
      <c r="CC27" s="1334">
        <f t="shared" si="31"/>
        <v>0</v>
      </c>
      <c r="CD27" s="1334">
        <f t="shared" si="32"/>
        <v>0</v>
      </c>
      <c r="CE27" s="1334">
        <f t="shared" si="33"/>
        <v>0</v>
      </c>
      <c r="CF27" s="1334">
        <f t="shared" si="34"/>
        <v>0</v>
      </c>
      <c r="CG27" s="1334">
        <f t="shared" si="35"/>
        <v>0</v>
      </c>
      <c r="CH27" s="1334">
        <f t="shared" si="36"/>
        <v>0</v>
      </c>
      <c r="CI27" s="1334">
        <f t="shared" si="37"/>
        <v>0</v>
      </c>
      <c r="CJ27" s="1334">
        <f t="shared" si="38"/>
        <v>0</v>
      </c>
      <c r="CK27" s="1334">
        <f t="shared" si="39"/>
        <v>0</v>
      </c>
      <c r="CL27" s="1334"/>
      <c r="CM27" s="1334">
        <f t="shared" si="40"/>
        <v>0</v>
      </c>
      <c r="CN27" s="1334">
        <f t="shared" si="41"/>
        <v>0</v>
      </c>
      <c r="CO27" s="1334">
        <f t="shared" si="42"/>
        <v>249731.55821685024</v>
      </c>
      <c r="CP27" s="1334">
        <f t="shared" si="43"/>
        <v>0</v>
      </c>
      <c r="CQ27" s="1334">
        <f t="shared" si="44"/>
        <v>0</v>
      </c>
      <c r="CR27" s="1334">
        <f t="shared" si="45"/>
        <v>0</v>
      </c>
      <c r="CS27" s="1334">
        <f t="shared" si="46"/>
        <v>0</v>
      </c>
      <c r="CT27" s="1334">
        <f t="shared" si="47"/>
        <v>0</v>
      </c>
      <c r="CU27" s="1334">
        <f t="shared" si="48"/>
        <v>0</v>
      </c>
      <c r="CV27" s="1334">
        <f t="shared" si="49"/>
        <v>0</v>
      </c>
      <c r="CW27" s="1334">
        <f t="shared" si="50"/>
        <v>0</v>
      </c>
      <c r="CX27" s="1334">
        <f t="shared" si="51"/>
        <v>0</v>
      </c>
      <c r="CY27" s="1334"/>
      <c r="CZ27" s="1334"/>
      <c r="DA27" s="1334">
        <f ca="1">Rental!Y57</f>
        <v>0</v>
      </c>
      <c r="DB27" s="1334">
        <f ca="1">Rental!AD57</f>
        <v>0</v>
      </c>
      <c r="DC27" s="1972"/>
      <c r="DD27" s="1761"/>
      <c r="DE27" s="1761"/>
      <c r="DF27" s="1335"/>
      <c r="DG27" s="1335"/>
      <c r="DH27" s="1335"/>
      <c r="DI27" s="1335"/>
      <c r="DJ27" s="1335"/>
      <c r="DK27" s="1335"/>
      <c r="DL27" s="1335"/>
      <c r="DM27" s="1335"/>
      <c r="DN27" s="1335"/>
      <c r="DO27" s="1335"/>
      <c r="DP27" s="1335"/>
      <c r="DQ27" s="1335"/>
      <c r="DR27" s="1335"/>
      <c r="DS27" s="1335"/>
      <c r="DT27" s="1335"/>
    </row>
    <row r="28" spans="1:124" s="1185" customFormat="1" ht="18" customHeight="1">
      <c r="A28" s="523">
        <f ca="1">IF(E28=YEAR(Retire!$D$12),1,0)</f>
        <v>0</v>
      </c>
      <c r="B28" s="502"/>
      <c r="C28" s="503" t="str">
        <f ca="1">IF(E28=Retire!$D$12,"==&gt;","")</f>
        <v/>
      </c>
      <c r="D28" s="512">
        <f t="shared" si="13"/>
        <v>22</v>
      </c>
      <c r="E28" s="512">
        <f t="shared" ca="1" si="66"/>
        <v>2043</v>
      </c>
      <c r="F28" s="513">
        <f t="shared" ca="1" si="14"/>
        <v>1790517</v>
      </c>
      <c r="G28" s="505"/>
      <c r="H28" s="514">
        <f>Assets!$G$37</f>
        <v>5.5E-2</v>
      </c>
      <c r="I28" s="515">
        <f>Assets!$F$37</f>
        <v>2000</v>
      </c>
      <c r="J28" s="515">
        <f t="shared" si="54"/>
        <v>845130.6891500043</v>
      </c>
      <c r="K28" s="1220"/>
      <c r="L28" s="514">
        <f>Assets!$G$38</f>
        <v>0.05</v>
      </c>
      <c r="M28" s="515">
        <f>Assets!$F$38</f>
        <v>1500</v>
      </c>
      <c r="N28" s="515">
        <f t="shared" si="55"/>
        <v>680420.46055241849</v>
      </c>
      <c r="O28" s="1220"/>
      <c r="P28" s="514">
        <f>Assets!$G$39</f>
        <v>0.06</v>
      </c>
      <c r="Q28" s="516">
        <f>Assets!$F$39</f>
        <v>250</v>
      </c>
      <c r="R28" s="515">
        <f t="shared" si="56"/>
        <v>264965.45170986129</v>
      </c>
      <c r="S28" s="1220"/>
      <c r="T28" s="514">
        <f>Assets!$G$40</f>
        <v>0</v>
      </c>
      <c r="U28" s="517">
        <f>Assets!$F$40</f>
        <v>0</v>
      </c>
      <c r="V28" s="515">
        <f t="shared" si="57"/>
        <v>0</v>
      </c>
      <c r="W28" s="1220"/>
      <c r="X28" s="514">
        <f>Assets!$G$41</f>
        <v>0</v>
      </c>
      <c r="Y28" s="517">
        <f>Assets!$F$41</f>
        <v>0</v>
      </c>
      <c r="Z28" s="515">
        <f t="shared" si="58"/>
        <v>0</v>
      </c>
      <c r="AA28" s="1220"/>
      <c r="AB28" s="514">
        <f>Assets!$G$42</f>
        <v>0</v>
      </c>
      <c r="AC28" s="515">
        <f>Assets!$F$42</f>
        <v>0</v>
      </c>
      <c r="AD28" s="515">
        <f t="shared" si="59"/>
        <v>0</v>
      </c>
      <c r="AE28" s="1220"/>
      <c r="AF28" s="514">
        <f>Assets!$G$43</f>
        <v>0</v>
      </c>
      <c r="AG28" s="515">
        <f>Assets!$F$43</f>
        <v>0</v>
      </c>
      <c r="AH28" s="515">
        <f t="shared" si="60"/>
        <v>0</v>
      </c>
      <c r="AI28" s="1220"/>
      <c r="AJ28" s="514">
        <f>Assets!$G$44</f>
        <v>0</v>
      </c>
      <c r="AK28" s="515">
        <f>Assets!$F$44</f>
        <v>0</v>
      </c>
      <c r="AL28" s="515">
        <f t="shared" si="61"/>
        <v>0</v>
      </c>
      <c r="AM28" s="1220"/>
      <c r="AN28" s="514">
        <f>Assets!$G$45</f>
        <v>0</v>
      </c>
      <c r="AO28" s="515">
        <f>Assets!$F$45</f>
        <v>0</v>
      </c>
      <c r="AP28" s="515">
        <f t="shared" si="62"/>
        <v>0</v>
      </c>
      <c r="AQ28" s="1220"/>
      <c r="AR28" s="514">
        <f>Assets!$G$46</f>
        <v>0</v>
      </c>
      <c r="AS28" s="515">
        <f>Assets!$F$46</f>
        <v>0</v>
      </c>
      <c r="AT28" s="515">
        <f t="shared" si="63"/>
        <v>0</v>
      </c>
      <c r="AU28" s="1220"/>
      <c r="AV28" s="514">
        <f>Assets!$G$47</f>
        <v>0</v>
      </c>
      <c r="AW28" s="515">
        <f>Assets!F$47</f>
        <v>0</v>
      </c>
      <c r="AX28" s="515">
        <f t="shared" si="64"/>
        <v>0</v>
      </c>
      <c r="AY28" s="1220"/>
      <c r="AZ28" s="514">
        <f>Assets!$G$48</f>
        <v>0</v>
      </c>
      <c r="BA28" s="515">
        <f>Assets!$F$48</f>
        <v>0</v>
      </c>
      <c r="BB28" s="515">
        <f t="shared" si="65"/>
        <v>0</v>
      </c>
      <c r="BC28" s="502"/>
      <c r="BD28" s="2005"/>
      <c r="BE28" s="523"/>
      <c r="BF28" s="523"/>
      <c r="BG28" s="1331">
        <f t="shared" si="0"/>
        <v>845130.6891500043</v>
      </c>
      <c r="BH28" s="1331">
        <f t="shared" si="1"/>
        <v>680420.46055241849</v>
      </c>
      <c r="BI28" s="1331">
        <f t="shared" si="2"/>
        <v>264965.45170986129</v>
      </c>
      <c r="BJ28" s="1331">
        <f t="shared" si="3"/>
        <v>0</v>
      </c>
      <c r="BK28" s="1331">
        <f t="shared" si="4"/>
        <v>0</v>
      </c>
      <c r="BL28" s="1331">
        <f t="shared" si="5"/>
        <v>0</v>
      </c>
      <c r="BM28" s="1331">
        <f t="shared" si="6"/>
        <v>0</v>
      </c>
      <c r="BN28" s="1331">
        <f t="shared" si="7"/>
        <v>0</v>
      </c>
      <c r="BO28" s="1331">
        <f t="shared" si="8"/>
        <v>0</v>
      </c>
      <c r="BP28" s="1331">
        <f t="shared" si="9"/>
        <v>0</v>
      </c>
      <c r="BQ28" s="1331">
        <f t="shared" si="10"/>
        <v>0</v>
      </c>
      <c r="BR28" s="1331">
        <f t="shared" si="11"/>
        <v>0</v>
      </c>
      <c r="BS28" s="523"/>
      <c r="BT28" s="523"/>
      <c r="BU28" s="523"/>
      <c r="BV28" s="523"/>
      <c r="BW28" s="1333">
        <f t="shared" ca="1" si="53"/>
        <v>2043</v>
      </c>
      <c r="BX28" s="1331">
        <f t="shared" si="27"/>
        <v>1525551.1497024228</v>
      </c>
      <c r="BY28" s="1331">
        <f t="shared" ca="1" si="12"/>
        <v>264965.45170986129</v>
      </c>
      <c r="BZ28" s="1334">
        <f t="shared" si="28"/>
        <v>845130.6891500043</v>
      </c>
      <c r="CA28" s="1334">
        <f t="shared" si="29"/>
        <v>680420.46055241849</v>
      </c>
      <c r="CB28" s="1334">
        <f t="shared" si="30"/>
        <v>0</v>
      </c>
      <c r="CC28" s="1334">
        <f t="shared" si="31"/>
        <v>0</v>
      </c>
      <c r="CD28" s="1334">
        <f t="shared" si="32"/>
        <v>0</v>
      </c>
      <c r="CE28" s="1334">
        <f t="shared" si="33"/>
        <v>0</v>
      </c>
      <c r="CF28" s="1334">
        <f t="shared" si="34"/>
        <v>0</v>
      </c>
      <c r="CG28" s="1334">
        <f t="shared" si="35"/>
        <v>0</v>
      </c>
      <c r="CH28" s="1334">
        <f t="shared" si="36"/>
        <v>0</v>
      </c>
      <c r="CI28" s="1334">
        <f t="shared" si="37"/>
        <v>0</v>
      </c>
      <c r="CJ28" s="1334">
        <f t="shared" si="38"/>
        <v>0</v>
      </c>
      <c r="CK28" s="1334">
        <f t="shared" si="39"/>
        <v>0</v>
      </c>
      <c r="CL28" s="1334"/>
      <c r="CM28" s="1334">
        <f t="shared" si="40"/>
        <v>0</v>
      </c>
      <c r="CN28" s="1334">
        <f t="shared" si="41"/>
        <v>0</v>
      </c>
      <c r="CO28" s="1334">
        <f t="shared" si="42"/>
        <v>264965.45170986129</v>
      </c>
      <c r="CP28" s="1334">
        <f t="shared" si="43"/>
        <v>0</v>
      </c>
      <c r="CQ28" s="1334">
        <f t="shared" si="44"/>
        <v>0</v>
      </c>
      <c r="CR28" s="1334">
        <f t="shared" si="45"/>
        <v>0</v>
      </c>
      <c r="CS28" s="1334">
        <f t="shared" si="46"/>
        <v>0</v>
      </c>
      <c r="CT28" s="1334">
        <f t="shared" si="47"/>
        <v>0</v>
      </c>
      <c r="CU28" s="1334">
        <f t="shared" si="48"/>
        <v>0</v>
      </c>
      <c r="CV28" s="1334">
        <f t="shared" si="49"/>
        <v>0</v>
      </c>
      <c r="CW28" s="1334">
        <f t="shared" si="50"/>
        <v>0</v>
      </c>
      <c r="CX28" s="1334">
        <f t="shared" si="51"/>
        <v>0</v>
      </c>
      <c r="CY28" s="1334"/>
      <c r="CZ28" s="1334"/>
      <c r="DA28" s="1334">
        <f ca="1">Rental!Y58</f>
        <v>0</v>
      </c>
      <c r="DB28" s="1334">
        <f ca="1">Rental!AD58</f>
        <v>0</v>
      </c>
      <c r="DC28" s="1972"/>
      <c r="DD28" s="1761"/>
      <c r="DE28" s="1761"/>
      <c r="DF28" s="1335"/>
      <c r="DG28" s="1335"/>
      <c r="DH28" s="1335"/>
      <c r="DI28" s="1335"/>
      <c r="DJ28" s="1335"/>
      <c r="DK28" s="1335"/>
      <c r="DL28" s="1335"/>
      <c r="DM28" s="1335"/>
      <c r="DN28" s="1335"/>
      <c r="DO28" s="1335"/>
      <c r="DP28" s="1335"/>
      <c r="DQ28" s="1335"/>
      <c r="DR28" s="1335"/>
      <c r="DS28" s="1335"/>
      <c r="DT28" s="1335"/>
    </row>
    <row r="29" spans="1:124" s="1185" customFormat="1" ht="18" customHeight="1">
      <c r="A29" s="523">
        <f ca="1">IF(E29=YEAR(Retire!$D$12),1,0)</f>
        <v>0</v>
      </c>
      <c r="B29" s="502"/>
      <c r="C29" s="503" t="str">
        <f ca="1">IF(E29=Retire!$D$12,"==&gt;","")</f>
        <v/>
      </c>
      <c r="D29" s="504">
        <f t="shared" si="13"/>
        <v>23</v>
      </c>
      <c r="E29" s="504">
        <f t="shared" ca="1" si="66"/>
        <v>2044</v>
      </c>
      <c r="F29" s="505">
        <f t="shared" ca="1" si="14"/>
        <v>1890668</v>
      </c>
      <c r="G29" s="505"/>
      <c r="H29" s="506">
        <f>Assets!$G$37</f>
        <v>5.5E-2</v>
      </c>
      <c r="I29" s="507">
        <f>Assets!$F$37</f>
        <v>2000</v>
      </c>
      <c r="J29" s="507">
        <f t="shared" si="54"/>
        <v>893612.87705325452</v>
      </c>
      <c r="K29" s="1220"/>
      <c r="L29" s="506">
        <f>Assets!$G$38</f>
        <v>0.05</v>
      </c>
      <c r="M29" s="507">
        <f>Assets!$F$38</f>
        <v>1500</v>
      </c>
      <c r="N29" s="507">
        <f t="shared" si="55"/>
        <v>715941.48358003946</v>
      </c>
      <c r="O29" s="1220"/>
      <c r="P29" s="506">
        <f>Assets!$G$39</f>
        <v>0.06</v>
      </c>
      <c r="Q29" s="508">
        <f>Assets!$F$39</f>
        <v>250</v>
      </c>
      <c r="R29" s="507">
        <f t="shared" si="56"/>
        <v>281113.37881245295</v>
      </c>
      <c r="S29" s="1220"/>
      <c r="T29" s="506">
        <f>Assets!$G$40</f>
        <v>0</v>
      </c>
      <c r="U29" s="510">
        <f>Assets!$F$40</f>
        <v>0</v>
      </c>
      <c r="V29" s="507">
        <f t="shared" si="57"/>
        <v>0</v>
      </c>
      <c r="W29" s="1220"/>
      <c r="X29" s="506">
        <f>Assets!$G$41</f>
        <v>0</v>
      </c>
      <c r="Y29" s="510">
        <f>Assets!$F$41</f>
        <v>0</v>
      </c>
      <c r="Z29" s="507">
        <f t="shared" si="58"/>
        <v>0</v>
      </c>
      <c r="AA29" s="1220"/>
      <c r="AB29" s="506">
        <f>Assets!$G$42</f>
        <v>0</v>
      </c>
      <c r="AC29" s="507">
        <f>Assets!$F$42</f>
        <v>0</v>
      </c>
      <c r="AD29" s="507">
        <f t="shared" si="59"/>
        <v>0</v>
      </c>
      <c r="AE29" s="1220"/>
      <c r="AF29" s="506">
        <f>Assets!$G$43</f>
        <v>0</v>
      </c>
      <c r="AG29" s="507">
        <f>Assets!$F$43</f>
        <v>0</v>
      </c>
      <c r="AH29" s="507">
        <f t="shared" si="60"/>
        <v>0</v>
      </c>
      <c r="AI29" s="1220"/>
      <c r="AJ29" s="506">
        <f>Assets!$G$44</f>
        <v>0</v>
      </c>
      <c r="AK29" s="507">
        <f>Assets!$F$44</f>
        <v>0</v>
      </c>
      <c r="AL29" s="507">
        <f t="shared" si="61"/>
        <v>0</v>
      </c>
      <c r="AM29" s="1220"/>
      <c r="AN29" s="506">
        <f>Assets!$G$45</f>
        <v>0</v>
      </c>
      <c r="AO29" s="507">
        <f>Assets!$F$45</f>
        <v>0</v>
      </c>
      <c r="AP29" s="507">
        <f t="shared" si="62"/>
        <v>0</v>
      </c>
      <c r="AQ29" s="1220"/>
      <c r="AR29" s="506">
        <f>Assets!$G$46</f>
        <v>0</v>
      </c>
      <c r="AS29" s="507">
        <f>Assets!$F$46</f>
        <v>0</v>
      </c>
      <c r="AT29" s="507">
        <f t="shared" si="63"/>
        <v>0</v>
      </c>
      <c r="AU29" s="1220"/>
      <c r="AV29" s="506">
        <f>Assets!$G$47</f>
        <v>0</v>
      </c>
      <c r="AW29" s="507">
        <f>Assets!F$47</f>
        <v>0</v>
      </c>
      <c r="AX29" s="507">
        <f t="shared" si="64"/>
        <v>0</v>
      </c>
      <c r="AY29" s="1220"/>
      <c r="AZ29" s="506">
        <f>Assets!$G$48</f>
        <v>0</v>
      </c>
      <c r="BA29" s="507">
        <f>Assets!$F$48</f>
        <v>0</v>
      </c>
      <c r="BB29" s="507">
        <f t="shared" si="65"/>
        <v>0</v>
      </c>
      <c r="BC29" s="502"/>
      <c r="BD29" s="2005"/>
      <c r="BE29" s="523"/>
      <c r="BF29" s="523"/>
      <c r="BG29" s="1331">
        <f t="shared" si="0"/>
        <v>893612.87705325452</v>
      </c>
      <c r="BH29" s="1331">
        <f t="shared" si="1"/>
        <v>715941.48358003946</v>
      </c>
      <c r="BI29" s="1331">
        <f t="shared" si="2"/>
        <v>281113.37881245295</v>
      </c>
      <c r="BJ29" s="1331">
        <f t="shared" si="3"/>
        <v>0</v>
      </c>
      <c r="BK29" s="1331">
        <f t="shared" si="4"/>
        <v>0</v>
      </c>
      <c r="BL29" s="1331">
        <f t="shared" si="5"/>
        <v>0</v>
      </c>
      <c r="BM29" s="1331">
        <f t="shared" si="6"/>
        <v>0</v>
      </c>
      <c r="BN29" s="1331">
        <f t="shared" si="7"/>
        <v>0</v>
      </c>
      <c r="BO29" s="1331">
        <f t="shared" si="8"/>
        <v>0</v>
      </c>
      <c r="BP29" s="1331">
        <f t="shared" si="9"/>
        <v>0</v>
      </c>
      <c r="BQ29" s="1331">
        <f t="shared" si="10"/>
        <v>0</v>
      </c>
      <c r="BR29" s="1331">
        <f t="shared" si="11"/>
        <v>0</v>
      </c>
      <c r="BS29" s="523"/>
      <c r="BT29" s="523"/>
      <c r="BU29" s="523"/>
      <c r="BV29" s="523"/>
      <c r="BW29" s="1333">
        <f t="shared" ca="1" si="53"/>
        <v>2044</v>
      </c>
      <c r="BX29" s="1331">
        <f t="shared" si="27"/>
        <v>1609554.3606332941</v>
      </c>
      <c r="BY29" s="1331">
        <f t="shared" ca="1" si="12"/>
        <v>281113.37881245295</v>
      </c>
      <c r="BZ29" s="1334">
        <f t="shared" si="28"/>
        <v>893612.87705325452</v>
      </c>
      <c r="CA29" s="1334">
        <f t="shared" si="29"/>
        <v>715941.48358003946</v>
      </c>
      <c r="CB29" s="1334">
        <f t="shared" si="30"/>
        <v>0</v>
      </c>
      <c r="CC29" s="1334">
        <f t="shared" si="31"/>
        <v>0</v>
      </c>
      <c r="CD29" s="1334">
        <f t="shared" si="32"/>
        <v>0</v>
      </c>
      <c r="CE29" s="1334">
        <f t="shared" si="33"/>
        <v>0</v>
      </c>
      <c r="CF29" s="1334">
        <f t="shared" si="34"/>
        <v>0</v>
      </c>
      <c r="CG29" s="1334">
        <f t="shared" si="35"/>
        <v>0</v>
      </c>
      <c r="CH29" s="1334">
        <f t="shared" si="36"/>
        <v>0</v>
      </c>
      <c r="CI29" s="1334">
        <f t="shared" si="37"/>
        <v>0</v>
      </c>
      <c r="CJ29" s="1334">
        <f t="shared" si="38"/>
        <v>0</v>
      </c>
      <c r="CK29" s="1334">
        <f t="shared" si="39"/>
        <v>0</v>
      </c>
      <c r="CL29" s="1334"/>
      <c r="CM29" s="1334">
        <f t="shared" si="40"/>
        <v>0</v>
      </c>
      <c r="CN29" s="1334">
        <f t="shared" si="41"/>
        <v>0</v>
      </c>
      <c r="CO29" s="1334">
        <f t="shared" si="42"/>
        <v>281113.37881245295</v>
      </c>
      <c r="CP29" s="1334">
        <f t="shared" si="43"/>
        <v>0</v>
      </c>
      <c r="CQ29" s="1334">
        <f t="shared" si="44"/>
        <v>0</v>
      </c>
      <c r="CR29" s="1334">
        <f t="shared" si="45"/>
        <v>0</v>
      </c>
      <c r="CS29" s="1334">
        <f t="shared" si="46"/>
        <v>0</v>
      </c>
      <c r="CT29" s="1334">
        <f t="shared" si="47"/>
        <v>0</v>
      </c>
      <c r="CU29" s="1334">
        <f t="shared" si="48"/>
        <v>0</v>
      </c>
      <c r="CV29" s="1334">
        <f t="shared" si="49"/>
        <v>0</v>
      </c>
      <c r="CW29" s="1334">
        <f t="shared" si="50"/>
        <v>0</v>
      </c>
      <c r="CX29" s="1334">
        <f t="shared" si="51"/>
        <v>0</v>
      </c>
      <c r="CY29" s="1334"/>
      <c r="CZ29" s="1334"/>
      <c r="DA29" s="1334">
        <f ca="1">Rental!Y59</f>
        <v>0</v>
      </c>
      <c r="DB29" s="1334">
        <f ca="1">Rental!AD59</f>
        <v>0</v>
      </c>
      <c r="DC29" s="1972"/>
      <c r="DD29" s="1761"/>
      <c r="DE29" s="1761"/>
      <c r="DF29" s="1335"/>
      <c r="DG29" s="1335"/>
      <c r="DH29" s="1335"/>
      <c r="DI29" s="1335"/>
      <c r="DJ29" s="1335"/>
      <c r="DK29" s="1335"/>
      <c r="DL29" s="1335"/>
      <c r="DM29" s="1335"/>
      <c r="DN29" s="1335"/>
      <c r="DO29" s="1335"/>
      <c r="DP29" s="1335"/>
      <c r="DQ29" s="1335"/>
      <c r="DR29" s="1335"/>
      <c r="DS29" s="1335"/>
      <c r="DT29" s="1335"/>
    </row>
    <row r="30" spans="1:124" s="1185" customFormat="1" ht="18" customHeight="1">
      <c r="A30" s="523">
        <f ca="1">IF(E30=YEAR(Retire!$D$12),1,0)</f>
        <v>0</v>
      </c>
      <c r="B30" s="502"/>
      <c r="C30" s="503" t="str">
        <f ca="1">IF(E30=Retire!$D$12,"==&gt;","")</f>
        <v/>
      </c>
      <c r="D30" s="512">
        <f t="shared" si="13"/>
        <v>24</v>
      </c>
      <c r="E30" s="512">
        <f t="shared" ca="1" si="66"/>
        <v>2045</v>
      </c>
      <c r="F30" s="513">
        <f t="shared" ca="1" si="14"/>
        <v>1996230</v>
      </c>
      <c r="G30" s="505"/>
      <c r="H30" s="514">
        <f>Assets!$G$37</f>
        <v>5.5E-2</v>
      </c>
      <c r="I30" s="515">
        <f>Assets!$F$37</f>
        <v>2000</v>
      </c>
      <c r="J30" s="515">
        <f t="shared" si="54"/>
        <v>944761.58529118355</v>
      </c>
      <c r="K30" s="1220"/>
      <c r="L30" s="514">
        <f>Assets!$G$38</f>
        <v>0.05</v>
      </c>
      <c r="M30" s="515">
        <f>Assets!$F$38</f>
        <v>1500</v>
      </c>
      <c r="N30" s="515">
        <f t="shared" si="55"/>
        <v>753238.55775904143</v>
      </c>
      <c r="O30" s="1220"/>
      <c r="P30" s="514">
        <f>Assets!$G$39</f>
        <v>0.06</v>
      </c>
      <c r="Q30" s="516">
        <f>Assets!$F$39</f>
        <v>250</v>
      </c>
      <c r="R30" s="515">
        <f t="shared" si="56"/>
        <v>298230.18154120015</v>
      </c>
      <c r="S30" s="1220"/>
      <c r="T30" s="514">
        <f>Assets!$G$40</f>
        <v>0</v>
      </c>
      <c r="U30" s="517">
        <f>Assets!$F$40</f>
        <v>0</v>
      </c>
      <c r="V30" s="515">
        <f t="shared" si="57"/>
        <v>0</v>
      </c>
      <c r="W30" s="1220"/>
      <c r="X30" s="514">
        <f>Assets!$G$41</f>
        <v>0</v>
      </c>
      <c r="Y30" s="517">
        <f>Assets!$F$41</f>
        <v>0</v>
      </c>
      <c r="Z30" s="515">
        <f t="shared" si="58"/>
        <v>0</v>
      </c>
      <c r="AA30" s="1220"/>
      <c r="AB30" s="514">
        <f>Assets!$G$42</f>
        <v>0</v>
      </c>
      <c r="AC30" s="515">
        <f>Assets!$F$42</f>
        <v>0</v>
      </c>
      <c r="AD30" s="515">
        <f t="shared" si="59"/>
        <v>0</v>
      </c>
      <c r="AE30" s="1220"/>
      <c r="AF30" s="514">
        <f>Assets!$G$43</f>
        <v>0</v>
      </c>
      <c r="AG30" s="515">
        <f>Assets!$F$43</f>
        <v>0</v>
      </c>
      <c r="AH30" s="515">
        <f t="shared" si="60"/>
        <v>0</v>
      </c>
      <c r="AI30" s="1220"/>
      <c r="AJ30" s="514">
        <f>Assets!$G$44</f>
        <v>0</v>
      </c>
      <c r="AK30" s="515">
        <f>Assets!$F$44</f>
        <v>0</v>
      </c>
      <c r="AL30" s="515">
        <f t="shared" si="61"/>
        <v>0</v>
      </c>
      <c r="AM30" s="1220"/>
      <c r="AN30" s="514">
        <f>Assets!$G$45</f>
        <v>0</v>
      </c>
      <c r="AO30" s="515">
        <f>Assets!$F$45</f>
        <v>0</v>
      </c>
      <c r="AP30" s="515">
        <f t="shared" si="62"/>
        <v>0</v>
      </c>
      <c r="AQ30" s="1220"/>
      <c r="AR30" s="514">
        <f>Assets!$G$46</f>
        <v>0</v>
      </c>
      <c r="AS30" s="515">
        <f>Assets!$F$46</f>
        <v>0</v>
      </c>
      <c r="AT30" s="515">
        <f t="shared" si="63"/>
        <v>0</v>
      </c>
      <c r="AU30" s="1220"/>
      <c r="AV30" s="514">
        <f>Assets!$G$47</f>
        <v>0</v>
      </c>
      <c r="AW30" s="515">
        <f>Assets!F$47</f>
        <v>0</v>
      </c>
      <c r="AX30" s="515">
        <f t="shared" si="64"/>
        <v>0</v>
      </c>
      <c r="AY30" s="1220"/>
      <c r="AZ30" s="514">
        <f>Assets!$G$48</f>
        <v>0</v>
      </c>
      <c r="BA30" s="515">
        <f>Assets!$F$48</f>
        <v>0</v>
      </c>
      <c r="BB30" s="515">
        <f t="shared" si="65"/>
        <v>0</v>
      </c>
      <c r="BC30" s="502"/>
      <c r="BD30" s="2005"/>
      <c r="BE30" s="523"/>
      <c r="BF30" s="523"/>
      <c r="BG30" s="1331">
        <f t="shared" si="0"/>
        <v>944761.58529118355</v>
      </c>
      <c r="BH30" s="1331">
        <f t="shared" si="1"/>
        <v>753238.55775904143</v>
      </c>
      <c r="BI30" s="1331">
        <f t="shared" si="2"/>
        <v>298230.18154120015</v>
      </c>
      <c r="BJ30" s="1331">
        <f t="shared" si="3"/>
        <v>0</v>
      </c>
      <c r="BK30" s="1331">
        <f t="shared" si="4"/>
        <v>0</v>
      </c>
      <c r="BL30" s="1331">
        <f t="shared" si="5"/>
        <v>0</v>
      </c>
      <c r="BM30" s="1331">
        <f t="shared" si="6"/>
        <v>0</v>
      </c>
      <c r="BN30" s="1331">
        <f t="shared" si="7"/>
        <v>0</v>
      </c>
      <c r="BO30" s="1331">
        <f t="shared" si="8"/>
        <v>0</v>
      </c>
      <c r="BP30" s="1331">
        <f t="shared" si="9"/>
        <v>0</v>
      </c>
      <c r="BQ30" s="1331">
        <f t="shared" si="10"/>
        <v>0</v>
      </c>
      <c r="BR30" s="1331">
        <f t="shared" si="11"/>
        <v>0</v>
      </c>
      <c r="BS30" s="523"/>
      <c r="BT30" s="523"/>
      <c r="BU30" s="523"/>
      <c r="BV30" s="523"/>
      <c r="BW30" s="1333">
        <f t="shared" ca="1" si="53"/>
        <v>2045</v>
      </c>
      <c r="BX30" s="1331">
        <f t="shared" si="27"/>
        <v>1698000.143050225</v>
      </c>
      <c r="BY30" s="1331">
        <f t="shared" ca="1" si="12"/>
        <v>298230.18154120015</v>
      </c>
      <c r="BZ30" s="1334">
        <f t="shared" si="28"/>
        <v>944761.58529118355</v>
      </c>
      <c r="CA30" s="1334">
        <f t="shared" si="29"/>
        <v>753238.55775904143</v>
      </c>
      <c r="CB30" s="1334">
        <f t="shared" si="30"/>
        <v>0</v>
      </c>
      <c r="CC30" s="1334">
        <f t="shared" si="31"/>
        <v>0</v>
      </c>
      <c r="CD30" s="1334">
        <f t="shared" si="32"/>
        <v>0</v>
      </c>
      <c r="CE30" s="1334">
        <f t="shared" si="33"/>
        <v>0</v>
      </c>
      <c r="CF30" s="1334">
        <f t="shared" si="34"/>
        <v>0</v>
      </c>
      <c r="CG30" s="1334">
        <f t="shared" si="35"/>
        <v>0</v>
      </c>
      <c r="CH30" s="1334">
        <f t="shared" si="36"/>
        <v>0</v>
      </c>
      <c r="CI30" s="1334">
        <f t="shared" si="37"/>
        <v>0</v>
      </c>
      <c r="CJ30" s="1334">
        <f t="shared" si="38"/>
        <v>0</v>
      </c>
      <c r="CK30" s="1334">
        <f t="shared" si="39"/>
        <v>0</v>
      </c>
      <c r="CL30" s="1334"/>
      <c r="CM30" s="1334">
        <f t="shared" si="40"/>
        <v>0</v>
      </c>
      <c r="CN30" s="1334">
        <f t="shared" si="41"/>
        <v>0</v>
      </c>
      <c r="CO30" s="1334">
        <f t="shared" si="42"/>
        <v>298230.18154120015</v>
      </c>
      <c r="CP30" s="1334">
        <f t="shared" si="43"/>
        <v>0</v>
      </c>
      <c r="CQ30" s="1334">
        <f t="shared" si="44"/>
        <v>0</v>
      </c>
      <c r="CR30" s="1334">
        <f t="shared" si="45"/>
        <v>0</v>
      </c>
      <c r="CS30" s="1334">
        <f t="shared" si="46"/>
        <v>0</v>
      </c>
      <c r="CT30" s="1334">
        <f t="shared" si="47"/>
        <v>0</v>
      </c>
      <c r="CU30" s="1334">
        <f t="shared" si="48"/>
        <v>0</v>
      </c>
      <c r="CV30" s="1334">
        <f t="shared" si="49"/>
        <v>0</v>
      </c>
      <c r="CW30" s="1334">
        <f t="shared" si="50"/>
        <v>0</v>
      </c>
      <c r="CX30" s="1334">
        <f t="shared" si="51"/>
        <v>0</v>
      </c>
      <c r="CY30" s="1334"/>
      <c r="CZ30" s="1334"/>
      <c r="DA30" s="1334">
        <f ca="1">Rental!Y60</f>
        <v>0</v>
      </c>
      <c r="DB30" s="1334">
        <f ca="1">Rental!AD60</f>
        <v>0</v>
      </c>
      <c r="DC30" s="1972"/>
      <c r="DD30" s="1761"/>
      <c r="DE30" s="1761"/>
      <c r="DF30" s="1335"/>
      <c r="DG30" s="1335"/>
      <c r="DH30" s="1335"/>
      <c r="DI30" s="1335"/>
      <c r="DJ30" s="1335"/>
      <c r="DK30" s="1335"/>
      <c r="DL30" s="1335"/>
      <c r="DM30" s="1335"/>
      <c r="DN30" s="1335"/>
      <c r="DO30" s="1335"/>
      <c r="DP30" s="1335"/>
      <c r="DQ30" s="1335"/>
      <c r="DR30" s="1335"/>
      <c r="DS30" s="1335"/>
      <c r="DT30" s="1335"/>
    </row>
    <row r="31" spans="1:124" s="1185" customFormat="1" ht="18" customHeight="1">
      <c r="A31" s="523">
        <f ca="1">IF(E31=YEAR(Retire!$D$12),1,0)</f>
        <v>0</v>
      </c>
      <c r="B31" s="502"/>
      <c r="C31" s="503" t="str">
        <f ca="1">IF(E31=Retire!$D$12,"==&gt;","")</f>
        <v/>
      </c>
      <c r="D31" s="504">
        <f t="shared" si="13"/>
        <v>25</v>
      </c>
      <c r="E31" s="504">
        <f t="shared" ca="1" si="66"/>
        <v>2046</v>
      </c>
      <c r="F31" s="505">
        <f t="shared" ca="1" si="14"/>
        <v>2107498</v>
      </c>
      <c r="G31" s="505"/>
      <c r="H31" s="506">
        <f>Assets!$G$37</f>
        <v>5.5E-2</v>
      </c>
      <c r="I31" s="507">
        <f>Assets!$F$37</f>
        <v>2000</v>
      </c>
      <c r="J31" s="507">
        <f t="shared" si="54"/>
        <v>998723.47248219862</v>
      </c>
      <c r="K31" s="1220"/>
      <c r="L31" s="506">
        <f>Assets!$G$38</f>
        <v>0.05</v>
      </c>
      <c r="M31" s="507">
        <f>Assets!$F$38</f>
        <v>1500</v>
      </c>
      <c r="N31" s="507">
        <f t="shared" si="55"/>
        <v>792400.4856469935</v>
      </c>
      <c r="O31" s="1220"/>
      <c r="P31" s="506">
        <f>Assets!$G$39</f>
        <v>0.06</v>
      </c>
      <c r="Q31" s="508">
        <f>Assets!$F$39</f>
        <v>250</v>
      </c>
      <c r="R31" s="507">
        <f t="shared" si="56"/>
        <v>316373.99243367213</v>
      </c>
      <c r="S31" s="1220"/>
      <c r="T31" s="506">
        <f>Assets!$G$40</f>
        <v>0</v>
      </c>
      <c r="U31" s="510">
        <f>Assets!$F$40</f>
        <v>0</v>
      </c>
      <c r="V31" s="507">
        <f t="shared" si="57"/>
        <v>0</v>
      </c>
      <c r="W31" s="1220"/>
      <c r="X31" s="506">
        <f>Assets!$G$41</f>
        <v>0</v>
      </c>
      <c r="Y31" s="510">
        <f>Assets!$F$41</f>
        <v>0</v>
      </c>
      <c r="Z31" s="507">
        <f t="shared" si="58"/>
        <v>0</v>
      </c>
      <c r="AA31" s="1220"/>
      <c r="AB31" s="506">
        <f>Assets!$G$42</f>
        <v>0</v>
      </c>
      <c r="AC31" s="507">
        <f>Assets!$F$42</f>
        <v>0</v>
      </c>
      <c r="AD31" s="507">
        <f t="shared" si="59"/>
        <v>0</v>
      </c>
      <c r="AE31" s="1220"/>
      <c r="AF31" s="506">
        <f>Assets!$G$43</f>
        <v>0</v>
      </c>
      <c r="AG31" s="507">
        <f>Assets!$F$43</f>
        <v>0</v>
      </c>
      <c r="AH31" s="507">
        <f t="shared" si="60"/>
        <v>0</v>
      </c>
      <c r="AI31" s="1220"/>
      <c r="AJ31" s="506">
        <f>Assets!$G$44</f>
        <v>0</v>
      </c>
      <c r="AK31" s="507">
        <f>Assets!$F$44</f>
        <v>0</v>
      </c>
      <c r="AL31" s="507">
        <f t="shared" si="61"/>
        <v>0</v>
      </c>
      <c r="AM31" s="1220"/>
      <c r="AN31" s="506">
        <f>Assets!$G$45</f>
        <v>0</v>
      </c>
      <c r="AO31" s="507">
        <f>Assets!$F$45</f>
        <v>0</v>
      </c>
      <c r="AP31" s="507">
        <f t="shared" si="62"/>
        <v>0</v>
      </c>
      <c r="AQ31" s="1220"/>
      <c r="AR31" s="506">
        <f>Assets!$G$46</f>
        <v>0</v>
      </c>
      <c r="AS31" s="507">
        <f>Assets!$F$46</f>
        <v>0</v>
      </c>
      <c r="AT31" s="507">
        <f t="shared" si="63"/>
        <v>0</v>
      </c>
      <c r="AU31" s="1220"/>
      <c r="AV31" s="506">
        <f>Assets!$G$47</f>
        <v>0</v>
      </c>
      <c r="AW31" s="507">
        <f>Assets!F$47</f>
        <v>0</v>
      </c>
      <c r="AX31" s="507">
        <f t="shared" si="64"/>
        <v>0</v>
      </c>
      <c r="AY31" s="1220"/>
      <c r="AZ31" s="506">
        <f>Assets!$G$48</f>
        <v>0</v>
      </c>
      <c r="BA31" s="507">
        <f>Assets!$F$48</f>
        <v>0</v>
      </c>
      <c r="BB31" s="507">
        <f t="shared" si="65"/>
        <v>0</v>
      </c>
      <c r="BC31" s="502"/>
      <c r="BD31" s="2005"/>
      <c r="BE31" s="523"/>
      <c r="BF31" s="523"/>
      <c r="BG31" s="1331">
        <f t="shared" si="0"/>
        <v>998723.47248219862</v>
      </c>
      <c r="BH31" s="1331">
        <f t="shared" si="1"/>
        <v>792400.4856469935</v>
      </c>
      <c r="BI31" s="1331">
        <f t="shared" si="2"/>
        <v>316373.99243367213</v>
      </c>
      <c r="BJ31" s="1331">
        <f t="shared" si="3"/>
        <v>0</v>
      </c>
      <c r="BK31" s="1331">
        <f t="shared" si="4"/>
        <v>0</v>
      </c>
      <c r="BL31" s="1331">
        <f t="shared" si="5"/>
        <v>0</v>
      </c>
      <c r="BM31" s="1331">
        <f t="shared" si="6"/>
        <v>0</v>
      </c>
      <c r="BN31" s="1331">
        <f t="shared" si="7"/>
        <v>0</v>
      </c>
      <c r="BO31" s="1331">
        <f t="shared" si="8"/>
        <v>0</v>
      </c>
      <c r="BP31" s="1331">
        <f t="shared" si="9"/>
        <v>0</v>
      </c>
      <c r="BQ31" s="1331">
        <f t="shared" si="10"/>
        <v>0</v>
      </c>
      <c r="BR31" s="1331">
        <f t="shared" si="11"/>
        <v>0</v>
      </c>
      <c r="BS31" s="523"/>
      <c r="BT31" s="523"/>
      <c r="BU31" s="523"/>
      <c r="BV31" s="523"/>
      <c r="BW31" s="1333">
        <f t="shared" ca="1" si="53"/>
        <v>2046</v>
      </c>
      <c r="BX31" s="1331">
        <f t="shared" si="27"/>
        <v>1791123.9581291922</v>
      </c>
      <c r="BY31" s="1331">
        <f t="shared" ca="1" si="12"/>
        <v>316373.99243367213</v>
      </c>
      <c r="BZ31" s="1334">
        <f t="shared" si="28"/>
        <v>998723.47248219862</v>
      </c>
      <c r="CA31" s="1334">
        <f t="shared" si="29"/>
        <v>792400.4856469935</v>
      </c>
      <c r="CB31" s="1334">
        <f t="shared" si="30"/>
        <v>0</v>
      </c>
      <c r="CC31" s="1334">
        <f t="shared" si="31"/>
        <v>0</v>
      </c>
      <c r="CD31" s="1334">
        <f t="shared" si="32"/>
        <v>0</v>
      </c>
      <c r="CE31" s="1334">
        <f t="shared" si="33"/>
        <v>0</v>
      </c>
      <c r="CF31" s="1334">
        <f t="shared" si="34"/>
        <v>0</v>
      </c>
      <c r="CG31" s="1334">
        <f t="shared" si="35"/>
        <v>0</v>
      </c>
      <c r="CH31" s="1334">
        <f t="shared" si="36"/>
        <v>0</v>
      </c>
      <c r="CI31" s="1334">
        <f t="shared" si="37"/>
        <v>0</v>
      </c>
      <c r="CJ31" s="1334">
        <f t="shared" si="38"/>
        <v>0</v>
      </c>
      <c r="CK31" s="1334">
        <f t="shared" si="39"/>
        <v>0</v>
      </c>
      <c r="CL31" s="1334"/>
      <c r="CM31" s="1334">
        <f t="shared" si="40"/>
        <v>0</v>
      </c>
      <c r="CN31" s="1334">
        <f t="shared" si="41"/>
        <v>0</v>
      </c>
      <c r="CO31" s="1334">
        <f t="shared" si="42"/>
        <v>316373.99243367213</v>
      </c>
      <c r="CP31" s="1334">
        <f t="shared" si="43"/>
        <v>0</v>
      </c>
      <c r="CQ31" s="1334">
        <f t="shared" si="44"/>
        <v>0</v>
      </c>
      <c r="CR31" s="1334">
        <f t="shared" si="45"/>
        <v>0</v>
      </c>
      <c r="CS31" s="1334">
        <f t="shared" si="46"/>
        <v>0</v>
      </c>
      <c r="CT31" s="1334">
        <f t="shared" si="47"/>
        <v>0</v>
      </c>
      <c r="CU31" s="1334">
        <f t="shared" si="48"/>
        <v>0</v>
      </c>
      <c r="CV31" s="1334">
        <f t="shared" si="49"/>
        <v>0</v>
      </c>
      <c r="CW31" s="1334">
        <f t="shared" si="50"/>
        <v>0</v>
      </c>
      <c r="CX31" s="1334">
        <f t="shared" si="51"/>
        <v>0</v>
      </c>
      <c r="CY31" s="1334"/>
      <c r="CZ31" s="1334"/>
      <c r="DA31" s="1334">
        <f ca="1">Rental!Y61</f>
        <v>0</v>
      </c>
      <c r="DB31" s="1334">
        <f ca="1">Rental!AD61</f>
        <v>0</v>
      </c>
      <c r="DC31" s="1972"/>
      <c r="DD31" s="1761"/>
      <c r="DE31" s="1761"/>
      <c r="DF31" s="1335"/>
      <c r="DG31" s="1335"/>
      <c r="DH31" s="1335"/>
      <c r="DI31" s="1335"/>
      <c r="DJ31" s="1335"/>
      <c r="DK31" s="1335"/>
      <c r="DL31" s="1335"/>
      <c r="DM31" s="1335"/>
      <c r="DN31" s="1335"/>
      <c r="DO31" s="1335"/>
      <c r="DP31" s="1335"/>
      <c r="DQ31" s="1335"/>
      <c r="DR31" s="1335"/>
      <c r="DS31" s="1335"/>
      <c r="DT31" s="1335"/>
    </row>
    <row r="32" spans="1:124" s="1185" customFormat="1" ht="18" customHeight="1">
      <c r="A32" s="523">
        <f ca="1">IF(E32=YEAR(Retire!$D$12),1,0)</f>
        <v>0</v>
      </c>
      <c r="B32" s="502"/>
      <c r="C32" s="503" t="str">
        <f ca="1">IF(E32=Retire!$D$12,"==&gt;","")</f>
        <v/>
      </c>
      <c r="D32" s="512">
        <f t="shared" si="13"/>
        <v>26</v>
      </c>
      <c r="E32" s="512">
        <f t="shared" ca="1" si="66"/>
        <v>2047</v>
      </c>
      <c r="F32" s="513">
        <f t="shared" ca="1" si="14"/>
        <v>2224780</v>
      </c>
      <c r="G32" s="505"/>
      <c r="H32" s="514">
        <f>Assets!$G$37</f>
        <v>5.5E-2</v>
      </c>
      <c r="I32" s="515">
        <f>Assets!$F$37</f>
        <v>2000</v>
      </c>
      <c r="J32" s="515">
        <f t="shared" si="54"/>
        <v>1055653.2634687196</v>
      </c>
      <c r="K32" s="1220"/>
      <c r="L32" s="514">
        <f>Assets!$G$38</f>
        <v>0.05</v>
      </c>
      <c r="M32" s="515">
        <f>Assets!$F$38</f>
        <v>1500</v>
      </c>
      <c r="N32" s="515">
        <f t="shared" si="55"/>
        <v>833520.50992934313</v>
      </c>
      <c r="O32" s="1220"/>
      <c r="P32" s="514">
        <f>Assets!$G$39</f>
        <v>0.06</v>
      </c>
      <c r="Q32" s="516">
        <f>Assets!$F$39</f>
        <v>250</v>
      </c>
      <c r="R32" s="515">
        <f t="shared" si="56"/>
        <v>335606.43197969248</v>
      </c>
      <c r="S32" s="1220"/>
      <c r="T32" s="514">
        <f>Assets!$G$40</f>
        <v>0</v>
      </c>
      <c r="U32" s="517">
        <f>Assets!$F$40</f>
        <v>0</v>
      </c>
      <c r="V32" s="515">
        <f t="shared" si="57"/>
        <v>0</v>
      </c>
      <c r="W32" s="1220"/>
      <c r="X32" s="514">
        <f>Assets!$G$41</f>
        <v>0</v>
      </c>
      <c r="Y32" s="517">
        <f>Assets!$F$41</f>
        <v>0</v>
      </c>
      <c r="Z32" s="515">
        <f t="shared" si="58"/>
        <v>0</v>
      </c>
      <c r="AA32" s="1220"/>
      <c r="AB32" s="514">
        <f>Assets!$G$42</f>
        <v>0</v>
      </c>
      <c r="AC32" s="515">
        <f>Assets!$F$42</f>
        <v>0</v>
      </c>
      <c r="AD32" s="515">
        <f t="shared" si="59"/>
        <v>0</v>
      </c>
      <c r="AE32" s="1220"/>
      <c r="AF32" s="514">
        <f>Assets!$G$43</f>
        <v>0</v>
      </c>
      <c r="AG32" s="515">
        <f>Assets!$F$43</f>
        <v>0</v>
      </c>
      <c r="AH32" s="515">
        <f t="shared" si="60"/>
        <v>0</v>
      </c>
      <c r="AI32" s="1220"/>
      <c r="AJ32" s="514">
        <f>Assets!$G$44</f>
        <v>0</v>
      </c>
      <c r="AK32" s="515">
        <f>Assets!$F$44</f>
        <v>0</v>
      </c>
      <c r="AL32" s="515">
        <f t="shared" si="61"/>
        <v>0</v>
      </c>
      <c r="AM32" s="1220"/>
      <c r="AN32" s="514">
        <f>Assets!$G$45</f>
        <v>0</v>
      </c>
      <c r="AO32" s="515">
        <f>Assets!$F$45</f>
        <v>0</v>
      </c>
      <c r="AP32" s="515">
        <f t="shared" si="62"/>
        <v>0</v>
      </c>
      <c r="AQ32" s="1220"/>
      <c r="AR32" s="514">
        <f>Assets!$G$46</f>
        <v>0</v>
      </c>
      <c r="AS32" s="515">
        <f>Assets!$F$46</f>
        <v>0</v>
      </c>
      <c r="AT32" s="515">
        <f t="shared" si="63"/>
        <v>0</v>
      </c>
      <c r="AU32" s="1220"/>
      <c r="AV32" s="514">
        <f>Assets!$G$47</f>
        <v>0</v>
      </c>
      <c r="AW32" s="515">
        <f>Assets!F$47</f>
        <v>0</v>
      </c>
      <c r="AX32" s="515">
        <f t="shared" si="64"/>
        <v>0</v>
      </c>
      <c r="AY32" s="1220"/>
      <c r="AZ32" s="514">
        <f>Assets!$G$48</f>
        <v>0</v>
      </c>
      <c r="BA32" s="515">
        <f>Assets!$F$48</f>
        <v>0</v>
      </c>
      <c r="BB32" s="515">
        <f t="shared" si="65"/>
        <v>0</v>
      </c>
      <c r="BC32" s="502"/>
      <c r="BD32" s="2005"/>
      <c r="BE32" s="523"/>
      <c r="BF32" s="523"/>
      <c r="BG32" s="1331">
        <f t="shared" si="0"/>
        <v>1055653.2634687196</v>
      </c>
      <c r="BH32" s="1331">
        <f t="shared" si="1"/>
        <v>833520.50992934313</v>
      </c>
      <c r="BI32" s="1331">
        <f t="shared" si="2"/>
        <v>335606.43197969248</v>
      </c>
      <c r="BJ32" s="1331">
        <f t="shared" si="3"/>
        <v>0</v>
      </c>
      <c r="BK32" s="1331">
        <f t="shared" si="4"/>
        <v>0</v>
      </c>
      <c r="BL32" s="1331">
        <f t="shared" si="5"/>
        <v>0</v>
      </c>
      <c r="BM32" s="1331">
        <f t="shared" si="6"/>
        <v>0</v>
      </c>
      <c r="BN32" s="1331">
        <f t="shared" si="7"/>
        <v>0</v>
      </c>
      <c r="BO32" s="1331">
        <f t="shared" si="8"/>
        <v>0</v>
      </c>
      <c r="BP32" s="1331">
        <f t="shared" si="9"/>
        <v>0</v>
      </c>
      <c r="BQ32" s="1331">
        <f t="shared" si="10"/>
        <v>0</v>
      </c>
      <c r="BR32" s="1331">
        <f t="shared" si="11"/>
        <v>0</v>
      </c>
      <c r="BS32" s="523"/>
      <c r="BT32" s="523"/>
      <c r="BU32" s="523"/>
      <c r="BV32" s="523"/>
      <c r="BW32" s="1333">
        <f t="shared" ca="1" si="53"/>
        <v>2047</v>
      </c>
      <c r="BX32" s="1331">
        <f t="shared" si="27"/>
        <v>1889173.7733980627</v>
      </c>
      <c r="BY32" s="1331">
        <f t="shared" ca="1" si="12"/>
        <v>335606.43197969248</v>
      </c>
      <c r="BZ32" s="1334">
        <f t="shared" si="28"/>
        <v>1055653.2634687196</v>
      </c>
      <c r="CA32" s="1334">
        <f t="shared" si="29"/>
        <v>833520.50992934313</v>
      </c>
      <c r="CB32" s="1334">
        <f t="shared" si="30"/>
        <v>0</v>
      </c>
      <c r="CC32" s="1334">
        <f t="shared" si="31"/>
        <v>0</v>
      </c>
      <c r="CD32" s="1334">
        <f t="shared" si="32"/>
        <v>0</v>
      </c>
      <c r="CE32" s="1334">
        <f t="shared" si="33"/>
        <v>0</v>
      </c>
      <c r="CF32" s="1334">
        <f t="shared" si="34"/>
        <v>0</v>
      </c>
      <c r="CG32" s="1334">
        <f t="shared" si="35"/>
        <v>0</v>
      </c>
      <c r="CH32" s="1334">
        <f t="shared" si="36"/>
        <v>0</v>
      </c>
      <c r="CI32" s="1334">
        <f t="shared" si="37"/>
        <v>0</v>
      </c>
      <c r="CJ32" s="1334">
        <f t="shared" si="38"/>
        <v>0</v>
      </c>
      <c r="CK32" s="1334">
        <f t="shared" si="39"/>
        <v>0</v>
      </c>
      <c r="CL32" s="1334"/>
      <c r="CM32" s="1334">
        <f t="shared" si="40"/>
        <v>0</v>
      </c>
      <c r="CN32" s="1334">
        <f t="shared" si="41"/>
        <v>0</v>
      </c>
      <c r="CO32" s="1334">
        <f t="shared" si="42"/>
        <v>335606.43197969248</v>
      </c>
      <c r="CP32" s="1334">
        <f t="shared" si="43"/>
        <v>0</v>
      </c>
      <c r="CQ32" s="1334">
        <f t="shared" si="44"/>
        <v>0</v>
      </c>
      <c r="CR32" s="1334">
        <f t="shared" si="45"/>
        <v>0</v>
      </c>
      <c r="CS32" s="1334">
        <f t="shared" si="46"/>
        <v>0</v>
      </c>
      <c r="CT32" s="1334">
        <f t="shared" si="47"/>
        <v>0</v>
      </c>
      <c r="CU32" s="1334">
        <f t="shared" si="48"/>
        <v>0</v>
      </c>
      <c r="CV32" s="1334">
        <f t="shared" si="49"/>
        <v>0</v>
      </c>
      <c r="CW32" s="1334">
        <f t="shared" si="50"/>
        <v>0</v>
      </c>
      <c r="CX32" s="1334">
        <f t="shared" si="51"/>
        <v>0</v>
      </c>
      <c r="CY32" s="1334"/>
      <c r="CZ32" s="1334"/>
      <c r="DA32" s="1334">
        <f ca="1">Rental!Y62</f>
        <v>0</v>
      </c>
      <c r="DB32" s="1334">
        <f ca="1">Rental!AD62</f>
        <v>0</v>
      </c>
      <c r="DC32" s="1972"/>
      <c r="DD32" s="1761"/>
      <c r="DE32" s="1761"/>
      <c r="DF32" s="1335"/>
      <c r="DG32" s="1335"/>
      <c r="DH32" s="1335"/>
      <c r="DI32" s="1335"/>
      <c r="DJ32" s="1335"/>
      <c r="DK32" s="1335"/>
      <c r="DL32" s="1335"/>
      <c r="DM32" s="1335"/>
      <c r="DN32" s="1335"/>
      <c r="DO32" s="1335"/>
      <c r="DP32" s="1335"/>
      <c r="DQ32" s="1335"/>
      <c r="DR32" s="1335"/>
      <c r="DS32" s="1335"/>
      <c r="DT32" s="1335"/>
    </row>
    <row r="33" spans="1:124" s="1185" customFormat="1" ht="18" customHeight="1">
      <c r="A33" s="523">
        <f ca="1">IF(E33=YEAR(Retire!$D$12),1,0)</f>
        <v>0</v>
      </c>
      <c r="B33" s="502"/>
      <c r="C33" s="503" t="str">
        <f ca="1">IF(E33=Retire!$D$12,"==&gt;","")</f>
        <v/>
      </c>
      <c r="D33" s="504">
        <f t="shared" si="13"/>
        <v>27</v>
      </c>
      <c r="E33" s="504">
        <f t="shared" ca="1" si="66"/>
        <v>2048</v>
      </c>
      <c r="F33" s="505">
        <f t="shared" ca="1" si="14"/>
        <v>2348404</v>
      </c>
      <c r="G33" s="505"/>
      <c r="H33" s="506">
        <f>Assets!$G$37</f>
        <v>5.5E-2</v>
      </c>
      <c r="I33" s="507">
        <f>Assets!$F$37</f>
        <v>2000</v>
      </c>
      <c r="J33" s="507">
        <f t="shared" si="54"/>
        <v>1115714.1929594991</v>
      </c>
      <c r="K33" s="1220"/>
      <c r="L33" s="506">
        <f>Assets!$G$38</f>
        <v>0.05</v>
      </c>
      <c r="M33" s="507">
        <f>Assets!$F$38</f>
        <v>1500</v>
      </c>
      <c r="N33" s="507">
        <f t="shared" si="55"/>
        <v>876696.53542581026</v>
      </c>
      <c r="O33" s="1220"/>
      <c r="P33" s="506">
        <f>Assets!$G$39</f>
        <v>0.06</v>
      </c>
      <c r="Q33" s="508">
        <f>Assets!$F$39</f>
        <v>250</v>
      </c>
      <c r="R33" s="507">
        <f t="shared" si="56"/>
        <v>355992.81789847405</v>
      </c>
      <c r="S33" s="1220"/>
      <c r="T33" s="506">
        <f>Assets!$G$40</f>
        <v>0</v>
      </c>
      <c r="U33" s="510">
        <f>Assets!$F$40</f>
        <v>0</v>
      </c>
      <c r="V33" s="507">
        <f t="shared" si="57"/>
        <v>0</v>
      </c>
      <c r="W33" s="1220"/>
      <c r="X33" s="506">
        <f>Assets!$G$41</f>
        <v>0</v>
      </c>
      <c r="Y33" s="510">
        <f>Assets!$F$41</f>
        <v>0</v>
      </c>
      <c r="Z33" s="507">
        <f t="shared" si="58"/>
        <v>0</v>
      </c>
      <c r="AA33" s="1220"/>
      <c r="AB33" s="506">
        <f>Assets!$G$42</f>
        <v>0</v>
      </c>
      <c r="AC33" s="507">
        <f>Assets!$F$42</f>
        <v>0</v>
      </c>
      <c r="AD33" s="507">
        <f t="shared" si="59"/>
        <v>0</v>
      </c>
      <c r="AE33" s="1220"/>
      <c r="AF33" s="506">
        <f>Assets!$G$43</f>
        <v>0</v>
      </c>
      <c r="AG33" s="507">
        <f>Assets!$F$43</f>
        <v>0</v>
      </c>
      <c r="AH33" s="507">
        <f t="shared" si="60"/>
        <v>0</v>
      </c>
      <c r="AI33" s="1220"/>
      <c r="AJ33" s="506">
        <f>Assets!$G$44</f>
        <v>0</v>
      </c>
      <c r="AK33" s="507">
        <f>Assets!$F$44</f>
        <v>0</v>
      </c>
      <c r="AL33" s="507">
        <f t="shared" si="61"/>
        <v>0</v>
      </c>
      <c r="AM33" s="1220"/>
      <c r="AN33" s="506">
        <f>Assets!$G$45</f>
        <v>0</v>
      </c>
      <c r="AO33" s="507">
        <f>Assets!$F$45</f>
        <v>0</v>
      </c>
      <c r="AP33" s="507">
        <f t="shared" si="62"/>
        <v>0</v>
      </c>
      <c r="AQ33" s="1220"/>
      <c r="AR33" s="506">
        <f>Assets!$G$46</f>
        <v>0</v>
      </c>
      <c r="AS33" s="507">
        <f>Assets!$F$46</f>
        <v>0</v>
      </c>
      <c r="AT33" s="507">
        <f t="shared" si="63"/>
        <v>0</v>
      </c>
      <c r="AU33" s="1220"/>
      <c r="AV33" s="506">
        <f>Assets!$G$47</f>
        <v>0</v>
      </c>
      <c r="AW33" s="507">
        <f>Assets!F$47</f>
        <v>0</v>
      </c>
      <c r="AX33" s="507">
        <f t="shared" si="64"/>
        <v>0</v>
      </c>
      <c r="AY33" s="1220"/>
      <c r="AZ33" s="506">
        <f>Assets!$G$48</f>
        <v>0</v>
      </c>
      <c r="BA33" s="507">
        <f>Assets!$F$48</f>
        <v>0</v>
      </c>
      <c r="BB33" s="507">
        <f t="shared" si="65"/>
        <v>0</v>
      </c>
      <c r="BC33" s="502"/>
      <c r="BD33" s="2005"/>
      <c r="BE33" s="523"/>
      <c r="BF33" s="523"/>
      <c r="BG33" s="1331">
        <f t="shared" si="0"/>
        <v>1115714.1929594991</v>
      </c>
      <c r="BH33" s="1331">
        <f t="shared" si="1"/>
        <v>876696.53542581026</v>
      </c>
      <c r="BI33" s="1331">
        <f t="shared" si="2"/>
        <v>355992.81789847405</v>
      </c>
      <c r="BJ33" s="1331">
        <f t="shared" si="3"/>
        <v>0</v>
      </c>
      <c r="BK33" s="1331">
        <f t="shared" si="4"/>
        <v>0</v>
      </c>
      <c r="BL33" s="1331">
        <f t="shared" si="5"/>
        <v>0</v>
      </c>
      <c r="BM33" s="1331">
        <f t="shared" si="6"/>
        <v>0</v>
      </c>
      <c r="BN33" s="1331">
        <f t="shared" si="7"/>
        <v>0</v>
      </c>
      <c r="BO33" s="1331">
        <f t="shared" si="8"/>
        <v>0</v>
      </c>
      <c r="BP33" s="1331">
        <f t="shared" si="9"/>
        <v>0</v>
      </c>
      <c r="BQ33" s="1331">
        <f t="shared" si="10"/>
        <v>0</v>
      </c>
      <c r="BR33" s="1331">
        <f t="shared" si="11"/>
        <v>0</v>
      </c>
      <c r="BS33" s="523"/>
      <c r="BT33" s="523"/>
      <c r="BU33" s="523"/>
      <c r="BV33" s="523"/>
      <c r="BW33" s="1333">
        <f t="shared" ca="1" si="53"/>
        <v>2048</v>
      </c>
      <c r="BX33" s="1331">
        <f t="shared" si="27"/>
        <v>1992410.7283853092</v>
      </c>
      <c r="BY33" s="1331">
        <f t="shared" ca="1" si="12"/>
        <v>355992.81789847405</v>
      </c>
      <c r="BZ33" s="1334">
        <f t="shared" si="28"/>
        <v>1115714.1929594991</v>
      </c>
      <c r="CA33" s="1334">
        <f t="shared" si="29"/>
        <v>876696.53542581026</v>
      </c>
      <c r="CB33" s="1334">
        <f t="shared" si="30"/>
        <v>0</v>
      </c>
      <c r="CC33" s="1334">
        <f t="shared" si="31"/>
        <v>0</v>
      </c>
      <c r="CD33" s="1334">
        <f t="shared" si="32"/>
        <v>0</v>
      </c>
      <c r="CE33" s="1334">
        <f t="shared" si="33"/>
        <v>0</v>
      </c>
      <c r="CF33" s="1334">
        <f t="shared" si="34"/>
        <v>0</v>
      </c>
      <c r="CG33" s="1334">
        <f t="shared" si="35"/>
        <v>0</v>
      </c>
      <c r="CH33" s="1334">
        <f t="shared" si="36"/>
        <v>0</v>
      </c>
      <c r="CI33" s="1334">
        <f t="shared" si="37"/>
        <v>0</v>
      </c>
      <c r="CJ33" s="1334">
        <f t="shared" si="38"/>
        <v>0</v>
      </c>
      <c r="CK33" s="1334">
        <f t="shared" si="39"/>
        <v>0</v>
      </c>
      <c r="CL33" s="1334"/>
      <c r="CM33" s="1334">
        <f t="shared" si="40"/>
        <v>0</v>
      </c>
      <c r="CN33" s="1334">
        <f t="shared" si="41"/>
        <v>0</v>
      </c>
      <c r="CO33" s="1334">
        <f t="shared" si="42"/>
        <v>355992.81789847405</v>
      </c>
      <c r="CP33" s="1334">
        <f t="shared" si="43"/>
        <v>0</v>
      </c>
      <c r="CQ33" s="1334">
        <f t="shared" si="44"/>
        <v>0</v>
      </c>
      <c r="CR33" s="1334">
        <f t="shared" si="45"/>
        <v>0</v>
      </c>
      <c r="CS33" s="1334">
        <f t="shared" si="46"/>
        <v>0</v>
      </c>
      <c r="CT33" s="1334">
        <f t="shared" si="47"/>
        <v>0</v>
      </c>
      <c r="CU33" s="1334">
        <f t="shared" si="48"/>
        <v>0</v>
      </c>
      <c r="CV33" s="1334">
        <f t="shared" si="49"/>
        <v>0</v>
      </c>
      <c r="CW33" s="1334">
        <f t="shared" si="50"/>
        <v>0</v>
      </c>
      <c r="CX33" s="1334">
        <f t="shared" si="51"/>
        <v>0</v>
      </c>
      <c r="CY33" s="1334"/>
      <c r="CZ33" s="1334"/>
      <c r="DA33" s="1334">
        <f ca="1">Rental!Y63</f>
        <v>0</v>
      </c>
      <c r="DB33" s="1334">
        <f ca="1">Rental!AD63</f>
        <v>0</v>
      </c>
      <c r="DC33" s="1972"/>
      <c r="DD33" s="1761"/>
      <c r="DE33" s="1761"/>
      <c r="DF33" s="1335"/>
      <c r="DG33" s="1335"/>
      <c r="DH33" s="1335"/>
      <c r="DI33" s="1335"/>
      <c r="DJ33" s="1335"/>
      <c r="DK33" s="1335"/>
      <c r="DL33" s="1335"/>
      <c r="DM33" s="1335"/>
      <c r="DN33" s="1335"/>
      <c r="DO33" s="1335"/>
      <c r="DP33" s="1335"/>
      <c r="DQ33" s="1335"/>
      <c r="DR33" s="1335"/>
      <c r="DS33" s="1335"/>
      <c r="DT33" s="1335"/>
    </row>
    <row r="34" spans="1:124" s="1185" customFormat="1" ht="18" customHeight="1">
      <c r="A34" s="523">
        <f ca="1">IF(E34=YEAR(Retire!$D$12),1,0)</f>
        <v>0</v>
      </c>
      <c r="B34" s="502"/>
      <c r="C34" s="503" t="str">
        <f ca="1">IF(E34=Retire!$D$12,"==&gt;","")</f>
        <v/>
      </c>
      <c r="D34" s="512">
        <f t="shared" si="13"/>
        <v>28</v>
      </c>
      <c r="E34" s="512">
        <f t="shared" ca="1" si="66"/>
        <v>2049</v>
      </c>
      <c r="F34" s="513">
        <f t="shared" ca="1" si="14"/>
        <v>2478712</v>
      </c>
      <c r="G34" s="505"/>
      <c r="H34" s="514">
        <f>Assets!$G$37</f>
        <v>5.5E-2</v>
      </c>
      <c r="I34" s="515">
        <f>Assets!$F$37</f>
        <v>2000</v>
      </c>
      <c r="J34" s="515">
        <f t="shared" si="54"/>
        <v>1179078.4735722714</v>
      </c>
      <c r="K34" s="1220"/>
      <c r="L34" s="514">
        <f>Assets!$G$38</f>
        <v>0.05</v>
      </c>
      <c r="M34" s="515">
        <f>Assets!$F$38</f>
        <v>1500</v>
      </c>
      <c r="N34" s="515">
        <f t="shared" si="55"/>
        <v>922031.36219710077</v>
      </c>
      <c r="O34" s="1220"/>
      <c r="P34" s="514">
        <f>Assets!$G$39</f>
        <v>0.06</v>
      </c>
      <c r="Q34" s="516">
        <f>Assets!$F$39</f>
        <v>250</v>
      </c>
      <c r="R34" s="515">
        <f t="shared" si="56"/>
        <v>377602.38697238249</v>
      </c>
      <c r="S34" s="1220"/>
      <c r="T34" s="514">
        <f>Assets!$G$40</f>
        <v>0</v>
      </c>
      <c r="U34" s="517">
        <f>Assets!$F$40</f>
        <v>0</v>
      </c>
      <c r="V34" s="515">
        <f t="shared" si="57"/>
        <v>0</v>
      </c>
      <c r="W34" s="1220"/>
      <c r="X34" s="514">
        <f>Assets!$G$41</f>
        <v>0</v>
      </c>
      <c r="Y34" s="517">
        <f>Assets!$F$41</f>
        <v>0</v>
      </c>
      <c r="Z34" s="515">
        <f t="shared" si="58"/>
        <v>0</v>
      </c>
      <c r="AA34" s="1220"/>
      <c r="AB34" s="514">
        <f>Assets!$G$42</f>
        <v>0</v>
      </c>
      <c r="AC34" s="515">
        <f>Assets!$F$42</f>
        <v>0</v>
      </c>
      <c r="AD34" s="515">
        <f t="shared" si="59"/>
        <v>0</v>
      </c>
      <c r="AE34" s="1220"/>
      <c r="AF34" s="514">
        <f>Assets!$G$43</f>
        <v>0</v>
      </c>
      <c r="AG34" s="515">
        <f>Assets!$F$43</f>
        <v>0</v>
      </c>
      <c r="AH34" s="515">
        <f t="shared" si="60"/>
        <v>0</v>
      </c>
      <c r="AI34" s="1220"/>
      <c r="AJ34" s="514">
        <f>Assets!$G$44</f>
        <v>0</v>
      </c>
      <c r="AK34" s="515">
        <f>Assets!$F$44</f>
        <v>0</v>
      </c>
      <c r="AL34" s="515">
        <f t="shared" si="61"/>
        <v>0</v>
      </c>
      <c r="AM34" s="1220"/>
      <c r="AN34" s="514">
        <f>Assets!$G$45</f>
        <v>0</v>
      </c>
      <c r="AO34" s="515">
        <f>Assets!$F$45</f>
        <v>0</v>
      </c>
      <c r="AP34" s="515">
        <f t="shared" si="62"/>
        <v>0</v>
      </c>
      <c r="AQ34" s="1220"/>
      <c r="AR34" s="514">
        <f>Assets!$G$46</f>
        <v>0</v>
      </c>
      <c r="AS34" s="515">
        <f>Assets!$F$46</f>
        <v>0</v>
      </c>
      <c r="AT34" s="515">
        <f t="shared" si="63"/>
        <v>0</v>
      </c>
      <c r="AU34" s="1220"/>
      <c r="AV34" s="514">
        <f>Assets!$G$47</f>
        <v>0</v>
      </c>
      <c r="AW34" s="515">
        <f>Assets!F$47</f>
        <v>0</v>
      </c>
      <c r="AX34" s="515">
        <f t="shared" si="64"/>
        <v>0</v>
      </c>
      <c r="AY34" s="1220"/>
      <c r="AZ34" s="514">
        <f>Assets!$G$48</f>
        <v>0</v>
      </c>
      <c r="BA34" s="515">
        <f>Assets!$F$48</f>
        <v>0</v>
      </c>
      <c r="BB34" s="515">
        <f t="shared" si="65"/>
        <v>0</v>
      </c>
      <c r="BC34" s="502"/>
      <c r="BD34" s="2005"/>
      <c r="BE34" s="523"/>
      <c r="BF34" s="523"/>
      <c r="BG34" s="1331">
        <f t="shared" si="0"/>
        <v>1179078.4735722714</v>
      </c>
      <c r="BH34" s="1331">
        <f t="shared" si="1"/>
        <v>922031.36219710077</v>
      </c>
      <c r="BI34" s="1331">
        <f t="shared" si="2"/>
        <v>377602.38697238249</v>
      </c>
      <c r="BJ34" s="1331">
        <f t="shared" si="3"/>
        <v>0</v>
      </c>
      <c r="BK34" s="1331">
        <f t="shared" si="4"/>
        <v>0</v>
      </c>
      <c r="BL34" s="1331">
        <f t="shared" si="5"/>
        <v>0</v>
      </c>
      <c r="BM34" s="1331">
        <f t="shared" si="6"/>
        <v>0</v>
      </c>
      <c r="BN34" s="1331">
        <f t="shared" si="7"/>
        <v>0</v>
      </c>
      <c r="BO34" s="1331">
        <f t="shared" si="8"/>
        <v>0</v>
      </c>
      <c r="BP34" s="1331">
        <f t="shared" si="9"/>
        <v>0</v>
      </c>
      <c r="BQ34" s="1331">
        <f t="shared" si="10"/>
        <v>0</v>
      </c>
      <c r="BR34" s="1331">
        <f t="shared" si="11"/>
        <v>0</v>
      </c>
      <c r="BS34" s="523"/>
      <c r="BT34" s="523"/>
      <c r="BU34" s="523"/>
      <c r="BV34" s="523"/>
      <c r="BW34" s="1333">
        <f t="shared" ca="1" si="53"/>
        <v>2049</v>
      </c>
      <c r="BX34" s="1331">
        <f t="shared" si="27"/>
        <v>2101109.8357693721</v>
      </c>
      <c r="BY34" s="1331">
        <f t="shared" ca="1" si="12"/>
        <v>377602.38697238249</v>
      </c>
      <c r="BZ34" s="1334">
        <f t="shared" si="28"/>
        <v>1179078.4735722714</v>
      </c>
      <c r="CA34" s="1334">
        <f t="shared" si="29"/>
        <v>922031.36219710077</v>
      </c>
      <c r="CB34" s="1334">
        <f t="shared" si="30"/>
        <v>0</v>
      </c>
      <c r="CC34" s="1334">
        <f t="shared" si="31"/>
        <v>0</v>
      </c>
      <c r="CD34" s="1334">
        <f t="shared" si="32"/>
        <v>0</v>
      </c>
      <c r="CE34" s="1334">
        <f t="shared" si="33"/>
        <v>0</v>
      </c>
      <c r="CF34" s="1334">
        <f t="shared" si="34"/>
        <v>0</v>
      </c>
      <c r="CG34" s="1334">
        <f t="shared" si="35"/>
        <v>0</v>
      </c>
      <c r="CH34" s="1334">
        <f t="shared" si="36"/>
        <v>0</v>
      </c>
      <c r="CI34" s="1334">
        <f t="shared" si="37"/>
        <v>0</v>
      </c>
      <c r="CJ34" s="1334">
        <f t="shared" si="38"/>
        <v>0</v>
      </c>
      <c r="CK34" s="1334">
        <f t="shared" si="39"/>
        <v>0</v>
      </c>
      <c r="CL34" s="1334"/>
      <c r="CM34" s="1334">
        <f t="shared" si="40"/>
        <v>0</v>
      </c>
      <c r="CN34" s="1334">
        <f t="shared" si="41"/>
        <v>0</v>
      </c>
      <c r="CO34" s="1334">
        <f t="shared" si="42"/>
        <v>377602.38697238249</v>
      </c>
      <c r="CP34" s="1334">
        <f t="shared" si="43"/>
        <v>0</v>
      </c>
      <c r="CQ34" s="1334">
        <f t="shared" si="44"/>
        <v>0</v>
      </c>
      <c r="CR34" s="1334">
        <f t="shared" si="45"/>
        <v>0</v>
      </c>
      <c r="CS34" s="1334">
        <f t="shared" si="46"/>
        <v>0</v>
      </c>
      <c r="CT34" s="1334">
        <f t="shared" si="47"/>
        <v>0</v>
      </c>
      <c r="CU34" s="1334">
        <f t="shared" si="48"/>
        <v>0</v>
      </c>
      <c r="CV34" s="1334">
        <f t="shared" si="49"/>
        <v>0</v>
      </c>
      <c r="CW34" s="1334">
        <f t="shared" si="50"/>
        <v>0</v>
      </c>
      <c r="CX34" s="1334">
        <f t="shared" si="51"/>
        <v>0</v>
      </c>
      <c r="CY34" s="1334"/>
      <c r="CZ34" s="1334"/>
      <c r="DA34" s="1334">
        <f ca="1">Rental!Y64</f>
        <v>0</v>
      </c>
      <c r="DB34" s="1334">
        <f ca="1">Rental!AD64</f>
        <v>0</v>
      </c>
      <c r="DC34" s="1972"/>
      <c r="DD34" s="1761"/>
      <c r="DE34" s="1761"/>
      <c r="DF34" s="1335"/>
      <c r="DG34" s="1335"/>
      <c r="DH34" s="1335"/>
      <c r="DI34" s="1335"/>
      <c r="DJ34" s="1335"/>
      <c r="DK34" s="1335"/>
      <c r="DL34" s="1335"/>
      <c r="DM34" s="1335"/>
      <c r="DN34" s="1335"/>
      <c r="DO34" s="1335"/>
      <c r="DP34" s="1335"/>
      <c r="DQ34" s="1335"/>
      <c r="DR34" s="1335"/>
      <c r="DS34" s="1335"/>
      <c r="DT34" s="1335"/>
    </row>
    <row r="35" spans="1:124" s="1185" customFormat="1" ht="18" customHeight="1">
      <c r="A35" s="523">
        <f ca="1">IF(E35=YEAR(Retire!$D$12),1,0)</f>
        <v>0</v>
      </c>
      <c r="B35" s="502"/>
      <c r="C35" s="503" t="str">
        <f ca="1">IF(E35=Retire!$D$12,"==&gt;","")</f>
        <v/>
      </c>
      <c r="D35" s="504">
        <f t="shared" si="13"/>
        <v>29</v>
      </c>
      <c r="E35" s="504">
        <f t="shared" ca="1" si="66"/>
        <v>2050</v>
      </c>
      <c r="F35" s="505">
        <f t="shared" ca="1" si="14"/>
        <v>2616069</v>
      </c>
      <c r="G35" s="505"/>
      <c r="H35" s="506">
        <f>Assets!$G$37</f>
        <v>5.5E-2</v>
      </c>
      <c r="I35" s="507">
        <f>Assets!$F$37</f>
        <v>2000</v>
      </c>
      <c r="J35" s="507">
        <f t="shared" si="54"/>
        <v>1245927.7896187464</v>
      </c>
      <c r="K35" s="1220"/>
      <c r="L35" s="506">
        <f>Assets!$G$38</f>
        <v>0.05</v>
      </c>
      <c r="M35" s="507">
        <f>Assets!$F$38</f>
        <v>1500</v>
      </c>
      <c r="N35" s="507">
        <f t="shared" si="55"/>
        <v>969632.93030695582</v>
      </c>
      <c r="O35" s="1220"/>
      <c r="P35" s="506">
        <f>Assets!$G$39</f>
        <v>0.06</v>
      </c>
      <c r="Q35" s="508">
        <f>Assets!$F$39</f>
        <v>250</v>
      </c>
      <c r="R35" s="507">
        <f t="shared" si="56"/>
        <v>400508.53019072546</v>
      </c>
      <c r="S35" s="1220"/>
      <c r="T35" s="506">
        <f>Assets!$G$40</f>
        <v>0</v>
      </c>
      <c r="U35" s="510">
        <f>Assets!$F$40</f>
        <v>0</v>
      </c>
      <c r="V35" s="507">
        <f t="shared" si="57"/>
        <v>0</v>
      </c>
      <c r="W35" s="1220"/>
      <c r="X35" s="506">
        <f>Assets!$G$41</f>
        <v>0</v>
      </c>
      <c r="Y35" s="510">
        <f>Assets!$F$41</f>
        <v>0</v>
      </c>
      <c r="Z35" s="507">
        <f t="shared" si="58"/>
        <v>0</v>
      </c>
      <c r="AA35" s="1220"/>
      <c r="AB35" s="506">
        <f>Assets!$G$42</f>
        <v>0</v>
      </c>
      <c r="AC35" s="507">
        <f>Assets!$F$42</f>
        <v>0</v>
      </c>
      <c r="AD35" s="507">
        <f t="shared" si="59"/>
        <v>0</v>
      </c>
      <c r="AE35" s="1220"/>
      <c r="AF35" s="506">
        <f>Assets!$G$43</f>
        <v>0</v>
      </c>
      <c r="AG35" s="507">
        <f>Assets!$F$43</f>
        <v>0</v>
      </c>
      <c r="AH35" s="507">
        <f t="shared" si="60"/>
        <v>0</v>
      </c>
      <c r="AI35" s="1220"/>
      <c r="AJ35" s="506">
        <f>Assets!$G$44</f>
        <v>0</v>
      </c>
      <c r="AK35" s="507">
        <f>Assets!$F$44</f>
        <v>0</v>
      </c>
      <c r="AL35" s="507">
        <f t="shared" si="61"/>
        <v>0</v>
      </c>
      <c r="AM35" s="1220"/>
      <c r="AN35" s="506">
        <f>Assets!$G$45</f>
        <v>0</v>
      </c>
      <c r="AO35" s="507">
        <f>Assets!$F$45</f>
        <v>0</v>
      </c>
      <c r="AP35" s="507">
        <f t="shared" si="62"/>
        <v>0</v>
      </c>
      <c r="AQ35" s="1220"/>
      <c r="AR35" s="506">
        <f>Assets!$G$46</f>
        <v>0</v>
      </c>
      <c r="AS35" s="507">
        <f>Assets!$F$46</f>
        <v>0</v>
      </c>
      <c r="AT35" s="507">
        <f t="shared" si="63"/>
        <v>0</v>
      </c>
      <c r="AU35" s="1220"/>
      <c r="AV35" s="506">
        <f>Assets!$G$47</f>
        <v>0</v>
      </c>
      <c r="AW35" s="507">
        <f>Assets!F$47</f>
        <v>0</v>
      </c>
      <c r="AX35" s="507">
        <f t="shared" si="64"/>
        <v>0</v>
      </c>
      <c r="AY35" s="1220"/>
      <c r="AZ35" s="506">
        <f>Assets!$G$48</f>
        <v>0</v>
      </c>
      <c r="BA35" s="507">
        <f>Assets!$F$48</f>
        <v>0</v>
      </c>
      <c r="BB35" s="507">
        <f t="shared" si="65"/>
        <v>0</v>
      </c>
      <c r="BC35" s="502"/>
      <c r="BD35" s="2005"/>
      <c r="BE35" s="523"/>
      <c r="BF35" s="523"/>
      <c r="BG35" s="1331">
        <f t="shared" si="0"/>
        <v>1245927.7896187464</v>
      </c>
      <c r="BH35" s="1331">
        <f t="shared" si="1"/>
        <v>969632.93030695582</v>
      </c>
      <c r="BI35" s="1331">
        <f t="shared" si="2"/>
        <v>400508.53019072546</v>
      </c>
      <c r="BJ35" s="1331">
        <f t="shared" si="3"/>
        <v>0</v>
      </c>
      <c r="BK35" s="1331">
        <f t="shared" si="4"/>
        <v>0</v>
      </c>
      <c r="BL35" s="1331">
        <f t="shared" si="5"/>
        <v>0</v>
      </c>
      <c r="BM35" s="1331">
        <f t="shared" si="6"/>
        <v>0</v>
      </c>
      <c r="BN35" s="1331">
        <f t="shared" si="7"/>
        <v>0</v>
      </c>
      <c r="BO35" s="1331">
        <f t="shared" si="8"/>
        <v>0</v>
      </c>
      <c r="BP35" s="1331">
        <f t="shared" si="9"/>
        <v>0</v>
      </c>
      <c r="BQ35" s="1331">
        <f t="shared" si="10"/>
        <v>0</v>
      </c>
      <c r="BR35" s="1331">
        <f t="shared" si="11"/>
        <v>0</v>
      </c>
      <c r="BS35" s="523"/>
      <c r="BT35" s="523"/>
      <c r="BU35" s="523"/>
      <c r="BV35" s="523"/>
      <c r="BW35" s="1333">
        <f t="shared" ca="1" si="53"/>
        <v>2050</v>
      </c>
      <c r="BX35" s="1331">
        <f t="shared" si="27"/>
        <v>2215560.7199257021</v>
      </c>
      <c r="BY35" s="1331">
        <f t="shared" ca="1" si="12"/>
        <v>400508.53019072546</v>
      </c>
      <c r="BZ35" s="1334">
        <f t="shared" si="28"/>
        <v>1245927.7896187464</v>
      </c>
      <c r="CA35" s="1334">
        <f t="shared" si="29"/>
        <v>969632.93030695582</v>
      </c>
      <c r="CB35" s="1334">
        <f t="shared" si="30"/>
        <v>0</v>
      </c>
      <c r="CC35" s="1334">
        <f t="shared" si="31"/>
        <v>0</v>
      </c>
      <c r="CD35" s="1334">
        <f t="shared" si="32"/>
        <v>0</v>
      </c>
      <c r="CE35" s="1334">
        <f t="shared" si="33"/>
        <v>0</v>
      </c>
      <c r="CF35" s="1334">
        <f t="shared" si="34"/>
        <v>0</v>
      </c>
      <c r="CG35" s="1334">
        <f t="shared" si="35"/>
        <v>0</v>
      </c>
      <c r="CH35" s="1334">
        <f t="shared" si="36"/>
        <v>0</v>
      </c>
      <c r="CI35" s="1334">
        <f t="shared" si="37"/>
        <v>0</v>
      </c>
      <c r="CJ35" s="1334">
        <f t="shared" si="38"/>
        <v>0</v>
      </c>
      <c r="CK35" s="1334">
        <f t="shared" si="39"/>
        <v>0</v>
      </c>
      <c r="CL35" s="1334"/>
      <c r="CM35" s="1334">
        <f t="shared" si="40"/>
        <v>0</v>
      </c>
      <c r="CN35" s="1334">
        <f t="shared" si="41"/>
        <v>0</v>
      </c>
      <c r="CO35" s="1334">
        <f t="shared" si="42"/>
        <v>400508.53019072546</v>
      </c>
      <c r="CP35" s="1334">
        <f t="shared" si="43"/>
        <v>0</v>
      </c>
      <c r="CQ35" s="1334">
        <f t="shared" si="44"/>
        <v>0</v>
      </c>
      <c r="CR35" s="1334">
        <f t="shared" si="45"/>
        <v>0</v>
      </c>
      <c r="CS35" s="1334">
        <f t="shared" si="46"/>
        <v>0</v>
      </c>
      <c r="CT35" s="1334">
        <f t="shared" si="47"/>
        <v>0</v>
      </c>
      <c r="CU35" s="1334">
        <f t="shared" si="48"/>
        <v>0</v>
      </c>
      <c r="CV35" s="1334">
        <f t="shared" si="49"/>
        <v>0</v>
      </c>
      <c r="CW35" s="1334">
        <f t="shared" si="50"/>
        <v>0</v>
      </c>
      <c r="CX35" s="1334">
        <f t="shared" si="51"/>
        <v>0</v>
      </c>
      <c r="CY35" s="1334"/>
      <c r="CZ35" s="1334"/>
      <c r="DA35" s="1334">
        <f ca="1">Rental!Y65</f>
        <v>0</v>
      </c>
      <c r="DB35" s="1334">
        <f ca="1">Rental!AD65</f>
        <v>0</v>
      </c>
      <c r="DC35" s="1972"/>
      <c r="DD35" s="1761"/>
      <c r="DE35" s="1761"/>
      <c r="DF35" s="1335"/>
      <c r="DG35" s="1335"/>
      <c r="DH35" s="1335"/>
      <c r="DI35" s="1335"/>
      <c r="DJ35" s="1335"/>
      <c r="DK35" s="1335"/>
      <c r="DL35" s="1335"/>
      <c r="DM35" s="1335"/>
      <c r="DN35" s="1335"/>
      <c r="DO35" s="1335"/>
      <c r="DP35" s="1335"/>
      <c r="DQ35" s="1335"/>
      <c r="DR35" s="1335"/>
      <c r="DS35" s="1335"/>
      <c r="DT35" s="1335"/>
    </row>
    <row r="36" spans="1:124" s="1185" customFormat="1" ht="18" customHeight="1">
      <c r="A36" s="523">
        <f ca="1">IF(E36=YEAR(Retire!$D$12),1,0)</f>
        <v>0</v>
      </c>
      <c r="B36" s="502"/>
      <c r="C36" s="503" t="str">
        <f ca="1">IF(E36=Retire!$D$12,"==&gt;","")</f>
        <v/>
      </c>
      <c r="D36" s="512">
        <f t="shared" si="13"/>
        <v>30</v>
      </c>
      <c r="E36" s="512">
        <f t="shared" ca="1" si="66"/>
        <v>2051</v>
      </c>
      <c r="F36" s="513">
        <f t="shared" ca="1" si="14"/>
        <v>2760857</v>
      </c>
      <c r="G36" s="505"/>
      <c r="H36" s="514">
        <f>Assets!$G$37</f>
        <v>5.5E-2</v>
      </c>
      <c r="I36" s="515">
        <f>Assets!$F$37</f>
        <v>2000</v>
      </c>
      <c r="J36" s="515">
        <f t="shared" si="54"/>
        <v>1316453.8180477775</v>
      </c>
      <c r="K36" s="1220"/>
      <c r="L36" s="514">
        <f>Assets!$G$38</f>
        <v>0.05</v>
      </c>
      <c r="M36" s="515">
        <f>Assets!$F$38</f>
        <v>1500</v>
      </c>
      <c r="N36" s="515">
        <f t="shared" si="55"/>
        <v>1019614.5768223036</v>
      </c>
      <c r="O36" s="1220"/>
      <c r="P36" s="514">
        <f>Assets!$G$39</f>
        <v>0.06</v>
      </c>
      <c r="Q36" s="516">
        <f>Assets!$F$39</f>
        <v>250</v>
      </c>
      <c r="R36" s="515">
        <f t="shared" si="56"/>
        <v>424789.04200216901</v>
      </c>
      <c r="S36" s="1220"/>
      <c r="T36" s="514">
        <f>Assets!$G$40</f>
        <v>0</v>
      </c>
      <c r="U36" s="517">
        <f>Assets!$F$40</f>
        <v>0</v>
      </c>
      <c r="V36" s="515">
        <f t="shared" si="57"/>
        <v>0</v>
      </c>
      <c r="W36" s="1220"/>
      <c r="X36" s="514">
        <f>Assets!$G$41</f>
        <v>0</v>
      </c>
      <c r="Y36" s="517">
        <f>Assets!$F$41</f>
        <v>0</v>
      </c>
      <c r="Z36" s="515">
        <f t="shared" si="58"/>
        <v>0</v>
      </c>
      <c r="AA36" s="1220"/>
      <c r="AB36" s="514">
        <f>Assets!$G$42</f>
        <v>0</v>
      </c>
      <c r="AC36" s="515">
        <f>Assets!$F$42</f>
        <v>0</v>
      </c>
      <c r="AD36" s="515">
        <f t="shared" si="59"/>
        <v>0</v>
      </c>
      <c r="AE36" s="1220"/>
      <c r="AF36" s="514">
        <f>Assets!$G$43</f>
        <v>0</v>
      </c>
      <c r="AG36" s="515">
        <f>Assets!$F$43</f>
        <v>0</v>
      </c>
      <c r="AH36" s="515">
        <f t="shared" si="60"/>
        <v>0</v>
      </c>
      <c r="AI36" s="1220"/>
      <c r="AJ36" s="514">
        <f>Assets!$G$44</f>
        <v>0</v>
      </c>
      <c r="AK36" s="515">
        <f>Assets!$F$44</f>
        <v>0</v>
      </c>
      <c r="AL36" s="515">
        <f t="shared" si="61"/>
        <v>0</v>
      </c>
      <c r="AM36" s="1220"/>
      <c r="AN36" s="514">
        <f>Assets!$G$45</f>
        <v>0</v>
      </c>
      <c r="AO36" s="515">
        <f>Assets!$F$45</f>
        <v>0</v>
      </c>
      <c r="AP36" s="515">
        <f t="shared" si="62"/>
        <v>0</v>
      </c>
      <c r="AQ36" s="1220"/>
      <c r="AR36" s="514">
        <f>Assets!$G$46</f>
        <v>0</v>
      </c>
      <c r="AS36" s="515">
        <f>Assets!$F$46</f>
        <v>0</v>
      </c>
      <c r="AT36" s="515">
        <f t="shared" si="63"/>
        <v>0</v>
      </c>
      <c r="AU36" s="1220"/>
      <c r="AV36" s="514">
        <f>Assets!$G$47</f>
        <v>0</v>
      </c>
      <c r="AW36" s="515">
        <f>Assets!F$47</f>
        <v>0</v>
      </c>
      <c r="AX36" s="515">
        <f t="shared" si="64"/>
        <v>0</v>
      </c>
      <c r="AY36" s="1220"/>
      <c r="AZ36" s="514">
        <f>Assets!$G$48</f>
        <v>0</v>
      </c>
      <c r="BA36" s="515">
        <f>Assets!$F$48</f>
        <v>0</v>
      </c>
      <c r="BB36" s="515">
        <f t="shared" si="65"/>
        <v>0</v>
      </c>
      <c r="BC36" s="502"/>
      <c r="BD36" s="2005"/>
      <c r="BE36" s="523"/>
      <c r="BF36" s="523"/>
      <c r="BG36" s="1331">
        <f t="shared" si="0"/>
        <v>1316453.8180477775</v>
      </c>
      <c r="BH36" s="1331">
        <f t="shared" si="1"/>
        <v>1019614.5768223036</v>
      </c>
      <c r="BI36" s="1331">
        <f t="shared" si="2"/>
        <v>424789.04200216901</v>
      </c>
      <c r="BJ36" s="1331">
        <f t="shared" si="3"/>
        <v>0</v>
      </c>
      <c r="BK36" s="1331">
        <f t="shared" si="4"/>
        <v>0</v>
      </c>
      <c r="BL36" s="1331">
        <f t="shared" si="5"/>
        <v>0</v>
      </c>
      <c r="BM36" s="1331">
        <f t="shared" si="6"/>
        <v>0</v>
      </c>
      <c r="BN36" s="1331">
        <f t="shared" si="7"/>
        <v>0</v>
      </c>
      <c r="BO36" s="1331">
        <f t="shared" si="8"/>
        <v>0</v>
      </c>
      <c r="BP36" s="1331">
        <f t="shared" si="9"/>
        <v>0</v>
      </c>
      <c r="BQ36" s="1331">
        <f t="shared" si="10"/>
        <v>0</v>
      </c>
      <c r="BR36" s="1331">
        <f t="shared" si="11"/>
        <v>0</v>
      </c>
      <c r="BS36" s="523"/>
      <c r="BT36" s="523"/>
      <c r="BU36" s="523"/>
      <c r="BV36" s="523"/>
      <c r="BW36" s="1333">
        <f t="shared" ca="1" si="53"/>
        <v>2051</v>
      </c>
      <c r="BX36" s="1331">
        <f t="shared" si="27"/>
        <v>2336068.394870081</v>
      </c>
      <c r="BY36" s="1331">
        <f t="shared" ca="1" si="12"/>
        <v>424789.04200216901</v>
      </c>
      <c r="BZ36" s="1334">
        <f t="shared" si="28"/>
        <v>1316453.8180477775</v>
      </c>
      <c r="CA36" s="1334">
        <f t="shared" si="29"/>
        <v>1019614.5768223036</v>
      </c>
      <c r="CB36" s="1334">
        <f t="shared" si="30"/>
        <v>0</v>
      </c>
      <c r="CC36" s="1334">
        <f t="shared" si="31"/>
        <v>0</v>
      </c>
      <c r="CD36" s="1334">
        <f t="shared" si="32"/>
        <v>0</v>
      </c>
      <c r="CE36" s="1334">
        <f t="shared" si="33"/>
        <v>0</v>
      </c>
      <c r="CF36" s="1334">
        <f t="shared" si="34"/>
        <v>0</v>
      </c>
      <c r="CG36" s="1334">
        <f t="shared" si="35"/>
        <v>0</v>
      </c>
      <c r="CH36" s="1334">
        <f t="shared" si="36"/>
        <v>0</v>
      </c>
      <c r="CI36" s="1334">
        <f t="shared" si="37"/>
        <v>0</v>
      </c>
      <c r="CJ36" s="1334">
        <f t="shared" si="38"/>
        <v>0</v>
      </c>
      <c r="CK36" s="1334">
        <f t="shared" si="39"/>
        <v>0</v>
      </c>
      <c r="CL36" s="1334"/>
      <c r="CM36" s="1334">
        <f t="shared" si="40"/>
        <v>0</v>
      </c>
      <c r="CN36" s="1334">
        <f t="shared" si="41"/>
        <v>0</v>
      </c>
      <c r="CO36" s="1334">
        <f t="shared" si="42"/>
        <v>424789.04200216901</v>
      </c>
      <c r="CP36" s="1334">
        <f t="shared" si="43"/>
        <v>0</v>
      </c>
      <c r="CQ36" s="1334">
        <f t="shared" si="44"/>
        <v>0</v>
      </c>
      <c r="CR36" s="1334">
        <f t="shared" si="45"/>
        <v>0</v>
      </c>
      <c r="CS36" s="1334">
        <f t="shared" si="46"/>
        <v>0</v>
      </c>
      <c r="CT36" s="1334">
        <f t="shared" si="47"/>
        <v>0</v>
      </c>
      <c r="CU36" s="1334">
        <f t="shared" si="48"/>
        <v>0</v>
      </c>
      <c r="CV36" s="1334">
        <f t="shared" si="49"/>
        <v>0</v>
      </c>
      <c r="CW36" s="1334">
        <f t="shared" si="50"/>
        <v>0</v>
      </c>
      <c r="CX36" s="1334">
        <f t="shared" si="51"/>
        <v>0</v>
      </c>
      <c r="CY36" s="1334"/>
      <c r="CZ36" s="1334"/>
      <c r="DA36" s="1334">
        <f ca="1">Rental!Y66</f>
        <v>0</v>
      </c>
      <c r="DB36" s="1334">
        <f ca="1">Rental!AD66</f>
        <v>0</v>
      </c>
      <c r="DC36" s="1972"/>
      <c r="DD36" s="1761"/>
      <c r="DE36" s="1761"/>
      <c r="DF36" s="1335"/>
      <c r="DG36" s="1335"/>
      <c r="DH36" s="1335"/>
      <c r="DI36" s="1335"/>
      <c r="DJ36" s="1335"/>
      <c r="DK36" s="1335"/>
      <c r="DL36" s="1335"/>
      <c r="DM36" s="1335"/>
      <c r="DN36" s="1335"/>
      <c r="DO36" s="1335"/>
      <c r="DP36" s="1335"/>
      <c r="DQ36" s="1335"/>
      <c r="DR36" s="1335"/>
      <c r="DS36" s="1335"/>
      <c r="DT36" s="1335"/>
    </row>
    <row r="37" spans="1:124" s="1185" customFormat="1" ht="18" customHeight="1">
      <c r="A37" s="523">
        <f ca="1">IF(E37=YEAR(Retire!$D$12),1,0)</f>
        <v>0</v>
      </c>
      <c r="B37" s="502"/>
      <c r="C37" s="503" t="str">
        <f ca="1">IF(E37=Retire!$D$12,"==&gt;","")</f>
        <v/>
      </c>
      <c r="D37" s="504">
        <f t="shared" si="13"/>
        <v>31</v>
      </c>
      <c r="E37" s="504">
        <f t="shared" ca="1" si="66"/>
        <v>2052</v>
      </c>
      <c r="F37" s="505">
        <f t="shared" ca="1" si="14"/>
        <v>2913480</v>
      </c>
      <c r="G37" s="505"/>
      <c r="H37" s="506">
        <f>Assets!$G$37</f>
        <v>5.5E-2</v>
      </c>
      <c r="I37" s="507">
        <f>Assets!$F$37</f>
        <v>2000</v>
      </c>
      <c r="J37" s="507">
        <f t="shared" si="54"/>
        <v>1390858.7780404054</v>
      </c>
      <c r="K37" s="1220"/>
      <c r="L37" s="506">
        <f>Assets!$G$38</f>
        <v>0.05</v>
      </c>
      <c r="M37" s="507">
        <f>Assets!$F$38</f>
        <v>1500</v>
      </c>
      <c r="N37" s="507">
        <f t="shared" si="55"/>
        <v>1072095.3056634187</v>
      </c>
      <c r="O37" s="1220"/>
      <c r="P37" s="506">
        <f>Assets!$G$39</f>
        <v>0.06</v>
      </c>
      <c r="Q37" s="508">
        <f>Assets!$F$39</f>
        <v>250</v>
      </c>
      <c r="R37" s="507">
        <f t="shared" si="56"/>
        <v>450526.38452229917</v>
      </c>
      <c r="S37" s="1220"/>
      <c r="T37" s="506">
        <f>Assets!$G$40</f>
        <v>0</v>
      </c>
      <c r="U37" s="510">
        <f>Assets!$F$40</f>
        <v>0</v>
      </c>
      <c r="V37" s="507">
        <f t="shared" si="57"/>
        <v>0</v>
      </c>
      <c r="W37" s="1220"/>
      <c r="X37" s="506">
        <f>Assets!$G$41</f>
        <v>0</v>
      </c>
      <c r="Y37" s="510">
        <f>Assets!$F$41</f>
        <v>0</v>
      </c>
      <c r="Z37" s="507">
        <f t="shared" si="58"/>
        <v>0</v>
      </c>
      <c r="AA37" s="1220"/>
      <c r="AB37" s="506">
        <f>Assets!$G$42</f>
        <v>0</v>
      </c>
      <c r="AC37" s="507">
        <f>Assets!$F$42</f>
        <v>0</v>
      </c>
      <c r="AD37" s="507">
        <f t="shared" si="59"/>
        <v>0</v>
      </c>
      <c r="AE37" s="1220"/>
      <c r="AF37" s="506">
        <f>Assets!$G$43</f>
        <v>0</v>
      </c>
      <c r="AG37" s="507">
        <f>Assets!$F$43</f>
        <v>0</v>
      </c>
      <c r="AH37" s="507">
        <f t="shared" si="60"/>
        <v>0</v>
      </c>
      <c r="AI37" s="1220"/>
      <c r="AJ37" s="506">
        <f>Assets!$G$44</f>
        <v>0</v>
      </c>
      <c r="AK37" s="507">
        <f>Assets!$F$44</f>
        <v>0</v>
      </c>
      <c r="AL37" s="507">
        <f t="shared" si="61"/>
        <v>0</v>
      </c>
      <c r="AM37" s="1220"/>
      <c r="AN37" s="506">
        <f>Assets!$G$45</f>
        <v>0</v>
      </c>
      <c r="AO37" s="507">
        <f>Assets!$F$45</f>
        <v>0</v>
      </c>
      <c r="AP37" s="507">
        <f t="shared" si="62"/>
        <v>0</v>
      </c>
      <c r="AQ37" s="1220"/>
      <c r="AR37" s="506">
        <f>Assets!$G$46</f>
        <v>0</v>
      </c>
      <c r="AS37" s="507">
        <f>Assets!$F$46</f>
        <v>0</v>
      </c>
      <c r="AT37" s="507">
        <f t="shared" si="63"/>
        <v>0</v>
      </c>
      <c r="AU37" s="1220"/>
      <c r="AV37" s="506">
        <f>Assets!$G$47</f>
        <v>0</v>
      </c>
      <c r="AW37" s="507">
        <f>Assets!F$47</f>
        <v>0</v>
      </c>
      <c r="AX37" s="507">
        <f t="shared" si="64"/>
        <v>0</v>
      </c>
      <c r="AY37" s="1220"/>
      <c r="AZ37" s="506">
        <f>Assets!$G$48</f>
        <v>0</v>
      </c>
      <c r="BA37" s="507">
        <f>Assets!$F$48</f>
        <v>0</v>
      </c>
      <c r="BB37" s="507">
        <f t="shared" si="65"/>
        <v>0</v>
      </c>
      <c r="BC37" s="502"/>
      <c r="BD37" s="2005"/>
      <c r="BE37" s="523"/>
      <c r="BF37" s="523"/>
      <c r="BG37" s="1331">
        <f t="shared" si="0"/>
        <v>1390858.7780404054</v>
      </c>
      <c r="BH37" s="1331">
        <f t="shared" si="1"/>
        <v>1072095.3056634187</v>
      </c>
      <c r="BI37" s="1331">
        <f t="shared" si="2"/>
        <v>450526.38452229917</v>
      </c>
      <c r="BJ37" s="1331">
        <f t="shared" si="3"/>
        <v>0</v>
      </c>
      <c r="BK37" s="1331">
        <f t="shared" si="4"/>
        <v>0</v>
      </c>
      <c r="BL37" s="1331">
        <f t="shared" si="5"/>
        <v>0</v>
      </c>
      <c r="BM37" s="1331">
        <f t="shared" si="6"/>
        <v>0</v>
      </c>
      <c r="BN37" s="1331">
        <f t="shared" si="7"/>
        <v>0</v>
      </c>
      <c r="BO37" s="1331">
        <f t="shared" si="8"/>
        <v>0</v>
      </c>
      <c r="BP37" s="1331">
        <f t="shared" si="9"/>
        <v>0</v>
      </c>
      <c r="BQ37" s="1331">
        <f t="shared" si="10"/>
        <v>0</v>
      </c>
      <c r="BR37" s="1331">
        <f t="shared" si="11"/>
        <v>0</v>
      </c>
      <c r="BS37" s="523"/>
      <c r="BT37" s="523"/>
      <c r="BU37" s="523"/>
      <c r="BV37" s="523"/>
      <c r="BW37" s="1333">
        <f t="shared" ca="1" si="53"/>
        <v>2052</v>
      </c>
      <c r="BX37" s="1331">
        <f t="shared" si="27"/>
        <v>2462954.0837038243</v>
      </c>
      <c r="BY37" s="1331">
        <f t="shared" ca="1" si="12"/>
        <v>450526.38452229917</v>
      </c>
      <c r="BZ37" s="1334">
        <f t="shared" si="28"/>
        <v>1390858.7780404054</v>
      </c>
      <c r="CA37" s="1334">
        <f t="shared" si="29"/>
        <v>1072095.3056634187</v>
      </c>
      <c r="CB37" s="1334">
        <f t="shared" si="30"/>
        <v>0</v>
      </c>
      <c r="CC37" s="1334">
        <f t="shared" si="31"/>
        <v>0</v>
      </c>
      <c r="CD37" s="1334">
        <f t="shared" si="32"/>
        <v>0</v>
      </c>
      <c r="CE37" s="1334">
        <f t="shared" si="33"/>
        <v>0</v>
      </c>
      <c r="CF37" s="1334">
        <f t="shared" si="34"/>
        <v>0</v>
      </c>
      <c r="CG37" s="1334">
        <f t="shared" si="35"/>
        <v>0</v>
      </c>
      <c r="CH37" s="1334">
        <f t="shared" si="36"/>
        <v>0</v>
      </c>
      <c r="CI37" s="1334">
        <f t="shared" si="37"/>
        <v>0</v>
      </c>
      <c r="CJ37" s="1334">
        <f t="shared" si="38"/>
        <v>0</v>
      </c>
      <c r="CK37" s="1334">
        <f t="shared" si="39"/>
        <v>0</v>
      </c>
      <c r="CL37" s="1334"/>
      <c r="CM37" s="1334">
        <f t="shared" si="40"/>
        <v>0</v>
      </c>
      <c r="CN37" s="1334">
        <f t="shared" si="41"/>
        <v>0</v>
      </c>
      <c r="CO37" s="1334">
        <f t="shared" si="42"/>
        <v>450526.38452229917</v>
      </c>
      <c r="CP37" s="1334">
        <f t="shared" si="43"/>
        <v>0</v>
      </c>
      <c r="CQ37" s="1334">
        <f t="shared" si="44"/>
        <v>0</v>
      </c>
      <c r="CR37" s="1334">
        <f t="shared" si="45"/>
        <v>0</v>
      </c>
      <c r="CS37" s="1334">
        <f t="shared" si="46"/>
        <v>0</v>
      </c>
      <c r="CT37" s="1334">
        <f t="shared" si="47"/>
        <v>0</v>
      </c>
      <c r="CU37" s="1334">
        <f t="shared" si="48"/>
        <v>0</v>
      </c>
      <c r="CV37" s="1334">
        <f t="shared" si="49"/>
        <v>0</v>
      </c>
      <c r="CW37" s="1334">
        <f t="shared" si="50"/>
        <v>0</v>
      </c>
      <c r="CX37" s="1334">
        <f t="shared" si="51"/>
        <v>0</v>
      </c>
      <c r="CY37" s="1334"/>
      <c r="CZ37" s="1334"/>
      <c r="DA37" s="1334">
        <f ca="1">Rental!Y67</f>
        <v>0</v>
      </c>
      <c r="DB37" s="1334">
        <f ca="1">Rental!AD67</f>
        <v>0</v>
      </c>
      <c r="DC37" s="1972"/>
      <c r="DD37" s="1761"/>
      <c r="DE37" s="1761"/>
      <c r="DF37" s="1335"/>
      <c r="DG37" s="1335"/>
      <c r="DH37" s="1335"/>
      <c r="DI37" s="1335"/>
      <c r="DJ37" s="1335"/>
      <c r="DK37" s="1335"/>
      <c r="DL37" s="1335"/>
      <c r="DM37" s="1335"/>
      <c r="DN37" s="1335"/>
      <c r="DO37" s="1335"/>
      <c r="DP37" s="1335"/>
      <c r="DQ37" s="1335"/>
      <c r="DR37" s="1335"/>
      <c r="DS37" s="1335"/>
      <c r="DT37" s="1335"/>
    </row>
    <row r="38" spans="1:124" s="1185" customFormat="1" ht="18" customHeight="1">
      <c r="A38" s="523">
        <f ca="1">IF(E38=YEAR(Retire!$D$12),1,0)</f>
        <v>0</v>
      </c>
      <c r="B38" s="502"/>
      <c r="C38" s="503" t="str">
        <f ca="1">IF(E38=Retire!$D$12,"==&gt;","")</f>
        <v/>
      </c>
      <c r="D38" s="512">
        <f t="shared" si="13"/>
        <v>32</v>
      </c>
      <c r="E38" s="512">
        <f t="shared" ca="1" si="66"/>
        <v>2053</v>
      </c>
      <c r="F38" s="513">
        <f t="shared" ca="1" si="14"/>
        <v>3074364</v>
      </c>
      <c r="G38" s="505"/>
      <c r="H38" s="514">
        <f>Assets!$G$37</f>
        <v>5.5E-2</v>
      </c>
      <c r="I38" s="515">
        <f>Assets!$F$37</f>
        <v>2000</v>
      </c>
      <c r="J38" s="515">
        <f t="shared" si="54"/>
        <v>1469356.0108326278</v>
      </c>
      <c r="K38" s="1220"/>
      <c r="L38" s="514">
        <f>Assets!$G$38</f>
        <v>0.05</v>
      </c>
      <c r="M38" s="515">
        <f>Assets!$F$38</f>
        <v>1500</v>
      </c>
      <c r="N38" s="515">
        <f t="shared" si="55"/>
        <v>1127200.0709465896</v>
      </c>
      <c r="O38" s="1220"/>
      <c r="P38" s="514">
        <f>Assets!$G$39</f>
        <v>0.06</v>
      </c>
      <c r="Q38" s="516">
        <f>Assets!$F$39</f>
        <v>250</v>
      </c>
      <c r="R38" s="515">
        <f t="shared" si="56"/>
        <v>477807.96759363712</v>
      </c>
      <c r="S38" s="1220"/>
      <c r="T38" s="514">
        <f>Assets!$G$40</f>
        <v>0</v>
      </c>
      <c r="U38" s="517">
        <f>Assets!$F$40</f>
        <v>0</v>
      </c>
      <c r="V38" s="515">
        <f t="shared" si="57"/>
        <v>0</v>
      </c>
      <c r="W38" s="1220"/>
      <c r="X38" s="514">
        <f>Assets!$G$41</f>
        <v>0</v>
      </c>
      <c r="Y38" s="517">
        <f>Assets!$F$41</f>
        <v>0</v>
      </c>
      <c r="Z38" s="515">
        <f t="shared" si="58"/>
        <v>0</v>
      </c>
      <c r="AA38" s="1220"/>
      <c r="AB38" s="514">
        <f>Assets!$G$42</f>
        <v>0</v>
      </c>
      <c r="AC38" s="515">
        <f>Assets!$F$42</f>
        <v>0</v>
      </c>
      <c r="AD38" s="515">
        <f t="shared" si="59"/>
        <v>0</v>
      </c>
      <c r="AE38" s="1220"/>
      <c r="AF38" s="514">
        <f>Assets!$G$43</f>
        <v>0</v>
      </c>
      <c r="AG38" s="515">
        <f>Assets!$F$43</f>
        <v>0</v>
      </c>
      <c r="AH38" s="515">
        <f t="shared" si="60"/>
        <v>0</v>
      </c>
      <c r="AI38" s="1220"/>
      <c r="AJ38" s="514">
        <f>Assets!$G$44</f>
        <v>0</v>
      </c>
      <c r="AK38" s="515">
        <f>Assets!$F$44</f>
        <v>0</v>
      </c>
      <c r="AL38" s="515">
        <f t="shared" si="61"/>
        <v>0</v>
      </c>
      <c r="AM38" s="1220"/>
      <c r="AN38" s="514">
        <f>Assets!$G$45</f>
        <v>0</v>
      </c>
      <c r="AO38" s="515">
        <f>Assets!$F$45</f>
        <v>0</v>
      </c>
      <c r="AP38" s="515">
        <f t="shared" si="62"/>
        <v>0</v>
      </c>
      <c r="AQ38" s="1220"/>
      <c r="AR38" s="514">
        <f>Assets!$G$46</f>
        <v>0</v>
      </c>
      <c r="AS38" s="515">
        <f>Assets!$F$46</f>
        <v>0</v>
      </c>
      <c r="AT38" s="515">
        <f t="shared" si="63"/>
        <v>0</v>
      </c>
      <c r="AU38" s="1220"/>
      <c r="AV38" s="514">
        <f>Assets!$G$47</f>
        <v>0</v>
      </c>
      <c r="AW38" s="515">
        <f>Assets!F$47</f>
        <v>0</v>
      </c>
      <c r="AX38" s="515">
        <f t="shared" si="64"/>
        <v>0</v>
      </c>
      <c r="AY38" s="1220"/>
      <c r="AZ38" s="514">
        <f>Assets!$G$48</f>
        <v>0</v>
      </c>
      <c r="BA38" s="515">
        <f>Assets!$F$48</f>
        <v>0</v>
      </c>
      <c r="BB38" s="515">
        <f t="shared" si="65"/>
        <v>0</v>
      </c>
      <c r="BC38" s="502"/>
      <c r="BD38" s="2005"/>
      <c r="BE38" s="523"/>
      <c r="BF38" s="523"/>
      <c r="BG38" s="1331">
        <f t="shared" si="0"/>
        <v>1469356.0108326278</v>
      </c>
      <c r="BH38" s="1331">
        <f t="shared" si="1"/>
        <v>1127200.0709465896</v>
      </c>
      <c r="BI38" s="1331">
        <f t="shared" si="2"/>
        <v>477807.96759363712</v>
      </c>
      <c r="BJ38" s="1331">
        <f t="shared" si="3"/>
        <v>0</v>
      </c>
      <c r="BK38" s="1331">
        <f t="shared" si="4"/>
        <v>0</v>
      </c>
      <c r="BL38" s="1331">
        <f t="shared" si="5"/>
        <v>0</v>
      </c>
      <c r="BM38" s="1331">
        <f t="shared" si="6"/>
        <v>0</v>
      </c>
      <c r="BN38" s="1331">
        <f t="shared" si="7"/>
        <v>0</v>
      </c>
      <c r="BO38" s="1331">
        <f t="shared" si="8"/>
        <v>0</v>
      </c>
      <c r="BP38" s="1331">
        <f t="shared" si="9"/>
        <v>0</v>
      </c>
      <c r="BQ38" s="1331">
        <f t="shared" si="10"/>
        <v>0</v>
      </c>
      <c r="BR38" s="1331">
        <f t="shared" si="11"/>
        <v>0</v>
      </c>
      <c r="BS38" s="523"/>
      <c r="BT38" s="523"/>
      <c r="BU38" s="523"/>
      <c r="BV38" s="523"/>
      <c r="BW38" s="1333">
        <f t="shared" ca="1" si="53"/>
        <v>2053</v>
      </c>
      <c r="BX38" s="1331">
        <f t="shared" si="27"/>
        <v>2596556.0817792173</v>
      </c>
      <c r="BY38" s="1331">
        <f t="shared" ca="1" si="12"/>
        <v>477807.96759363712</v>
      </c>
      <c r="BZ38" s="1334">
        <f t="shared" si="28"/>
        <v>1469356.0108326278</v>
      </c>
      <c r="CA38" s="1334">
        <f t="shared" si="29"/>
        <v>1127200.0709465896</v>
      </c>
      <c r="CB38" s="1334">
        <f t="shared" si="30"/>
        <v>0</v>
      </c>
      <c r="CC38" s="1334">
        <f t="shared" si="31"/>
        <v>0</v>
      </c>
      <c r="CD38" s="1334">
        <f t="shared" si="32"/>
        <v>0</v>
      </c>
      <c r="CE38" s="1334">
        <f t="shared" si="33"/>
        <v>0</v>
      </c>
      <c r="CF38" s="1334">
        <f t="shared" si="34"/>
        <v>0</v>
      </c>
      <c r="CG38" s="1334">
        <f t="shared" si="35"/>
        <v>0</v>
      </c>
      <c r="CH38" s="1334">
        <f t="shared" si="36"/>
        <v>0</v>
      </c>
      <c r="CI38" s="1334">
        <f t="shared" si="37"/>
        <v>0</v>
      </c>
      <c r="CJ38" s="1334">
        <f t="shared" si="38"/>
        <v>0</v>
      </c>
      <c r="CK38" s="1334">
        <f t="shared" si="39"/>
        <v>0</v>
      </c>
      <c r="CL38" s="1334"/>
      <c r="CM38" s="1334">
        <f t="shared" si="40"/>
        <v>0</v>
      </c>
      <c r="CN38" s="1334">
        <f t="shared" si="41"/>
        <v>0</v>
      </c>
      <c r="CO38" s="1334">
        <f t="shared" si="42"/>
        <v>477807.96759363712</v>
      </c>
      <c r="CP38" s="1334">
        <f t="shared" si="43"/>
        <v>0</v>
      </c>
      <c r="CQ38" s="1334">
        <f t="shared" si="44"/>
        <v>0</v>
      </c>
      <c r="CR38" s="1334">
        <f t="shared" si="45"/>
        <v>0</v>
      </c>
      <c r="CS38" s="1334">
        <f t="shared" si="46"/>
        <v>0</v>
      </c>
      <c r="CT38" s="1334">
        <f t="shared" si="47"/>
        <v>0</v>
      </c>
      <c r="CU38" s="1334">
        <f t="shared" si="48"/>
        <v>0</v>
      </c>
      <c r="CV38" s="1334">
        <f t="shared" si="49"/>
        <v>0</v>
      </c>
      <c r="CW38" s="1334">
        <f t="shared" si="50"/>
        <v>0</v>
      </c>
      <c r="CX38" s="1334">
        <f t="shared" si="51"/>
        <v>0</v>
      </c>
      <c r="CY38" s="1334"/>
      <c r="CZ38" s="1334"/>
      <c r="DA38" s="1334">
        <f ca="1">Rental!Y68</f>
        <v>0</v>
      </c>
      <c r="DB38" s="1334">
        <f ca="1">Rental!AD68</f>
        <v>0</v>
      </c>
      <c r="DC38" s="1972"/>
      <c r="DD38" s="1761"/>
      <c r="DE38" s="1761"/>
      <c r="DF38" s="1335"/>
      <c r="DG38" s="1335"/>
      <c r="DH38" s="1335"/>
      <c r="DI38" s="1335"/>
      <c r="DJ38" s="1335"/>
      <c r="DK38" s="1335"/>
      <c r="DL38" s="1335"/>
      <c r="DM38" s="1335"/>
      <c r="DN38" s="1335"/>
      <c r="DO38" s="1335"/>
      <c r="DP38" s="1335"/>
      <c r="DQ38" s="1335"/>
      <c r="DR38" s="1335"/>
      <c r="DS38" s="1335"/>
      <c r="DT38" s="1335"/>
    </row>
    <row r="39" spans="1:124" s="1185" customFormat="1" ht="18" customHeight="1">
      <c r="A39" s="523">
        <f ca="1">IF(E39=YEAR(Retire!$D$12),1,0)</f>
        <v>0</v>
      </c>
      <c r="B39" s="502"/>
      <c r="C39" s="503" t="str">
        <f ca="1">IF(E39=Retire!$D$12,"==&gt;","")</f>
        <v/>
      </c>
      <c r="D39" s="504">
        <f t="shared" si="13"/>
        <v>33</v>
      </c>
      <c r="E39" s="504">
        <f t="shared" ca="1" si="66"/>
        <v>2054</v>
      </c>
      <c r="F39" s="505">
        <f t="shared" ca="1" si="14"/>
        <v>3243957</v>
      </c>
      <c r="G39" s="505"/>
      <c r="H39" s="506">
        <f>Assets!$G$37</f>
        <v>5.5E-2</v>
      </c>
      <c r="I39" s="507">
        <f>Assets!$F$37</f>
        <v>2000</v>
      </c>
      <c r="J39" s="507">
        <f t="shared" si="54"/>
        <v>1552170.5914284224</v>
      </c>
      <c r="K39" s="1220"/>
      <c r="L39" s="506">
        <f>Assets!$G$38</f>
        <v>0.05</v>
      </c>
      <c r="M39" s="507">
        <f>Assets!$F$38</f>
        <v>1500</v>
      </c>
      <c r="N39" s="507">
        <f t="shared" si="55"/>
        <v>1185060.074493919</v>
      </c>
      <c r="O39" s="1220"/>
      <c r="P39" s="506">
        <f>Assets!$G$39</f>
        <v>0.06</v>
      </c>
      <c r="Q39" s="508">
        <f>Assets!$F$39</f>
        <v>250</v>
      </c>
      <c r="R39" s="507">
        <f t="shared" si="56"/>
        <v>506726.44564925536</v>
      </c>
      <c r="S39" s="1220"/>
      <c r="T39" s="506">
        <f>Assets!$G$40</f>
        <v>0</v>
      </c>
      <c r="U39" s="510">
        <f>Assets!$F$40</f>
        <v>0</v>
      </c>
      <c r="V39" s="507">
        <f t="shared" si="57"/>
        <v>0</v>
      </c>
      <c r="W39" s="1220"/>
      <c r="X39" s="506">
        <f>Assets!$G$41</f>
        <v>0</v>
      </c>
      <c r="Y39" s="510">
        <f>Assets!$F$41</f>
        <v>0</v>
      </c>
      <c r="Z39" s="507">
        <f t="shared" si="58"/>
        <v>0</v>
      </c>
      <c r="AA39" s="1220"/>
      <c r="AB39" s="506">
        <f>Assets!$G$42</f>
        <v>0</v>
      </c>
      <c r="AC39" s="507">
        <f>Assets!$F$42</f>
        <v>0</v>
      </c>
      <c r="AD39" s="507">
        <f t="shared" si="59"/>
        <v>0</v>
      </c>
      <c r="AE39" s="1220"/>
      <c r="AF39" s="506">
        <f>Assets!$G$43</f>
        <v>0</v>
      </c>
      <c r="AG39" s="507">
        <f>Assets!$F$43</f>
        <v>0</v>
      </c>
      <c r="AH39" s="507">
        <f t="shared" si="60"/>
        <v>0</v>
      </c>
      <c r="AI39" s="1220"/>
      <c r="AJ39" s="506">
        <f>Assets!$G$44</f>
        <v>0</v>
      </c>
      <c r="AK39" s="507">
        <f>Assets!$F$44</f>
        <v>0</v>
      </c>
      <c r="AL39" s="507">
        <f t="shared" si="61"/>
        <v>0</v>
      </c>
      <c r="AM39" s="1220"/>
      <c r="AN39" s="506">
        <f>Assets!$G$45</f>
        <v>0</v>
      </c>
      <c r="AO39" s="507">
        <f>Assets!$F$45</f>
        <v>0</v>
      </c>
      <c r="AP39" s="507">
        <f t="shared" si="62"/>
        <v>0</v>
      </c>
      <c r="AQ39" s="1220"/>
      <c r="AR39" s="506">
        <f>Assets!$G$46</f>
        <v>0</v>
      </c>
      <c r="AS39" s="507">
        <f>Assets!$F$46</f>
        <v>0</v>
      </c>
      <c r="AT39" s="507">
        <f t="shared" si="63"/>
        <v>0</v>
      </c>
      <c r="AU39" s="1220"/>
      <c r="AV39" s="506">
        <f>Assets!$G$47</f>
        <v>0</v>
      </c>
      <c r="AW39" s="507">
        <f>Assets!F$47</f>
        <v>0</v>
      </c>
      <c r="AX39" s="507">
        <f t="shared" si="64"/>
        <v>0</v>
      </c>
      <c r="AY39" s="1220"/>
      <c r="AZ39" s="506">
        <f>Assets!$G$48</f>
        <v>0</v>
      </c>
      <c r="BA39" s="507">
        <f>Assets!$F$48</f>
        <v>0</v>
      </c>
      <c r="BB39" s="507">
        <f t="shared" si="65"/>
        <v>0</v>
      </c>
      <c r="BC39" s="502"/>
      <c r="BD39" s="2005"/>
      <c r="BE39" s="523"/>
      <c r="BF39" s="523"/>
      <c r="BG39" s="1331">
        <f t="shared" ref="BG39:BG67" si="67">IF($H$6&lt;&gt;"",J39,0)</f>
        <v>1552170.5914284224</v>
      </c>
      <c r="BH39" s="1331">
        <f t="shared" ref="BH39:BH67" si="68">IF($L$6&lt;&gt;"",N39,0)</f>
        <v>1185060.074493919</v>
      </c>
      <c r="BI39" s="1331">
        <f t="shared" ref="BI39:BI67" si="69">IF($P$6&lt;&gt;"",R39,0)</f>
        <v>506726.44564925536</v>
      </c>
      <c r="BJ39" s="1331">
        <f t="shared" ref="BJ39:BJ67" si="70">IF($T$6&lt;&gt;"",V39,0)</f>
        <v>0</v>
      </c>
      <c r="BK39" s="1331">
        <f t="shared" ref="BK39:BK67" si="71">IF($X$6&lt;&gt;"",Z39,0)</f>
        <v>0</v>
      </c>
      <c r="BL39" s="1331">
        <f t="shared" ref="BL39:BL67" si="72">IF($AB$6&lt;&gt;"",AD39,0)</f>
        <v>0</v>
      </c>
      <c r="BM39" s="1331">
        <f t="shared" ref="BM39:BM67" si="73">IF($AF$6&lt;&gt;"",AH39,0)</f>
        <v>0</v>
      </c>
      <c r="BN39" s="1331">
        <f t="shared" ref="BN39:BN67" si="74">IF($AJ$6&lt;&gt;"",AL39,0)</f>
        <v>0</v>
      </c>
      <c r="BO39" s="1331">
        <f t="shared" ref="BO39:BO67" si="75">IF($AN$6&lt;&gt;"",AP39,0)</f>
        <v>0</v>
      </c>
      <c r="BP39" s="1331">
        <f t="shared" ref="BP39:BP67" si="76">IF($AR$6&lt;&gt;"",AT39,0)</f>
        <v>0</v>
      </c>
      <c r="BQ39" s="1331">
        <f t="shared" ref="BQ39:BQ67" si="77">IF($AV$6&lt;&gt;"",AX39,0)</f>
        <v>0</v>
      </c>
      <c r="BR39" s="1331">
        <f t="shared" ref="BR39:BR67" si="78">IF($AZ$6&lt;&gt;"",BB39,0)</f>
        <v>0</v>
      </c>
      <c r="BS39" s="523"/>
      <c r="BT39" s="523"/>
      <c r="BU39" s="523"/>
      <c r="BV39" s="523"/>
      <c r="BW39" s="1333">
        <f t="shared" ca="1" si="53"/>
        <v>2054</v>
      </c>
      <c r="BX39" s="1331">
        <f t="shared" si="27"/>
        <v>2737230.6659223414</v>
      </c>
      <c r="BY39" s="1331">
        <f t="shared" ref="BY39:BY70" ca="1" si="79">SUM(CM39:DB39)</f>
        <v>506726.44564925536</v>
      </c>
      <c r="BZ39" s="1334">
        <f t="shared" si="28"/>
        <v>1552170.5914284224</v>
      </c>
      <c r="CA39" s="1334">
        <f t="shared" si="29"/>
        <v>1185060.074493919</v>
      </c>
      <c r="CB39" s="1334">
        <f t="shared" si="30"/>
        <v>0</v>
      </c>
      <c r="CC39" s="1334">
        <f t="shared" si="31"/>
        <v>0</v>
      </c>
      <c r="CD39" s="1334">
        <f t="shared" si="32"/>
        <v>0</v>
      </c>
      <c r="CE39" s="1334">
        <f t="shared" si="33"/>
        <v>0</v>
      </c>
      <c r="CF39" s="1334">
        <f t="shared" si="34"/>
        <v>0</v>
      </c>
      <c r="CG39" s="1334">
        <f t="shared" si="35"/>
        <v>0</v>
      </c>
      <c r="CH39" s="1334">
        <f t="shared" si="36"/>
        <v>0</v>
      </c>
      <c r="CI39" s="1334">
        <f t="shared" si="37"/>
        <v>0</v>
      </c>
      <c r="CJ39" s="1334">
        <f t="shared" si="38"/>
        <v>0</v>
      </c>
      <c r="CK39" s="1334">
        <f t="shared" si="39"/>
        <v>0</v>
      </c>
      <c r="CL39" s="1334"/>
      <c r="CM39" s="1334">
        <f t="shared" si="40"/>
        <v>0</v>
      </c>
      <c r="CN39" s="1334">
        <f t="shared" si="41"/>
        <v>0</v>
      </c>
      <c r="CO39" s="1334">
        <f t="shared" si="42"/>
        <v>506726.44564925536</v>
      </c>
      <c r="CP39" s="1334">
        <f t="shared" si="43"/>
        <v>0</v>
      </c>
      <c r="CQ39" s="1334">
        <f t="shared" si="44"/>
        <v>0</v>
      </c>
      <c r="CR39" s="1334">
        <f t="shared" si="45"/>
        <v>0</v>
      </c>
      <c r="CS39" s="1334">
        <f t="shared" si="46"/>
        <v>0</v>
      </c>
      <c r="CT39" s="1334">
        <f t="shared" si="47"/>
        <v>0</v>
      </c>
      <c r="CU39" s="1334">
        <f t="shared" si="48"/>
        <v>0</v>
      </c>
      <c r="CV39" s="1334">
        <f t="shared" si="49"/>
        <v>0</v>
      </c>
      <c r="CW39" s="1334">
        <f t="shared" si="50"/>
        <v>0</v>
      </c>
      <c r="CX39" s="1334">
        <f t="shared" si="51"/>
        <v>0</v>
      </c>
      <c r="CY39" s="1334"/>
      <c r="CZ39" s="1334"/>
      <c r="DA39" s="1334">
        <f ca="1">Rental!Y69</f>
        <v>0</v>
      </c>
      <c r="DB39" s="1334">
        <f ca="1">Rental!AD69</f>
        <v>0</v>
      </c>
      <c r="DC39" s="1972"/>
      <c r="DD39" s="1761"/>
      <c r="DE39" s="1761"/>
      <c r="DF39" s="1335"/>
      <c r="DG39" s="1335"/>
      <c r="DH39" s="1335"/>
      <c r="DI39" s="1335"/>
      <c r="DJ39" s="1335"/>
      <c r="DK39" s="1335"/>
      <c r="DL39" s="1335"/>
      <c r="DM39" s="1335"/>
      <c r="DN39" s="1335"/>
      <c r="DO39" s="1335"/>
      <c r="DP39" s="1335"/>
      <c r="DQ39" s="1335"/>
      <c r="DR39" s="1335"/>
      <c r="DS39" s="1335"/>
      <c r="DT39" s="1335"/>
    </row>
    <row r="40" spans="1:124" s="1185" customFormat="1" ht="18" customHeight="1">
      <c r="A40" s="523">
        <f ca="1">IF(E40=YEAR(Retire!$D$12),1,0)</f>
        <v>0</v>
      </c>
      <c r="B40" s="502"/>
      <c r="C40" s="503" t="str">
        <f ca="1">IF(E40=Retire!$D$12,"==&gt;","")</f>
        <v/>
      </c>
      <c r="D40" s="512">
        <f t="shared" si="13"/>
        <v>34</v>
      </c>
      <c r="E40" s="512">
        <f t="shared" ca="1" si="66"/>
        <v>2055</v>
      </c>
      <c r="F40" s="513">
        <f t="shared" ca="1" si="14"/>
        <v>3422733</v>
      </c>
      <c r="G40" s="505"/>
      <c r="H40" s="514">
        <f>Assets!$G$37</f>
        <v>5.5E-2</v>
      </c>
      <c r="I40" s="515">
        <f>Assets!$F$37</f>
        <v>2000</v>
      </c>
      <c r="J40" s="515">
        <f t="shared" si="54"/>
        <v>1639539.9739569856</v>
      </c>
      <c r="K40" s="1220"/>
      <c r="L40" s="514">
        <f>Assets!$G$38</f>
        <v>0.05</v>
      </c>
      <c r="M40" s="515">
        <f>Assets!$F$38</f>
        <v>1500</v>
      </c>
      <c r="N40" s="515">
        <f t="shared" si="55"/>
        <v>1245813.0782186149</v>
      </c>
      <c r="O40" s="1220"/>
      <c r="P40" s="514">
        <f>Assets!$G$39</f>
        <v>0.06</v>
      </c>
      <c r="Q40" s="516">
        <f>Assets!$F$39</f>
        <v>250</v>
      </c>
      <c r="R40" s="515">
        <f t="shared" si="56"/>
        <v>537380.03238821065</v>
      </c>
      <c r="S40" s="1220"/>
      <c r="T40" s="514">
        <f>Assets!$G$40</f>
        <v>0</v>
      </c>
      <c r="U40" s="517">
        <f>Assets!$F$40</f>
        <v>0</v>
      </c>
      <c r="V40" s="515">
        <f t="shared" si="57"/>
        <v>0</v>
      </c>
      <c r="W40" s="1220"/>
      <c r="X40" s="514">
        <f>Assets!$G$41</f>
        <v>0</v>
      </c>
      <c r="Y40" s="517">
        <f>Assets!$F$41</f>
        <v>0</v>
      </c>
      <c r="Z40" s="515">
        <f t="shared" si="58"/>
        <v>0</v>
      </c>
      <c r="AA40" s="1220"/>
      <c r="AB40" s="514">
        <f>Assets!$G$42</f>
        <v>0</v>
      </c>
      <c r="AC40" s="515">
        <f>Assets!$F$42</f>
        <v>0</v>
      </c>
      <c r="AD40" s="515">
        <f t="shared" si="59"/>
        <v>0</v>
      </c>
      <c r="AE40" s="1220"/>
      <c r="AF40" s="514">
        <f>Assets!$G$43</f>
        <v>0</v>
      </c>
      <c r="AG40" s="515">
        <f>Assets!$F$43</f>
        <v>0</v>
      </c>
      <c r="AH40" s="515">
        <f t="shared" si="60"/>
        <v>0</v>
      </c>
      <c r="AI40" s="1220"/>
      <c r="AJ40" s="514">
        <f>Assets!$G$44</f>
        <v>0</v>
      </c>
      <c r="AK40" s="515">
        <f>Assets!$F$44</f>
        <v>0</v>
      </c>
      <c r="AL40" s="515">
        <f t="shared" si="61"/>
        <v>0</v>
      </c>
      <c r="AM40" s="1220"/>
      <c r="AN40" s="514">
        <f>Assets!$G$45</f>
        <v>0</v>
      </c>
      <c r="AO40" s="515">
        <f>Assets!$F$45</f>
        <v>0</v>
      </c>
      <c r="AP40" s="515">
        <f t="shared" si="62"/>
        <v>0</v>
      </c>
      <c r="AQ40" s="1220"/>
      <c r="AR40" s="514">
        <f>Assets!$G$46</f>
        <v>0</v>
      </c>
      <c r="AS40" s="515">
        <f>Assets!$F$46</f>
        <v>0</v>
      </c>
      <c r="AT40" s="515">
        <f t="shared" si="63"/>
        <v>0</v>
      </c>
      <c r="AU40" s="1220"/>
      <c r="AV40" s="514">
        <f>Assets!$G$47</f>
        <v>0</v>
      </c>
      <c r="AW40" s="515">
        <f>Assets!F$47</f>
        <v>0</v>
      </c>
      <c r="AX40" s="515">
        <f t="shared" si="64"/>
        <v>0</v>
      </c>
      <c r="AY40" s="1220"/>
      <c r="AZ40" s="514">
        <f>Assets!$G$48</f>
        <v>0</v>
      </c>
      <c r="BA40" s="515">
        <f>Assets!$F$48</f>
        <v>0</v>
      </c>
      <c r="BB40" s="515">
        <f t="shared" si="65"/>
        <v>0</v>
      </c>
      <c r="BC40" s="502"/>
      <c r="BD40" s="2005"/>
      <c r="BE40" s="523"/>
      <c r="BF40" s="523"/>
      <c r="BG40" s="1331">
        <f t="shared" si="67"/>
        <v>1639539.9739569856</v>
      </c>
      <c r="BH40" s="1331">
        <f t="shared" si="68"/>
        <v>1245813.0782186149</v>
      </c>
      <c r="BI40" s="1331">
        <f t="shared" si="69"/>
        <v>537380.03238821065</v>
      </c>
      <c r="BJ40" s="1331">
        <f t="shared" si="70"/>
        <v>0</v>
      </c>
      <c r="BK40" s="1331">
        <f t="shared" si="71"/>
        <v>0</v>
      </c>
      <c r="BL40" s="1331">
        <f t="shared" si="72"/>
        <v>0</v>
      </c>
      <c r="BM40" s="1331">
        <f t="shared" si="73"/>
        <v>0</v>
      </c>
      <c r="BN40" s="1331">
        <f t="shared" si="74"/>
        <v>0</v>
      </c>
      <c r="BO40" s="1331">
        <f t="shared" si="75"/>
        <v>0</v>
      </c>
      <c r="BP40" s="1331">
        <f t="shared" si="76"/>
        <v>0</v>
      </c>
      <c r="BQ40" s="1331">
        <f t="shared" si="77"/>
        <v>0</v>
      </c>
      <c r="BR40" s="1331">
        <f t="shared" si="78"/>
        <v>0</v>
      </c>
      <c r="BS40" s="523"/>
      <c r="BT40" s="523"/>
      <c r="BU40" s="523"/>
      <c r="BV40" s="523"/>
      <c r="BW40" s="1333">
        <f t="shared" ca="1" si="53"/>
        <v>2055</v>
      </c>
      <c r="BX40" s="1331">
        <f t="shared" si="27"/>
        <v>2885353.0521756005</v>
      </c>
      <c r="BY40" s="1331">
        <f t="shared" ca="1" si="79"/>
        <v>537380.03238821065</v>
      </c>
      <c r="BZ40" s="1334">
        <f t="shared" si="28"/>
        <v>1639539.9739569856</v>
      </c>
      <c r="CA40" s="1334">
        <f t="shared" si="29"/>
        <v>1245813.0782186149</v>
      </c>
      <c r="CB40" s="1334">
        <f t="shared" si="30"/>
        <v>0</v>
      </c>
      <c r="CC40" s="1334">
        <f t="shared" si="31"/>
        <v>0</v>
      </c>
      <c r="CD40" s="1334">
        <f t="shared" si="32"/>
        <v>0</v>
      </c>
      <c r="CE40" s="1334">
        <f t="shared" si="33"/>
        <v>0</v>
      </c>
      <c r="CF40" s="1334">
        <f t="shared" si="34"/>
        <v>0</v>
      </c>
      <c r="CG40" s="1334">
        <f t="shared" si="35"/>
        <v>0</v>
      </c>
      <c r="CH40" s="1334">
        <f t="shared" si="36"/>
        <v>0</v>
      </c>
      <c r="CI40" s="1334">
        <f t="shared" si="37"/>
        <v>0</v>
      </c>
      <c r="CJ40" s="1334">
        <f t="shared" si="38"/>
        <v>0</v>
      </c>
      <c r="CK40" s="1334">
        <f t="shared" si="39"/>
        <v>0</v>
      </c>
      <c r="CL40" s="1334"/>
      <c r="CM40" s="1334">
        <f t="shared" si="40"/>
        <v>0</v>
      </c>
      <c r="CN40" s="1334">
        <f t="shared" si="41"/>
        <v>0</v>
      </c>
      <c r="CO40" s="1334">
        <f t="shared" si="42"/>
        <v>537380.03238821065</v>
      </c>
      <c r="CP40" s="1334">
        <f t="shared" si="43"/>
        <v>0</v>
      </c>
      <c r="CQ40" s="1334">
        <f t="shared" si="44"/>
        <v>0</v>
      </c>
      <c r="CR40" s="1334">
        <f t="shared" si="45"/>
        <v>0</v>
      </c>
      <c r="CS40" s="1334">
        <f t="shared" si="46"/>
        <v>0</v>
      </c>
      <c r="CT40" s="1334">
        <f t="shared" si="47"/>
        <v>0</v>
      </c>
      <c r="CU40" s="1334">
        <f t="shared" si="48"/>
        <v>0</v>
      </c>
      <c r="CV40" s="1334">
        <f t="shared" si="49"/>
        <v>0</v>
      </c>
      <c r="CW40" s="1334">
        <f t="shared" si="50"/>
        <v>0</v>
      </c>
      <c r="CX40" s="1334">
        <f t="shared" si="51"/>
        <v>0</v>
      </c>
      <c r="CY40" s="1334"/>
      <c r="CZ40" s="1334"/>
      <c r="DA40" s="1334">
        <f ca="1">Rental!Y70</f>
        <v>0</v>
      </c>
      <c r="DB40" s="1334">
        <f ca="1">Rental!AD70</f>
        <v>0</v>
      </c>
      <c r="DC40" s="1972"/>
      <c r="DD40" s="1761"/>
      <c r="DE40" s="1761"/>
      <c r="DF40" s="1335"/>
      <c r="DG40" s="1335"/>
      <c r="DH40" s="1335"/>
      <c r="DI40" s="1335"/>
      <c r="DJ40" s="1335"/>
      <c r="DK40" s="1335"/>
      <c r="DL40" s="1335"/>
      <c r="DM40" s="1335"/>
      <c r="DN40" s="1335"/>
      <c r="DO40" s="1335"/>
      <c r="DP40" s="1335"/>
      <c r="DQ40" s="1335"/>
      <c r="DR40" s="1335"/>
      <c r="DS40" s="1335"/>
      <c r="DT40" s="1335"/>
    </row>
    <row r="41" spans="1:124" s="1185" customFormat="1" ht="18" customHeight="1">
      <c r="A41" s="523">
        <f ca="1">IF(E41=YEAR(Retire!$D$12),1,0)</f>
        <v>0</v>
      </c>
      <c r="B41" s="502"/>
      <c r="C41" s="503" t="str">
        <f ca="1">IF(E41=Retire!$D$12,"==&gt;","")</f>
        <v/>
      </c>
      <c r="D41" s="504">
        <f t="shared" si="13"/>
        <v>35</v>
      </c>
      <c r="E41" s="504">
        <f t="shared" ref="E41:E49" ca="1" si="80">E40+1</f>
        <v>2056</v>
      </c>
      <c r="F41" s="505">
        <f t="shared" ca="1" si="14"/>
        <v>3611191</v>
      </c>
      <c r="G41" s="505"/>
      <c r="H41" s="506">
        <f>Assets!$G$37</f>
        <v>5.5E-2</v>
      </c>
      <c r="I41" s="507">
        <f>Assets!$F$37</f>
        <v>2000</v>
      </c>
      <c r="J41" s="507">
        <f t="shared" si="54"/>
        <v>1731714.6725246198</v>
      </c>
      <c r="K41" s="1220"/>
      <c r="L41" s="506">
        <f>Assets!$G$38</f>
        <v>0.05</v>
      </c>
      <c r="M41" s="507">
        <f>Assets!$F$38</f>
        <v>1500</v>
      </c>
      <c r="N41" s="507">
        <f t="shared" si="55"/>
        <v>1309603.7321295456</v>
      </c>
      <c r="O41" s="1220"/>
      <c r="P41" s="506">
        <f>Assets!$G$39</f>
        <v>0.06</v>
      </c>
      <c r="Q41" s="508">
        <f>Assets!$F$39</f>
        <v>250</v>
      </c>
      <c r="R41" s="507">
        <f t="shared" si="56"/>
        <v>569872.83433150325</v>
      </c>
      <c r="S41" s="1220"/>
      <c r="T41" s="506">
        <f>Assets!$G$40</f>
        <v>0</v>
      </c>
      <c r="U41" s="510">
        <f>Assets!$F$40</f>
        <v>0</v>
      </c>
      <c r="V41" s="507">
        <f t="shared" si="57"/>
        <v>0</v>
      </c>
      <c r="W41" s="1220"/>
      <c r="X41" s="506">
        <f>Assets!$G$41</f>
        <v>0</v>
      </c>
      <c r="Y41" s="510">
        <f>Assets!$F$41</f>
        <v>0</v>
      </c>
      <c r="Z41" s="507">
        <f t="shared" si="58"/>
        <v>0</v>
      </c>
      <c r="AA41" s="1220"/>
      <c r="AB41" s="506">
        <f>Assets!$G$42</f>
        <v>0</v>
      </c>
      <c r="AC41" s="507">
        <f>Assets!$F$42</f>
        <v>0</v>
      </c>
      <c r="AD41" s="507">
        <f t="shared" si="59"/>
        <v>0</v>
      </c>
      <c r="AE41" s="1220"/>
      <c r="AF41" s="506">
        <f>Assets!$G$43</f>
        <v>0</v>
      </c>
      <c r="AG41" s="507">
        <f>Assets!$F$43</f>
        <v>0</v>
      </c>
      <c r="AH41" s="507">
        <f t="shared" si="60"/>
        <v>0</v>
      </c>
      <c r="AI41" s="1220"/>
      <c r="AJ41" s="506">
        <f>Assets!$G$44</f>
        <v>0</v>
      </c>
      <c r="AK41" s="507">
        <f>Assets!$F$44</f>
        <v>0</v>
      </c>
      <c r="AL41" s="507">
        <f t="shared" si="61"/>
        <v>0</v>
      </c>
      <c r="AM41" s="1220"/>
      <c r="AN41" s="506">
        <f>Assets!$G$45</f>
        <v>0</v>
      </c>
      <c r="AO41" s="507">
        <f>Assets!$F$45</f>
        <v>0</v>
      </c>
      <c r="AP41" s="507">
        <f t="shared" si="62"/>
        <v>0</v>
      </c>
      <c r="AQ41" s="1220"/>
      <c r="AR41" s="506">
        <f>Assets!$G$46</f>
        <v>0</v>
      </c>
      <c r="AS41" s="507">
        <f>Assets!$F$46</f>
        <v>0</v>
      </c>
      <c r="AT41" s="507">
        <f t="shared" si="63"/>
        <v>0</v>
      </c>
      <c r="AU41" s="1220"/>
      <c r="AV41" s="506">
        <f>Assets!$G$47</f>
        <v>0</v>
      </c>
      <c r="AW41" s="507">
        <f>Assets!F$47</f>
        <v>0</v>
      </c>
      <c r="AX41" s="507">
        <f t="shared" si="64"/>
        <v>0</v>
      </c>
      <c r="AY41" s="1220"/>
      <c r="AZ41" s="506">
        <f>Assets!$G$48</f>
        <v>0</v>
      </c>
      <c r="BA41" s="507">
        <f>Assets!$F$48</f>
        <v>0</v>
      </c>
      <c r="BB41" s="507">
        <f t="shared" si="65"/>
        <v>0</v>
      </c>
      <c r="BC41" s="502"/>
      <c r="BD41" s="2005"/>
      <c r="BE41" s="523"/>
      <c r="BF41" s="523"/>
      <c r="BG41" s="1331">
        <f t="shared" si="67"/>
        <v>1731714.6725246198</v>
      </c>
      <c r="BH41" s="1331">
        <f t="shared" si="68"/>
        <v>1309603.7321295456</v>
      </c>
      <c r="BI41" s="1331">
        <f t="shared" si="69"/>
        <v>569872.83433150325</v>
      </c>
      <c r="BJ41" s="1331">
        <f t="shared" si="70"/>
        <v>0</v>
      </c>
      <c r="BK41" s="1331">
        <f t="shared" si="71"/>
        <v>0</v>
      </c>
      <c r="BL41" s="1331">
        <f t="shared" si="72"/>
        <v>0</v>
      </c>
      <c r="BM41" s="1331">
        <f t="shared" si="73"/>
        <v>0</v>
      </c>
      <c r="BN41" s="1331">
        <f t="shared" si="74"/>
        <v>0</v>
      </c>
      <c r="BO41" s="1331">
        <f t="shared" si="75"/>
        <v>0</v>
      </c>
      <c r="BP41" s="1331">
        <f t="shared" si="76"/>
        <v>0</v>
      </c>
      <c r="BQ41" s="1331">
        <f t="shared" si="77"/>
        <v>0</v>
      </c>
      <c r="BR41" s="1331">
        <f t="shared" si="78"/>
        <v>0</v>
      </c>
      <c r="BS41" s="523"/>
      <c r="BT41" s="523"/>
      <c r="BU41" s="523"/>
      <c r="BV41" s="523"/>
      <c r="BW41" s="1333">
        <f t="shared" ca="1" si="53"/>
        <v>2056</v>
      </c>
      <c r="BX41" s="1331">
        <f t="shared" si="27"/>
        <v>3041318.4046541657</v>
      </c>
      <c r="BY41" s="1331">
        <f t="shared" ca="1" si="79"/>
        <v>569872.83433150325</v>
      </c>
      <c r="BZ41" s="1334">
        <f t="shared" si="28"/>
        <v>1731714.6725246198</v>
      </c>
      <c r="CA41" s="1334">
        <f t="shared" si="29"/>
        <v>1309603.7321295456</v>
      </c>
      <c r="CB41" s="1334">
        <f t="shared" si="30"/>
        <v>0</v>
      </c>
      <c r="CC41" s="1334">
        <f t="shared" si="31"/>
        <v>0</v>
      </c>
      <c r="CD41" s="1334">
        <f t="shared" si="32"/>
        <v>0</v>
      </c>
      <c r="CE41" s="1334">
        <f t="shared" si="33"/>
        <v>0</v>
      </c>
      <c r="CF41" s="1334">
        <f t="shared" si="34"/>
        <v>0</v>
      </c>
      <c r="CG41" s="1334">
        <f t="shared" si="35"/>
        <v>0</v>
      </c>
      <c r="CH41" s="1334">
        <f t="shared" si="36"/>
        <v>0</v>
      </c>
      <c r="CI41" s="1334">
        <f t="shared" si="37"/>
        <v>0</v>
      </c>
      <c r="CJ41" s="1334">
        <f t="shared" si="38"/>
        <v>0</v>
      </c>
      <c r="CK41" s="1334">
        <f t="shared" si="39"/>
        <v>0</v>
      </c>
      <c r="CL41" s="1334"/>
      <c r="CM41" s="1334">
        <f t="shared" si="40"/>
        <v>0</v>
      </c>
      <c r="CN41" s="1334">
        <f t="shared" si="41"/>
        <v>0</v>
      </c>
      <c r="CO41" s="1334">
        <f t="shared" si="42"/>
        <v>569872.83433150325</v>
      </c>
      <c r="CP41" s="1334">
        <f t="shared" si="43"/>
        <v>0</v>
      </c>
      <c r="CQ41" s="1334">
        <f t="shared" si="44"/>
        <v>0</v>
      </c>
      <c r="CR41" s="1334">
        <f t="shared" si="45"/>
        <v>0</v>
      </c>
      <c r="CS41" s="1334">
        <f t="shared" si="46"/>
        <v>0</v>
      </c>
      <c r="CT41" s="1334">
        <f t="shared" si="47"/>
        <v>0</v>
      </c>
      <c r="CU41" s="1334">
        <f t="shared" si="48"/>
        <v>0</v>
      </c>
      <c r="CV41" s="1334">
        <f t="shared" si="49"/>
        <v>0</v>
      </c>
      <c r="CW41" s="1334">
        <f t="shared" si="50"/>
        <v>0</v>
      </c>
      <c r="CX41" s="1334">
        <f t="shared" si="51"/>
        <v>0</v>
      </c>
      <c r="CY41" s="1334"/>
      <c r="CZ41" s="1334"/>
      <c r="DA41" s="1334">
        <f ca="1">Rental!Y71</f>
        <v>0</v>
      </c>
      <c r="DB41" s="1334">
        <f ca="1">Rental!AD71</f>
        <v>0</v>
      </c>
      <c r="DC41" s="1972"/>
      <c r="DD41" s="1761"/>
      <c r="DE41" s="1761"/>
      <c r="DF41" s="1335"/>
      <c r="DG41" s="1335"/>
      <c r="DH41" s="1335"/>
      <c r="DI41" s="1335"/>
      <c r="DJ41" s="1335"/>
      <c r="DK41" s="1335"/>
      <c r="DL41" s="1335"/>
      <c r="DM41" s="1335"/>
      <c r="DN41" s="1335"/>
      <c r="DO41" s="1335"/>
      <c r="DP41" s="1335"/>
      <c r="DQ41" s="1335"/>
      <c r="DR41" s="1335"/>
      <c r="DS41" s="1335"/>
      <c r="DT41" s="1335"/>
    </row>
    <row r="42" spans="1:124" s="1185" customFormat="1" ht="18" customHeight="1">
      <c r="A42" s="523">
        <f ca="1">IF(E42=YEAR(Retire!$D$12),1,0)</f>
        <v>0</v>
      </c>
      <c r="B42" s="502"/>
      <c r="C42" s="503" t="str">
        <f ca="1">IF(E42=Retire!$D$12,"==&gt;","")</f>
        <v/>
      </c>
      <c r="D42" s="512">
        <f t="shared" si="13"/>
        <v>36</v>
      </c>
      <c r="E42" s="512">
        <f t="shared" ca="1" si="80"/>
        <v>2057</v>
      </c>
      <c r="F42" s="513">
        <f t="shared" ca="1" si="14"/>
        <v>3809858</v>
      </c>
      <c r="G42" s="505"/>
      <c r="H42" s="514">
        <f>Assets!$G$37</f>
        <v>5.5E-2</v>
      </c>
      <c r="I42" s="515">
        <f>Assets!$F$37</f>
        <v>2000</v>
      </c>
      <c r="J42" s="515">
        <f t="shared" si="54"/>
        <v>1828958.979513474</v>
      </c>
      <c r="K42" s="1220"/>
      <c r="L42" s="514">
        <f>Assets!$G$38</f>
        <v>0.05</v>
      </c>
      <c r="M42" s="515">
        <f>Assets!$F$38</f>
        <v>1500</v>
      </c>
      <c r="N42" s="515">
        <f t="shared" si="55"/>
        <v>1376583.9187360229</v>
      </c>
      <c r="O42" s="1220"/>
      <c r="P42" s="514">
        <f>Assets!$G$39</f>
        <v>0.06</v>
      </c>
      <c r="Q42" s="516">
        <f>Assets!$F$39</f>
        <v>250</v>
      </c>
      <c r="R42" s="515">
        <f t="shared" si="56"/>
        <v>604315.20439139346</v>
      </c>
      <c r="S42" s="1220"/>
      <c r="T42" s="514">
        <f>Assets!$G$40</f>
        <v>0</v>
      </c>
      <c r="U42" s="517">
        <f>Assets!$F$40</f>
        <v>0</v>
      </c>
      <c r="V42" s="515">
        <f t="shared" si="57"/>
        <v>0</v>
      </c>
      <c r="W42" s="1220"/>
      <c r="X42" s="514">
        <f>Assets!$G$41</f>
        <v>0</v>
      </c>
      <c r="Y42" s="517">
        <f>Assets!$F$41</f>
        <v>0</v>
      </c>
      <c r="Z42" s="515">
        <f t="shared" si="58"/>
        <v>0</v>
      </c>
      <c r="AA42" s="1220"/>
      <c r="AB42" s="514">
        <f>Assets!$G$42</f>
        <v>0</v>
      </c>
      <c r="AC42" s="515">
        <f>Assets!$F$42</f>
        <v>0</v>
      </c>
      <c r="AD42" s="515">
        <f t="shared" si="59"/>
        <v>0</v>
      </c>
      <c r="AE42" s="1220"/>
      <c r="AF42" s="514">
        <f>Assets!$G$43</f>
        <v>0</v>
      </c>
      <c r="AG42" s="515">
        <f>Assets!$F$43</f>
        <v>0</v>
      </c>
      <c r="AH42" s="515">
        <f t="shared" si="60"/>
        <v>0</v>
      </c>
      <c r="AI42" s="1220"/>
      <c r="AJ42" s="514">
        <f>Assets!$G$44</f>
        <v>0</v>
      </c>
      <c r="AK42" s="515">
        <f>Assets!$F$44</f>
        <v>0</v>
      </c>
      <c r="AL42" s="515">
        <f t="shared" si="61"/>
        <v>0</v>
      </c>
      <c r="AM42" s="1220"/>
      <c r="AN42" s="514">
        <f>Assets!$G$45</f>
        <v>0</v>
      </c>
      <c r="AO42" s="515">
        <f>Assets!$F$45</f>
        <v>0</v>
      </c>
      <c r="AP42" s="515">
        <f t="shared" si="62"/>
        <v>0</v>
      </c>
      <c r="AQ42" s="1220"/>
      <c r="AR42" s="514">
        <f>Assets!$G$46</f>
        <v>0</v>
      </c>
      <c r="AS42" s="515">
        <f>Assets!$F$46</f>
        <v>0</v>
      </c>
      <c r="AT42" s="515">
        <f t="shared" si="63"/>
        <v>0</v>
      </c>
      <c r="AU42" s="1220"/>
      <c r="AV42" s="514">
        <f>Assets!$G$47</f>
        <v>0</v>
      </c>
      <c r="AW42" s="515">
        <f>Assets!F$47</f>
        <v>0</v>
      </c>
      <c r="AX42" s="515">
        <f t="shared" si="64"/>
        <v>0</v>
      </c>
      <c r="AY42" s="1220"/>
      <c r="AZ42" s="514">
        <f>Assets!$G$48</f>
        <v>0</v>
      </c>
      <c r="BA42" s="515">
        <f>Assets!$F$48</f>
        <v>0</v>
      </c>
      <c r="BB42" s="515">
        <f t="shared" si="65"/>
        <v>0</v>
      </c>
      <c r="BC42" s="502"/>
      <c r="BD42" s="2005"/>
      <c r="BE42" s="523"/>
      <c r="BF42" s="523"/>
      <c r="BG42" s="1331">
        <f t="shared" si="67"/>
        <v>1828958.979513474</v>
      </c>
      <c r="BH42" s="1331">
        <f t="shared" si="68"/>
        <v>1376583.9187360229</v>
      </c>
      <c r="BI42" s="1331">
        <f t="shared" si="69"/>
        <v>604315.20439139346</v>
      </c>
      <c r="BJ42" s="1331">
        <f t="shared" si="70"/>
        <v>0</v>
      </c>
      <c r="BK42" s="1331">
        <f t="shared" si="71"/>
        <v>0</v>
      </c>
      <c r="BL42" s="1331">
        <f t="shared" si="72"/>
        <v>0</v>
      </c>
      <c r="BM42" s="1331">
        <f t="shared" si="73"/>
        <v>0</v>
      </c>
      <c r="BN42" s="1331">
        <f t="shared" si="74"/>
        <v>0</v>
      </c>
      <c r="BO42" s="1331">
        <f t="shared" si="75"/>
        <v>0</v>
      </c>
      <c r="BP42" s="1331">
        <f t="shared" si="76"/>
        <v>0</v>
      </c>
      <c r="BQ42" s="1331">
        <f t="shared" si="77"/>
        <v>0</v>
      </c>
      <c r="BR42" s="1331">
        <f t="shared" si="78"/>
        <v>0</v>
      </c>
      <c r="BS42" s="523"/>
      <c r="BT42" s="523"/>
      <c r="BU42" s="523"/>
      <c r="BV42" s="523"/>
      <c r="BW42" s="1333">
        <f t="shared" ca="1" si="53"/>
        <v>2057</v>
      </c>
      <c r="BX42" s="1331">
        <f t="shared" si="27"/>
        <v>3205542.8982494967</v>
      </c>
      <c r="BY42" s="1331">
        <f t="shared" ca="1" si="79"/>
        <v>604315.20439139346</v>
      </c>
      <c r="BZ42" s="1334">
        <f t="shared" si="28"/>
        <v>1828958.979513474</v>
      </c>
      <c r="CA42" s="1334">
        <f t="shared" si="29"/>
        <v>1376583.9187360229</v>
      </c>
      <c r="CB42" s="1334">
        <f t="shared" si="30"/>
        <v>0</v>
      </c>
      <c r="CC42" s="1334">
        <f t="shared" si="31"/>
        <v>0</v>
      </c>
      <c r="CD42" s="1334">
        <f t="shared" si="32"/>
        <v>0</v>
      </c>
      <c r="CE42" s="1334">
        <f t="shared" si="33"/>
        <v>0</v>
      </c>
      <c r="CF42" s="1334">
        <f t="shared" si="34"/>
        <v>0</v>
      </c>
      <c r="CG42" s="1334">
        <f t="shared" si="35"/>
        <v>0</v>
      </c>
      <c r="CH42" s="1334">
        <f t="shared" si="36"/>
        <v>0</v>
      </c>
      <c r="CI42" s="1334">
        <f t="shared" si="37"/>
        <v>0</v>
      </c>
      <c r="CJ42" s="1334">
        <f t="shared" si="38"/>
        <v>0</v>
      </c>
      <c r="CK42" s="1334">
        <f t="shared" si="39"/>
        <v>0</v>
      </c>
      <c r="CL42" s="1334"/>
      <c r="CM42" s="1334">
        <f t="shared" si="40"/>
        <v>0</v>
      </c>
      <c r="CN42" s="1334">
        <f t="shared" si="41"/>
        <v>0</v>
      </c>
      <c r="CO42" s="1334">
        <f t="shared" si="42"/>
        <v>604315.20439139346</v>
      </c>
      <c r="CP42" s="1334">
        <f t="shared" si="43"/>
        <v>0</v>
      </c>
      <c r="CQ42" s="1334">
        <f t="shared" si="44"/>
        <v>0</v>
      </c>
      <c r="CR42" s="1334">
        <f t="shared" si="45"/>
        <v>0</v>
      </c>
      <c r="CS42" s="1334">
        <f t="shared" si="46"/>
        <v>0</v>
      </c>
      <c r="CT42" s="1334">
        <f t="shared" si="47"/>
        <v>0</v>
      </c>
      <c r="CU42" s="1334">
        <f t="shared" si="48"/>
        <v>0</v>
      </c>
      <c r="CV42" s="1334">
        <f t="shared" si="49"/>
        <v>0</v>
      </c>
      <c r="CW42" s="1334">
        <f t="shared" si="50"/>
        <v>0</v>
      </c>
      <c r="CX42" s="1334">
        <f t="shared" si="51"/>
        <v>0</v>
      </c>
      <c r="CY42" s="1334"/>
      <c r="CZ42" s="1334"/>
      <c r="DA42" s="1334">
        <f ca="1">Rental!Y72</f>
        <v>0</v>
      </c>
      <c r="DB42" s="1334">
        <f ca="1">Rental!AD72</f>
        <v>0</v>
      </c>
      <c r="DC42" s="1972"/>
      <c r="DD42" s="1761"/>
      <c r="DE42" s="1761"/>
      <c r="DF42" s="1335"/>
      <c r="DG42" s="1335"/>
      <c r="DH42" s="1335"/>
      <c r="DI42" s="1335"/>
      <c r="DJ42" s="1335"/>
      <c r="DK42" s="1335"/>
      <c r="DL42" s="1335"/>
      <c r="DM42" s="1335"/>
      <c r="DN42" s="1335"/>
      <c r="DO42" s="1335"/>
      <c r="DP42" s="1335"/>
      <c r="DQ42" s="1335"/>
      <c r="DR42" s="1335"/>
      <c r="DS42" s="1335"/>
      <c r="DT42" s="1335"/>
    </row>
    <row r="43" spans="1:124" s="1185" customFormat="1" ht="18" customHeight="1">
      <c r="A43" s="523">
        <f ca="1">IF(E43=YEAR(Retire!$D$12),1,0)</f>
        <v>0</v>
      </c>
      <c r="B43" s="502"/>
      <c r="C43" s="503" t="str">
        <f ca="1">IF(E43=Retire!$D$12,"==&gt;","")</f>
        <v/>
      </c>
      <c r="D43" s="504">
        <f t="shared" si="13"/>
        <v>37</v>
      </c>
      <c r="E43" s="504">
        <f t="shared" ca="1" si="80"/>
        <v>2058</v>
      </c>
      <c r="F43" s="505">
        <f t="shared" ca="1" si="14"/>
        <v>4019289</v>
      </c>
      <c r="G43" s="505"/>
      <c r="H43" s="506">
        <f>Assets!$G$37</f>
        <v>5.5E-2</v>
      </c>
      <c r="I43" s="507">
        <f>Assets!$F$37</f>
        <v>2000</v>
      </c>
      <c r="J43" s="507">
        <f t="shared" si="54"/>
        <v>1931551.7233867152</v>
      </c>
      <c r="K43" s="1220"/>
      <c r="L43" s="506">
        <f>Assets!$G$38</f>
        <v>0.05</v>
      </c>
      <c r="M43" s="507">
        <f>Assets!$F$38</f>
        <v>1500</v>
      </c>
      <c r="N43" s="507">
        <f t="shared" si="55"/>
        <v>1446913.114672824</v>
      </c>
      <c r="O43" s="1220"/>
      <c r="P43" s="506">
        <f>Assets!$G$39</f>
        <v>0.06</v>
      </c>
      <c r="Q43" s="508">
        <f>Assets!$F$39</f>
        <v>250</v>
      </c>
      <c r="R43" s="507">
        <f t="shared" si="56"/>
        <v>640824.11665487709</v>
      </c>
      <c r="S43" s="1220"/>
      <c r="T43" s="506">
        <f>Assets!$G$40</f>
        <v>0</v>
      </c>
      <c r="U43" s="510">
        <f>Assets!$F$40</f>
        <v>0</v>
      </c>
      <c r="V43" s="507">
        <f t="shared" si="57"/>
        <v>0</v>
      </c>
      <c r="W43" s="1220"/>
      <c r="X43" s="506">
        <f>Assets!$G$41</f>
        <v>0</v>
      </c>
      <c r="Y43" s="510">
        <f>Assets!$F$41</f>
        <v>0</v>
      </c>
      <c r="Z43" s="507">
        <f t="shared" si="58"/>
        <v>0</v>
      </c>
      <c r="AA43" s="1220"/>
      <c r="AB43" s="506">
        <f>Assets!$G$42</f>
        <v>0</v>
      </c>
      <c r="AC43" s="507">
        <f>Assets!$F$42</f>
        <v>0</v>
      </c>
      <c r="AD43" s="507">
        <f t="shared" si="59"/>
        <v>0</v>
      </c>
      <c r="AE43" s="1220"/>
      <c r="AF43" s="506">
        <f>Assets!$G$43</f>
        <v>0</v>
      </c>
      <c r="AG43" s="507">
        <f>Assets!$F$43</f>
        <v>0</v>
      </c>
      <c r="AH43" s="507">
        <f t="shared" si="60"/>
        <v>0</v>
      </c>
      <c r="AI43" s="1220"/>
      <c r="AJ43" s="506">
        <f>Assets!$G$44</f>
        <v>0</v>
      </c>
      <c r="AK43" s="507">
        <f>Assets!$F$44</f>
        <v>0</v>
      </c>
      <c r="AL43" s="507">
        <f t="shared" si="61"/>
        <v>0</v>
      </c>
      <c r="AM43" s="1220"/>
      <c r="AN43" s="506">
        <f>Assets!$G$45</f>
        <v>0</v>
      </c>
      <c r="AO43" s="507">
        <f>Assets!$F$45</f>
        <v>0</v>
      </c>
      <c r="AP43" s="507">
        <f t="shared" si="62"/>
        <v>0</v>
      </c>
      <c r="AQ43" s="1220"/>
      <c r="AR43" s="506">
        <f>Assets!$G$46</f>
        <v>0</v>
      </c>
      <c r="AS43" s="507">
        <f>Assets!$F$46</f>
        <v>0</v>
      </c>
      <c r="AT43" s="507">
        <f t="shared" si="63"/>
        <v>0</v>
      </c>
      <c r="AU43" s="1220"/>
      <c r="AV43" s="506">
        <f>Assets!$G$47</f>
        <v>0</v>
      </c>
      <c r="AW43" s="507">
        <f>Assets!F$47</f>
        <v>0</v>
      </c>
      <c r="AX43" s="507">
        <f t="shared" si="64"/>
        <v>0</v>
      </c>
      <c r="AY43" s="1220"/>
      <c r="AZ43" s="506">
        <f>Assets!$G$48</f>
        <v>0</v>
      </c>
      <c r="BA43" s="507">
        <f>Assets!$F$48</f>
        <v>0</v>
      </c>
      <c r="BB43" s="507">
        <f t="shared" si="65"/>
        <v>0</v>
      </c>
      <c r="BC43" s="502"/>
      <c r="BD43" s="2005"/>
      <c r="BE43" s="523"/>
      <c r="BF43" s="523"/>
      <c r="BG43" s="1331">
        <f t="shared" si="67"/>
        <v>1931551.7233867152</v>
      </c>
      <c r="BH43" s="1331">
        <f t="shared" si="68"/>
        <v>1446913.114672824</v>
      </c>
      <c r="BI43" s="1331">
        <f t="shared" si="69"/>
        <v>640824.11665487709</v>
      </c>
      <c r="BJ43" s="1331">
        <f t="shared" si="70"/>
        <v>0</v>
      </c>
      <c r="BK43" s="1331">
        <f t="shared" si="71"/>
        <v>0</v>
      </c>
      <c r="BL43" s="1331">
        <f t="shared" si="72"/>
        <v>0</v>
      </c>
      <c r="BM43" s="1331">
        <f t="shared" si="73"/>
        <v>0</v>
      </c>
      <c r="BN43" s="1331">
        <f t="shared" si="74"/>
        <v>0</v>
      </c>
      <c r="BO43" s="1331">
        <f t="shared" si="75"/>
        <v>0</v>
      </c>
      <c r="BP43" s="1331">
        <f t="shared" si="76"/>
        <v>0</v>
      </c>
      <c r="BQ43" s="1331">
        <f t="shared" si="77"/>
        <v>0</v>
      </c>
      <c r="BR43" s="1331">
        <f t="shared" si="78"/>
        <v>0</v>
      </c>
      <c r="BS43" s="523"/>
      <c r="BT43" s="523"/>
      <c r="BU43" s="523"/>
      <c r="BV43" s="523"/>
      <c r="BW43" s="1333">
        <f t="shared" ca="1" si="53"/>
        <v>2058</v>
      </c>
      <c r="BX43" s="1331">
        <f t="shared" si="27"/>
        <v>3378464.838059539</v>
      </c>
      <c r="BY43" s="1331">
        <f t="shared" ca="1" si="79"/>
        <v>640824.11665487709</v>
      </c>
      <c r="BZ43" s="1334">
        <f t="shared" si="28"/>
        <v>1931551.7233867152</v>
      </c>
      <c r="CA43" s="1334">
        <f t="shared" si="29"/>
        <v>1446913.114672824</v>
      </c>
      <c r="CB43" s="1334">
        <f t="shared" si="30"/>
        <v>0</v>
      </c>
      <c r="CC43" s="1334">
        <f t="shared" si="31"/>
        <v>0</v>
      </c>
      <c r="CD43" s="1334">
        <f t="shared" si="32"/>
        <v>0</v>
      </c>
      <c r="CE43" s="1334">
        <f t="shared" si="33"/>
        <v>0</v>
      </c>
      <c r="CF43" s="1334">
        <f t="shared" si="34"/>
        <v>0</v>
      </c>
      <c r="CG43" s="1334">
        <f t="shared" si="35"/>
        <v>0</v>
      </c>
      <c r="CH43" s="1334">
        <f t="shared" si="36"/>
        <v>0</v>
      </c>
      <c r="CI43" s="1334">
        <f t="shared" si="37"/>
        <v>0</v>
      </c>
      <c r="CJ43" s="1334">
        <f t="shared" si="38"/>
        <v>0</v>
      </c>
      <c r="CK43" s="1334">
        <f t="shared" si="39"/>
        <v>0</v>
      </c>
      <c r="CL43" s="1334"/>
      <c r="CM43" s="1334">
        <f t="shared" si="40"/>
        <v>0</v>
      </c>
      <c r="CN43" s="1334">
        <f t="shared" si="41"/>
        <v>0</v>
      </c>
      <c r="CO43" s="1334">
        <f t="shared" si="42"/>
        <v>640824.11665487709</v>
      </c>
      <c r="CP43" s="1334">
        <f t="shared" si="43"/>
        <v>0</v>
      </c>
      <c r="CQ43" s="1334">
        <f t="shared" si="44"/>
        <v>0</v>
      </c>
      <c r="CR43" s="1334">
        <f t="shared" si="45"/>
        <v>0</v>
      </c>
      <c r="CS43" s="1334">
        <f t="shared" si="46"/>
        <v>0</v>
      </c>
      <c r="CT43" s="1334">
        <f t="shared" si="47"/>
        <v>0</v>
      </c>
      <c r="CU43" s="1334">
        <f t="shared" si="48"/>
        <v>0</v>
      </c>
      <c r="CV43" s="1334">
        <f t="shared" si="49"/>
        <v>0</v>
      </c>
      <c r="CW43" s="1334">
        <f t="shared" si="50"/>
        <v>0</v>
      </c>
      <c r="CX43" s="1334">
        <f t="shared" si="51"/>
        <v>0</v>
      </c>
      <c r="CY43" s="1334"/>
      <c r="CZ43" s="1334"/>
      <c r="DA43" s="1334">
        <f ca="1">Rental!Y73</f>
        <v>0</v>
      </c>
      <c r="DB43" s="1334">
        <f ca="1">Rental!AD73</f>
        <v>0</v>
      </c>
      <c r="DC43" s="1972"/>
      <c r="DD43" s="1761"/>
      <c r="DE43" s="1761"/>
      <c r="DF43" s="1335"/>
      <c r="DG43" s="1335"/>
      <c r="DH43" s="1335"/>
      <c r="DI43" s="1335"/>
      <c r="DJ43" s="1335"/>
      <c r="DK43" s="1335"/>
      <c r="DL43" s="1335"/>
      <c r="DM43" s="1335"/>
      <c r="DN43" s="1335"/>
      <c r="DO43" s="1335"/>
      <c r="DP43" s="1335"/>
      <c r="DQ43" s="1335"/>
      <c r="DR43" s="1335"/>
      <c r="DS43" s="1335"/>
      <c r="DT43" s="1335"/>
    </row>
    <row r="44" spans="1:124" s="1185" customFormat="1" ht="18" customHeight="1">
      <c r="A44" s="523">
        <f ca="1">IF(E44=YEAR(Retire!$D$12),1,0)</f>
        <v>0</v>
      </c>
      <c r="B44" s="502"/>
      <c r="C44" s="503" t="str">
        <f ca="1">IF(E44=Retire!$D$12,"==&gt;","")</f>
        <v/>
      </c>
      <c r="D44" s="512">
        <f t="shared" si="13"/>
        <v>38</v>
      </c>
      <c r="E44" s="512">
        <f t="shared" ca="1" si="80"/>
        <v>2059</v>
      </c>
      <c r="F44" s="513">
        <f t="shared" ca="1" si="14"/>
        <v>4240069</v>
      </c>
      <c r="G44" s="505"/>
      <c r="H44" s="514">
        <f>Assets!$G$37</f>
        <v>5.5E-2</v>
      </c>
      <c r="I44" s="515">
        <f>Assets!$F$37</f>
        <v>2000</v>
      </c>
      <c r="J44" s="515">
        <f t="shared" si="54"/>
        <v>2039787.0681729845</v>
      </c>
      <c r="K44" s="1220"/>
      <c r="L44" s="514">
        <f>Assets!$G$38</f>
        <v>0.05</v>
      </c>
      <c r="M44" s="515">
        <f>Assets!$F$38</f>
        <v>1500</v>
      </c>
      <c r="N44" s="515">
        <f t="shared" si="55"/>
        <v>1520758.7704064653</v>
      </c>
      <c r="O44" s="1220"/>
      <c r="P44" s="514">
        <f>Assets!$G$39</f>
        <v>0.06</v>
      </c>
      <c r="Q44" s="516">
        <f>Assets!$F$39</f>
        <v>250</v>
      </c>
      <c r="R44" s="515">
        <f t="shared" si="56"/>
        <v>679523.56365416967</v>
      </c>
      <c r="S44" s="1220"/>
      <c r="T44" s="514">
        <f>Assets!$G$40</f>
        <v>0</v>
      </c>
      <c r="U44" s="517">
        <f>Assets!$F$40</f>
        <v>0</v>
      </c>
      <c r="V44" s="515">
        <f t="shared" si="57"/>
        <v>0</v>
      </c>
      <c r="W44" s="1220"/>
      <c r="X44" s="514">
        <f>Assets!$G$41</f>
        <v>0</v>
      </c>
      <c r="Y44" s="517">
        <f>Assets!$F$41</f>
        <v>0</v>
      </c>
      <c r="Z44" s="515">
        <f t="shared" si="58"/>
        <v>0</v>
      </c>
      <c r="AA44" s="1220"/>
      <c r="AB44" s="514">
        <f>Assets!$G$42</f>
        <v>0</v>
      </c>
      <c r="AC44" s="515">
        <f>Assets!$F$42</f>
        <v>0</v>
      </c>
      <c r="AD44" s="515">
        <f t="shared" si="59"/>
        <v>0</v>
      </c>
      <c r="AE44" s="1220"/>
      <c r="AF44" s="514">
        <f>Assets!$G$43</f>
        <v>0</v>
      </c>
      <c r="AG44" s="515">
        <f>Assets!$F$43</f>
        <v>0</v>
      </c>
      <c r="AH44" s="515">
        <f t="shared" si="60"/>
        <v>0</v>
      </c>
      <c r="AI44" s="1220"/>
      <c r="AJ44" s="514">
        <f>Assets!$G$44</f>
        <v>0</v>
      </c>
      <c r="AK44" s="515">
        <f>Assets!$F$44</f>
        <v>0</v>
      </c>
      <c r="AL44" s="515">
        <f t="shared" si="61"/>
        <v>0</v>
      </c>
      <c r="AM44" s="1220"/>
      <c r="AN44" s="514">
        <f>Assets!$G$45</f>
        <v>0</v>
      </c>
      <c r="AO44" s="515">
        <f>Assets!$F$45</f>
        <v>0</v>
      </c>
      <c r="AP44" s="515">
        <f t="shared" si="62"/>
        <v>0</v>
      </c>
      <c r="AQ44" s="1220"/>
      <c r="AR44" s="514">
        <f>Assets!$G$46</f>
        <v>0</v>
      </c>
      <c r="AS44" s="515">
        <f>Assets!$F$46</f>
        <v>0</v>
      </c>
      <c r="AT44" s="515">
        <f t="shared" si="63"/>
        <v>0</v>
      </c>
      <c r="AU44" s="1220"/>
      <c r="AV44" s="514">
        <f>Assets!$G$47</f>
        <v>0</v>
      </c>
      <c r="AW44" s="515">
        <f>Assets!F$47</f>
        <v>0</v>
      </c>
      <c r="AX44" s="515">
        <f t="shared" si="64"/>
        <v>0</v>
      </c>
      <c r="AY44" s="1220"/>
      <c r="AZ44" s="514">
        <f>Assets!$G$48</f>
        <v>0</v>
      </c>
      <c r="BA44" s="515">
        <f>Assets!$F$48</f>
        <v>0</v>
      </c>
      <c r="BB44" s="515">
        <f t="shared" si="65"/>
        <v>0</v>
      </c>
      <c r="BC44" s="502"/>
      <c r="BD44" s="2005"/>
      <c r="BE44" s="523"/>
      <c r="BF44" s="523"/>
      <c r="BG44" s="1331">
        <f t="shared" si="67"/>
        <v>2039787.0681729845</v>
      </c>
      <c r="BH44" s="1331">
        <f t="shared" si="68"/>
        <v>1520758.7704064653</v>
      </c>
      <c r="BI44" s="1331">
        <f t="shared" si="69"/>
        <v>679523.56365416967</v>
      </c>
      <c r="BJ44" s="1331">
        <f t="shared" si="70"/>
        <v>0</v>
      </c>
      <c r="BK44" s="1331">
        <f t="shared" si="71"/>
        <v>0</v>
      </c>
      <c r="BL44" s="1331">
        <f t="shared" si="72"/>
        <v>0</v>
      </c>
      <c r="BM44" s="1331">
        <f t="shared" si="73"/>
        <v>0</v>
      </c>
      <c r="BN44" s="1331">
        <f t="shared" si="74"/>
        <v>0</v>
      </c>
      <c r="BO44" s="1331">
        <f t="shared" si="75"/>
        <v>0</v>
      </c>
      <c r="BP44" s="1331">
        <f t="shared" si="76"/>
        <v>0</v>
      </c>
      <c r="BQ44" s="1331">
        <f t="shared" si="77"/>
        <v>0</v>
      </c>
      <c r="BR44" s="1331">
        <f t="shared" si="78"/>
        <v>0</v>
      </c>
      <c r="BS44" s="523"/>
      <c r="BT44" s="523"/>
      <c r="BU44" s="523"/>
      <c r="BV44" s="523"/>
      <c r="BW44" s="1333">
        <f t="shared" ca="1" si="53"/>
        <v>2059</v>
      </c>
      <c r="BX44" s="1331">
        <f t="shared" si="27"/>
        <v>3560545.8385794498</v>
      </c>
      <c r="BY44" s="1331">
        <f t="shared" ca="1" si="79"/>
        <v>679523.56365416967</v>
      </c>
      <c r="BZ44" s="1334">
        <f t="shared" si="28"/>
        <v>2039787.0681729845</v>
      </c>
      <c r="CA44" s="1334">
        <f t="shared" si="29"/>
        <v>1520758.7704064653</v>
      </c>
      <c r="CB44" s="1334">
        <f t="shared" si="30"/>
        <v>0</v>
      </c>
      <c r="CC44" s="1334">
        <f t="shared" si="31"/>
        <v>0</v>
      </c>
      <c r="CD44" s="1334">
        <f t="shared" si="32"/>
        <v>0</v>
      </c>
      <c r="CE44" s="1334">
        <f t="shared" si="33"/>
        <v>0</v>
      </c>
      <c r="CF44" s="1334">
        <f t="shared" si="34"/>
        <v>0</v>
      </c>
      <c r="CG44" s="1334">
        <f t="shared" si="35"/>
        <v>0</v>
      </c>
      <c r="CH44" s="1334">
        <f t="shared" si="36"/>
        <v>0</v>
      </c>
      <c r="CI44" s="1334">
        <f t="shared" si="37"/>
        <v>0</v>
      </c>
      <c r="CJ44" s="1334">
        <f t="shared" si="38"/>
        <v>0</v>
      </c>
      <c r="CK44" s="1334">
        <f t="shared" si="39"/>
        <v>0</v>
      </c>
      <c r="CL44" s="1334"/>
      <c r="CM44" s="1334">
        <f t="shared" si="40"/>
        <v>0</v>
      </c>
      <c r="CN44" s="1334">
        <f t="shared" si="41"/>
        <v>0</v>
      </c>
      <c r="CO44" s="1334">
        <f t="shared" si="42"/>
        <v>679523.56365416967</v>
      </c>
      <c r="CP44" s="1334">
        <f t="shared" si="43"/>
        <v>0</v>
      </c>
      <c r="CQ44" s="1334">
        <f t="shared" si="44"/>
        <v>0</v>
      </c>
      <c r="CR44" s="1334">
        <f t="shared" si="45"/>
        <v>0</v>
      </c>
      <c r="CS44" s="1334">
        <f t="shared" si="46"/>
        <v>0</v>
      </c>
      <c r="CT44" s="1334">
        <f t="shared" si="47"/>
        <v>0</v>
      </c>
      <c r="CU44" s="1334">
        <f t="shared" si="48"/>
        <v>0</v>
      </c>
      <c r="CV44" s="1334">
        <f t="shared" si="49"/>
        <v>0</v>
      </c>
      <c r="CW44" s="1334">
        <f t="shared" si="50"/>
        <v>0</v>
      </c>
      <c r="CX44" s="1334">
        <f t="shared" si="51"/>
        <v>0</v>
      </c>
      <c r="CY44" s="1334"/>
      <c r="CZ44" s="1334"/>
      <c r="DA44" s="1334">
        <f ca="1">Rental!Y74</f>
        <v>0</v>
      </c>
      <c r="DB44" s="1334">
        <f ca="1">Rental!AD74</f>
        <v>0</v>
      </c>
      <c r="DC44" s="1972"/>
      <c r="DD44" s="1761"/>
      <c r="DE44" s="1761"/>
      <c r="DF44" s="1335"/>
      <c r="DG44" s="1335"/>
      <c r="DH44" s="1335"/>
      <c r="DI44" s="1335"/>
      <c r="DJ44" s="1335"/>
      <c r="DK44" s="1335"/>
      <c r="DL44" s="1335"/>
      <c r="DM44" s="1335"/>
      <c r="DN44" s="1335"/>
      <c r="DO44" s="1335"/>
      <c r="DP44" s="1335"/>
      <c r="DQ44" s="1335"/>
      <c r="DR44" s="1335"/>
      <c r="DS44" s="1335"/>
      <c r="DT44" s="1335"/>
    </row>
    <row r="45" spans="1:124" s="1185" customFormat="1" ht="18" customHeight="1">
      <c r="A45" s="523">
        <f ca="1">IF(E45=YEAR(Retire!$D$12),1,0)</f>
        <v>0</v>
      </c>
      <c r="B45" s="502"/>
      <c r="C45" s="503" t="str">
        <f ca="1">IF(E45=Retire!$D$12,"==&gt;","")</f>
        <v/>
      </c>
      <c r="D45" s="504">
        <f t="shared" si="13"/>
        <v>39</v>
      </c>
      <c r="E45" s="504">
        <f t="shared" ca="1" si="80"/>
        <v>2060</v>
      </c>
      <c r="F45" s="505">
        <f t="shared" ca="1" si="14"/>
        <v>4472817</v>
      </c>
      <c r="G45" s="505"/>
      <c r="H45" s="506">
        <f>Assets!$G$37</f>
        <v>5.5E-2</v>
      </c>
      <c r="I45" s="507">
        <f>Assets!$F$37</f>
        <v>2000</v>
      </c>
      <c r="J45" s="507">
        <f t="shared" ref="J45:J50" si="81">SUM((J44*H44)+J44+I44)</f>
        <v>2153975.3569224989</v>
      </c>
      <c r="K45" s="1220"/>
      <c r="L45" s="506">
        <f>Assets!$G$38</f>
        <v>0.05</v>
      </c>
      <c r="M45" s="507">
        <f>Assets!$F$38</f>
        <v>1500</v>
      </c>
      <c r="N45" s="507">
        <f t="shared" ref="N45:N50" si="82">SUM((N44*L44)+N44+M44)</f>
        <v>1598296.7089267885</v>
      </c>
      <c r="O45" s="1220"/>
      <c r="P45" s="506">
        <f>Assets!$G$39</f>
        <v>0.06</v>
      </c>
      <c r="Q45" s="508">
        <f>Assets!$F$39</f>
        <v>250</v>
      </c>
      <c r="R45" s="507">
        <f t="shared" ref="R45:R50" si="83">SUM((R44*P44)+R44+Q44)</f>
        <v>720544.97747341986</v>
      </c>
      <c r="S45" s="1220"/>
      <c r="T45" s="506">
        <f>Assets!$G$40</f>
        <v>0</v>
      </c>
      <c r="U45" s="510">
        <f>Assets!$F$40</f>
        <v>0</v>
      </c>
      <c r="V45" s="507">
        <f t="shared" ref="V45:V50" si="84">SUM((V44*T44)+V44+U44)</f>
        <v>0</v>
      </c>
      <c r="W45" s="1220"/>
      <c r="X45" s="506">
        <f>Assets!$G$41</f>
        <v>0</v>
      </c>
      <c r="Y45" s="510">
        <f>Assets!$F$41</f>
        <v>0</v>
      </c>
      <c r="Z45" s="507">
        <f t="shared" ref="Z45:Z50" si="85">SUM((Z44*X44)+Z44+Y44)</f>
        <v>0</v>
      </c>
      <c r="AA45" s="1220"/>
      <c r="AB45" s="506">
        <f>Assets!$G$42</f>
        <v>0</v>
      </c>
      <c r="AC45" s="507">
        <f>Assets!$F$42</f>
        <v>0</v>
      </c>
      <c r="AD45" s="507">
        <f t="shared" ref="AD45:AD50" si="86">SUM((AD44*AB44)+AD44+AC44)</f>
        <v>0</v>
      </c>
      <c r="AE45" s="1220"/>
      <c r="AF45" s="506">
        <f>Assets!$G$43</f>
        <v>0</v>
      </c>
      <c r="AG45" s="507">
        <f>Assets!$F$43</f>
        <v>0</v>
      </c>
      <c r="AH45" s="507">
        <f t="shared" ref="AH45:AH50" si="87">SUM((AH44*AF44)+AH44+AG44)</f>
        <v>0</v>
      </c>
      <c r="AI45" s="1220"/>
      <c r="AJ45" s="506">
        <f>Assets!$G$44</f>
        <v>0</v>
      </c>
      <c r="AK45" s="507">
        <f>Assets!$F$44</f>
        <v>0</v>
      </c>
      <c r="AL45" s="507">
        <f t="shared" ref="AL45:AL50" si="88">SUM((AL44*AJ44)+AL44+AK44)</f>
        <v>0</v>
      </c>
      <c r="AM45" s="1220"/>
      <c r="AN45" s="506">
        <f>Assets!$G$45</f>
        <v>0</v>
      </c>
      <c r="AO45" s="507">
        <f>Assets!$F$45</f>
        <v>0</v>
      </c>
      <c r="AP45" s="507">
        <f t="shared" ref="AP45:AP50" si="89">SUM((AP44*AN44)+AP44+AO44)</f>
        <v>0</v>
      </c>
      <c r="AQ45" s="1220"/>
      <c r="AR45" s="506">
        <f>Assets!$G$46</f>
        <v>0</v>
      </c>
      <c r="AS45" s="507">
        <f>Assets!$F$46</f>
        <v>0</v>
      </c>
      <c r="AT45" s="507">
        <f t="shared" ref="AT45:AT50" si="90">SUM((AT44*AR44)+AT44+AS44)</f>
        <v>0</v>
      </c>
      <c r="AU45" s="1220"/>
      <c r="AV45" s="506">
        <f>Assets!$G$47</f>
        <v>0</v>
      </c>
      <c r="AW45" s="507">
        <f>Assets!F$47</f>
        <v>0</v>
      </c>
      <c r="AX45" s="507">
        <f t="shared" ref="AX45:AX50" si="91">SUM((AX44*AV44)+AX44+AW44)</f>
        <v>0</v>
      </c>
      <c r="AY45" s="1220"/>
      <c r="AZ45" s="506">
        <f>Assets!$G$48</f>
        <v>0</v>
      </c>
      <c r="BA45" s="507">
        <f>Assets!$F$48</f>
        <v>0</v>
      </c>
      <c r="BB45" s="507">
        <f t="shared" ref="BB45:BB50" si="92">SUM((BB44*AZ44)+BB44+BA44)</f>
        <v>0</v>
      </c>
      <c r="BC45" s="502"/>
      <c r="BD45" s="2005"/>
      <c r="BE45" s="523"/>
      <c r="BF45" s="523"/>
      <c r="BG45" s="1331">
        <f t="shared" si="67"/>
        <v>2153975.3569224989</v>
      </c>
      <c r="BH45" s="1331">
        <f t="shared" si="68"/>
        <v>1598296.7089267885</v>
      </c>
      <c r="BI45" s="1331">
        <f t="shared" si="69"/>
        <v>720544.97747341986</v>
      </c>
      <c r="BJ45" s="1331">
        <f t="shared" si="70"/>
        <v>0</v>
      </c>
      <c r="BK45" s="1331">
        <f t="shared" si="71"/>
        <v>0</v>
      </c>
      <c r="BL45" s="1331">
        <f t="shared" si="72"/>
        <v>0</v>
      </c>
      <c r="BM45" s="1331">
        <f t="shared" si="73"/>
        <v>0</v>
      </c>
      <c r="BN45" s="1331">
        <f t="shared" si="74"/>
        <v>0</v>
      </c>
      <c r="BO45" s="1331">
        <f t="shared" si="75"/>
        <v>0</v>
      </c>
      <c r="BP45" s="1331">
        <f t="shared" si="76"/>
        <v>0</v>
      </c>
      <c r="BQ45" s="1331">
        <f t="shared" si="77"/>
        <v>0</v>
      </c>
      <c r="BR45" s="1331">
        <f t="shared" si="78"/>
        <v>0</v>
      </c>
      <c r="BS45" s="523"/>
      <c r="BT45" s="523"/>
      <c r="BU45" s="523"/>
      <c r="BV45" s="523"/>
      <c r="BW45" s="1333">
        <f t="shared" ca="1" si="53"/>
        <v>2060</v>
      </c>
      <c r="BX45" s="1331">
        <f t="shared" si="27"/>
        <v>3752272.0658492874</v>
      </c>
      <c r="BY45" s="1331">
        <f t="shared" ca="1" si="79"/>
        <v>720544.97747341986</v>
      </c>
      <c r="BZ45" s="1334">
        <f t="shared" si="28"/>
        <v>2153975.3569224989</v>
      </c>
      <c r="CA45" s="1334">
        <f t="shared" si="29"/>
        <v>1598296.7089267885</v>
      </c>
      <c r="CB45" s="1334">
        <f t="shared" si="30"/>
        <v>0</v>
      </c>
      <c r="CC45" s="1334">
        <f t="shared" si="31"/>
        <v>0</v>
      </c>
      <c r="CD45" s="1334">
        <f t="shared" si="32"/>
        <v>0</v>
      </c>
      <c r="CE45" s="1334">
        <f t="shared" si="33"/>
        <v>0</v>
      </c>
      <c r="CF45" s="1334">
        <f t="shared" si="34"/>
        <v>0</v>
      </c>
      <c r="CG45" s="1334">
        <f t="shared" si="35"/>
        <v>0</v>
      </c>
      <c r="CH45" s="1334">
        <f t="shared" si="36"/>
        <v>0</v>
      </c>
      <c r="CI45" s="1334">
        <f t="shared" si="37"/>
        <v>0</v>
      </c>
      <c r="CJ45" s="1334">
        <f t="shared" si="38"/>
        <v>0</v>
      </c>
      <c r="CK45" s="1334">
        <f t="shared" si="39"/>
        <v>0</v>
      </c>
      <c r="CL45" s="1334"/>
      <c r="CM45" s="1334">
        <f t="shared" si="40"/>
        <v>0</v>
      </c>
      <c r="CN45" s="1334">
        <f t="shared" si="41"/>
        <v>0</v>
      </c>
      <c r="CO45" s="1334">
        <f t="shared" si="42"/>
        <v>720544.97747341986</v>
      </c>
      <c r="CP45" s="1334">
        <f t="shared" si="43"/>
        <v>0</v>
      </c>
      <c r="CQ45" s="1334">
        <f t="shared" si="44"/>
        <v>0</v>
      </c>
      <c r="CR45" s="1334">
        <f t="shared" si="45"/>
        <v>0</v>
      </c>
      <c r="CS45" s="1334">
        <f t="shared" si="46"/>
        <v>0</v>
      </c>
      <c r="CT45" s="1334">
        <f t="shared" si="47"/>
        <v>0</v>
      </c>
      <c r="CU45" s="1334">
        <f t="shared" si="48"/>
        <v>0</v>
      </c>
      <c r="CV45" s="1334">
        <f t="shared" si="49"/>
        <v>0</v>
      </c>
      <c r="CW45" s="1334">
        <f t="shared" si="50"/>
        <v>0</v>
      </c>
      <c r="CX45" s="1334">
        <f t="shared" si="51"/>
        <v>0</v>
      </c>
      <c r="CY45" s="1334"/>
      <c r="CZ45" s="1334"/>
      <c r="DA45" s="1334">
        <f ca="1">Rental!Y75</f>
        <v>0</v>
      </c>
      <c r="DB45" s="1334">
        <f ca="1">Rental!AD75</f>
        <v>0</v>
      </c>
      <c r="DC45" s="1972"/>
      <c r="DD45" s="1761"/>
      <c r="DE45" s="1761"/>
      <c r="DF45" s="1335"/>
      <c r="DG45" s="1335"/>
      <c r="DH45" s="1335"/>
      <c r="DI45" s="1335"/>
      <c r="DJ45" s="1335"/>
      <c r="DK45" s="1335"/>
      <c r="DL45" s="1335"/>
      <c r="DM45" s="1335"/>
      <c r="DN45" s="1335"/>
      <c r="DO45" s="1335"/>
      <c r="DP45" s="1335"/>
      <c r="DQ45" s="1335"/>
      <c r="DR45" s="1335"/>
      <c r="DS45" s="1335"/>
      <c r="DT45" s="1335"/>
    </row>
    <row r="46" spans="1:124" s="1185" customFormat="1" ht="18" customHeight="1">
      <c r="A46" s="523">
        <f ca="1">IF(E46=YEAR(Retire!$D$12),1,0)</f>
        <v>0</v>
      </c>
      <c r="B46" s="502"/>
      <c r="C46" s="503" t="str">
        <f ca="1">IF(E46=Retire!$D$12,"==&gt;","")</f>
        <v/>
      </c>
      <c r="D46" s="512">
        <f t="shared" si="13"/>
        <v>40</v>
      </c>
      <c r="E46" s="512">
        <f t="shared" ca="1" si="80"/>
        <v>2061</v>
      </c>
      <c r="F46" s="513">
        <f t="shared" ca="1" si="14"/>
        <v>4718183</v>
      </c>
      <c r="G46" s="505"/>
      <c r="H46" s="514">
        <f>Assets!$G$37</f>
        <v>5.5E-2</v>
      </c>
      <c r="I46" s="515">
        <f>Assets!$F$37</f>
        <v>2000</v>
      </c>
      <c r="J46" s="515">
        <f t="shared" si="81"/>
        <v>2274444.0015532365</v>
      </c>
      <c r="K46" s="1220"/>
      <c r="L46" s="514">
        <f>Assets!$G$38</f>
        <v>0.05</v>
      </c>
      <c r="M46" s="515">
        <f>Assets!$F$38</f>
        <v>1500</v>
      </c>
      <c r="N46" s="515">
        <f t="shared" si="82"/>
        <v>1679711.5443731279</v>
      </c>
      <c r="O46" s="1220"/>
      <c r="P46" s="514">
        <f>Assets!$G$39</f>
        <v>0.06</v>
      </c>
      <c r="Q46" s="516">
        <f>Assets!$F$39</f>
        <v>250</v>
      </c>
      <c r="R46" s="515">
        <f t="shared" si="83"/>
        <v>764027.676121825</v>
      </c>
      <c r="S46" s="1220"/>
      <c r="T46" s="514">
        <f>Assets!$G$40</f>
        <v>0</v>
      </c>
      <c r="U46" s="517">
        <f>Assets!$F$40</f>
        <v>0</v>
      </c>
      <c r="V46" s="515">
        <f t="shared" si="84"/>
        <v>0</v>
      </c>
      <c r="W46" s="1220"/>
      <c r="X46" s="514">
        <f>Assets!$G$41</f>
        <v>0</v>
      </c>
      <c r="Y46" s="517">
        <f>Assets!$F$41</f>
        <v>0</v>
      </c>
      <c r="Z46" s="515">
        <f t="shared" si="85"/>
        <v>0</v>
      </c>
      <c r="AA46" s="1220"/>
      <c r="AB46" s="514">
        <f>Assets!$G$42</f>
        <v>0</v>
      </c>
      <c r="AC46" s="515">
        <f>Assets!$F$42</f>
        <v>0</v>
      </c>
      <c r="AD46" s="515">
        <f t="shared" si="86"/>
        <v>0</v>
      </c>
      <c r="AE46" s="1220"/>
      <c r="AF46" s="514">
        <f>Assets!$G$43</f>
        <v>0</v>
      </c>
      <c r="AG46" s="515">
        <f>Assets!$F$43</f>
        <v>0</v>
      </c>
      <c r="AH46" s="515">
        <f t="shared" si="87"/>
        <v>0</v>
      </c>
      <c r="AI46" s="1220"/>
      <c r="AJ46" s="514">
        <f>Assets!$G$44</f>
        <v>0</v>
      </c>
      <c r="AK46" s="515">
        <f>Assets!$F$44</f>
        <v>0</v>
      </c>
      <c r="AL46" s="515">
        <f t="shared" si="88"/>
        <v>0</v>
      </c>
      <c r="AM46" s="1220"/>
      <c r="AN46" s="514">
        <f>Assets!$G$45</f>
        <v>0</v>
      </c>
      <c r="AO46" s="515">
        <f>Assets!$F$45</f>
        <v>0</v>
      </c>
      <c r="AP46" s="515">
        <f t="shared" si="89"/>
        <v>0</v>
      </c>
      <c r="AQ46" s="1220"/>
      <c r="AR46" s="514">
        <f>Assets!$G$46</f>
        <v>0</v>
      </c>
      <c r="AS46" s="515">
        <f>Assets!$F$46</f>
        <v>0</v>
      </c>
      <c r="AT46" s="515">
        <f t="shared" si="90"/>
        <v>0</v>
      </c>
      <c r="AU46" s="1220"/>
      <c r="AV46" s="514">
        <f>Assets!$G$47</f>
        <v>0</v>
      </c>
      <c r="AW46" s="515">
        <f>Assets!F$47</f>
        <v>0</v>
      </c>
      <c r="AX46" s="515">
        <f t="shared" si="91"/>
        <v>0</v>
      </c>
      <c r="AY46" s="1220"/>
      <c r="AZ46" s="514">
        <f>Assets!$G$48</f>
        <v>0</v>
      </c>
      <c r="BA46" s="515">
        <f>Assets!$F$48</f>
        <v>0</v>
      </c>
      <c r="BB46" s="515">
        <f t="shared" si="92"/>
        <v>0</v>
      </c>
      <c r="BC46" s="502"/>
      <c r="BD46" s="2005"/>
      <c r="BE46" s="523"/>
      <c r="BF46" s="523"/>
      <c r="BG46" s="1331">
        <f t="shared" si="67"/>
        <v>2274444.0015532365</v>
      </c>
      <c r="BH46" s="1331">
        <f t="shared" si="68"/>
        <v>1679711.5443731279</v>
      </c>
      <c r="BI46" s="1331">
        <f t="shared" si="69"/>
        <v>764027.676121825</v>
      </c>
      <c r="BJ46" s="1331">
        <f t="shared" si="70"/>
        <v>0</v>
      </c>
      <c r="BK46" s="1331">
        <f t="shared" si="71"/>
        <v>0</v>
      </c>
      <c r="BL46" s="1331">
        <f t="shared" si="72"/>
        <v>0</v>
      </c>
      <c r="BM46" s="1331">
        <f t="shared" si="73"/>
        <v>0</v>
      </c>
      <c r="BN46" s="1331">
        <f t="shared" si="74"/>
        <v>0</v>
      </c>
      <c r="BO46" s="1331">
        <f t="shared" si="75"/>
        <v>0</v>
      </c>
      <c r="BP46" s="1331">
        <f t="shared" si="76"/>
        <v>0</v>
      </c>
      <c r="BQ46" s="1331">
        <f t="shared" si="77"/>
        <v>0</v>
      </c>
      <c r="BR46" s="1331">
        <f t="shared" si="78"/>
        <v>0</v>
      </c>
      <c r="BS46" s="523"/>
      <c r="BT46" s="523"/>
      <c r="BU46" s="523"/>
      <c r="BV46" s="523"/>
      <c r="BW46" s="1333">
        <f t="shared" ca="1" si="53"/>
        <v>2061</v>
      </c>
      <c r="BX46" s="1331">
        <f t="shared" si="27"/>
        <v>3954155.5459263641</v>
      </c>
      <c r="BY46" s="1331">
        <f t="shared" ca="1" si="79"/>
        <v>764027.676121825</v>
      </c>
      <c r="BZ46" s="1334">
        <f t="shared" si="28"/>
        <v>2274444.0015532365</v>
      </c>
      <c r="CA46" s="1334">
        <f t="shared" si="29"/>
        <v>1679711.5443731279</v>
      </c>
      <c r="CB46" s="1334">
        <f t="shared" si="30"/>
        <v>0</v>
      </c>
      <c r="CC46" s="1334">
        <f t="shared" si="31"/>
        <v>0</v>
      </c>
      <c r="CD46" s="1334">
        <f t="shared" si="32"/>
        <v>0</v>
      </c>
      <c r="CE46" s="1334">
        <f t="shared" si="33"/>
        <v>0</v>
      </c>
      <c r="CF46" s="1334">
        <f t="shared" si="34"/>
        <v>0</v>
      </c>
      <c r="CG46" s="1334">
        <f t="shared" si="35"/>
        <v>0</v>
      </c>
      <c r="CH46" s="1334">
        <f t="shared" si="36"/>
        <v>0</v>
      </c>
      <c r="CI46" s="1334">
        <f t="shared" si="37"/>
        <v>0</v>
      </c>
      <c r="CJ46" s="1334">
        <f t="shared" si="38"/>
        <v>0</v>
      </c>
      <c r="CK46" s="1334">
        <f t="shared" si="39"/>
        <v>0</v>
      </c>
      <c r="CL46" s="1334"/>
      <c r="CM46" s="1334">
        <f t="shared" si="40"/>
        <v>0</v>
      </c>
      <c r="CN46" s="1334">
        <f t="shared" si="41"/>
        <v>0</v>
      </c>
      <c r="CO46" s="1334">
        <f t="shared" si="42"/>
        <v>764027.676121825</v>
      </c>
      <c r="CP46" s="1334">
        <f t="shared" si="43"/>
        <v>0</v>
      </c>
      <c r="CQ46" s="1334">
        <f t="shared" si="44"/>
        <v>0</v>
      </c>
      <c r="CR46" s="1334">
        <f t="shared" si="45"/>
        <v>0</v>
      </c>
      <c r="CS46" s="1334">
        <f t="shared" si="46"/>
        <v>0</v>
      </c>
      <c r="CT46" s="1334">
        <f t="shared" si="47"/>
        <v>0</v>
      </c>
      <c r="CU46" s="1334">
        <f t="shared" si="48"/>
        <v>0</v>
      </c>
      <c r="CV46" s="1334">
        <f t="shared" si="49"/>
        <v>0</v>
      </c>
      <c r="CW46" s="1334">
        <f t="shared" si="50"/>
        <v>0</v>
      </c>
      <c r="CX46" s="1334">
        <f t="shared" si="51"/>
        <v>0</v>
      </c>
      <c r="CY46" s="1334"/>
      <c r="CZ46" s="1334"/>
      <c r="DA46" s="1334">
        <f ca="1">Rental!Y76</f>
        <v>0</v>
      </c>
      <c r="DB46" s="1334">
        <f ca="1">Rental!AD76</f>
        <v>0</v>
      </c>
      <c r="DC46" s="1972"/>
      <c r="DD46" s="1761"/>
      <c r="DE46" s="1761"/>
      <c r="DF46" s="1335"/>
      <c r="DG46" s="1335"/>
      <c r="DH46" s="1335"/>
      <c r="DI46" s="1335"/>
      <c r="DJ46" s="1335"/>
      <c r="DK46" s="1335"/>
      <c r="DL46" s="1335"/>
      <c r="DM46" s="1335"/>
      <c r="DN46" s="1335"/>
      <c r="DO46" s="1335"/>
      <c r="DP46" s="1335"/>
      <c r="DQ46" s="1335"/>
      <c r="DR46" s="1335"/>
      <c r="DS46" s="1335"/>
      <c r="DT46" s="1335"/>
    </row>
    <row r="47" spans="1:124" s="1185" customFormat="1" ht="18" customHeight="1">
      <c r="A47" s="523">
        <f ca="1">IF(E47=YEAR(Retire!$D$12),1,0)</f>
        <v>0</v>
      </c>
      <c r="B47" s="502"/>
      <c r="C47" s="503" t="str">
        <f ca="1">IF(E47=Retire!$D$12,"==&gt;","")</f>
        <v/>
      </c>
      <c r="D47" s="504">
        <f t="shared" si="13"/>
        <v>41</v>
      </c>
      <c r="E47" s="504">
        <f t="shared" ca="1" si="80"/>
        <v>2062</v>
      </c>
      <c r="F47" s="505">
        <f t="shared" ca="1" si="14"/>
        <v>4976855</v>
      </c>
      <c r="G47" s="505"/>
      <c r="H47" s="506">
        <f>Assets!$G$37</f>
        <v>5.5E-2</v>
      </c>
      <c r="I47" s="507">
        <f>Assets!$F$37</f>
        <v>2000</v>
      </c>
      <c r="J47" s="507">
        <f t="shared" si="81"/>
        <v>2401538.4216386643</v>
      </c>
      <c r="K47" s="1220"/>
      <c r="L47" s="506">
        <f>Assets!$G$38</f>
        <v>0.05</v>
      </c>
      <c r="M47" s="507">
        <f>Assets!$F$38</f>
        <v>1500</v>
      </c>
      <c r="N47" s="507">
        <f t="shared" si="82"/>
        <v>1765197.1215917843</v>
      </c>
      <c r="O47" s="1220"/>
      <c r="P47" s="506">
        <f>Assets!$G$39</f>
        <v>0.06</v>
      </c>
      <c r="Q47" s="508">
        <f>Assets!$F$39</f>
        <v>250</v>
      </c>
      <c r="R47" s="507">
        <f t="shared" si="83"/>
        <v>810119.33668913448</v>
      </c>
      <c r="S47" s="1220"/>
      <c r="T47" s="506">
        <f>Assets!$G$40</f>
        <v>0</v>
      </c>
      <c r="U47" s="510">
        <f>Assets!$F$40</f>
        <v>0</v>
      </c>
      <c r="V47" s="507">
        <f t="shared" si="84"/>
        <v>0</v>
      </c>
      <c r="W47" s="1220"/>
      <c r="X47" s="506">
        <f>Assets!$G$41</f>
        <v>0</v>
      </c>
      <c r="Y47" s="510">
        <f>Assets!$F$41</f>
        <v>0</v>
      </c>
      <c r="Z47" s="507">
        <f t="shared" si="85"/>
        <v>0</v>
      </c>
      <c r="AA47" s="1220"/>
      <c r="AB47" s="506">
        <f>Assets!$G$42</f>
        <v>0</v>
      </c>
      <c r="AC47" s="507">
        <f>Assets!$F$42</f>
        <v>0</v>
      </c>
      <c r="AD47" s="507">
        <f t="shared" si="86"/>
        <v>0</v>
      </c>
      <c r="AE47" s="1220"/>
      <c r="AF47" s="506">
        <f>Assets!$G$43</f>
        <v>0</v>
      </c>
      <c r="AG47" s="507">
        <f>Assets!$F$43</f>
        <v>0</v>
      </c>
      <c r="AH47" s="507">
        <f t="shared" si="87"/>
        <v>0</v>
      </c>
      <c r="AI47" s="1220"/>
      <c r="AJ47" s="506">
        <f>Assets!$G$44</f>
        <v>0</v>
      </c>
      <c r="AK47" s="507">
        <f>Assets!$F$44</f>
        <v>0</v>
      </c>
      <c r="AL47" s="507">
        <f t="shared" si="88"/>
        <v>0</v>
      </c>
      <c r="AM47" s="1220"/>
      <c r="AN47" s="506">
        <f>Assets!$G$45</f>
        <v>0</v>
      </c>
      <c r="AO47" s="507">
        <f>Assets!$F$45</f>
        <v>0</v>
      </c>
      <c r="AP47" s="507">
        <f t="shared" si="89"/>
        <v>0</v>
      </c>
      <c r="AQ47" s="1220"/>
      <c r="AR47" s="506">
        <f>Assets!$G$46</f>
        <v>0</v>
      </c>
      <c r="AS47" s="507">
        <f>Assets!$F$46</f>
        <v>0</v>
      </c>
      <c r="AT47" s="507">
        <f t="shared" si="90"/>
        <v>0</v>
      </c>
      <c r="AU47" s="1220"/>
      <c r="AV47" s="506">
        <f>Assets!$G$47</f>
        <v>0</v>
      </c>
      <c r="AW47" s="507">
        <f>Assets!F$47</f>
        <v>0</v>
      </c>
      <c r="AX47" s="507">
        <f t="shared" si="91"/>
        <v>0</v>
      </c>
      <c r="AY47" s="1220"/>
      <c r="AZ47" s="506">
        <f>Assets!$G$48</f>
        <v>0</v>
      </c>
      <c r="BA47" s="507">
        <f>Assets!$F$48</f>
        <v>0</v>
      </c>
      <c r="BB47" s="507">
        <f t="shared" si="92"/>
        <v>0</v>
      </c>
      <c r="BC47" s="502"/>
      <c r="BD47" s="2005"/>
      <c r="BE47" s="523"/>
      <c r="BF47" s="523"/>
      <c r="BG47" s="1331">
        <f t="shared" si="67"/>
        <v>2401538.4216386643</v>
      </c>
      <c r="BH47" s="1331">
        <f t="shared" si="68"/>
        <v>1765197.1215917843</v>
      </c>
      <c r="BI47" s="1331">
        <f t="shared" si="69"/>
        <v>810119.33668913448</v>
      </c>
      <c r="BJ47" s="1331">
        <f t="shared" si="70"/>
        <v>0</v>
      </c>
      <c r="BK47" s="1331">
        <f t="shared" si="71"/>
        <v>0</v>
      </c>
      <c r="BL47" s="1331">
        <f t="shared" si="72"/>
        <v>0</v>
      </c>
      <c r="BM47" s="1331">
        <f t="shared" si="73"/>
        <v>0</v>
      </c>
      <c r="BN47" s="1331">
        <f t="shared" si="74"/>
        <v>0</v>
      </c>
      <c r="BO47" s="1331">
        <f t="shared" si="75"/>
        <v>0</v>
      </c>
      <c r="BP47" s="1331">
        <f t="shared" si="76"/>
        <v>0</v>
      </c>
      <c r="BQ47" s="1331">
        <f t="shared" si="77"/>
        <v>0</v>
      </c>
      <c r="BR47" s="1331">
        <f t="shared" si="78"/>
        <v>0</v>
      </c>
      <c r="BS47" s="523"/>
      <c r="BT47" s="523"/>
      <c r="BU47" s="523"/>
      <c r="BV47" s="523"/>
      <c r="BW47" s="1333">
        <f t="shared" ca="1" si="53"/>
        <v>2062</v>
      </c>
      <c r="BX47" s="1331">
        <f t="shared" si="27"/>
        <v>4166735.5432304488</v>
      </c>
      <c r="BY47" s="1331">
        <f t="shared" ca="1" si="79"/>
        <v>810119.33668913448</v>
      </c>
      <c r="BZ47" s="1334">
        <f t="shared" si="28"/>
        <v>2401538.4216386643</v>
      </c>
      <c r="CA47" s="1334">
        <f t="shared" si="29"/>
        <v>1765197.1215917843</v>
      </c>
      <c r="CB47" s="1334">
        <f t="shared" si="30"/>
        <v>0</v>
      </c>
      <c r="CC47" s="1334">
        <f t="shared" si="31"/>
        <v>0</v>
      </c>
      <c r="CD47" s="1334">
        <f t="shared" si="32"/>
        <v>0</v>
      </c>
      <c r="CE47" s="1334">
        <f t="shared" si="33"/>
        <v>0</v>
      </c>
      <c r="CF47" s="1334">
        <f t="shared" si="34"/>
        <v>0</v>
      </c>
      <c r="CG47" s="1334">
        <f t="shared" si="35"/>
        <v>0</v>
      </c>
      <c r="CH47" s="1334">
        <f t="shared" si="36"/>
        <v>0</v>
      </c>
      <c r="CI47" s="1334">
        <f t="shared" si="37"/>
        <v>0</v>
      </c>
      <c r="CJ47" s="1334">
        <f t="shared" si="38"/>
        <v>0</v>
      </c>
      <c r="CK47" s="1334">
        <f t="shared" si="39"/>
        <v>0</v>
      </c>
      <c r="CL47" s="1334"/>
      <c r="CM47" s="1334">
        <f t="shared" si="40"/>
        <v>0</v>
      </c>
      <c r="CN47" s="1334">
        <f t="shared" si="41"/>
        <v>0</v>
      </c>
      <c r="CO47" s="1334">
        <f t="shared" si="42"/>
        <v>810119.33668913448</v>
      </c>
      <c r="CP47" s="1334">
        <f t="shared" si="43"/>
        <v>0</v>
      </c>
      <c r="CQ47" s="1334">
        <f t="shared" si="44"/>
        <v>0</v>
      </c>
      <c r="CR47" s="1334">
        <f t="shared" si="45"/>
        <v>0</v>
      </c>
      <c r="CS47" s="1334">
        <f t="shared" si="46"/>
        <v>0</v>
      </c>
      <c r="CT47" s="1334">
        <f t="shared" si="47"/>
        <v>0</v>
      </c>
      <c r="CU47" s="1334">
        <f t="shared" si="48"/>
        <v>0</v>
      </c>
      <c r="CV47" s="1334">
        <f t="shared" si="49"/>
        <v>0</v>
      </c>
      <c r="CW47" s="1334">
        <f t="shared" si="50"/>
        <v>0</v>
      </c>
      <c r="CX47" s="1334">
        <f t="shared" si="51"/>
        <v>0</v>
      </c>
      <c r="CY47" s="1334"/>
      <c r="CZ47" s="1334"/>
      <c r="DA47" s="1334">
        <f ca="1">Rental!Y77</f>
        <v>0</v>
      </c>
      <c r="DB47" s="1334">
        <f ca="1">Rental!AD77</f>
        <v>0</v>
      </c>
      <c r="DC47" s="1972"/>
      <c r="DD47" s="1761"/>
      <c r="DE47" s="1761"/>
      <c r="DF47" s="1335"/>
      <c r="DG47" s="1335"/>
      <c r="DH47" s="1335"/>
      <c r="DI47" s="1335"/>
      <c r="DJ47" s="1335"/>
      <c r="DK47" s="1335"/>
      <c r="DL47" s="1335"/>
      <c r="DM47" s="1335"/>
      <c r="DN47" s="1335"/>
      <c r="DO47" s="1335"/>
      <c r="DP47" s="1335"/>
      <c r="DQ47" s="1335"/>
      <c r="DR47" s="1335"/>
      <c r="DS47" s="1335"/>
      <c r="DT47" s="1335"/>
    </row>
    <row r="48" spans="1:124" s="1185" customFormat="1" ht="18" customHeight="1">
      <c r="A48" s="523">
        <f ca="1">IF(E48=YEAR(Retire!$D$12),1,0)</f>
        <v>0</v>
      </c>
      <c r="B48" s="502"/>
      <c r="C48" s="503" t="str">
        <f ca="1">IF(E48=Retire!$D$12,"==&gt;","")</f>
        <v/>
      </c>
      <c r="D48" s="512">
        <f t="shared" si="13"/>
        <v>42</v>
      </c>
      <c r="E48" s="512">
        <f t="shared" ca="1" si="80"/>
        <v>2063</v>
      </c>
      <c r="F48" s="513">
        <f t="shared" ca="1" si="14"/>
        <v>5249557</v>
      </c>
      <c r="G48" s="505"/>
      <c r="H48" s="514">
        <f>Assets!$G$37</f>
        <v>5.5E-2</v>
      </c>
      <c r="I48" s="515">
        <f>Assets!$F$37</f>
        <v>2000</v>
      </c>
      <c r="J48" s="515">
        <f t="shared" si="81"/>
        <v>2535623.0348287909</v>
      </c>
      <c r="K48" s="1220"/>
      <c r="L48" s="514">
        <f>Assets!$G$38</f>
        <v>0.05</v>
      </c>
      <c r="M48" s="515">
        <f>Assets!$F$38</f>
        <v>1500</v>
      </c>
      <c r="N48" s="515">
        <f t="shared" si="82"/>
        <v>1854956.9776713736</v>
      </c>
      <c r="O48" s="1220"/>
      <c r="P48" s="514">
        <f>Assets!$G$39</f>
        <v>0.06</v>
      </c>
      <c r="Q48" s="516">
        <f>Assets!$F$39</f>
        <v>250</v>
      </c>
      <c r="R48" s="515">
        <f t="shared" si="83"/>
        <v>858976.49689048249</v>
      </c>
      <c r="S48" s="1220"/>
      <c r="T48" s="514">
        <f>Assets!$G$40</f>
        <v>0</v>
      </c>
      <c r="U48" s="517">
        <f>Assets!$F$40</f>
        <v>0</v>
      </c>
      <c r="V48" s="515">
        <f t="shared" si="84"/>
        <v>0</v>
      </c>
      <c r="W48" s="1220"/>
      <c r="X48" s="514">
        <f>Assets!$G$41</f>
        <v>0</v>
      </c>
      <c r="Y48" s="517">
        <f>Assets!$F$41</f>
        <v>0</v>
      </c>
      <c r="Z48" s="515">
        <f t="shared" si="85"/>
        <v>0</v>
      </c>
      <c r="AA48" s="1220"/>
      <c r="AB48" s="514">
        <f>Assets!$G$42</f>
        <v>0</v>
      </c>
      <c r="AC48" s="515">
        <f>Assets!$F$42</f>
        <v>0</v>
      </c>
      <c r="AD48" s="515">
        <f t="shared" si="86"/>
        <v>0</v>
      </c>
      <c r="AE48" s="1220"/>
      <c r="AF48" s="514">
        <f>Assets!$G$43</f>
        <v>0</v>
      </c>
      <c r="AG48" s="515">
        <f>Assets!$F$43</f>
        <v>0</v>
      </c>
      <c r="AH48" s="515">
        <f t="shared" si="87"/>
        <v>0</v>
      </c>
      <c r="AI48" s="1220"/>
      <c r="AJ48" s="514">
        <f>Assets!$G$44</f>
        <v>0</v>
      </c>
      <c r="AK48" s="515">
        <f>Assets!$F$44</f>
        <v>0</v>
      </c>
      <c r="AL48" s="515">
        <f t="shared" si="88"/>
        <v>0</v>
      </c>
      <c r="AM48" s="1220"/>
      <c r="AN48" s="514">
        <f>Assets!$G$45</f>
        <v>0</v>
      </c>
      <c r="AO48" s="515">
        <f>Assets!$F$45</f>
        <v>0</v>
      </c>
      <c r="AP48" s="515">
        <f t="shared" si="89"/>
        <v>0</v>
      </c>
      <c r="AQ48" s="1220"/>
      <c r="AR48" s="514">
        <f>Assets!$G$46</f>
        <v>0</v>
      </c>
      <c r="AS48" s="515">
        <f>Assets!$F$46</f>
        <v>0</v>
      </c>
      <c r="AT48" s="515">
        <f t="shared" si="90"/>
        <v>0</v>
      </c>
      <c r="AU48" s="1220"/>
      <c r="AV48" s="514">
        <f>Assets!$G$47</f>
        <v>0</v>
      </c>
      <c r="AW48" s="515">
        <f>Assets!F$47</f>
        <v>0</v>
      </c>
      <c r="AX48" s="515">
        <f t="shared" si="91"/>
        <v>0</v>
      </c>
      <c r="AY48" s="1220"/>
      <c r="AZ48" s="514">
        <f>Assets!$G$48</f>
        <v>0</v>
      </c>
      <c r="BA48" s="515">
        <f>Assets!$F$48</f>
        <v>0</v>
      </c>
      <c r="BB48" s="515">
        <f t="shared" si="92"/>
        <v>0</v>
      </c>
      <c r="BC48" s="502"/>
      <c r="BD48" s="2005"/>
      <c r="BE48" s="523"/>
      <c r="BF48" s="523"/>
      <c r="BG48" s="1331">
        <f t="shared" si="67"/>
        <v>2535623.0348287909</v>
      </c>
      <c r="BH48" s="1331">
        <f t="shared" si="68"/>
        <v>1854956.9776713736</v>
      </c>
      <c r="BI48" s="1331">
        <f t="shared" si="69"/>
        <v>858976.49689048249</v>
      </c>
      <c r="BJ48" s="1331">
        <f t="shared" si="70"/>
        <v>0</v>
      </c>
      <c r="BK48" s="1331">
        <f t="shared" si="71"/>
        <v>0</v>
      </c>
      <c r="BL48" s="1331">
        <f t="shared" si="72"/>
        <v>0</v>
      </c>
      <c r="BM48" s="1331">
        <f t="shared" si="73"/>
        <v>0</v>
      </c>
      <c r="BN48" s="1331">
        <f t="shared" si="74"/>
        <v>0</v>
      </c>
      <c r="BO48" s="1331">
        <f t="shared" si="75"/>
        <v>0</v>
      </c>
      <c r="BP48" s="1331">
        <f t="shared" si="76"/>
        <v>0</v>
      </c>
      <c r="BQ48" s="1331">
        <f t="shared" si="77"/>
        <v>0</v>
      </c>
      <c r="BR48" s="1331">
        <f t="shared" si="78"/>
        <v>0</v>
      </c>
      <c r="BS48" s="523"/>
      <c r="BT48" s="523"/>
      <c r="BU48" s="523"/>
      <c r="BV48" s="523"/>
      <c r="BW48" s="1333">
        <f t="shared" ca="1" si="53"/>
        <v>2063</v>
      </c>
      <c r="BX48" s="1331">
        <f t="shared" si="27"/>
        <v>4390580.012500165</v>
      </c>
      <c r="BY48" s="1331">
        <f t="shared" ca="1" si="79"/>
        <v>858976.49689048249</v>
      </c>
      <c r="BZ48" s="1334">
        <f t="shared" si="28"/>
        <v>2535623.0348287909</v>
      </c>
      <c r="CA48" s="1334">
        <f t="shared" si="29"/>
        <v>1854956.9776713736</v>
      </c>
      <c r="CB48" s="1334">
        <f t="shared" si="30"/>
        <v>0</v>
      </c>
      <c r="CC48" s="1334">
        <f t="shared" si="31"/>
        <v>0</v>
      </c>
      <c r="CD48" s="1334">
        <f t="shared" si="32"/>
        <v>0</v>
      </c>
      <c r="CE48" s="1334">
        <f t="shared" si="33"/>
        <v>0</v>
      </c>
      <c r="CF48" s="1334">
        <f t="shared" si="34"/>
        <v>0</v>
      </c>
      <c r="CG48" s="1334">
        <f t="shared" si="35"/>
        <v>0</v>
      </c>
      <c r="CH48" s="1334">
        <f t="shared" si="36"/>
        <v>0</v>
      </c>
      <c r="CI48" s="1334">
        <f t="shared" si="37"/>
        <v>0</v>
      </c>
      <c r="CJ48" s="1334">
        <f t="shared" si="38"/>
        <v>0</v>
      </c>
      <c r="CK48" s="1334">
        <f t="shared" si="39"/>
        <v>0</v>
      </c>
      <c r="CL48" s="1334"/>
      <c r="CM48" s="1334">
        <f t="shared" si="40"/>
        <v>0</v>
      </c>
      <c r="CN48" s="1334">
        <f t="shared" si="41"/>
        <v>0</v>
      </c>
      <c r="CO48" s="1334">
        <f t="shared" si="42"/>
        <v>858976.49689048249</v>
      </c>
      <c r="CP48" s="1334">
        <f t="shared" si="43"/>
        <v>0</v>
      </c>
      <c r="CQ48" s="1334">
        <f t="shared" si="44"/>
        <v>0</v>
      </c>
      <c r="CR48" s="1334">
        <f t="shared" si="45"/>
        <v>0</v>
      </c>
      <c r="CS48" s="1334">
        <f t="shared" si="46"/>
        <v>0</v>
      </c>
      <c r="CT48" s="1334">
        <f t="shared" si="47"/>
        <v>0</v>
      </c>
      <c r="CU48" s="1334">
        <f t="shared" si="48"/>
        <v>0</v>
      </c>
      <c r="CV48" s="1334">
        <f t="shared" si="49"/>
        <v>0</v>
      </c>
      <c r="CW48" s="1334">
        <f t="shared" si="50"/>
        <v>0</v>
      </c>
      <c r="CX48" s="1334">
        <f t="shared" si="51"/>
        <v>0</v>
      </c>
      <c r="CY48" s="1334"/>
      <c r="CZ48" s="1334"/>
      <c r="DA48" s="1334">
        <f ca="1">Rental!Y78</f>
        <v>0</v>
      </c>
      <c r="DB48" s="1334">
        <f ca="1">Rental!AD78</f>
        <v>0</v>
      </c>
      <c r="DC48" s="1972"/>
      <c r="DD48" s="1761"/>
      <c r="DE48" s="1761"/>
      <c r="DF48" s="1335"/>
      <c r="DG48" s="1335"/>
      <c r="DH48" s="1335"/>
      <c r="DI48" s="1335"/>
      <c r="DJ48" s="1335"/>
      <c r="DK48" s="1335"/>
      <c r="DL48" s="1335"/>
      <c r="DM48" s="1335"/>
      <c r="DN48" s="1335"/>
      <c r="DO48" s="1335"/>
      <c r="DP48" s="1335"/>
      <c r="DQ48" s="1335"/>
      <c r="DR48" s="1335"/>
      <c r="DS48" s="1335"/>
      <c r="DT48" s="1335"/>
    </row>
    <row r="49" spans="1:124" s="1185" customFormat="1" ht="18" customHeight="1">
      <c r="A49" s="523">
        <f ca="1">IF(E49=YEAR(Retire!$D$12),1,0)</f>
        <v>0</v>
      </c>
      <c r="B49" s="502"/>
      <c r="C49" s="503" t="str">
        <f ca="1">IF(E49=Retire!$D$12,"==&gt;","")</f>
        <v/>
      </c>
      <c r="D49" s="504">
        <f t="shared" si="13"/>
        <v>43</v>
      </c>
      <c r="E49" s="504">
        <f t="shared" ca="1" si="80"/>
        <v>2064</v>
      </c>
      <c r="F49" s="505">
        <f t="shared" ca="1" si="14"/>
        <v>5537052</v>
      </c>
      <c r="G49" s="505"/>
      <c r="H49" s="506">
        <f>Assets!$G$37</f>
        <v>5.5E-2</v>
      </c>
      <c r="I49" s="507">
        <f>Assets!$F$37</f>
        <v>2000</v>
      </c>
      <c r="J49" s="507">
        <f t="shared" si="81"/>
        <v>2677082.3017443744</v>
      </c>
      <c r="K49" s="1220"/>
      <c r="L49" s="506">
        <f>Assets!$G$38</f>
        <v>0.05</v>
      </c>
      <c r="M49" s="507">
        <f>Assets!$F$38</f>
        <v>1500</v>
      </c>
      <c r="N49" s="507">
        <f t="shared" si="82"/>
        <v>1949204.8265549424</v>
      </c>
      <c r="O49" s="1220"/>
      <c r="P49" s="506">
        <f>Assets!$G$39</f>
        <v>0.06</v>
      </c>
      <c r="Q49" s="508">
        <f>Assets!$F$39</f>
        <v>250</v>
      </c>
      <c r="R49" s="507">
        <f t="shared" si="83"/>
        <v>910765.08670391142</v>
      </c>
      <c r="S49" s="1220"/>
      <c r="T49" s="506">
        <f>Assets!$G$40</f>
        <v>0</v>
      </c>
      <c r="U49" s="510">
        <f>Assets!$F$40</f>
        <v>0</v>
      </c>
      <c r="V49" s="507">
        <f t="shared" si="84"/>
        <v>0</v>
      </c>
      <c r="W49" s="1220"/>
      <c r="X49" s="506">
        <f>Assets!$G$41</f>
        <v>0</v>
      </c>
      <c r="Y49" s="510">
        <f>Assets!$F$41</f>
        <v>0</v>
      </c>
      <c r="Z49" s="507">
        <f t="shared" si="85"/>
        <v>0</v>
      </c>
      <c r="AA49" s="1220"/>
      <c r="AB49" s="506">
        <f>Assets!$G$42</f>
        <v>0</v>
      </c>
      <c r="AC49" s="507">
        <f>Assets!$F$42</f>
        <v>0</v>
      </c>
      <c r="AD49" s="507">
        <f t="shared" si="86"/>
        <v>0</v>
      </c>
      <c r="AE49" s="1220"/>
      <c r="AF49" s="506">
        <f>Assets!$G$43</f>
        <v>0</v>
      </c>
      <c r="AG49" s="507">
        <f>Assets!$F$43</f>
        <v>0</v>
      </c>
      <c r="AH49" s="507">
        <f t="shared" si="87"/>
        <v>0</v>
      </c>
      <c r="AI49" s="1220"/>
      <c r="AJ49" s="506">
        <f>Assets!$G$44</f>
        <v>0</v>
      </c>
      <c r="AK49" s="507">
        <f>Assets!$F$44</f>
        <v>0</v>
      </c>
      <c r="AL49" s="507">
        <f t="shared" si="88"/>
        <v>0</v>
      </c>
      <c r="AM49" s="1220"/>
      <c r="AN49" s="506">
        <f>Assets!$G$45</f>
        <v>0</v>
      </c>
      <c r="AO49" s="507">
        <f>Assets!$F$45</f>
        <v>0</v>
      </c>
      <c r="AP49" s="507">
        <f t="shared" si="89"/>
        <v>0</v>
      </c>
      <c r="AQ49" s="1220"/>
      <c r="AR49" s="506">
        <f>Assets!$G$46</f>
        <v>0</v>
      </c>
      <c r="AS49" s="507">
        <f>Assets!$F$46</f>
        <v>0</v>
      </c>
      <c r="AT49" s="507">
        <f t="shared" si="90"/>
        <v>0</v>
      </c>
      <c r="AU49" s="1220"/>
      <c r="AV49" s="506">
        <f>Assets!$G$47</f>
        <v>0</v>
      </c>
      <c r="AW49" s="507">
        <f>Assets!F$47</f>
        <v>0</v>
      </c>
      <c r="AX49" s="507">
        <f t="shared" si="91"/>
        <v>0</v>
      </c>
      <c r="AY49" s="1220"/>
      <c r="AZ49" s="506">
        <f>Assets!$G$48</f>
        <v>0</v>
      </c>
      <c r="BA49" s="507">
        <f>Assets!$F$48</f>
        <v>0</v>
      </c>
      <c r="BB49" s="507">
        <f t="shared" si="92"/>
        <v>0</v>
      </c>
      <c r="BC49" s="502"/>
      <c r="BD49" s="2005"/>
      <c r="BE49" s="523"/>
      <c r="BF49" s="523"/>
      <c r="BG49" s="1331">
        <f t="shared" si="67"/>
        <v>2677082.3017443744</v>
      </c>
      <c r="BH49" s="1331">
        <f t="shared" si="68"/>
        <v>1949204.8265549424</v>
      </c>
      <c r="BI49" s="1331">
        <f t="shared" si="69"/>
        <v>910765.08670391142</v>
      </c>
      <c r="BJ49" s="1331">
        <f t="shared" si="70"/>
        <v>0</v>
      </c>
      <c r="BK49" s="1331">
        <f t="shared" si="71"/>
        <v>0</v>
      </c>
      <c r="BL49" s="1331">
        <f t="shared" si="72"/>
        <v>0</v>
      </c>
      <c r="BM49" s="1331">
        <f t="shared" si="73"/>
        <v>0</v>
      </c>
      <c r="BN49" s="1331">
        <f t="shared" si="74"/>
        <v>0</v>
      </c>
      <c r="BO49" s="1331">
        <f t="shared" si="75"/>
        <v>0</v>
      </c>
      <c r="BP49" s="1331">
        <f t="shared" si="76"/>
        <v>0</v>
      </c>
      <c r="BQ49" s="1331">
        <f t="shared" si="77"/>
        <v>0</v>
      </c>
      <c r="BR49" s="1331">
        <f t="shared" si="78"/>
        <v>0</v>
      </c>
      <c r="BS49" s="523"/>
      <c r="BT49" s="523"/>
      <c r="BU49" s="523"/>
      <c r="BV49" s="523"/>
      <c r="BW49" s="1333">
        <f t="shared" ca="1" si="53"/>
        <v>2064</v>
      </c>
      <c r="BX49" s="1331">
        <f t="shared" si="27"/>
        <v>4626287.1282993164</v>
      </c>
      <c r="BY49" s="1331">
        <f t="shared" ca="1" si="79"/>
        <v>910765.08670391142</v>
      </c>
      <c r="BZ49" s="1334">
        <f t="shared" si="28"/>
        <v>2677082.3017443744</v>
      </c>
      <c r="CA49" s="1334">
        <f t="shared" si="29"/>
        <v>1949204.8265549424</v>
      </c>
      <c r="CB49" s="1334">
        <f t="shared" si="30"/>
        <v>0</v>
      </c>
      <c r="CC49" s="1334">
        <f t="shared" si="31"/>
        <v>0</v>
      </c>
      <c r="CD49" s="1334">
        <f t="shared" si="32"/>
        <v>0</v>
      </c>
      <c r="CE49" s="1334">
        <f t="shared" si="33"/>
        <v>0</v>
      </c>
      <c r="CF49" s="1334">
        <f t="shared" si="34"/>
        <v>0</v>
      </c>
      <c r="CG49" s="1334">
        <f t="shared" si="35"/>
        <v>0</v>
      </c>
      <c r="CH49" s="1334">
        <f t="shared" si="36"/>
        <v>0</v>
      </c>
      <c r="CI49" s="1334">
        <f t="shared" si="37"/>
        <v>0</v>
      </c>
      <c r="CJ49" s="1334">
        <f t="shared" si="38"/>
        <v>0</v>
      </c>
      <c r="CK49" s="1334">
        <f t="shared" si="39"/>
        <v>0</v>
      </c>
      <c r="CL49" s="1334"/>
      <c r="CM49" s="1334">
        <f t="shared" si="40"/>
        <v>0</v>
      </c>
      <c r="CN49" s="1334">
        <f t="shared" si="41"/>
        <v>0</v>
      </c>
      <c r="CO49" s="1334">
        <f t="shared" si="42"/>
        <v>910765.08670391142</v>
      </c>
      <c r="CP49" s="1334">
        <f t="shared" si="43"/>
        <v>0</v>
      </c>
      <c r="CQ49" s="1334">
        <f t="shared" si="44"/>
        <v>0</v>
      </c>
      <c r="CR49" s="1334">
        <f t="shared" si="45"/>
        <v>0</v>
      </c>
      <c r="CS49" s="1334">
        <f t="shared" si="46"/>
        <v>0</v>
      </c>
      <c r="CT49" s="1334">
        <f t="shared" si="47"/>
        <v>0</v>
      </c>
      <c r="CU49" s="1334">
        <f t="shared" si="48"/>
        <v>0</v>
      </c>
      <c r="CV49" s="1334">
        <f t="shared" si="49"/>
        <v>0</v>
      </c>
      <c r="CW49" s="1334">
        <f t="shared" si="50"/>
        <v>0</v>
      </c>
      <c r="CX49" s="1334">
        <f t="shared" si="51"/>
        <v>0</v>
      </c>
      <c r="CY49" s="1334"/>
      <c r="CZ49" s="1334"/>
      <c r="DA49" s="1334">
        <f ca="1">Rental!Y79</f>
        <v>0</v>
      </c>
      <c r="DB49" s="1334">
        <f ca="1">Rental!AD79</f>
        <v>0</v>
      </c>
      <c r="DC49" s="1972"/>
      <c r="DD49" s="1761"/>
      <c r="DE49" s="1761"/>
      <c r="DF49" s="1335"/>
      <c r="DG49" s="1335"/>
      <c r="DH49" s="1335"/>
      <c r="DI49" s="1335"/>
      <c r="DJ49" s="1335"/>
      <c r="DK49" s="1335"/>
      <c r="DL49" s="1335"/>
      <c r="DM49" s="1335"/>
      <c r="DN49" s="1335"/>
      <c r="DO49" s="1335"/>
      <c r="DP49" s="1335"/>
      <c r="DQ49" s="1335"/>
      <c r="DR49" s="1335"/>
      <c r="DS49" s="1335"/>
      <c r="DT49" s="1335"/>
    </row>
    <row r="50" spans="1:124" s="1185" customFormat="1" ht="18" customHeight="1">
      <c r="A50" s="523">
        <f ca="1">IF(E50=YEAR(Retire!$D$12),1,0)</f>
        <v>0</v>
      </c>
      <c r="B50" s="502"/>
      <c r="C50" s="503" t="str">
        <f ca="1">IF(E50=Retire!$D$12,"==&gt;","")</f>
        <v/>
      </c>
      <c r="D50" s="512">
        <f>SUM(D49+1)</f>
        <v>44</v>
      </c>
      <c r="E50" s="512">
        <f ca="1">E49+1</f>
        <v>2065</v>
      </c>
      <c r="F50" s="513">
        <f t="shared" ca="1" si="14"/>
        <v>5840148</v>
      </c>
      <c r="G50" s="505"/>
      <c r="H50" s="514">
        <f>Assets!$G$37</f>
        <v>5.5E-2</v>
      </c>
      <c r="I50" s="515">
        <f>Assets!$F$37</f>
        <v>2000</v>
      </c>
      <c r="J50" s="515">
        <f t="shared" si="81"/>
        <v>2826321.8283403153</v>
      </c>
      <c r="K50" s="1220"/>
      <c r="L50" s="514">
        <f>Assets!$G$38</f>
        <v>0.05</v>
      </c>
      <c r="M50" s="515">
        <f>Assets!$F$38</f>
        <v>1500</v>
      </c>
      <c r="N50" s="515">
        <f t="shared" si="82"/>
        <v>2048165.0678826896</v>
      </c>
      <c r="O50" s="1220"/>
      <c r="P50" s="514">
        <f>Assets!$G$39</f>
        <v>0.06</v>
      </c>
      <c r="Q50" s="516">
        <f>Assets!$F$39</f>
        <v>250</v>
      </c>
      <c r="R50" s="515">
        <f t="shared" si="83"/>
        <v>965660.99190614605</v>
      </c>
      <c r="S50" s="1220"/>
      <c r="T50" s="514">
        <f>Assets!$G$40</f>
        <v>0</v>
      </c>
      <c r="U50" s="517">
        <f>Assets!$F$40</f>
        <v>0</v>
      </c>
      <c r="V50" s="515">
        <f t="shared" si="84"/>
        <v>0</v>
      </c>
      <c r="W50" s="1220"/>
      <c r="X50" s="514">
        <f>Assets!$G$41</f>
        <v>0</v>
      </c>
      <c r="Y50" s="517">
        <f>Assets!$F$41</f>
        <v>0</v>
      </c>
      <c r="Z50" s="515">
        <f t="shared" si="85"/>
        <v>0</v>
      </c>
      <c r="AA50" s="1220"/>
      <c r="AB50" s="514">
        <f>Assets!$G$42</f>
        <v>0</v>
      </c>
      <c r="AC50" s="515">
        <f>Assets!$F$42</f>
        <v>0</v>
      </c>
      <c r="AD50" s="515">
        <f t="shared" si="86"/>
        <v>0</v>
      </c>
      <c r="AE50" s="1220"/>
      <c r="AF50" s="514">
        <f>Assets!$G$43</f>
        <v>0</v>
      </c>
      <c r="AG50" s="515">
        <f>Assets!$F$43</f>
        <v>0</v>
      </c>
      <c r="AH50" s="515">
        <f t="shared" si="87"/>
        <v>0</v>
      </c>
      <c r="AI50" s="1220"/>
      <c r="AJ50" s="514">
        <f>Assets!$G$44</f>
        <v>0</v>
      </c>
      <c r="AK50" s="515">
        <f>Assets!$F$44</f>
        <v>0</v>
      </c>
      <c r="AL50" s="515">
        <f t="shared" si="88"/>
        <v>0</v>
      </c>
      <c r="AM50" s="1220"/>
      <c r="AN50" s="514">
        <f>Assets!$G$45</f>
        <v>0</v>
      </c>
      <c r="AO50" s="515">
        <f>Assets!$F$45</f>
        <v>0</v>
      </c>
      <c r="AP50" s="515">
        <f t="shared" si="89"/>
        <v>0</v>
      </c>
      <c r="AQ50" s="1220"/>
      <c r="AR50" s="514">
        <f>Assets!$G$46</f>
        <v>0</v>
      </c>
      <c r="AS50" s="515">
        <f>Assets!$F$46</f>
        <v>0</v>
      </c>
      <c r="AT50" s="515">
        <f t="shared" si="90"/>
        <v>0</v>
      </c>
      <c r="AU50" s="1220"/>
      <c r="AV50" s="514">
        <f>Assets!$G$47</f>
        <v>0</v>
      </c>
      <c r="AW50" s="515">
        <f>Assets!F$47</f>
        <v>0</v>
      </c>
      <c r="AX50" s="515">
        <f t="shared" si="91"/>
        <v>0</v>
      </c>
      <c r="AY50" s="1220"/>
      <c r="AZ50" s="514">
        <f>Assets!$G$48</f>
        <v>0</v>
      </c>
      <c r="BA50" s="515">
        <f>Assets!$F$48</f>
        <v>0</v>
      </c>
      <c r="BB50" s="515">
        <f t="shared" si="92"/>
        <v>0</v>
      </c>
      <c r="BC50" s="502"/>
      <c r="BD50" s="2005"/>
      <c r="BE50" s="523"/>
      <c r="BF50" s="523"/>
      <c r="BG50" s="1331">
        <f t="shared" si="67"/>
        <v>2826321.8283403153</v>
      </c>
      <c r="BH50" s="1331">
        <f t="shared" si="68"/>
        <v>2048165.0678826896</v>
      </c>
      <c r="BI50" s="1331">
        <f t="shared" si="69"/>
        <v>965660.99190614605</v>
      </c>
      <c r="BJ50" s="1331">
        <f t="shared" si="70"/>
        <v>0</v>
      </c>
      <c r="BK50" s="1331">
        <f t="shared" si="71"/>
        <v>0</v>
      </c>
      <c r="BL50" s="1331">
        <f t="shared" si="72"/>
        <v>0</v>
      </c>
      <c r="BM50" s="1331">
        <f t="shared" si="73"/>
        <v>0</v>
      </c>
      <c r="BN50" s="1331">
        <f t="shared" si="74"/>
        <v>0</v>
      </c>
      <c r="BO50" s="1331">
        <f t="shared" si="75"/>
        <v>0</v>
      </c>
      <c r="BP50" s="1331">
        <f t="shared" si="76"/>
        <v>0</v>
      </c>
      <c r="BQ50" s="1331">
        <f t="shared" si="77"/>
        <v>0</v>
      </c>
      <c r="BR50" s="1331">
        <f t="shared" si="78"/>
        <v>0</v>
      </c>
      <c r="BS50" s="523"/>
      <c r="BT50" s="523"/>
      <c r="BU50" s="523"/>
      <c r="BV50" s="523"/>
      <c r="BW50" s="1333">
        <f t="shared" ca="1" si="53"/>
        <v>2065</v>
      </c>
      <c r="BX50" s="1331">
        <f t="shared" si="27"/>
        <v>4874486.8962230049</v>
      </c>
      <c r="BY50" s="1331">
        <f t="shared" ca="1" si="79"/>
        <v>965660.99190614605</v>
      </c>
      <c r="BZ50" s="1334">
        <f t="shared" si="28"/>
        <v>2826321.8283403153</v>
      </c>
      <c r="CA50" s="1334">
        <f t="shared" si="29"/>
        <v>2048165.0678826896</v>
      </c>
      <c r="CB50" s="1334">
        <f t="shared" si="30"/>
        <v>0</v>
      </c>
      <c r="CC50" s="1334">
        <f t="shared" si="31"/>
        <v>0</v>
      </c>
      <c r="CD50" s="1334">
        <f t="shared" si="32"/>
        <v>0</v>
      </c>
      <c r="CE50" s="1334">
        <f t="shared" si="33"/>
        <v>0</v>
      </c>
      <c r="CF50" s="1334">
        <f t="shared" si="34"/>
        <v>0</v>
      </c>
      <c r="CG50" s="1334">
        <f t="shared" si="35"/>
        <v>0</v>
      </c>
      <c r="CH50" s="1334">
        <f t="shared" si="36"/>
        <v>0</v>
      </c>
      <c r="CI50" s="1334">
        <f t="shared" si="37"/>
        <v>0</v>
      </c>
      <c r="CJ50" s="1334">
        <f t="shared" si="38"/>
        <v>0</v>
      </c>
      <c r="CK50" s="1334">
        <f t="shared" si="39"/>
        <v>0</v>
      </c>
      <c r="CL50" s="1334"/>
      <c r="CM50" s="1334">
        <f t="shared" si="40"/>
        <v>0</v>
      </c>
      <c r="CN50" s="1334">
        <f t="shared" si="41"/>
        <v>0</v>
      </c>
      <c r="CO50" s="1334">
        <f t="shared" si="42"/>
        <v>965660.99190614605</v>
      </c>
      <c r="CP50" s="1334">
        <f t="shared" si="43"/>
        <v>0</v>
      </c>
      <c r="CQ50" s="1334">
        <f t="shared" si="44"/>
        <v>0</v>
      </c>
      <c r="CR50" s="1334">
        <f t="shared" si="45"/>
        <v>0</v>
      </c>
      <c r="CS50" s="1334">
        <f t="shared" si="46"/>
        <v>0</v>
      </c>
      <c r="CT50" s="1334">
        <f t="shared" si="47"/>
        <v>0</v>
      </c>
      <c r="CU50" s="1334">
        <f t="shared" si="48"/>
        <v>0</v>
      </c>
      <c r="CV50" s="1334">
        <f t="shared" si="49"/>
        <v>0</v>
      </c>
      <c r="CW50" s="1334">
        <f t="shared" si="50"/>
        <v>0</v>
      </c>
      <c r="CX50" s="1334">
        <f t="shared" si="51"/>
        <v>0</v>
      </c>
      <c r="CY50" s="1334"/>
      <c r="CZ50" s="1334"/>
      <c r="DA50" s="1334">
        <f ca="1">Rental!Y80</f>
        <v>0</v>
      </c>
      <c r="DB50" s="1334">
        <f ca="1">Rental!AD80</f>
        <v>0</v>
      </c>
      <c r="DC50" s="1972"/>
      <c r="DD50" s="1761"/>
      <c r="DE50" s="1761"/>
      <c r="DF50" s="1335"/>
      <c r="DG50" s="1335"/>
      <c r="DH50" s="1335"/>
      <c r="DI50" s="1335"/>
      <c r="DJ50" s="1335"/>
      <c r="DK50" s="1335"/>
      <c r="DL50" s="1335"/>
      <c r="DM50" s="1335"/>
      <c r="DN50" s="1335"/>
      <c r="DO50" s="1335"/>
      <c r="DP50" s="1335"/>
      <c r="DQ50" s="1335"/>
      <c r="DR50" s="1335"/>
      <c r="DS50" s="1335"/>
      <c r="DT50" s="1335"/>
    </row>
    <row r="51" spans="1:124" s="1185" customFormat="1" ht="18" customHeight="1">
      <c r="A51" s="523">
        <f ca="1">IF(E51=YEAR(Retire!$D$12),1,0)</f>
        <v>0</v>
      </c>
      <c r="B51" s="502"/>
      <c r="C51" s="503" t="str">
        <f ca="1">IF(E51=Retire!$D$12,"==&gt;","")</f>
        <v/>
      </c>
      <c r="D51" s="504">
        <f>SUM(D50+1)</f>
        <v>45</v>
      </c>
      <c r="E51" s="504">
        <f ca="1">E50+1</f>
        <v>2066</v>
      </c>
      <c r="F51" s="505">
        <f t="shared" ca="1" si="14"/>
        <v>6159694</v>
      </c>
      <c r="G51" s="505"/>
      <c r="H51" s="506">
        <f>Assets!$G$37</f>
        <v>5.5E-2</v>
      </c>
      <c r="I51" s="507">
        <f>Assets!$F$37</f>
        <v>2000</v>
      </c>
      <c r="J51" s="507">
        <f>SUM((J50*H50)+J50+I50)</f>
        <v>2983769.5288990326</v>
      </c>
      <c r="K51" s="1220"/>
      <c r="L51" s="506">
        <f>Assets!$G$38</f>
        <v>0.05</v>
      </c>
      <c r="M51" s="507">
        <f>Assets!$F$38</f>
        <v>1500</v>
      </c>
      <c r="N51" s="507">
        <f>SUM((N50*L50)+N50+M50)</f>
        <v>2152073.321276824</v>
      </c>
      <c r="O51" s="1220"/>
      <c r="P51" s="506">
        <f>Assets!$G$39</f>
        <v>0.06</v>
      </c>
      <c r="Q51" s="508">
        <f>Assets!$F$39</f>
        <v>250</v>
      </c>
      <c r="R51" s="507">
        <f>SUM((R50*P50)+R50+Q50)</f>
        <v>1023850.6514205148</v>
      </c>
      <c r="S51" s="1220"/>
      <c r="T51" s="506">
        <f>Assets!$G$40</f>
        <v>0</v>
      </c>
      <c r="U51" s="510">
        <f>Assets!$F$40</f>
        <v>0</v>
      </c>
      <c r="V51" s="507">
        <f>SUM((V50*T50)+V50+U50)</f>
        <v>0</v>
      </c>
      <c r="W51" s="1220"/>
      <c r="X51" s="506">
        <f>Assets!$G$41</f>
        <v>0</v>
      </c>
      <c r="Y51" s="510">
        <f>Assets!$F$41</f>
        <v>0</v>
      </c>
      <c r="Z51" s="507">
        <f>SUM((Z50*X50)+Z50+Y50)</f>
        <v>0</v>
      </c>
      <c r="AA51" s="1220"/>
      <c r="AB51" s="506">
        <f>Assets!$G$42</f>
        <v>0</v>
      </c>
      <c r="AC51" s="507">
        <f>Assets!$F$42</f>
        <v>0</v>
      </c>
      <c r="AD51" s="507">
        <f>SUM((AD50*AB50)+AD50+AC50)</f>
        <v>0</v>
      </c>
      <c r="AE51" s="1220"/>
      <c r="AF51" s="506">
        <f>Assets!$G$43</f>
        <v>0</v>
      </c>
      <c r="AG51" s="507">
        <f>Assets!$F$43</f>
        <v>0</v>
      </c>
      <c r="AH51" s="507">
        <f>SUM((AH50*AF50)+AH50+AG50)</f>
        <v>0</v>
      </c>
      <c r="AI51" s="1220"/>
      <c r="AJ51" s="506">
        <f>Assets!$G$44</f>
        <v>0</v>
      </c>
      <c r="AK51" s="507">
        <f>Assets!$F$44</f>
        <v>0</v>
      </c>
      <c r="AL51" s="507">
        <f>SUM((AL50*AJ50)+AL50+AK50)</f>
        <v>0</v>
      </c>
      <c r="AM51" s="1220"/>
      <c r="AN51" s="506">
        <f>Assets!$G$45</f>
        <v>0</v>
      </c>
      <c r="AO51" s="507">
        <f>Assets!$F$45</f>
        <v>0</v>
      </c>
      <c r="AP51" s="507">
        <f>SUM((AP50*AN50)+AP50+AO50)</f>
        <v>0</v>
      </c>
      <c r="AQ51" s="1220"/>
      <c r="AR51" s="506">
        <f>Assets!$G$46</f>
        <v>0</v>
      </c>
      <c r="AS51" s="507">
        <f>Assets!$F$46</f>
        <v>0</v>
      </c>
      <c r="AT51" s="507">
        <f>SUM((AT50*AR50)+AT50+AS50)</f>
        <v>0</v>
      </c>
      <c r="AU51" s="1220"/>
      <c r="AV51" s="506">
        <f>Assets!$G$47</f>
        <v>0</v>
      </c>
      <c r="AW51" s="507">
        <f>Assets!F$47</f>
        <v>0</v>
      </c>
      <c r="AX51" s="507">
        <f>SUM((AX50*AV50)+AX50+AW50)</f>
        <v>0</v>
      </c>
      <c r="AY51" s="1220"/>
      <c r="AZ51" s="506">
        <f>Assets!$G$48</f>
        <v>0</v>
      </c>
      <c r="BA51" s="507">
        <f>Assets!$F$48</f>
        <v>0</v>
      </c>
      <c r="BB51" s="507">
        <f>SUM((BB50*AZ50)+BB50+BA50)</f>
        <v>0</v>
      </c>
      <c r="BC51" s="502"/>
      <c r="BD51" s="2005"/>
      <c r="BE51" s="523"/>
      <c r="BF51" s="523"/>
      <c r="BG51" s="1331">
        <f t="shared" si="67"/>
        <v>2983769.5288990326</v>
      </c>
      <c r="BH51" s="1331">
        <f t="shared" si="68"/>
        <v>2152073.321276824</v>
      </c>
      <c r="BI51" s="1331">
        <f t="shared" si="69"/>
        <v>1023850.6514205148</v>
      </c>
      <c r="BJ51" s="1331">
        <f t="shared" si="70"/>
        <v>0</v>
      </c>
      <c r="BK51" s="1331">
        <f t="shared" si="71"/>
        <v>0</v>
      </c>
      <c r="BL51" s="1331">
        <f t="shared" si="72"/>
        <v>0</v>
      </c>
      <c r="BM51" s="1331">
        <f t="shared" si="73"/>
        <v>0</v>
      </c>
      <c r="BN51" s="1331">
        <f t="shared" si="74"/>
        <v>0</v>
      </c>
      <c r="BO51" s="1331">
        <f t="shared" si="75"/>
        <v>0</v>
      </c>
      <c r="BP51" s="1331">
        <f t="shared" si="76"/>
        <v>0</v>
      </c>
      <c r="BQ51" s="1331">
        <f t="shared" si="77"/>
        <v>0</v>
      </c>
      <c r="BR51" s="1331">
        <f t="shared" si="78"/>
        <v>0</v>
      </c>
      <c r="BS51" s="523"/>
      <c r="BT51" s="523"/>
      <c r="BU51" s="523"/>
      <c r="BV51" s="523"/>
      <c r="BW51" s="1333">
        <f t="shared" ca="1" si="53"/>
        <v>2066</v>
      </c>
      <c r="BX51" s="1331">
        <f t="shared" si="27"/>
        <v>5135842.8501758566</v>
      </c>
      <c r="BY51" s="1331">
        <f t="shared" ca="1" si="79"/>
        <v>1023850.6514205148</v>
      </c>
      <c r="BZ51" s="1334">
        <f t="shared" si="28"/>
        <v>2983769.5288990326</v>
      </c>
      <c r="CA51" s="1334">
        <f t="shared" si="29"/>
        <v>2152073.321276824</v>
      </c>
      <c r="CB51" s="1334">
        <f t="shared" si="30"/>
        <v>0</v>
      </c>
      <c r="CC51" s="1334">
        <f t="shared" si="31"/>
        <v>0</v>
      </c>
      <c r="CD51" s="1334">
        <f t="shared" si="32"/>
        <v>0</v>
      </c>
      <c r="CE51" s="1334">
        <f t="shared" si="33"/>
        <v>0</v>
      </c>
      <c r="CF51" s="1334">
        <f t="shared" si="34"/>
        <v>0</v>
      </c>
      <c r="CG51" s="1334">
        <f t="shared" si="35"/>
        <v>0</v>
      </c>
      <c r="CH51" s="1334">
        <f t="shared" si="36"/>
        <v>0</v>
      </c>
      <c r="CI51" s="1334">
        <f t="shared" si="37"/>
        <v>0</v>
      </c>
      <c r="CJ51" s="1334">
        <f t="shared" si="38"/>
        <v>0</v>
      </c>
      <c r="CK51" s="1334">
        <f t="shared" si="39"/>
        <v>0</v>
      </c>
      <c r="CL51" s="1334"/>
      <c r="CM51" s="1334">
        <f t="shared" si="40"/>
        <v>0</v>
      </c>
      <c r="CN51" s="1334">
        <f t="shared" si="41"/>
        <v>0</v>
      </c>
      <c r="CO51" s="1334">
        <f t="shared" si="42"/>
        <v>1023850.6514205148</v>
      </c>
      <c r="CP51" s="1334">
        <f t="shared" si="43"/>
        <v>0</v>
      </c>
      <c r="CQ51" s="1334">
        <f t="shared" si="44"/>
        <v>0</v>
      </c>
      <c r="CR51" s="1334">
        <f t="shared" si="45"/>
        <v>0</v>
      </c>
      <c r="CS51" s="1334">
        <f t="shared" si="46"/>
        <v>0</v>
      </c>
      <c r="CT51" s="1334">
        <f t="shared" si="47"/>
        <v>0</v>
      </c>
      <c r="CU51" s="1334">
        <f t="shared" si="48"/>
        <v>0</v>
      </c>
      <c r="CV51" s="1334">
        <f t="shared" si="49"/>
        <v>0</v>
      </c>
      <c r="CW51" s="1334">
        <f t="shared" si="50"/>
        <v>0</v>
      </c>
      <c r="CX51" s="1334">
        <f t="shared" si="51"/>
        <v>0</v>
      </c>
      <c r="CY51" s="1334"/>
      <c r="CZ51" s="1334"/>
      <c r="DA51" s="1334">
        <f ca="1">Rental!Y81</f>
        <v>0</v>
      </c>
      <c r="DB51" s="1334">
        <f ca="1">Rental!AD81</f>
        <v>0</v>
      </c>
      <c r="DC51" s="1972"/>
      <c r="DD51" s="1761"/>
      <c r="DE51" s="1761"/>
      <c r="DF51" s="1335"/>
      <c r="DG51" s="1335"/>
      <c r="DH51" s="1335"/>
      <c r="DI51" s="1335"/>
      <c r="DJ51" s="1335"/>
      <c r="DK51" s="1335"/>
      <c r="DL51" s="1335"/>
      <c r="DM51" s="1335"/>
      <c r="DN51" s="1335"/>
      <c r="DO51" s="1335"/>
      <c r="DP51" s="1335"/>
      <c r="DQ51" s="1335"/>
      <c r="DR51" s="1335"/>
      <c r="DS51" s="1335"/>
      <c r="DT51" s="1335"/>
    </row>
    <row r="52" spans="1:124" s="1185" customFormat="1" ht="18" customHeight="1">
      <c r="A52" s="523">
        <f ca="1">IF(E52=YEAR(Retire!$D$12),1,0)</f>
        <v>0</v>
      </c>
      <c r="B52" s="502"/>
      <c r="C52" s="503" t="str">
        <f ca="1">IF(E52=Retire!$D$12,"==&gt;","")</f>
        <v/>
      </c>
      <c r="D52" s="512">
        <f t="shared" ref="D52:D57" si="93">SUM(D51+1)</f>
        <v>46</v>
      </c>
      <c r="E52" s="512">
        <f t="shared" ref="E52:E57" ca="1" si="94">E51+1</f>
        <v>2067</v>
      </c>
      <c r="F52" s="513">
        <f t="shared" ca="1" si="14"/>
        <v>6496586</v>
      </c>
      <c r="G52" s="505"/>
      <c r="H52" s="514">
        <f>Assets!$G$37</f>
        <v>5.5E-2</v>
      </c>
      <c r="I52" s="515">
        <f>Assets!$F$37</f>
        <v>2000</v>
      </c>
      <c r="J52" s="515">
        <f t="shared" ref="J52:J57" si="95">SUM((J51*H51)+J51+I51)</f>
        <v>3149876.8529884797</v>
      </c>
      <c r="K52" s="1220"/>
      <c r="L52" s="514">
        <f>Assets!$G$38</f>
        <v>0.05</v>
      </c>
      <c r="M52" s="515">
        <f>Assets!$F$38</f>
        <v>1500</v>
      </c>
      <c r="N52" s="515">
        <f t="shared" ref="N52:N57" si="96">SUM((N51*L51)+N51+M51)</f>
        <v>2261176.9873406654</v>
      </c>
      <c r="O52" s="1220"/>
      <c r="P52" s="514">
        <f>Assets!$G$39</f>
        <v>0.06</v>
      </c>
      <c r="Q52" s="516">
        <f>Assets!$F$39</f>
        <v>250</v>
      </c>
      <c r="R52" s="515">
        <f t="shared" ref="R52:R57" si="97">SUM((R51*P51)+R51+Q51)</f>
        <v>1085531.6905057456</v>
      </c>
      <c r="S52" s="1220"/>
      <c r="T52" s="514">
        <f>Assets!$G$40</f>
        <v>0</v>
      </c>
      <c r="U52" s="517">
        <f>Assets!$F$40</f>
        <v>0</v>
      </c>
      <c r="V52" s="515">
        <f t="shared" ref="V52:V57" si="98">SUM((V51*T51)+V51+U51)</f>
        <v>0</v>
      </c>
      <c r="W52" s="1220"/>
      <c r="X52" s="514">
        <f>Assets!$G$41</f>
        <v>0</v>
      </c>
      <c r="Y52" s="517">
        <f>Assets!$F$41</f>
        <v>0</v>
      </c>
      <c r="Z52" s="515">
        <f t="shared" ref="Z52:Z57" si="99">SUM((Z51*X51)+Z51+Y51)</f>
        <v>0</v>
      </c>
      <c r="AA52" s="1220"/>
      <c r="AB52" s="514">
        <f>Assets!$G$42</f>
        <v>0</v>
      </c>
      <c r="AC52" s="515">
        <f>Assets!$F$42</f>
        <v>0</v>
      </c>
      <c r="AD52" s="515">
        <f t="shared" ref="AD52:AD57" si="100">SUM((AD51*AB51)+AD51+AC51)</f>
        <v>0</v>
      </c>
      <c r="AE52" s="1220"/>
      <c r="AF52" s="514">
        <f>Assets!$G$43</f>
        <v>0</v>
      </c>
      <c r="AG52" s="515">
        <f>Assets!$F$43</f>
        <v>0</v>
      </c>
      <c r="AH52" s="515">
        <f t="shared" ref="AH52:AH57" si="101">SUM((AH51*AF51)+AH51+AG51)</f>
        <v>0</v>
      </c>
      <c r="AI52" s="1220"/>
      <c r="AJ52" s="514">
        <f>Assets!$G$44</f>
        <v>0</v>
      </c>
      <c r="AK52" s="515">
        <f>Assets!$F$44</f>
        <v>0</v>
      </c>
      <c r="AL52" s="515">
        <f t="shared" ref="AL52:AL57" si="102">SUM((AL51*AJ51)+AL51+AK51)</f>
        <v>0</v>
      </c>
      <c r="AM52" s="1220"/>
      <c r="AN52" s="514">
        <f>Assets!$G$45</f>
        <v>0</v>
      </c>
      <c r="AO52" s="515">
        <f>Assets!$F$45</f>
        <v>0</v>
      </c>
      <c r="AP52" s="515">
        <f t="shared" ref="AP52:AP57" si="103">SUM((AP51*AN51)+AP51+AO51)</f>
        <v>0</v>
      </c>
      <c r="AQ52" s="1220"/>
      <c r="AR52" s="514">
        <f>Assets!$G$46</f>
        <v>0</v>
      </c>
      <c r="AS52" s="515">
        <f>Assets!$F$46</f>
        <v>0</v>
      </c>
      <c r="AT52" s="515">
        <f t="shared" ref="AT52:AT57" si="104">SUM((AT51*AR51)+AT51+AS51)</f>
        <v>0</v>
      </c>
      <c r="AU52" s="1220"/>
      <c r="AV52" s="514">
        <f>Assets!$G$47</f>
        <v>0</v>
      </c>
      <c r="AW52" s="515">
        <f>Assets!F$47</f>
        <v>0</v>
      </c>
      <c r="AX52" s="515">
        <f t="shared" ref="AX52:AX57" si="105">SUM((AX51*AV51)+AX51+AW51)</f>
        <v>0</v>
      </c>
      <c r="AY52" s="1220"/>
      <c r="AZ52" s="514">
        <f>Assets!$G$48</f>
        <v>0</v>
      </c>
      <c r="BA52" s="515">
        <f>Assets!$F$48</f>
        <v>0</v>
      </c>
      <c r="BB52" s="515">
        <f t="shared" ref="BB52:BB57" si="106">SUM((BB51*AZ51)+BB51+BA51)</f>
        <v>0</v>
      </c>
      <c r="BC52" s="502"/>
      <c r="BD52" s="2005"/>
      <c r="BE52" s="523"/>
      <c r="BF52" s="523"/>
      <c r="BG52" s="1331">
        <f t="shared" si="67"/>
        <v>3149876.8529884797</v>
      </c>
      <c r="BH52" s="1331">
        <f t="shared" si="68"/>
        <v>2261176.9873406654</v>
      </c>
      <c r="BI52" s="1331">
        <f t="shared" si="69"/>
        <v>1085531.6905057456</v>
      </c>
      <c r="BJ52" s="1331">
        <f t="shared" si="70"/>
        <v>0</v>
      </c>
      <c r="BK52" s="1331">
        <f t="shared" si="71"/>
        <v>0</v>
      </c>
      <c r="BL52" s="1331">
        <f t="shared" si="72"/>
        <v>0</v>
      </c>
      <c r="BM52" s="1331">
        <f t="shared" si="73"/>
        <v>0</v>
      </c>
      <c r="BN52" s="1331">
        <f t="shared" si="74"/>
        <v>0</v>
      </c>
      <c r="BO52" s="1331">
        <f t="shared" si="75"/>
        <v>0</v>
      </c>
      <c r="BP52" s="1331">
        <f t="shared" si="76"/>
        <v>0</v>
      </c>
      <c r="BQ52" s="1331">
        <f t="shared" si="77"/>
        <v>0</v>
      </c>
      <c r="BR52" s="1331">
        <f t="shared" si="78"/>
        <v>0</v>
      </c>
      <c r="BS52" s="523"/>
      <c r="BT52" s="523"/>
      <c r="BU52" s="523"/>
      <c r="BV52" s="523"/>
      <c r="BW52" s="1333">
        <f t="shared" ca="1" si="53"/>
        <v>2067</v>
      </c>
      <c r="BX52" s="1331">
        <f t="shared" si="27"/>
        <v>5411053.8403291451</v>
      </c>
      <c r="BY52" s="1331">
        <f t="shared" ca="1" si="79"/>
        <v>1085531.6905057456</v>
      </c>
      <c r="BZ52" s="1334">
        <f t="shared" si="28"/>
        <v>3149876.8529884797</v>
      </c>
      <c r="CA52" s="1334">
        <f t="shared" si="29"/>
        <v>2261176.9873406654</v>
      </c>
      <c r="CB52" s="1334">
        <f t="shared" si="30"/>
        <v>0</v>
      </c>
      <c r="CC52" s="1334">
        <f t="shared" si="31"/>
        <v>0</v>
      </c>
      <c r="CD52" s="1334">
        <f t="shared" si="32"/>
        <v>0</v>
      </c>
      <c r="CE52" s="1334">
        <f t="shared" si="33"/>
        <v>0</v>
      </c>
      <c r="CF52" s="1334">
        <f t="shared" si="34"/>
        <v>0</v>
      </c>
      <c r="CG52" s="1334">
        <f t="shared" si="35"/>
        <v>0</v>
      </c>
      <c r="CH52" s="1334">
        <f t="shared" si="36"/>
        <v>0</v>
      </c>
      <c r="CI52" s="1334">
        <f t="shared" si="37"/>
        <v>0</v>
      </c>
      <c r="CJ52" s="1334">
        <f t="shared" si="38"/>
        <v>0</v>
      </c>
      <c r="CK52" s="1334">
        <f t="shared" si="39"/>
        <v>0</v>
      </c>
      <c r="CL52" s="1334"/>
      <c r="CM52" s="1334">
        <f t="shared" si="40"/>
        <v>0</v>
      </c>
      <c r="CN52" s="1334">
        <f t="shared" si="41"/>
        <v>0</v>
      </c>
      <c r="CO52" s="1334">
        <f t="shared" si="42"/>
        <v>1085531.6905057456</v>
      </c>
      <c r="CP52" s="1334">
        <f t="shared" si="43"/>
        <v>0</v>
      </c>
      <c r="CQ52" s="1334">
        <f t="shared" si="44"/>
        <v>0</v>
      </c>
      <c r="CR52" s="1334">
        <f t="shared" si="45"/>
        <v>0</v>
      </c>
      <c r="CS52" s="1334">
        <f t="shared" si="46"/>
        <v>0</v>
      </c>
      <c r="CT52" s="1334">
        <f t="shared" si="47"/>
        <v>0</v>
      </c>
      <c r="CU52" s="1334">
        <f t="shared" si="48"/>
        <v>0</v>
      </c>
      <c r="CV52" s="1334">
        <f t="shared" si="49"/>
        <v>0</v>
      </c>
      <c r="CW52" s="1334">
        <f t="shared" si="50"/>
        <v>0</v>
      </c>
      <c r="CX52" s="1334">
        <f t="shared" si="51"/>
        <v>0</v>
      </c>
      <c r="CY52" s="1334"/>
      <c r="CZ52" s="1334"/>
      <c r="DA52" s="1334">
        <f ca="1">Rental!Y82</f>
        <v>0</v>
      </c>
      <c r="DB52" s="1334">
        <f ca="1">Rental!AD82</f>
        <v>0</v>
      </c>
      <c r="DC52" s="1972"/>
      <c r="DD52" s="1761"/>
      <c r="DE52" s="1761"/>
      <c r="DF52" s="1335"/>
      <c r="DG52" s="1335"/>
      <c r="DH52" s="1335"/>
      <c r="DI52" s="1335"/>
      <c r="DJ52" s="1335"/>
      <c r="DK52" s="1335"/>
      <c r="DL52" s="1335"/>
      <c r="DM52" s="1335"/>
      <c r="DN52" s="1335"/>
      <c r="DO52" s="1335"/>
      <c r="DP52" s="1335"/>
      <c r="DQ52" s="1335"/>
      <c r="DR52" s="1335"/>
      <c r="DS52" s="1335"/>
      <c r="DT52" s="1335"/>
    </row>
    <row r="53" spans="1:124" s="1185" customFormat="1" ht="18" customHeight="1">
      <c r="A53" s="523">
        <f ca="1">IF(E53=YEAR(Retire!$D$12),1,0)</f>
        <v>0</v>
      </c>
      <c r="B53" s="502"/>
      <c r="C53" s="503" t="str">
        <f ca="1">IF(E53=Retire!$D$12,"==&gt;","")</f>
        <v/>
      </c>
      <c r="D53" s="504">
        <f t="shared" si="93"/>
        <v>47</v>
      </c>
      <c r="E53" s="504">
        <f t="shared" ca="1" si="94"/>
        <v>2068</v>
      </c>
      <c r="F53" s="505">
        <f t="shared" ca="1" si="14"/>
        <v>6851770</v>
      </c>
      <c r="G53" s="505"/>
      <c r="H53" s="506">
        <f>Assets!$G$37</f>
        <v>5.5E-2</v>
      </c>
      <c r="I53" s="507">
        <f>Assets!$F$37</f>
        <v>2000</v>
      </c>
      <c r="J53" s="507">
        <f t="shared" si="95"/>
        <v>3325120.0799028459</v>
      </c>
      <c r="K53" s="1220"/>
      <c r="L53" s="506">
        <f>Assets!$G$38</f>
        <v>0.05</v>
      </c>
      <c r="M53" s="507">
        <f>Assets!$F$38</f>
        <v>1500</v>
      </c>
      <c r="N53" s="507">
        <f t="shared" si="96"/>
        <v>2375735.8367076986</v>
      </c>
      <c r="O53" s="1220"/>
      <c r="P53" s="506">
        <f>Assets!$G$39</f>
        <v>0.06</v>
      </c>
      <c r="Q53" s="508">
        <f>Assets!$F$39</f>
        <v>250</v>
      </c>
      <c r="R53" s="507">
        <f t="shared" si="97"/>
        <v>1150913.5919360903</v>
      </c>
      <c r="S53" s="1220"/>
      <c r="T53" s="506">
        <f>Assets!$G$40</f>
        <v>0</v>
      </c>
      <c r="U53" s="510">
        <f>Assets!$F$40</f>
        <v>0</v>
      </c>
      <c r="V53" s="507">
        <f t="shared" si="98"/>
        <v>0</v>
      </c>
      <c r="W53" s="1220"/>
      <c r="X53" s="506">
        <f>Assets!$G$41</f>
        <v>0</v>
      </c>
      <c r="Y53" s="510">
        <f>Assets!$F$41</f>
        <v>0</v>
      </c>
      <c r="Z53" s="507">
        <f t="shared" si="99"/>
        <v>0</v>
      </c>
      <c r="AA53" s="1220"/>
      <c r="AB53" s="506">
        <f>Assets!$G$42</f>
        <v>0</v>
      </c>
      <c r="AC53" s="507">
        <f>Assets!$F$42</f>
        <v>0</v>
      </c>
      <c r="AD53" s="507">
        <f t="shared" si="100"/>
        <v>0</v>
      </c>
      <c r="AE53" s="1220"/>
      <c r="AF53" s="506">
        <f>Assets!$G$43</f>
        <v>0</v>
      </c>
      <c r="AG53" s="507">
        <f>Assets!$F$43</f>
        <v>0</v>
      </c>
      <c r="AH53" s="507">
        <f t="shared" si="101"/>
        <v>0</v>
      </c>
      <c r="AI53" s="1220"/>
      <c r="AJ53" s="506">
        <f>Assets!$G$44</f>
        <v>0</v>
      </c>
      <c r="AK53" s="507">
        <f>Assets!$F$44</f>
        <v>0</v>
      </c>
      <c r="AL53" s="507">
        <f t="shared" si="102"/>
        <v>0</v>
      </c>
      <c r="AM53" s="1220"/>
      <c r="AN53" s="506">
        <f>Assets!$G$45</f>
        <v>0</v>
      </c>
      <c r="AO53" s="507">
        <f>Assets!$F$45</f>
        <v>0</v>
      </c>
      <c r="AP53" s="507">
        <f t="shared" si="103"/>
        <v>0</v>
      </c>
      <c r="AQ53" s="1220"/>
      <c r="AR53" s="506">
        <f>Assets!$G$46</f>
        <v>0</v>
      </c>
      <c r="AS53" s="507">
        <f>Assets!$F$46</f>
        <v>0</v>
      </c>
      <c r="AT53" s="507">
        <f t="shared" si="104"/>
        <v>0</v>
      </c>
      <c r="AU53" s="1220"/>
      <c r="AV53" s="506">
        <f>Assets!$G$47</f>
        <v>0</v>
      </c>
      <c r="AW53" s="507">
        <f>Assets!F$47</f>
        <v>0</v>
      </c>
      <c r="AX53" s="507">
        <f t="shared" si="105"/>
        <v>0</v>
      </c>
      <c r="AY53" s="1220"/>
      <c r="AZ53" s="506">
        <f>Assets!$G$48</f>
        <v>0</v>
      </c>
      <c r="BA53" s="507">
        <f>Assets!$F$48</f>
        <v>0</v>
      </c>
      <c r="BB53" s="507">
        <f t="shared" si="106"/>
        <v>0</v>
      </c>
      <c r="BC53" s="502"/>
      <c r="BD53" s="2005"/>
      <c r="BE53" s="523"/>
      <c r="BF53" s="523"/>
      <c r="BG53" s="1331">
        <f t="shared" si="67"/>
        <v>3325120.0799028459</v>
      </c>
      <c r="BH53" s="1331">
        <f t="shared" si="68"/>
        <v>2375735.8367076986</v>
      </c>
      <c r="BI53" s="1331">
        <f t="shared" si="69"/>
        <v>1150913.5919360903</v>
      </c>
      <c r="BJ53" s="1331">
        <f t="shared" si="70"/>
        <v>0</v>
      </c>
      <c r="BK53" s="1331">
        <f t="shared" si="71"/>
        <v>0</v>
      </c>
      <c r="BL53" s="1331">
        <f t="shared" si="72"/>
        <v>0</v>
      </c>
      <c r="BM53" s="1331">
        <f t="shared" si="73"/>
        <v>0</v>
      </c>
      <c r="BN53" s="1331">
        <f t="shared" si="74"/>
        <v>0</v>
      </c>
      <c r="BO53" s="1331">
        <f t="shared" si="75"/>
        <v>0</v>
      </c>
      <c r="BP53" s="1331">
        <f t="shared" si="76"/>
        <v>0</v>
      </c>
      <c r="BQ53" s="1331">
        <f t="shared" si="77"/>
        <v>0</v>
      </c>
      <c r="BR53" s="1331">
        <f t="shared" si="78"/>
        <v>0</v>
      </c>
      <c r="BS53" s="523"/>
      <c r="BT53" s="523"/>
      <c r="BU53" s="523"/>
      <c r="BV53" s="523"/>
      <c r="BW53" s="1333">
        <f t="shared" ca="1" si="53"/>
        <v>2068</v>
      </c>
      <c r="BX53" s="1331">
        <f t="shared" si="27"/>
        <v>5700855.9166105445</v>
      </c>
      <c r="BY53" s="1331">
        <f t="shared" ca="1" si="79"/>
        <v>1150913.5919360903</v>
      </c>
      <c r="BZ53" s="1334">
        <f t="shared" si="28"/>
        <v>3325120.0799028459</v>
      </c>
      <c r="CA53" s="1334">
        <f t="shared" si="29"/>
        <v>2375735.8367076986</v>
      </c>
      <c r="CB53" s="1334">
        <f t="shared" si="30"/>
        <v>0</v>
      </c>
      <c r="CC53" s="1334">
        <f t="shared" si="31"/>
        <v>0</v>
      </c>
      <c r="CD53" s="1334">
        <f t="shared" si="32"/>
        <v>0</v>
      </c>
      <c r="CE53" s="1334">
        <f t="shared" si="33"/>
        <v>0</v>
      </c>
      <c r="CF53" s="1334">
        <f t="shared" si="34"/>
        <v>0</v>
      </c>
      <c r="CG53" s="1334">
        <f t="shared" si="35"/>
        <v>0</v>
      </c>
      <c r="CH53" s="1334">
        <f t="shared" si="36"/>
        <v>0</v>
      </c>
      <c r="CI53" s="1334">
        <f t="shared" si="37"/>
        <v>0</v>
      </c>
      <c r="CJ53" s="1334">
        <f t="shared" si="38"/>
        <v>0</v>
      </c>
      <c r="CK53" s="1334">
        <f t="shared" si="39"/>
        <v>0</v>
      </c>
      <c r="CL53" s="1334"/>
      <c r="CM53" s="1334">
        <f t="shared" si="40"/>
        <v>0</v>
      </c>
      <c r="CN53" s="1334">
        <f t="shared" si="41"/>
        <v>0</v>
      </c>
      <c r="CO53" s="1334">
        <f t="shared" si="42"/>
        <v>1150913.5919360903</v>
      </c>
      <c r="CP53" s="1334">
        <f t="shared" si="43"/>
        <v>0</v>
      </c>
      <c r="CQ53" s="1334">
        <f t="shared" si="44"/>
        <v>0</v>
      </c>
      <c r="CR53" s="1334">
        <f t="shared" si="45"/>
        <v>0</v>
      </c>
      <c r="CS53" s="1334">
        <f t="shared" si="46"/>
        <v>0</v>
      </c>
      <c r="CT53" s="1334">
        <f t="shared" si="47"/>
        <v>0</v>
      </c>
      <c r="CU53" s="1334">
        <f t="shared" si="48"/>
        <v>0</v>
      </c>
      <c r="CV53" s="1334">
        <f t="shared" si="49"/>
        <v>0</v>
      </c>
      <c r="CW53" s="1334">
        <f t="shared" si="50"/>
        <v>0</v>
      </c>
      <c r="CX53" s="1334">
        <f t="shared" si="51"/>
        <v>0</v>
      </c>
      <c r="CY53" s="1334"/>
      <c r="CZ53" s="1334"/>
      <c r="DA53" s="1334">
        <f ca="1">Rental!Y83</f>
        <v>0</v>
      </c>
      <c r="DB53" s="1334">
        <f ca="1">Rental!AD83</f>
        <v>0</v>
      </c>
      <c r="DC53" s="1972"/>
      <c r="DD53" s="1761"/>
      <c r="DE53" s="1761"/>
      <c r="DF53" s="1335"/>
      <c r="DG53" s="1335"/>
      <c r="DH53" s="1335"/>
      <c r="DI53" s="1335"/>
      <c r="DJ53" s="1335"/>
      <c r="DK53" s="1335"/>
      <c r="DL53" s="1335"/>
      <c r="DM53" s="1335"/>
      <c r="DN53" s="1335"/>
      <c r="DO53" s="1335"/>
      <c r="DP53" s="1335"/>
      <c r="DQ53" s="1335"/>
      <c r="DR53" s="1335"/>
      <c r="DS53" s="1335"/>
      <c r="DT53" s="1335"/>
    </row>
    <row r="54" spans="1:124" s="1185" customFormat="1" ht="18" customHeight="1">
      <c r="A54" s="523">
        <f ca="1">IF(E54=YEAR(Retire!$D$12),1,0)</f>
        <v>0</v>
      </c>
      <c r="B54" s="502"/>
      <c r="C54" s="503" t="str">
        <f ca="1">IF(E54=Retire!$D$12,"==&gt;","")</f>
        <v/>
      </c>
      <c r="D54" s="512">
        <f t="shared" si="93"/>
        <v>48</v>
      </c>
      <c r="E54" s="512">
        <f t="shared" ca="1" si="94"/>
        <v>2069</v>
      </c>
      <c r="F54" s="513">
        <f t="shared" ca="1" si="14"/>
        <v>7226243</v>
      </c>
      <c r="G54" s="505"/>
      <c r="H54" s="514">
        <f>Assets!$G$37</f>
        <v>5.5E-2</v>
      </c>
      <c r="I54" s="515">
        <f>Assets!$F$37</f>
        <v>2000</v>
      </c>
      <c r="J54" s="515">
        <f t="shared" si="95"/>
        <v>3510001.6842975025</v>
      </c>
      <c r="K54" s="1220"/>
      <c r="L54" s="514">
        <f>Assets!$G$38</f>
        <v>0.05</v>
      </c>
      <c r="M54" s="515">
        <f>Assets!$F$38</f>
        <v>1500</v>
      </c>
      <c r="N54" s="515">
        <f t="shared" si="96"/>
        <v>2496022.6285430836</v>
      </c>
      <c r="O54" s="1220"/>
      <c r="P54" s="514">
        <f>Assets!$G$39</f>
        <v>0.06</v>
      </c>
      <c r="Q54" s="516">
        <f>Assets!$F$39</f>
        <v>250</v>
      </c>
      <c r="R54" s="515">
        <f t="shared" si="97"/>
        <v>1220218.4074522557</v>
      </c>
      <c r="S54" s="1220"/>
      <c r="T54" s="514">
        <f>Assets!$G$40</f>
        <v>0</v>
      </c>
      <c r="U54" s="517">
        <f>Assets!$F$40</f>
        <v>0</v>
      </c>
      <c r="V54" s="515">
        <f t="shared" si="98"/>
        <v>0</v>
      </c>
      <c r="W54" s="1220"/>
      <c r="X54" s="514">
        <f>Assets!$G$41</f>
        <v>0</v>
      </c>
      <c r="Y54" s="517">
        <f>Assets!$F$41</f>
        <v>0</v>
      </c>
      <c r="Z54" s="515">
        <f t="shared" si="99"/>
        <v>0</v>
      </c>
      <c r="AA54" s="1220"/>
      <c r="AB54" s="514">
        <f>Assets!$G$42</f>
        <v>0</v>
      </c>
      <c r="AC54" s="515">
        <f>Assets!$F$42</f>
        <v>0</v>
      </c>
      <c r="AD54" s="515">
        <f t="shared" si="100"/>
        <v>0</v>
      </c>
      <c r="AE54" s="1220"/>
      <c r="AF54" s="514">
        <f>Assets!$G$43</f>
        <v>0</v>
      </c>
      <c r="AG54" s="515">
        <f>Assets!$F$43</f>
        <v>0</v>
      </c>
      <c r="AH54" s="515">
        <f t="shared" si="101"/>
        <v>0</v>
      </c>
      <c r="AI54" s="1220"/>
      <c r="AJ54" s="514">
        <f>Assets!$G$44</f>
        <v>0</v>
      </c>
      <c r="AK54" s="515">
        <f>Assets!$F$44</f>
        <v>0</v>
      </c>
      <c r="AL54" s="515">
        <f t="shared" si="102"/>
        <v>0</v>
      </c>
      <c r="AM54" s="1220"/>
      <c r="AN54" s="514">
        <f>Assets!$G$45</f>
        <v>0</v>
      </c>
      <c r="AO54" s="515">
        <f>Assets!$F$45</f>
        <v>0</v>
      </c>
      <c r="AP54" s="515">
        <f t="shared" si="103"/>
        <v>0</v>
      </c>
      <c r="AQ54" s="1220"/>
      <c r="AR54" s="514">
        <f>Assets!$G$46</f>
        <v>0</v>
      </c>
      <c r="AS54" s="515">
        <f>Assets!$F$46</f>
        <v>0</v>
      </c>
      <c r="AT54" s="515">
        <f t="shared" si="104"/>
        <v>0</v>
      </c>
      <c r="AU54" s="1220"/>
      <c r="AV54" s="514">
        <f>Assets!$G$47</f>
        <v>0</v>
      </c>
      <c r="AW54" s="515">
        <f>Assets!F$47</f>
        <v>0</v>
      </c>
      <c r="AX54" s="515">
        <f t="shared" si="105"/>
        <v>0</v>
      </c>
      <c r="AY54" s="1220"/>
      <c r="AZ54" s="514">
        <f>Assets!$G$48</f>
        <v>0</v>
      </c>
      <c r="BA54" s="515">
        <f>Assets!$F$48</f>
        <v>0</v>
      </c>
      <c r="BB54" s="515">
        <f t="shared" si="106"/>
        <v>0</v>
      </c>
      <c r="BC54" s="502"/>
      <c r="BD54" s="2005"/>
      <c r="BE54" s="523"/>
      <c r="BF54" s="523"/>
      <c r="BG54" s="1331">
        <f t="shared" si="67"/>
        <v>3510001.6842975025</v>
      </c>
      <c r="BH54" s="1331">
        <f t="shared" si="68"/>
        <v>2496022.6285430836</v>
      </c>
      <c r="BI54" s="1331">
        <f t="shared" si="69"/>
        <v>1220218.4074522557</v>
      </c>
      <c r="BJ54" s="1331">
        <f t="shared" si="70"/>
        <v>0</v>
      </c>
      <c r="BK54" s="1331">
        <f t="shared" si="71"/>
        <v>0</v>
      </c>
      <c r="BL54" s="1331">
        <f t="shared" si="72"/>
        <v>0</v>
      </c>
      <c r="BM54" s="1331">
        <f t="shared" si="73"/>
        <v>0</v>
      </c>
      <c r="BN54" s="1331">
        <f t="shared" si="74"/>
        <v>0</v>
      </c>
      <c r="BO54" s="1331">
        <f t="shared" si="75"/>
        <v>0</v>
      </c>
      <c r="BP54" s="1331">
        <f t="shared" si="76"/>
        <v>0</v>
      </c>
      <c r="BQ54" s="1331">
        <f t="shared" si="77"/>
        <v>0</v>
      </c>
      <c r="BR54" s="1331">
        <f t="shared" si="78"/>
        <v>0</v>
      </c>
      <c r="BS54" s="523"/>
      <c r="BT54" s="523"/>
      <c r="BU54" s="523"/>
      <c r="BV54" s="523"/>
      <c r="BW54" s="1333">
        <f t="shared" ca="1" si="53"/>
        <v>2069</v>
      </c>
      <c r="BX54" s="1331">
        <f t="shared" si="27"/>
        <v>6006024.3128405865</v>
      </c>
      <c r="BY54" s="1331">
        <f t="shared" ca="1" si="79"/>
        <v>1220218.4074522557</v>
      </c>
      <c r="BZ54" s="1334">
        <f t="shared" si="28"/>
        <v>3510001.6842975025</v>
      </c>
      <c r="CA54" s="1334">
        <f t="shared" si="29"/>
        <v>2496022.6285430836</v>
      </c>
      <c r="CB54" s="1334">
        <f t="shared" si="30"/>
        <v>0</v>
      </c>
      <c r="CC54" s="1334">
        <f t="shared" si="31"/>
        <v>0</v>
      </c>
      <c r="CD54" s="1334">
        <f t="shared" si="32"/>
        <v>0</v>
      </c>
      <c r="CE54" s="1334">
        <f t="shared" si="33"/>
        <v>0</v>
      </c>
      <c r="CF54" s="1334">
        <f t="shared" si="34"/>
        <v>0</v>
      </c>
      <c r="CG54" s="1334">
        <f t="shared" si="35"/>
        <v>0</v>
      </c>
      <c r="CH54" s="1334">
        <f t="shared" si="36"/>
        <v>0</v>
      </c>
      <c r="CI54" s="1334">
        <f t="shared" si="37"/>
        <v>0</v>
      </c>
      <c r="CJ54" s="1334">
        <f t="shared" si="38"/>
        <v>0</v>
      </c>
      <c r="CK54" s="1334">
        <f t="shared" si="39"/>
        <v>0</v>
      </c>
      <c r="CL54" s="1334"/>
      <c r="CM54" s="1334">
        <f t="shared" si="40"/>
        <v>0</v>
      </c>
      <c r="CN54" s="1334">
        <f t="shared" si="41"/>
        <v>0</v>
      </c>
      <c r="CO54" s="1334">
        <f t="shared" si="42"/>
        <v>1220218.4074522557</v>
      </c>
      <c r="CP54" s="1334">
        <f t="shared" si="43"/>
        <v>0</v>
      </c>
      <c r="CQ54" s="1334">
        <f t="shared" si="44"/>
        <v>0</v>
      </c>
      <c r="CR54" s="1334">
        <f t="shared" si="45"/>
        <v>0</v>
      </c>
      <c r="CS54" s="1334">
        <f t="shared" si="46"/>
        <v>0</v>
      </c>
      <c r="CT54" s="1334">
        <f t="shared" si="47"/>
        <v>0</v>
      </c>
      <c r="CU54" s="1334">
        <f t="shared" si="48"/>
        <v>0</v>
      </c>
      <c r="CV54" s="1334">
        <f t="shared" si="49"/>
        <v>0</v>
      </c>
      <c r="CW54" s="1334">
        <f t="shared" si="50"/>
        <v>0</v>
      </c>
      <c r="CX54" s="1334">
        <f t="shared" si="51"/>
        <v>0</v>
      </c>
      <c r="CY54" s="1334"/>
      <c r="CZ54" s="1334"/>
      <c r="DA54" s="1334">
        <f ca="1">Rental!Y84</f>
        <v>0</v>
      </c>
      <c r="DB54" s="1334">
        <f ca="1">Rental!AD84</f>
        <v>0</v>
      </c>
      <c r="DC54" s="1972"/>
      <c r="DD54" s="1761"/>
      <c r="DE54" s="1761"/>
      <c r="DF54" s="1335"/>
      <c r="DG54" s="1335"/>
      <c r="DH54" s="1335"/>
      <c r="DI54" s="1335"/>
      <c r="DJ54" s="1335"/>
      <c r="DK54" s="1335"/>
      <c r="DL54" s="1335"/>
      <c r="DM54" s="1335"/>
      <c r="DN54" s="1335"/>
      <c r="DO54" s="1335"/>
      <c r="DP54" s="1335"/>
      <c r="DQ54" s="1335"/>
      <c r="DR54" s="1335"/>
      <c r="DS54" s="1335"/>
      <c r="DT54" s="1335"/>
    </row>
    <row r="55" spans="1:124" s="1185" customFormat="1" ht="18" customHeight="1">
      <c r="A55" s="523">
        <f ca="1">IF(E55=YEAR(Retire!$D$12),1,0)</f>
        <v>0</v>
      </c>
      <c r="B55" s="502"/>
      <c r="C55" s="503" t="str">
        <f ca="1">IF(E55=Retire!$D$12,"==&gt;","")</f>
        <v/>
      </c>
      <c r="D55" s="504">
        <f t="shared" si="93"/>
        <v>49</v>
      </c>
      <c r="E55" s="504">
        <f t="shared" ca="1" si="94"/>
        <v>2070</v>
      </c>
      <c r="F55" s="505">
        <f t="shared" ca="1" si="14"/>
        <v>7621057</v>
      </c>
      <c r="G55" s="505"/>
      <c r="H55" s="506">
        <f>Assets!$G$37</f>
        <v>5.5E-2</v>
      </c>
      <c r="I55" s="507">
        <f>Assets!$F$37</f>
        <v>2000</v>
      </c>
      <c r="J55" s="507">
        <f t="shared" si="95"/>
        <v>3705051.7769338652</v>
      </c>
      <c r="K55" s="1220"/>
      <c r="L55" s="506">
        <f>Assets!$G$38</f>
        <v>0.05</v>
      </c>
      <c r="M55" s="507">
        <f>Assets!$F$38</f>
        <v>1500</v>
      </c>
      <c r="N55" s="507">
        <f t="shared" si="96"/>
        <v>2622323.7599702375</v>
      </c>
      <c r="O55" s="1220"/>
      <c r="P55" s="506">
        <f>Assets!$G$39</f>
        <v>0.06</v>
      </c>
      <c r="Q55" s="508">
        <f>Assets!$F$39</f>
        <v>250</v>
      </c>
      <c r="R55" s="507">
        <f t="shared" si="97"/>
        <v>1293681.511899391</v>
      </c>
      <c r="S55" s="1220"/>
      <c r="T55" s="506">
        <f>Assets!$G$40</f>
        <v>0</v>
      </c>
      <c r="U55" s="510">
        <f>Assets!$F$40</f>
        <v>0</v>
      </c>
      <c r="V55" s="507">
        <f t="shared" si="98"/>
        <v>0</v>
      </c>
      <c r="W55" s="1220"/>
      <c r="X55" s="506">
        <f>Assets!$G$41</f>
        <v>0</v>
      </c>
      <c r="Y55" s="510">
        <f>Assets!$F$41</f>
        <v>0</v>
      </c>
      <c r="Z55" s="507">
        <f t="shared" si="99"/>
        <v>0</v>
      </c>
      <c r="AA55" s="1220"/>
      <c r="AB55" s="506">
        <f>Assets!$G$42</f>
        <v>0</v>
      </c>
      <c r="AC55" s="507">
        <f>Assets!$F$42</f>
        <v>0</v>
      </c>
      <c r="AD55" s="507">
        <f t="shared" si="100"/>
        <v>0</v>
      </c>
      <c r="AE55" s="1220"/>
      <c r="AF55" s="506">
        <f>Assets!$G$43</f>
        <v>0</v>
      </c>
      <c r="AG55" s="507">
        <f>Assets!$F$43</f>
        <v>0</v>
      </c>
      <c r="AH55" s="507">
        <f t="shared" si="101"/>
        <v>0</v>
      </c>
      <c r="AI55" s="1220"/>
      <c r="AJ55" s="506">
        <f>Assets!$G$44</f>
        <v>0</v>
      </c>
      <c r="AK55" s="507">
        <f>Assets!$F$44</f>
        <v>0</v>
      </c>
      <c r="AL55" s="507">
        <f t="shared" si="102"/>
        <v>0</v>
      </c>
      <c r="AM55" s="1220"/>
      <c r="AN55" s="506">
        <f>Assets!$G$45</f>
        <v>0</v>
      </c>
      <c r="AO55" s="507">
        <f>Assets!$F$45</f>
        <v>0</v>
      </c>
      <c r="AP55" s="507">
        <f t="shared" si="103"/>
        <v>0</v>
      </c>
      <c r="AQ55" s="1220"/>
      <c r="AR55" s="506">
        <f>Assets!$G$46</f>
        <v>0</v>
      </c>
      <c r="AS55" s="507">
        <f>Assets!$F$46</f>
        <v>0</v>
      </c>
      <c r="AT55" s="507">
        <f t="shared" si="104"/>
        <v>0</v>
      </c>
      <c r="AU55" s="1220"/>
      <c r="AV55" s="506">
        <f>Assets!$G$47</f>
        <v>0</v>
      </c>
      <c r="AW55" s="507">
        <f>Assets!F$47</f>
        <v>0</v>
      </c>
      <c r="AX55" s="507">
        <f t="shared" si="105"/>
        <v>0</v>
      </c>
      <c r="AY55" s="1220"/>
      <c r="AZ55" s="506">
        <f>Assets!$G$48</f>
        <v>0</v>
      </c>
      <c r="BA55" s="507">
        <f>Assets!$F$48</f>
        <v>0</v>
      </c>
      <c r="BB55" s="507">
        <f t="shared" si="106"/>
        <v>0</v>
      </c>
      <c r="BC55" s="502"/>
      <c r="BD55" s="2005"/>
      <c r="BE55" s="523"/>
      <c r="BF55" s="523"/>
      <c r="BG55" s="1331">
        <f t="shared" si="67"/>
        <v>3705051.7769338652</v>
      </c>
      <c r="BH55" s="1331">
        <f t="shared" si="68"/>
        <v>2622323.7599702375</v>
      </c>
      <c r="BI55" s="1331">
        <f t="shared" si="69"/>
        <v>1293681.511899391</v>
      </c>
      <c r="BJ55" s="1331">
        <f t="shared" si="70"/>
        <v>0</v>
      </c>
      <c r="BK55" s="1331">
        <f t="shared" si="71"/>
        <v>0</v>
      </c>
      <c r="BL55" s="1331">
        <f t="shared" si="72"/>
        <v>0</v>
      </c>
      <c r="BM55" s="1331">
        <f t="shared" si="73"/>
        <v>0</v>
      </c>
      <c r="BN55" s="1331">
        <f t="shared" si="74"/>
        <v>0</v>
      </c>
      <c r="BO55" s="1331">
        <f t="shared" si="75"/>
        <v>0</v>
      </c>
      <c r="BP55" s="1331">
        <f t="shared" si="76"/>
        <v>0</v>
      </c>
      <c r="BQ55" s="1331">
        <f t="shared" si="77"/>
        <v>0</v>
      </c>
      <c r="BR55" s="1331">
        <f t="shared" si="78"/>
        <v>0</v>
      </c>
      <c r="BS55" s="523"/>
      <c r="BT55" s="523"/>
      <c r="BU55" s="523"/>
      <c r="BV55" s="523"/>
      <c r="BW55" s="1333">
        <f t="shared" ca="1" si="53"/>
        <v>2070</v>
      </c>
      <c r="BX55" s="1331">
        <f t="shared" si="27"/>
        <v>6327375.5369041022</v>
      </c>
      <c r="BY55" s="1331">
        <f t="shared" ca="1" si="79"/>
        <v>1293681.511899391</v>
      </c>
      <c r="BZ55" s="1334">
        <f t="shared" si="28"/>
        <v>3705051.7769338652</v>
      </c>
      <c r="CA55" s="1334">
        <f t="shared" si="29"/>
        <v>2622323.7599702375</v>
      </c>
      <c r="CB55" s="1334">
        <f t="shared" si="30"/>
        <v>0</v>
      </c>
      <c r="CC55" s="1334">
        <f t="shared" si="31"/>
        <v>0</v>
      </c>
      <c r="CD55" s="1334">
        <f t="shared" si="32"/>
        <v>0</v>
      </c>
      <c r="CE55" s="1334">
        <f t="shared" si="33"/>
        <v>0</v>
      </c>
      <c r="CF55" s="1334">
        <f t="shared" si="34"/>
        <v>0</v>
      </c>
      <c r="CG55" s="1334">
        <f t="shared" si="35"/>
        <v>0</v>
      </c>
      <c r="CH55" s="1334">
        <f t="shared" si="36"/>
        <v>0</v>
      </c>
      <c r="CI55" s="1334">
        <f t="shared" si="37"/>
        <v>0</v>
      </c>
      <c r="CJ55" s="1334">
        <f t="shared" si="38"/>
        <v>0</v>
      </c>
      <c r="CK55" s="1334">
        <f t="shared" si="39"/>
        <v>0</v>
      </c>
      <c r="CL55" s="1334"/>
      <c r="CM55" s="1334">
        <f t="shared" si="40"/>
        <v>0</v>
      </c>
      <c r="CN55" s="1334">
        <f t="shared" si="41"/>
        <v>0</v>
      </c>
      <c r="CO55" s="1334">
        <f t="shared" si="42"/>
        <v>1293681.511899391</v>
      </c>
      <c r="CP55" s="1334">
        <f t="shared" si="43"/>
        <v>0</v>
      </c>
      <c r="CQ55" s="1334">
        <f t="shared" si="44"/>
        <v>0</v>
      </c>
      <c r="CR55" s="1334">
        <f t="shared" si="45"/>
        <v>0</v>
      </c>
      <c r="CS55" s="1334">
        <f t="shared" si="46"/>
        <v>0</v>
      </c>
      <c r="CT55" s="1334">
        <f t="shared" si="47"/>
        <v>0</v>
      </c>
      <c r="CU55" s="1334">
        <f t="shared" si="48"/>
        <v>0</v>
      </c>
      <c r="CV55" s="1334">
        <f t="shared" si="49"/>
        <v>0</v>
      </c>
      <c r="CW55" s="1334">
        <f t="shared" si="50"/>
        <v>0</v>
      </c>
      <c r="CX55" s="1334">
        <f t="shared" si="51"/>
        <v>0</v>
      </c>
      <c r="CY55" s="1334"/>
      <c r="CZ55" s="1334"/>
      <c r="DA55" s="1334">
        <f ca="1">Rental!Y85</f>
        <v>0</v>
      </c>
      <c r="DB55" s="1334">
        <f ca="1">Rental!AD85</f>
        <v>0</v>
      </c>
      <c r="DC55" s="1972"/>
      <c r="DD55" s="1761"/>
      <c r="DE55" s="1761"/>
      <c r="DF55" s="1335"/>
      <c r="DG55" s="1335"/>
      <c r="DH55" s="1335"/>
      <c r="DI55" s="1335"/>
      <c r="DJ55" s="1335"/>
      <c r="DK55" s="1335"/>
      <c r="DL55" s="1335"/>
      <c r="DM55" s="1335"/>
      <c r="DN55" s="1335"/>
      <c r="DO55" s="1335"/>
      <c r="DP55" s="1335"/>
      <c r="DQ55" s="1335"/>
      <c r="DR55" s="1335"/>
      <c r="DS55" s="1335"/>
      <c r="DT55" s="1335"/>
    </row>
    <row r="56" spans="1:124" s="1185" customFormat="1" ht="18" customHeight="1">
      <c r="A56" s="523">
        <f ca="1">IF(E56=YEAR(Retire!$D$12),1,0)</f>
        <v>0</v>
      </c>
      <c r="B56" s="502"/>
      <c r="C56" s="503" t="str">
        <f ca="1">IF(E56=Retire!$D$12,"==&gt;","")</f>
        <v/>
      </c>
      <c r="D56" s="512">
        <f t="shared" si="93"/>
        <v>50</v>
      </c>
      <c r="E56" s="512">
        <f t="shared" ca="1" si="94"/>
        <v>2071</v>
      </c>
      <c r="F56" s="513">
        <f t="shared" ca="1" si="14"/>
        <v>8037322</v>
      </c>
      <c r="G56" s="505"/>
      <c r="H56" s="514">
        <f>Assets!$G$37</f>
        <v>5.5E-2</v>
      </c>
      <c r="I56" s="515">
        <f>Assets!$F$37</f>
        <v>2000</v>
      </c>
      <c r="J56" s="515">
        <f t="shared" si="95"/>
        <v>3910829.6246652277</v>
      </c>
      <c r="K56" s="1220"/>
      <c r="L56" s="514">
        <f>Assets!$G$38</f>
        <v>0.05</v>
      </c>
      <c r="M56" s="515">
        <f>Assets!$F$38</f>
        <v>1500</v>
      </c>
      <c r="N56" s="515">
        <f t="shared" si="96"/>
        <v>2754939.9479687493</v>
      </c>
      <c r="O56" s="1220"/>
      <c r="P56" s="514">
        <f>Assets!$G$39</f>
        <v>0.06</v>
      </c>
      <c r="Q56" s="516">
        <f>Assets!$F$39</f>
        <v>250</v>
      </c>
      <c r="R56" s="515">
        <f t="shared" si="97"/>
        <v>1371552.4026133544</v>
      </c>
      <c r="S56" s="1220"/>
      <c r="T56" s="514">
        <f>Assets!$G$40</f>
        <v>0</v>
      </c>
      <c r="U56" s="517">
        <f>Assets!$F$40</f>
        <v>0</v>
      </c>
      <c r="V56" s="515">
        <f t="shared" si="98"/>
        <v>0</v>
      </c>
      <c r="W56" s="1220"/>
      <c r="X56" s="514">
        <f>Assets!$G$41</f>
        <v>0</v>
      </c>
      <c r="Y56" s="517">
        <f>Assets!$F$41</f>
        <v>0</v>
      </c>
      <c r="Z56" s="515">
        <f t="shared" si="99"/>
        <v>0</v>
      </c>
      <c r="AA56" s="1220"/>
      <c r="AB56" s="514">
        <f>Assets!$G$42</f>
        <v>0</v>
      </c>
      <c r="AC56" s="515">
        <f>Assets!$F$42</f>
        <v>0</v>
      </c>
      <c r="AD56" s="515">
        <f t="shared" si="100"/>
        <v>0</v>
      </c>
      <c r="AE56" s="1220"/>
      <c r="AF56" s="514">
        <f>Assets!$G$43</f>
        <v>0</v>
      </c>
      <c r="AG56" s="515">
        <f>Assets!$F$43</f>
        <v>0</v>
      </c>
      <c r="AH56" s="515">
        <f t="shared" si="101"/>
        <v>0</v>
      </c>
      <c r="AI56" s="1220"/>
      <c r="AJ56" s="514">
        <f>Assets!$G$44</f>
        <v>0</v>
      </c>
      <c r="AK56" s="515">
        <f>Assets!$F$44</f>
        <v>0</v>
      </c>
      <c r="AL56" s="515">
        <f t="shared" si="102"/>
        <v>0</v>
      </c>
      <c r="AM56" s="1220"/>
      <c r="AN56" s="514">
        <f>Assets!$G$45</f>
        <v>0</v>
      </c>
      <c r="AO56" s="515">
        <f>Assets!$F$45</f>
        <v>0</v>
      </c>
      <c r="AP56" s="515">
        <f t="shared" si="103"/>
        <v>0</v>
      </c>
      <c r="AQ56" s="1220"/>
      <c r="AR56" s="514">
        <f>Assets!$G$46</f>
        <v>0</v>
      </c>
      <c r="AS56" s="515">
        <f>Assets!$F$46</f>
        <v>0</v>
      </c>
      <c r="AT56" s="515">
        <f t="shared" si="104"/>
        <v>0</v>
      </c>
      <c r="AU56" s="1220"/>
      <c r="AV56" s="514">
        <f>Assets!$G$47</f>
        <v>0</v>
      </c>
      <c r="AW56" s="515">
        <f>Assets!F$47</f>
        <v>0</v>
      </c>
      <c r="AX56" s="515">
        <f t="shared" si="105"/>
        <v>0</v>
      </c>
      <c r="AY56" s="1220"/>
      <c r="AZ56" s="514">
        <f>Assets!$G$48</f>
        <v>0</v>
      </c>
      <c r="BA56" s="515">
        <f>Assets!$F$48</f>
        <v>0</v>
      </c>
      <c r="BB56" s="515">
        <f t="shared" si="106"/>
        <v>0</v>
      </c>
      <c r="BC56" s="502"/>
      <c r="BD56" s="2005"/>
      <c r="BE56" s="523"/>
      <c r="BF56" s="523"/>
      <c r="BG56" s="1331">
        <f t="shared" si="67"/>
        <v>3910829.6246652277</v>
      </c>
      <c r="BH56" s="1331">
        <f t="shared" si="68"/>
        <v>2754939.9479687493</v>
      </c>
      <c r="BI56" s="1331">
        <f t="shared" si="69"/>
        <v>1371552.4026133544</v>
      </c>
      <c r="BJ56" s="1331">
        <f t="shared" si="70"/>
        <v>0</v>
      </c>
      <c r="BK56" s="1331">
        <f t="shared" si="71"/>
        <v>0</v>
      </c>
      <c r="BL56" s="1331">
        <f t="shared" si="72"/>
        <v>0</v>
      </c>
      <c r="BM56" s="1331">
        <f t="shared" si="73"/>
        <v>0</v>
      </c>
      <c r="BN56" s="1331">
        <f t="shared" si="74"/>
        <v>0</v>
      </c>
      <c r="BO56" s="1331">
        <f t="shared" si="75"/>
        <v>0</v>
      </c>
      <c r="BP56" s="1331">
        <f t="shared" si="76"/>
        <v>0</v>
      </c>
      <c r="BQ56" s="1331">
        <f t="shared" si="77"/>
        <v>0</v>
      </c>
      <c r="BR56" s="1331">
        <f t="shared" si="78"/>
        <v>0</v>
      </c>
      <c r="BS56" s="523"/>
      <c r="BT56" s="523"/>
      <c r="BU56" s="523"/>
      <c r="BV56" s="523"/>
      <c r="BW56" s="1333">
        <f t="shared" ca="1" si="53"/>
        <v>2071</v>
      </c>
      <c r="BX56" s="1331">
        <f t="shared" ref="BX56:BX67" si="107">SUM(BZ56:CK56)</f>
        <v>6665769.572633977</v>
      </c>
      <c r="BY56" s="1331">
        <f t="shared" ca="1" si="79"/>
        <v>1371552.4026133544</v>
      </c>
      <c r="BZ56" s="1334">
        <f t="shared" ref="BZ56:BZ67" si="108">IF($H$5="Before tax",J56,0)</f>
        <v>3910829.6246652277</v>
      </c>
      <c r="CA56" s="1334">
        <f t="shared" ref="CA56:CA67" si="109">IF($L$5="Before tax",N56,0)</f>
        <v>2754939.9479687493</v>
      </c>
      <c r="CB56" s="1334">
        <f t="shared" ref="CB56:CB67" si="110">IF($P$5="Before tax",R56,0)</f>
        <v>0</v>
      </c>
      <c r="CC56" s="1334">
        <f t="shared" ref="CC56:CC67" si="111">IF($T$5="Before tax",V56,0)</f>
        <v>0</v>
      </c>
      <c r="CD56" s="1334">
        <f t="shared" ref="CD56:CD67" si="112">IF($X$5="Before tax",Z56,0)</f>
        <v>0</v>
      </c>
      <c r="CE56" s="1334">
        <f t="shared" ref="CE56:CE67" si="113">IF($AB$5="Before tax",AD56,0)</f>
        <v>0</v>
      </c>
      <c r="CF56" s="1334">
        <f t="shared" ref="CF56:CF67" si="114">IF($AF$5="Before tax",AH56,0)</f>
        <v>0</v>
      </c>
      <c r="CG56" s="1334">
        <f t="shared" ref="CG56:CG67" si="115">IF($AJ$5="Before tax",AL56,0)</f>
        <v>0</v>
      </c>
      <c r="CH56" s="1334">
        <f t="shared" ref="CH56:CH67" si="116">IF($AN$5="Before tax",AP56,0)</f>
        <v>0</v>
      </c>
      <c r="CI56" s="1334">
        <f t="shared" ref="CI56:CI67" si="117">IF($AR$5="Before tax",AT56,0)</f>
        <v>0</v>
      </c>
      <c r="CJ56" s="1334">
        <f t="shared" ref="CJ56:CJ67" si="118">IF($AV$5="Before tax",AX56,0)</f>
        <v>0</v>
      </c>
      <c r="CK56" s="1334">
        <f t="shared" ref="CK56:CK67" si="119">IF($AZ$5="Before tax",BB56,0)</f>
        <v>0</v>
      </c>
      <c r="CL56" s="1334"/>
      <c r="CM56" s="1334">
        <f t="shared" ref="CM56:CM67" si="120">IF($H$5="After tax",J56,0)</f>
        <v>0</v>
      </c>
      <c r="CN56" s="1334">
        <f t="shared" ref="CN56:CN67" si="121">IF($L$5="After tax",N56,0)</f>
        <v>0</v>
      </c>
      <c r="CO56" s="1334">
        <f t="shared" ref="CO56:CO67" si="122">IF($P$5="After tax",R56,0)</f>
        <v>1371552.4026133544</v>
      </c>
      <c r="CP56" s="1334">
        <f t="shared" ref="CP56:CP67" si="123">IF($T$5="After tax",V56,0)</f>
        <v>0</v>
      </c>
      <c r="CQ56" s="1334">
        <f t="shared" ref="CQ56:CQ67" si="124">IF($X$5="After tax",Z56,0)</f>
        <v>0</v>
      </c>
      <c r="CR56" s="1334">
        <f t="shared" ref="CR56:CR67" si="125">IF($AB$5="After tax",AD56,0)</f>
        <v>0</v>
      </c>
      <c r="CS56" s="1334">
        <f t="shared" ref="CS56:CS67" si="126">IF($AF$5="After tax",AH56,0)</f>
        <v>0</v>
      </c>
      <c r="CT56" s="1334">
        <f t="shared" ref="CT56:CT67" si="127">IF($AJ$5="After tax",AL56,0)</f>
        <v>0</v>
      </c>
      <c r="CU56" s="1334">
        <f t="shared" ref="CU56:CU67" si="128">IF($AN$5="After tax",AP56,0)</f>
        <v>0</v>
      </c>
      <c r="CV56" s="1334">
        <f t="shared" ref="CV56:CV67" si="129">IF($AR$5="After tax",AT56,0)</f>
        <v>0</v>
      </c>
      <c r="CW56" s="1334">
        <f t="shared" ref="CW56:CW67" si="130">IF($AV$5="After tax",AX56,0)</f>
        <v>0</v>
      </c>
      <c r="CX56" s="1334">
        <f t="shared" ref="CX56:CX67" si="131">IF($AZ$5="After tax",BB56,0)</f>
        <v>0</v>
      </c>
      <c r="CY56" s="1334"/>
      <c r="CZ56" s="1334"/>
      <c r="DA56" s="1334">
        <f ca="1">Rental!Y86</f>
        <v>0</v>
      </c>
      <c r="DB56" s="1334">
        <f ca="1">Rental!AD86</f>
        <v>0</v>
      </c>
      <c r="DC56" s="1972"/>
      <c r="DD56" s="1761"/>
      <c r="DE56" s="1761"/>
      <c r="DF56" s="1335"/>
      <c r="DG56" s="1335"/>
      <c r="DH56" s="1335"/>
      <c r="DI56" s="1335"/>
      <c r="DJ56" s="1335"/>
      <c r="DK56" s="1335"/>
      <c r="DL56" s="1335"/>
      <c r="DM56" s="1335"/>
      <c r="DN56" s="1335"/>
      <c r="DO56" s="1335"/>
      <c r="DP56" s="1335"/>
      <c r="DQ56" s="1335"/>
      <c r="DR56" s="1335"/>
      <c r="DS56" s="1335"/>
      <c r="DT56" s="1335"/>
    </row>
    <row r="57" spans="1:124" s="1185" customFormat="1" ht="18" customHeight="1">
      <c r="A57" s="523">
        <f ca="1">IF(E57=YEAR(Retire!$D$12),1,0)</f>
        <v>0</v>
      </c>
      <c r="B57" s="502"/>
      <c r="C57" s="503" t="str">
        <f ca="1">IF(E57=Retire!$D$12,"==&gt;","")</f>
        <v/>
      </c>
      <c r="D57" s="504">
        <f t="shared" si="93"/>
        <v>51</v>
      </c>
      <c r="E57" s="504">
        <f t="shared" ca="1" si="94"/>
        <v>2072</v>
      </c>
      <c r="F57" s="505">
        <f t="shared" ca="1" si="14"/>
        <v>8476208</v>
      </c>
      <c r="G57" s="505"/>
      <c r="H57" s="506">
        <f>Assets!$G$37</f>
        <v>5.5E-2</v>
      </c>
      <c r="I57" s="507">
        <f>Assets!$F$37</f>
        <v>2000</v>
      </c>
      <c r="J57" s="507">
        <f t="shared" si="95"/>
        <v>4127925.254021815</v>
      </c>
      <c r="K57" s="1220"/>
      <c r="L57" s="506">
        <f>Assets!$G$38</f>
        <v>0.05</v>
      </c>
      <c r="M57" s="507">
        <f>Assets!$F$38</f>
        <v>1500</v>
      </c>
      <c r="N57" s="507">
        <f t="shared" si="96"/>
        <v>2894186.9453671868</v>
      </c>
      <c r="O57" s="1220"/>
      <c r="P57" s="506">
        <f>Assets!$G$39</f>
        <v>0.06</v>
      </c>
      <c r="Q57" s="508">
        <f>Assets!$F$39</f>
        <v>250</v>
      </c>
      <c r="R57" s="507">
        <f t="shared" si="97"/>
        <v>1454095.5467701557</v>
      </c>
      <c r="S57" s="1220"/>
      <c r="T57" s="506">
        <f>Assets!$G$40</f>
        <v>0</v>
      </c>
      <c r="U57" s="510">
        <f>Assets!$F$40</f>
        <v>0</v>
      </c>
      <c r="V57" s="507">
        <f t="shared" si="98"/>
        <v>0</v>
      </c>
      <c r="W57" s="1220"/>
      <c r="X57" s="506">
        <f>Assets!$G$41</f>
        <v>0</v>
      </c>
      <c r="Y57" s="510">
        <f>Assets!$F$41</f>
        <v>0</v>
      </c>
      <c r="Z57" s="507">
        <f t="shared" si="99"/>
        <v>0</v>
      </c>
      <c r="AA57" s="1220"/>
      <c r="AB57" s="506">
        <f>Assets!$G$42</f>
        <v>0</v>
      </c>
      <c r="AC57" s="507">
        <f>Assets!$F$42</f>
        <v>0</v>
      </c>
      <c r="AD57" s="507">
        <f t="shared" si="100"/>
        <v>0</v>
      </c>
      <c r="AE57" s="1220"/>
      <c r="AF57" s="506">
        <f>Assets!$G$43</f>
        <v>0</v>
      </c>
      <c r="AG57" s="507">
        <f>Assets!$F$43</f>
        <v>0</v>
      </c>
      <c r="AH57" s="507">
        <f t="shared" si="101"/>
        <v>0</v>
      </c>
      <c r="AI57" s="1220"/>
      <c r="AJ57" s="506">
        <f>Assets!$G$44</f>
        <v>0</v>
      </c>
      <c r="AK57" s="507">
        <f>Assets!$F$44</f>
        <v>0</v>
      </c>
      <c r="AL57" s="507">
        <f t="shared" si="102"/>
        <v>0</v>
      </c>
      <c r="AM57" s="1220"/>
      <c r="AN57" s="506">
        <f>Assets!$G$45</f>
        <v>0</v>
      </c>
      <c r="AO57" s="507">
        <f>Assets!$F$45</f>
        <v>0</v>
      </c>
      <c r="AP57" s="507">
        <f t="shared" si="103"/>
        <v>0</v>
      </c>
      <c r="AQ57" s="1220"/>
      <c r="AR57" s="506">
        <f>Assets!$G$46</f>
        <v>0</v>
      </c>
      <c r="AS57" s="507">
        <f>Assets!$F$46</f>
        <v>0</v>
      </c>
      <c r="AT57" s="507">
        <f t="shared" si="104"/>
        <v>0</v>
      </c>
      <c r="AU57" s="1220"/>
      <c r="AV57" s="506">
        <f>Assets!$G$47</f>
        <v>0</v>
      </c>
      <c r="AW57" s="507">
        <f>Assets!F$47</f>
        <v>0</v>
      </c>
      <c r="AX57" s="507">
        <f t="shared" si="105"/>
        <v>0</v>
      </c>
      <c r="AY57" s="1220"/>
      <c r="AZ57" s="506">
        <f>Assets!$G$48</f>
        <v>0</v>
      </c>
      <c r="BA57" s="507">
        <f>Assets!$F$48</f>
        <v>0</v>
      </c>
      <c r="BB57" s="507">
        <f t="shared" si="106"/>
        <v>0</v>
      </c>
      <c r="BC57" s="502"/>
      <c r="BD57" s="2005"/>
      <c r="BE57" s="523"/>
      <c r="BF57" s="523"/>
      <c r="BG57" s="1331">
        <f t="shared" si="67"/>
        <v>4127925.254021815</v>
      </c>
      <c r="BH57" s="1331">
        <f t="shared" si="68"/>
        <v>2894186.9453671868</v>
      </c>
      <c r="BI57" s="1331">
        <f t="shared" si="69"/>
        <v>1454095.5467701557</v>
      </c>
      <c r="BJ57" s="1331">
        <f t="shared" si="70"/>
        <v>0</v>
      </c>
      <c r="BK57" s="1331">
        <f t="shared" si="71"/>
        <v>0</v>
      </c>
      <c r="BL57" s="1331">
        <f t="shared" si="72"/>
        <v>0</v>
      </c>
      <c r="BM57" s="1331">
        <f t="shared" si="73"/>
        <v>0</v>
      </c>
      <c r="BN57" s="1331">
        <f t="shared" si="74"/>
        <v>0</v>
      </c>
      <c r="BO57" s="1331">
        <f t="shared" si="75"/>
        <v>0</v>
      </c>
      <c r="BP57" s="1331">
        <f t="shared" si="76"/>
        <v>0</v>
      </c>
      <c r="BQ57" s="1331">
        <f t="shared" si="77"/>
        <v>0</v>
      </c>
      <c r="BR57" s="1331">
        <f t="shared" si="78"/>
        <v>0</v>
      </c>
      <c r="BS57" s="523"/>
      <c r="BT57" s="523"/>
      <c r="BU57" s="523"/>
      <c r="BV57" s="523"/>
      <c r="BW57" s="1333">
        <f t="shared" ca="1" si="53"/>
        <v>2072</v>
      </c>
      <c r="BX57" s="1331">
        <f t="shared" si="107"/>
        <v>7022112.1993890014</v>
      </c>
      <c r="BY57" s="1331">
        <f t="shared" ca="1" si="79"/>
        <v>1454095.5467701557</v>
      </c>
      <c r="BZ57" s="1334">
        <f t="shared" si="108"/>
        <v>4127925.254021815</v>
      </c>
      <c r="CA57" s="1334">
        <f t="shared" si="109"/>
        <v>2894186.9453671868</v>
      </c>
      <c r="CB57" s="1334">
        <f t="shared" si="110"/>
        <v>0</v>
      </c>
      <c r="CC57" s="1334">
        <f t="shared" si="111"/>
        <v>0</v>
      </c>
      <c r="CD57" s="1334">
        <f t="shared" si="112"/>
        <v>0</v>
      </c>
      <c r="CE57" s="1334">
        <f t="shared" si="113"/>
        <v>0</v>
      </c>
      <c r="CF57" s="1334">
        <f t="shared" si="114"/>
        <v>0</v>
      </c>
      <c r="CG57" s="1334">
        <f t="shared" si="115"/>
        <v>0</v>
      </c>
      <c r="CH57" s="1334">
        <f t="shared" si="116"/>
        <v>0</v>
      </c>
      <c r="CI57" s="1334">
        <f t="shared" si="117"/>
        <v>0</v>
      </c>
      <c r="CJ57" s="1334">
        <f t="shared" si="118"/>
        <v>0</v>
      </c>
      <c r="CK57" s="1334">
        <f t="shared" si="119"/>
        <v>0</v>
      </c>
      <c r="CL57" s="1334"/>
      <c r="CM57" s="1334">
        <f t="shared" si="120"/>
        <v>0</v>
      </c>
      <c r="CN57" s="1334">
        <f t="shared" si="121"/>
        <v>0</v>
      </c>
      <c r="CO57" s="1334">
        <f t="shared" si="122"/>
        <v>1454095.5467701557</v>
      </c>
      <c r="CP57" s="1334">
        <f t="shared" si="123"/>
        <v>0</v>
      </c>
      <c r="CQ57" s="1334">
        <f t="shared" si="124"/>
        <v>0</v>
      </c>
      <c r="CR57" s="1334">
        <f t="shared" si="125"/>
        <v>0</v>
      </c>
      <c r="CS57" s="1334">
        <f t="shared" si="126"/>
        <v>0</v>
      </c>
      <c r="CT57" s="1334">
        <f t="shared" si="127"/>
        <v>0</v>
      </c>
      <c r="CU57" s="1334">
        <f t="shared" si="128"/>
        <v>0</v>
      </c>
      <c r="CV57" s="1334">
        <f t="shared" si="129"/>
        <v>0</v>
      </c>
      <c r="CW57" s="1334">
        <f t="shared" si="130"/>
        <v>0</v>
      </c>
      <c r="CX57" s="1334">
        <f t="shared" si="131"/>
        <v>0</v>
      </c>
      <c r="CY57" s="1334"/>
      <c r="CZ57" s="1334"/>
      <c r="DA57" s="1334">
        <f ca="1">Rental!Y87</f>
        <v>0</v>
      </c>
      <c r="DB57" s="1334">
        <f ca="1">Rental!AD87</f>
        <v>0</v>
      </c>
      <c r="DC57" s="1972"/>
      <c r="DD57" s="1761"/>
      <c r="DE57" s="1761"/>
      <c r="DF57" s="1335"/>
      <c r="DG57" s="1335"/>
      <c r="DH57" s="1335"/>
      <c r="DI57" s="1335"/>
      <c r="DJ57" s="1335"/>
      <c r="DK57" s="1335"/>
      <c r="DL57" s="1335"/>
      <c r="DM57" s="1335"/>
      <c r="DN57" s="1335"/>
      <c r="DO57" s="1335"/>
      <c r="DP57" s="1335"/>
      <c r="DQ57" s="1335"/>
      <c r="DR57" s="1335"/>
      <c r="DS57" s="1335"/>
      <c r="DT57" s="1335"/>
    </row>
    <row r="58" spans="1:124" s="1185" customFormat="1" ht="18" customHeight="1">
      <c r="A58" s="523">
        <f ca="1">IF(E58=YEAR(Retire!$D$12),1,0)</f>
        <v>0</v>
      </c>
      <c r="B58" s="502"/>
      <c r="C58" s="503" t="str">
        <f ca="1">IF(E58=Retire!$D$12,"==&gt;","")</f>
        <v/>
      </c>
      <c r="D58" s="512">
        <f>SUM(D57+1)</f>
        <v>52</v>
      </c>
      <c r="E58" s="512">
        <f ca="1">E57+1</f>
        <v>2073</v>
      </c>
      <c r="F58" s="513">
        <f t="shared" ca="1" si="14"/>
        <v>8938949</v>
      </c>
      <c r="G58" s="505"/>
      <c r="H58" s="514">
        <f>Assets!$G$37</f>
        <v>5.5E-2</v>
      </c>
      <c r="I58" s="515">
        <f>Assets!$F$37</f>
        <v>2000</v>
      </c>
      <c r="J58" s="515">
        <f>SUM((J57*H57)+J57+I57)</f>
        <v>4356961.1429930152</v>
      </c>
      <c r="K58" s="1220"/>
      <c r="L58" s="514">
        <f>Assets!$G$38</f>
        <v>0.05</v>
      </c>
      <c r="M58" s="515">
        <f>Assets!$F$38</f>
        <v>1500</v>
      </c>
      <c r="N58" s="515">
        <f>SUM((N57*L57)+N57+M57)</f>
        <v>3040396.2926355461</v>
      </c>
      <c r="O58" s="1220"/>
      <c r="P58" s="514">
        <f>Assets!$G$39</f>
        <v>0.06</v>
      </c>
      <c r="Q58" s="516">
        <f>Assets!$F$39</f>
        <v>250</v>
      </c>
      <c r="R58" s="515">
        <f>SUM((R57*P57)+R57+Q57)</f>
        <v>1541591.2795763649</v>
      </c>
      <c r="S58" s="1220"/>
      <c r="T58" s="514">
        <f>Assets!$G$40</f>
        <v>0</v>
      </c>
      <c r="U58" s="517">
        <f>Assets!$F$40</f>
        <v>0</v>
      </c>
      <c r="V58" s="515">
        <f>SUM((V57*T57)+V57+U57)</f>
        <v>0</v>
      </c>
      <c r="W58" s="1220"/>
      <c r="X58" s="514">
        <f>Assets!$G$41</f>
        <v>0</v>
      </c>
      <c r="Y58" s="517">
        <f>Assets!$F$41</f>
        <v>0</v>
      </c>
      <c r="Z58" s="515">
        <f>SUM((Z57*X57)+Z57+Y57)</f>
        <v>0</v>
      </c>
      <c r="AA58" s="1220"/>
      <c r="AB58" s="514">
        <f>Assets!$G$42</f>
        <v>0</v>
      </c>
      <c r="AC58" s="515">
        <f>Assets!$F$42</f>
        <v>0</v>
      </c>
      <c r="AD58" s="515">
        <f>SUM((AD57*AB57)+AD57+AC57)</f>
        <v>0</v>
      </c>
      <c r="AE58" s="1220"/>
      <c r="AF58" s="514">
        <f>Assets!$G$43</f>
        <v>0</v>
      </c>
      <c r="AG58" s="515">
        <f>Assets!$F$43</f>
        <v>0</v>
      </c>
      <c r="AH58" s="515">
        <f>SUM((AH57*AF57)+AH57+AG57)</f>
        <v>0</v>
      </c>
      <c r="AI58" s="1220"/>
      <c r="AJ58" s="514">
        <f>Assets!$G$44</f>
        <v>0</v>
      </c>
      <c r="AK58" s="515">
        <f>Assets!$F$44</f>
        <v>0</v>
      </c>
      <c r="AL58" s="515">
        <f>SUM((AL57*AJ57)+AL57+AK57)</f>
        <v>0</v>
      </c>
      <c r="AM58" s="1220"/>
      <c r="AN58" s="514">
        <f>Assets!$G$45</f>
        <v>0</v>
      </c>
      <c r="AO58" s="515">
        <f>Assets!$F$45</f>
        <v>0</v>
      </c>
      <c r="AP58" s="515">
        <f>SUM((AP57*AN57)+AP57+AO57)</f>
        <v>0</v>
      </c>
      <c r="AQ58" s="1220"/>
      <c r="AR58" s="514">
        <f>Assets!$G$46</f>
        <v>0</v>
      </c>
      <c r="AS58" s="515">
        <f>Assets!$F$46</f>
        <v>0</v>
      </c>
      <c r="AT58" s="515">
        <f>SUM((AT57*AR57)+AT57+AS57)</f>
        <v>0</v>
      </c>
      <c r="AU58" s="1220"/>
      <c r="AV58" s="514">
        <f>Assets!$G$47</f>
        <v>0</v>
      </c>
      <c r="AW58" s="515">
        <f>Assets!F$47</f>
        <v>0</v>
      </c>
      <c r="AX58" s="515">
        <f>SUM((AX57*AV57)+AX57+AW57)</f>
        <v>0</v>
      </c>
      <c r="AY58" s="1220"/>
      <c r="AZ58" s="514">
        <f>Assets!$G$48</f>
        <v>0</v>
      </c>
      <c r="BA58" s="515">
        <f>Assets!$F$48</f>
        <v>0</v>
      </c>
      <c r="BB58" s="515">
        <f>SUM((BB57*AZ57)+BB57+BA57)</f>
        <v>0</v>
      </c>
      <c r="BC58" s="502"/>
      <c r="BD58" s="2005"/>
      <c r="BE58" s="523"/>
      <c r="BF58" s="523"/>
      <c r="BG58" s="1331">
        <f t="shared" si="67"/>
        <v>4356961.1429930152</v>
      </c>
      <c r="BH58" s="1331">
        <f t="shared" si="68"/>
        <v>3040396.2926355461</v>
      </c>
      <c r="BI58" s="1331">
        <f t="shared" si="69"/>
        <v>1541591.2795763649</v>
      </c>
      <c r="BJ58" s="1331">
        <f t="shared" si="70"/>
        <v>0</v>
      </c>
      <c r="BK58" s="1331">
        <f t="shared" si="71"/>
        <v>0</v>
      </c>
      <c r="BL58" s="1331">
        <f t="shared" si="72"/>
        <v>0</v>
      </c>
      <c r="BM58" s="1331">
        <f t="shared" si="73"/>
        <v>0</v>
      </c>
      <c r="BN58" s="1331">
        <f t="shared" si="74"/>
        <v>0</v>
      </c>
      <c r="BO58" s="1331">
        <f t="shared" si="75"/>
        <v>0</v>
      </c>
      <c r="BP58" s="1331">
        <f t="shared" si="76"/>
        <v>0</v>
      </c>
      <c r="BQ58" s="1331">
        <f t="shared" si="77"/>
        <v>0</v>
      </c>
      <c r="BR58" s="1331">
        <f t="shared" si="78"/>
        <v>0</v>
      </c>
      <c r="BS58" s="523"/>
      <c r="BT58" s="523"/>
      <c r="BU58" s="523"/>
      <c r="BV58" s="523"/>
      <c r="BW58" s="1333">
        <f t="shared" ca="1" si="53"/>
        <v>2073</v>
      </c>
      <c r="BX58" s="1331">
        <f t="shared" si="107"/>
        <v>7397357.4356285613</v>
      </c>
      <c r="BY58" s="1331">
        <f t="shared" ca="1" si="79"/>
        <v>1541591.2795763649</v>
      </c>
      <c r="BZ58" s="1334">
        <f t="shared" si="108"/>
        <v>4356961.1429930152</v>
      </c>
      <c r="CA58" s="1334">
        <f t="shared" si="109"/>
        <v>3040396.2926355461</v>
      </c>
      <c r="CB58" s="1334">
        <f t="shared" si="110"/>
        <v>0</v>
      </c>
      <c r="CC58" s="1334">
        <f t="shared" si="111"/>
        <v>0</v>
      </c>
      <c r="CD58" s="1334">
        <f t="shared" si="112"/>
        <v>0</v>
      </c>
      <c r="CE58" s="1334">
        <f t="shared" si="113"/>
        <v>0</v>
      </c>
      <c r="CF58" s="1334">
        <f t="shared" si="114"/>
        <v>0</v>
      </c>
      <c r="CG58" s="1334">
        <f t="shared" si="115"/>
        <v>0</v>
      </c>
      <c r="CH58" s="1334">
        <f t="shared" si="116"/>
        <v>0</v>
      </c>
      <c r="CI58" s="1334">
        <f t="shared" si="117"/>
        <v>0</v>
      </c>
      <c r="CJ58" s="1334">
        <f t="shared" si="118"/>
        <v>0</v>
      </c>
      <c r="CK58" s="1334">
        <f t="shared" si="119"/>
        <v>0</v>
      </c>
      <c r="CL58" s="1334"/>
      <c r="CM58" s="1334">
        <f t="shared" si="120"/>
        <v>0</v>
      </c>
      <c r="CN58" s="1334">
        <f t="shared" si="121"/>
        <v>0</v>
      </c>
      <c r="CO58" s="1334">
        <f t="shared" si="122"/>
        <v>1541591.2795763649</v>
      </c>
      <c r="CP58" s="1334">
        <f t="shared" si="123"/>
        <v>0</v>
      </c>
      <c r="CQ58" s="1334">
        <f t="shared" si="124"/>
        <v>0</v>
      </c>
      <c r="CR58" s="1334">
        <f t="shared" si="125"/>
        <v>0</v>
      </c>
      <c r="CS58" s="1334">
        <f t="shared" si="126"/>
        <v>0</v>
      </c>
      <c r="CT58" s="1334">
        <f t="shared" si="127"/>
        <v>0</v>
      </c>
      <c r="CU58" s="1334">
        <f t="shared" si="128"/>
        <v>0</v>
      </c>
      <c r="CV58" s="1334">
        <f t="shared" si="129"/>
        <v>0</v>
      </c>
      <c r="CW58" s="1334">
        <f t="shared" si="130"/>
        <v>0</v>
      </c>
      <c r="CX58" s="1334">
        <f t="shared" si="131"/>
        <v>0</v>
      </c>
      <c r="CY58" s="1334"/>
      <c r="CZ58" s="1334"/>
      <c r="DA58" s="1334">
        <f ca="1">Rental!Y88</f>
        <v>0</v>
      </c>
      <c r="DB58" s="1334">
        <f ca="1">Rental!AD88</f>
        <v>0</v>
      </c>
      <c r="DC58" s="1972"/>
      <c r="DD58" s="1761"/>
      <c r="DE58" s="1761"/>
      <c r="DF58" s="1335"/>
      <c r="DG58" s="1335"/>
      <c r="DH58" s="1335"/>
      <c r="DI58" s="1335"/>
      <c r="DJ58" s="1335"/>
      <c r="DK58" s="1335"/>
      <c r="DL58" s="1335"/>
      <c r="DM58" s="1335"/>
      <c r="DN58" s="1335"/>
      <c r="DO58" s="1335"/>
      <c r="DP58" s="1335"/>
      <c r="DQ58" s="1335"/>
      <c r="DR58" s="1335"/>
      <c r="DS58" s="1335"/>
      <c r="DT58" s="1335"/>
    </row>
    <row r="59" spans="1:124" s="1185" customFormat="1" ht="18" customHeight="1">
      <c r="A59" s="523">
        <f ca="1">IF(E59=YEAR(Retire!$D$12),1,0)</f>
        <v>0</v>
      </c>
      <c r="B59" s="502"/>
      <c r="C59" s="503" t="str">
        <f ca="1">IF(E59=Retire!$D$12,"==&gt;","")</f>
        <v/>
      </c>
      <c r="D59" s="504">
        <f t="shared" ref="D59:D122" si="132">SUM(D58+1)</f>
        <v>53</v>
      </c>
      <c r="E59" s="504">
        <f t="shared" ref="E59:E122" ca="1" si="133">E58+1</f>
        <v>2074</v>
      </c>
      <c r="F59" s="505">
        <f t="shared" ca="1" si="14"/>
        <v>9426847</v>
      </c>
      <c r="G59" s="505"/>
      <c r="H59" s="506">
        <f>Assets!$G$37</f>
        <v>5.5E-2</v>
      </c>
      <c r="I59" s="507">
        <f>Assets!$F$37</f>
        <v>2000</v>
      </c>
      <c r="J59" s="507">
        <f t="shared" ref="J59:J67" si="134">SUM((J58*H58)+J58+I58)</f>
        <v>4598594.0058576306</v>
      </c>
      <c r="K59" s="1220"/>
      <c r="L59" s="506">
        <f>Assets!$G$38</f>
        <v>0.05</v>
      </c>
      <c r="M59" s="507">
        <f>Assets!$F$38</f>
        <v>1500</v>
      </c>
      <c r="N59" s="507">
        <f t="shared" ref="N59:N67" si="135">SUM((N58*L58)+N58+M58)</f>
        <v>3193916.1072673234</v>
      </c>
      <c r="O59" s="1220"/>
      <c r="P59" s="506">
        <f>Assets!$G$39</f>
        <v>0.06</v>
      </c>
      <c r="Q59" s="508">
        <f>Assets!$F$39</f>
        <v>250</v>
      </c>
      <c r="R59" s="507">
        <f t="shared" ref="R59:R67" si="136">SUM((R58*P58)+R58+Q58)</f>
        <v>1634336.7563509468</v>
      </c>
      <c r="S59" s="1220"/>
      <c r="T59" s="506">
        <f>Assets!$G$40</f>
        <v>0</v>
      </c>
      <c r="U59" s="510">
        <f>Assets!$F$40</f>
        <v>0</v>
      </c>
      <c r="V59" s="507">
        <f t="shared" ref="V59:V67" si="137">SUM((V58*T58)+V58+U58)</f>
        <v>0</v>
      </c>
      <c r="W59" s="1220"/>
      <c r="X59" s="506">
        <f>Assets!$G$41</f>
        <v>0</v>
      </c>
      <c r="Y59" s="510">
        <f>Assets!$F$41</f>
        <v>0</v>
      </c>
      <c r="Z59" s="507">
        <f t="shared" ref="Z59:Z67" si="138">SUM((Z58*X58)+Z58+Y58)</f>
        <v>0</v>
      </c>
      <c r="AA59" s="1220"/>
      <c r="AB59" s="506">
        <f>Assets!$G$42</f>
        <v>0</v>
      </c>
      <c r="AC59" s="507">
        <f>Assets!$F$42</f>
        <v>0</v>
      </c>
      <c r="AD59" s="507">
        <f t="shared" ref="AD59:AD67" si="139">SUM((AD58*AB58)+AD58+AC58)</f>
        <v>0</v>
      </c>
      <c r="AE59" s="1220"/>
      <c r="AF59" s="506">
        <f>Assets!$G$43</f>
        <v>0</v>
      </c>
      <c r="AG59" s="507">
        <f>Assets!$F$43</f>
        <v>0</v>
      </c>
      <c r="AH59" s="507">
        <f t="shared" ref="AH59:AH67" si="140">SUM((AH58*AF58)+AH58+AG58)</f>
        <v>0</v>
      </c>
      <c r="AI59" s="1220"/>
      <c r="AJ59" s="506">
        <f>Assets!$G$44</f>
        <v>0</v>
      </c>
      <c r="AK59" s="507">
        <f>Assets!$F$44</f>
        <v>0</v>
      </c>
      <c r="AL59" s="507">
        <f t="shared" ref="AL59:AL67" si="141">SUM((AL58*AJ58)+AL58+AK58)</f>
        <v>0</v>
      </c>
      <c r="AM59" s="1220"/>
      <c r="AN59" s="506">
        <f>Assets!$G$45</f>
        <v>0</v>
      </c>
      <c r="AO59" s="507">
        <f>Assets!$F$45</f>
        <v>0</v>
      </c>
      <c r="AP59" s="507">
        <f t="shared" ref="AP59:AP67" si="142">SUM((AP58*AN58)+AP58+AO58)</f>
        <v>0</v>
      </c>
      <c r="AQ59" s="1220"/>
      <c r="AR59" s="506">
        <f>Assets!$G$46</f>
        <v>0</v>
      </c>
      <c r="AS59" s="507">
        <f>Assets!$F$46</f>
        <v>0</v>
      </c>
      <c r="AT59" s="507">
        <f t="shared" ref="AT59:AT67" si="143">SUM((AT58*AR58)+AT58+AS58)</f>
        <v>0</v>
      </c>
      <c r="AU59" s="1220"/>
      <c r="AV59" s="506">
        <f>Assets!$G$47</f>
        <v>0</v>
      </c>
      <c r="AW59" s="507">
        <f>Assets!F$47</f>
        <v>0</v>
      </c>
      <c r="AX59" s="507">
        <f t="shared" ref="AX59:AX67" si="144">SUM((AX58*AV58)+AX58+AW58)</f>
        <v>0</v>
      </c>
      <c r="AY59" s="1220"/>
      <c r="AZ59" s="506">
        <f>Assets!$G$48</f>
        <v>0</v>
      </c>
      <c r="BA59" s="507">
        <f>Assets!$F$48</f>
        <v>0</v>
      </c>
      <c r="BB59" s="507">
        <f t="shared" ref="BB59:BB67" si="145">SUM((BB58*AZ58)+BB58+BA58)</f>
        <v>0</v>
      </c>
      <c r="BC59" s="502"/>
      <c r="BD59" s="2005"/>
      <c r="BE59" s="523"/>
      <c r="BF59" s="523"/>
      <c r="BG59" s="1331">
        <f t="shared" si="67"/>
        <v>4598594.0058576306</v>
      </c>
      <c r="BH59" s="1331">
        <f t="shared" si="68"/>
        <v>3193916.1072673234</v>
      </c>
      <c r="BI59" s="1331">
        <f t="shared" si="69"/>
        <v>1634336.7563509468</v>
      </c>
      <c r="BJ59" s="1331">
        <f t="shared" si="70"/>
        <v>0</v>
      </c>
      <c r="BK59" s="1331">
        <f t="shared" si="71"/>
        <v>0</v>
      </c>
      <c r="BL59" s="1331">
        <f t="shared" si="72"/>
        <v>0</v>
      </c>
      <c r="BM59" s="1331">
        <f t="shared" si="73"/>
        <v>0</v>
      </c>
      <c r="BN59" s="1331">
        <f t="shared" si="74"/>
        <v>0</v>
      </c>
      <c r="BO59" s="1331">
        <f t="shared" si="75"/>
        <v>0</v>
      </c>
      <c r="BP59" s="1331">
        <f t="shared" si="76"/>
        <v>0</v>
      </c>
      <c r="BQ59" s="1331">
        <f t="shared" si="77"/>
        <v>0</v>
      </c>
      <c r="BR59" s="1331">
        <f t="shared" si="78"/>
        <v>0</v>
      </c>
      <c r="BS59" s="523"/>
      <c r="BT59" s="523"/>
      <c r="BU59" s="523"/>
      <c r="BV59" s="523"/>
      <c r="BW59" s="1333">
        <f t="shared" ca="1" si="53"/>
        <v>2074</v>
      </c>
      <c r="BX59" s="1331">
        <f t="shared" si="107"/>
        <v>7792510.1131249536</v>
      </c>
      <c r="BY59" s="1331">
        <f t="shared" ca="1" si="79"/>
        <v>1634336.7563509468</v>
      </c>
      <c r="BZ59" s="1334">
        <f t="shared" si="108"/>
        <v>4598594.0058576306</v>
      </c>
      <c r="CA59" s="1334">
        <f t="shared" si="109"/>
        <v>3193916.1072673234</v>
      </c>
      <c r="CB59" s="1334">
        <f t="shared" si="110"/>
        <v>0</v>
      </c>
      <c r="CC59" s="1334">
        <f t="shared" si="111"/>
        <v>0</v>
      </c>
      <c r="CD59" s="1334">
        <f t="shared" si="112"/>
        <v>0</v>
      </c>
      <c r="CE59" s="1334">
        <f t="shared" si="113"/>
        <v>0</v>
      </c>
      <c r="CF59" s="1334">
        <f t="shared" si="114"/>
        <v>0</v>
      </c>
      <c r="CG59" s="1334">
        <f t="shared" si="115"/>
        <v>0</v>
      </c>
      <c r="CH59" s="1334">
        <f t="shared" si="116"/>
        <v>0</v>
      </c>
      <c r="CI59" s="1334">
        <f t="shared" si="117"/>
        <v>0</v>
      </c>
      <c r="CJ59" s="1334">
        <f t="shared" si="118"/>
        <v>0</v>
      </c>
      <c r="CK59" s="1334">
        <f t="shared" si="119"/>
        <v>0</v>
      </c>
      <c r="CL59" s="1334"/>
      <c r="CM59" s="1334">
        <f t="shared" si="120"/>
        <v>0</v>
      </c>
      <c r="CN59" s="1334">
        <f t="shared" si="121"/>
        <v>0</v>
      </c>
      <c r="CO59" s="1334">
        <f t="shared" si="122"/>
        <v>1634336.7563509468</v>
      </c>
      <c r="CP59" s="1334">
        <f t="shared" si="123"/>
        <v>0</v>
      </c>
      <c r="CQ59" s="1334">
        <f t="shared" si="124"/>
        <v>0</v>
      </c>
      <c r="CR59" s="1334">
        <f t="shared" si="125"/>
        <v>0</v>
      </c>
      <c r="CS59" s="1334">
        <f t="shared" si="126"/>
        <v>0</v>
      </c>
      <c r="CT59" s="1334">
        <f t="shared" si="127"/>
        <v>0</v>
      </c>
      <c r="CU59" s="1334">
        <f t="shared" si="128"/>
        <v>0</v>
      </c>
      <c r="CV59" s="1334">
        <f t="shared" si="129"/>
        <v>0</v>
      </c>
      <c r="CW59" s="1334">
        <f t="shared" si="130"/>
        <v>0</v>
      </c>
      <c r="CX59" s="1334">
        <f t="shared" si="131"/>
        <v>0</v>
      </c>
      <c r="CY59" s="1334"/>
      <c r="CZ59" s="1334"/>
      <c r="DA59" s="1334">
        <f ca="1">Rental!Y89</f>
        <v>0</v>
      </c>
      <c r="DB59" s="1334">
        <f ca="1">Rental!AD89</f>
        <v>0</v>
      </c>
      <c r="DC59" s="1972"/>
      <c r="DD59" s="1761"/>
      <c r="DE59" s="1761"/>
      <c r="DF59" s="1335"/>
      <c r="DG59" s="1335"/>
      <c r="DH59" s="1335"/>
      <c r="DI59" s="1335"/>
      <c r="DJ59" s="1335"/>
      <c r="DK59" s="1335"/>
      <c r="DL59" s="1335"/>
      <c r="DM59" s="1335"/>
      <c r="DN59" s="1335"/>
      <c r="DO59" s="1335"/>
      <c r="DP59" s="1335"/>
      <c r="DQ59" s="1335"/>
      <c r="DR59" s="1335"/>
      <c r="DS59" s="1335"/>
      <c r="DT59" s="1335"/>
    </row>
    <row r="60" spans="1:124" s="1185" customFormat="1" ht="18" customHeight="1">
      <c r="A60" s="523">
        <f ca="1">IF(E60=YEAR(Retire!$D$12),1,0)</f>
        <v>0</v>
      </c>
      <c r="B60" s="502"/>
      <c r="C60" s="503" t="str">
        <f ca="1">IF(E60=Retire!$D$12,"==&gt;","")</f>
        <v/>
      </c>
      <c r="D60" s="512">
        <f t="shared" si="132"/>
        <v>54</v>
      </c>
      <c r="E60" s="512">
        <f t="shared" ca="1" si="133"/>
        <v>2075</v>
      </c>
      <c r="F60" s="513">
        <f t="shared" ca="1" si="14"/>
        <v>9941276</v>
      </c>
      <c r="G60" s="505"/>
      <c r="H60" s="514">
        <f>Assets!$G$37</f>
        <v>5.5E-2</v>
      </c>
      <c r="I60" s="515">
        <f>Assets!$F$37</f>
        <v>2000</v>
      </c>
      <c r="J60" s="515">
        <f t="shared" si="134"/>
        <v>4853516.6761798002</v>
      </c>
      <c r="K60" s="1220"/>
      <c r="L60" s="514">
        <f>Assets!$G$38</f>
        <v>0.05</v>
      </c>
      <c r="M60" s="515">
        <f>Assets!$F$38</f>
        <v>1500</v>
      </c>
      <c r="N60" s="515">
        <f t="shared" si="135"/>
        <v>3355111.9126306898</v>
      </c>
      <c r="O60" s="1220"/>
      <c r="P60" s="514">
        <f>Assets!$G$39</f>
        <v>0.06</v>
      </c>
      <c r="Q60" s="516">
        <f>Assets!$F$39</f>
        <v>250</v>
      </c>
      <c r="R60" s="515">
        <f t="shared" si="136"/>
        <v>1732646.9617320036</v>
      </c>
      <c r="S60" s="1220"/>
      <c r="T60" s="514">
        <f>Assets!$G$40</f>
        <v>0</v>
      </c>
      <c r="U60" s="517">
        <f>Assets!$F$40</f>
        <v>0</v>
      </c>
      <c r="V60" s="515">
        <f t="shared" si="137"/>
        <v>0</v>
      </c>
      <c r="W60" s="1220"/>
      <c r="X60" s="514">
        <f>Assets!$G$41</f>
        <v>0</v>
      </c>
      <c r="Y60" s="517">
        <f>Assets!$F$41</f>
        <v>0</v>
      </c>
      <c r="Z60" s="515">
        <f t="shared" si="138"/>
        <v>0</v>
      </c>
      <c r="AA60" s="1220"/>
      <c r="AB60" s="514">
        <f>Assets!$G$42</f>
        <v>0</v>
      </c>
      <c r="AC60" s="515">
        <f>Assets!$F$42</f>
        <v>0</v>
      </c>
      <c r="AD60" s="515">
        <f t="shared" si="139"/>
        <v>0</v>
      </c>
      <c r="AE60" s="1220"/>
      <c r="AF60" s="514">
        <f>Assets!$G$43</f>
        <v>0</v>
      </c>
      <c r="AG60" s="515">
        <f>Assets!$F$43</f>
        <v>0</v>
      </c>
      <c r="AH60" s="515">
        <f t="shared" si="140"/>
        <v>0</v>
      </c>
      <c r="AI60" s="1220"/>
      <c r="AJ60" s="514">
        <f>Assets!$G$44</f>
        <v>0</v>
      </c>
      <c r="AK60" s="515">
        <f>Assets!$F$44</f>
        <v>0</v>
      </c>
      <c r="AL60" s="515">
        <f t="shared" si="141"/>
        <v>0</v>
      </c>
      <c r="AM60" s="1220"/>
      <c r="AN60" s="514">
        <f>Assets!$G$45</f>
        <v>0</v>
      </c>
      <c r="AO60" s="515">
        <f>Assets!$F$45</f>
        <v>0</v>
      </c>
      <c r="AP60" s="515">
        <f t="shared" si="142"/>
        <v>0</v>
      </c>
      <c r="AQ60" s="1220"/>
      <c r="AR60" s="514">
        <f>Assets!$G$46</f>
        <v>0</v>
      </c>
      <c r="AS60" s="515">
        <f>Assets!$F$46</f>
        <v>0</v>
      </c>
      <c r="AT60" s="515">
        <f t="shared" si="143"/>
        <v>0</v>
      </c>
      <c r="AU60" s="1220"/>
      <c r="AV60" s="514">
        <f>Assets!$G$47</f>
        <v>0</v>
      </c>
      <c r="AW60" s="515">
        <f>Assets!F$47</f>
        <v>0</v>
      </c>
      <c r="AX60" s="515">
        <f t="shared" si="144"/>
        <v>0</v>
      </c>
      <c r="AY60" s="1220"/>
      <c r="AZ60" s="514">
        <f>Assets!$G$48</f>
        <v>0</v>
      </c>
      <c r="BA60" s="515">
        <f>Assets!$F$48</f>
        <v>0</v>
      </c>
      <c r="BB60" s="515">
        <f t="shared" si="145"/>
        <v>0</v>
      </c>
      <c r="BC60" s="502"/>
      <c r="BD60" s="2005"/>
      <c r="BE60" s="523"/>
      <c r="BF60" s="523"/>
      <c r="BG60" s="1331">
        <f t="shared" si="67"/>
        <v>4853516.6761798002</v>
      </c>
      <c r="BH60" s="1331">
        <f t="shared" si="68"/>
        <v>3355111.9126306898</v>
      </c>
      <c r="BI60" s="1331">
        <f t="shared" si="69"/>
        <v>1732646.9617320036</v>
      </c>
      <c r="BJ60" s="1331">
        <f t="shared" si="70"/>
        <v>0</v>
      </c>
      <c r="BK60" s="1331">
        <f t="shared" si="71"/>
        <v>0</v>
      </c>
      <c r="BL60" s="1331">
        <f t="shared" si="72"/>
        <v>0</v>
      </c>
      <c r="BM60" s="1331">
        <f t="shared" si="73"/>
        <v>0</v>
      </c>
      <c r="BN60" s="1331">
        <f t="shared" si="74"/>
        <v>0</v>
      </c>
      <c r="BO60" s="1331">
        <f t="shared" si="75"/>
        <v>0</v>
      </c>
      <c r="BP60" s="1331">
        <f t="shared" si="76"/>
        <v>0</v>
      </c>
      <c r="BQ60" s="1331">
        <f t="shared" si="77"/>
        <v>0</v>
      </c>
      <c r="BR60" s="1331">
        <f t="shared" si="78"/>
        <v>0</v>
      </c>
      <c r="BS60" s="523"/>
      <c r="BT60" s="523"/>
      <c r="BU60" s="523"/>
      <c r="BV60" s="523"/>
      <c r="BW60" s="1333">
        <f t="shared" ca="1" si="53"/>
        <v>2075</v>
      </c>
      <c r="BX60" s="1331">
        <f t="shared" si="107"/>
        <v>8208628.5888104904</v>
      </c>
      <c r="BY60" s="1331">
        <f t="shared" ca="1" si="79"/>
        <v>1732646.9617320036</v>
      </c>
      <c r="BZ60" s="1334">
        <f t="shared" si="108"/>
        <v>4853516.6761798002</v>
      </c>
      <c r="CA60" s="1334">
        <f t="shared" si="109"/>
        <v>3355111.9126306898</v>
      </c>
      <c r="CB60" s="1334">
        <f t="shared" si="110"/>
        <v>0</v>
      </c>
      <c r="CC60" s="1334">
        <f t="shared" si="111"/>
        <v>0</v>
      </c>
      <c r="CD60" s="1334">
        <f t="shared" si="112"/>
        <v>0</v>
      </c>
      <c r="CE60" s="1334">
        <f t="shared" si="113"/>
        <v>0</v>
      </c>
      <c r="CF60" s="1334">
        <f t="shared" si="114"/>
        <v>0</v>
      </c>
      <c r="CG60" s="1334">
        <f t="shared" si="115"/>
        <v>0</v>
      </c>
      <c r="CH60" s="1334">
        <f t="shared" si="116"/>
        <v>0</v>
      </c>
      <c r="CI60" s="1334">
        <f t="shared" si="117"/>
        <v>0</v>
      </c>
      <c r="CJ60" s="1334">
        <f t="shared" si="118"/>
        <v>0</v>
      </c>
      <c r="CK60" s="1334">
        <f t="shared" si="119"/>
        <v>0</v>
      </c>
      <c r="CL60" s="1334"/>
      <c r="CM60" s="1334">
        <f t="shared" si="120"/>
        <v>0</v>
      </c>
      <c r="CN60" s="1334">
        <f t="shared" si="121"/>
        <v>0</v>
      </c>
      <c r="CO60" s="1334">
        <f t="shared" si="122"/>
        <v>1732646.9617320036</v>
      </c>
      <c r="CP60" s="1334">
        <f t="shared" si="123"/>
        <v>0</v>
      </c>
      <c r="CQ60" s="1334">
        <f t="shared" si="124"/>
        <v>0</v>
      </c>
      <c r="CR60" s="1334">
        <f t="shared" si="125"/>
        <v>0</v>
      </c>
      <c r="CS60" s="1334">
        <f t="shared" si="126"/>
        <v>0</v>
      </c>
      <c r="CT60" s="1334">
        <f t="shared" si="127"/>
        <v>0</v>
      </c>
      <c r="CU60" s="1334">
        <f t="shared" si="128"/>
        <v>0</v>
      </c>
      <c r="CV60" s="1334">
        <f t="shared" si="129"/>
        <v>0</v>
      </c>
      <c r="CW60" s="1334">
        <f t="shared" si="130"/>
        <v>0</v>
      </c>
      <c r="CX60" s="1334">
        <f t="shared" si="131"/>
        <v>0</v>
      </c>
      <c r="CY60" s="1334"/>
      <c r="CZ60" s="1334"/>
      <c r="DA60" s="1334">
        <f ca="1">Rental!Y90</f>
        <v>0</v>
      </c>
      <c r="DB60" s="1334">
        <f ca="1">Rental!AD90</f>
        <v>0</v>
      </c>
      <c r="DC60" s="1972"/>
      <c r="DD60" s="1761"/>
      <c r="DE60" s="1761"/>
      <c r="DF60" s="1335"/>
      <c r="DG60" s="1335"/>
      <c r="DH60" s="1335"/>
      <c r="DI60" s="1335"/>
      <c r="DJ60" s="1335"/>
      <c r="DK60" s="1335"/>
      <c r="DL60" s="1335"/>
      <c r="DM60" s="1335"/>
      <c r="DN60" s="1335"/>
      <c r="DO60" s="1335"/>
      <c r="DP60" s="1335"/>
      <c r="DQ60" s="1335"/>
      <c r="DR60" s="1335"/>
      <c r="DS60" s="1335"/>
      <c r="DT60" s="1335"/>
    </row>
    <row r="61" spans="1:124" s="1185" customFormat="1" ht="18" customHeight="1">
      <c r="A61" s="523">
        <f ca="1">IF(E61=YEAR(Retire!$D$12),1,0)</f>
        <v>0</v>
      </c>
      <c r="B61" s="502"/>
      <c r="C61" s="503" t="str">
        <f ca="1">IF(E61=Retire!$D$12,"==&gt;","")</f>
        <v/>
      </c>
      <c r="D61" s="504">
        <f t="shared" si="132"/>
        <v>55</v>
      </c>
      <c r="E61" s="504">
        <f t="shared" ca="1" si="133"/>
        <v>2076</v>
      </c>
      <c r="F61" s="505">
        <f t="shared" ca="1" si="14"/>
        <v>10483683</v>
      </c>
      <c r="G61" s="505"/>
      <c r="H61" s="506">
        <f>Assets!$G$37</f>
        <v>5.5E-2</v>
      </c>
      <c r="I61" s="507">
        <f>Assets!$F$37</f>
        <v>2000</v>
      </c>
      <c r="J61" s="507">
        <f t="shared" si="134"/>
        <v>5122460.0933696888</v>
      </c>
      <c r="K61" s="1220"/>
      <c r="L61" s="506">
        <f>Assets!$G$38</f>
        <v>0.05</v>
      </c>
      <c r="M61" s="507">
        <f>Assets!$F$38</f>
        <v>1500</v>
      </c>
      <c r="N61" s="507">
        <f t="shared" si="135"/>
        <v>3524367.5082622245</v>
      </c>
      <c r="O61" s="1220"/>
      <c r="P61" s="506">
        <f>Assets!$G$39</f>
        <v>0.06</v>
      </c>
      <c r="Q61" s="508">
        <f>Assets!$F$39</f>
        <v>250</v>
      </c>
      <c r="R61" s="507">
        <f t="shared" si="136"/>
        <v>1836855.7794359238</v>
      </c>
      <c r="S61" s="1220"/>
      <c r="T61" s="506">
        <f>Assets!$G$40</f>
        <v>0</v>
      </c>
      <c r="U61" s="510">
        <f>Assets!$F$40</f>
        <v>0</v>
      </c>
      <c r="V61" s="507">
        <f t="shared" si="137"/>
        <v>0</v>
      </c>
      <c r="W61" s="1220"/>
      <c r="X61" s="506">
        <f>Assets!$G$41</f>
        <v>0</v>
      </c>
      <c r="Y61" s="510">
        <f>Assets!$F$41</f>
        <v>0</v>
      </c>
      <c r="Z61" s="507">
        <f t="shared" si="138"/>
        <v>0</v>
      </c>
      <c r="AA61" s="1220"/>
      <c r="AB61" s="506">
        <f>Assets!$G$42</f>
        <v>0</v>
      </c>
      <c r="AC61" s="507">
        <f>Assets!$F$42</f>
        <v>0</v>
      </c>
      <c r="AD61" s="507">
        <f t="shared" si="139"/>
        <v>0</v>
      </c>
      <c r="AE61" s="1220"/>
      <c r="AF61" s="506">
        <f>Assets!$G$43</f>
        <v>0</v>
      </c>
      <c r="AG61" s="507">
        <f>Assets!$F$43</f>
        <v>0</v>
      </c>
      <c r="AH61" s="507">
        <f t="shared" si="140"/>
        <v>0</v>
      </c>
      <c r="AI61" s="1220"/>
      <c r="AJ61" s="506">
        <f>Assets!$G$44</f>
        <v>0</v>
      </c>
      <c r="AK61" s="507">
        <f>Assets!$F$44</f>
        <v>0</v>
      </c>
      <c r="AL61" s="507">
        <f t="shared" si="141"/>
        <v>0</v>
      </c>
      <c r="AM61" s="1220"/>
      <c r="AN61" s="506">
        <f>Assets!$G$45</f>
        <v>0</v>
      </c>
      <c r="AO61" s="507">
        <f>Assets!$F$45</f>
        <v>0</v>
      </c>
      <c r="AP61" s="507">
        <f t="shared" si="142"/>
        <v>0</v>
      </c>
      <c r="AQ61" s="1220"/>
      <c r="AR61" s="506">
        <f>Assets!$G$46</f>
        <v>0</v>
      </c>
      <c r="AS61" s="507">
        <f>Assets!$F$46</f>
        <v>0</v>
      </c>
      <c r="AT61" s="507">
        <f t="shared" si="143"/>
        <v>0</v>
      </c>
      <c r="AU61" s="1220"/>
      <c r="AV61" s="506">
        <f>Assets!$G$47</f>
        <v>0</v>
      </c>
      <c r="AW61" s="507">
        <f>Assets!F$47</f>
        <v>0</v>
      </c>
      <c r="AX61" s="507">
        <f t="shared" si="144"/>
        <v>0</v>
      </c>
      <c r="AY61" s="1220"/>
      <c r="AZ61" s="506">
        <f>Assets!$G$48</f>
        <v>0</v>
      </c>
      <c r="BA61" s="507">
        <f>Assets!$F$48</f>
        <v>0</v>
      </c>
      <c r="BB61" s="507">
        <f t="shared" si="145"/>
        <v>0</v>
      </c>
      <c r="BC61" s="502"/>
      <c r="BD61" s="2005"/>
      <c r="BE61" s="523"/>
      <c r="BF61" s="523"/>
      <c r="BG61" s="1331">
        <f t="shared" si="67"/>
        <v>5122460.0933696888</v>
      </c>
      <c r="BH61" s="1331">
        <f t="shared" si="68"/>
        <v>3524367.5082622245</v>
      </c>
      <c r="BI61" s="1331">
        <f t="shared" si="69"/>
        <v>1836855.7794359238</v>
      </c>
      <c r="BJ61" s="1331">
        <f t="shared" si="70"/>
        <v>0</v>
      </c>
      <c r="BK61" s="1331">
        <f t="shared" si="71"/>
        <v>0</v>
      </c>
      <c r="BL61" s="1331">
        <f t="shared" si="72"/>
        <v>0</v>
      </c>
      <c r="BM61" s="1331">
        <f t="shared" si="73"/>
        <v>0</v>
      </c>
      <c r="BN61" s="1331">
        <f t="shared" si="74"/>
        <v>0</v>
      </c>
      <c r="BO61" s="1331">
        <f t="shared" si="75"/>
        <v>0</v>
      </c>
      <c r="BP61" s="1331">
        <f t="shared" si="76"/>
        <v>0</v>
      </c>
      <c r="BQ61" s="1331">
        <f t="shared" si="77"/>
        <v>0</v>
      </c>
      <c r="BR61" s="1331">
        <f t="shared" si="78"/>
        <v>0</v>
      </c>
      <c r="BS61" s="523"/>
      <c r="BT61" s="523"/>
      <c r="BU61" s="523"/>
      <c r="BV61" s="523"/>
      <c r="BW61" s="1333">
        <f t="shared" ca="1" si="53"/>
        <v>2076</v>
      </c>
      <c r="BX61" s="1331">
        <f t="shared" si="107"/>
        <v>8646827.6016319133</v>
      </c>
      <c r="BY61" s="1331">
        <f t="shared" ca="1" si="79"/>
        <v>1836855.7794359238</v>
      </c>
      <c r="BZ61" s="1334">
        <f t="shared" si="108"/>
        <v>5122460.0933696888</v>
      </c>
      <c r="CA61" s="1334">
        <f t="shared" si="109"/>
        <v>3524367.5082622245</v>
      </c>
      <c r="CB61" s="1334">
        <f t="shared" si="110"/>
        <v>0</v>
      </c>
      <c r="CC61" s="1334">
        <f t="shared" si="111"/>
        <v>0</v>
      </c>
      <c r="CD61" s="1334">
        <f t="shared" si="112"/>
        <v>0</v>
      </c>
      <c r="CE61" s="1334">
        <f t="shared" si="113"/>
        <v>0</v>
      </c>
      <c r="CF61" s="1334">
        <f t="shared" si="114"/>
        <v>0</v>
      </c>
      <c r="CG61" s="1334">
        <f t="shared" si="115"/>
        <v>0</v>
      </c>
      <c r="CH61" s="1334">
        <f t="shared" si="116"/>
        <v>0</v>
      </c>
      <c r="CI61" s="1334">
        <f t="shared" si="117"/>
        <v>0</v>
      </c>
      <c r="CJ61" s="1334">
        <f t="shared" si="118"/>
        <v>0</v>
      </c>
      <c r="CK61" s="1334">
        <f t="shared" si="119"/>
        <v>0</v>
      </c>
      <c r="CL61" s="1334"/>
      <c r="CM61" s="1334">
        <f t="shared" si="120"/>
        <v>0</v>
      </c>
      <c r="CN61" s="1334">
        <f t="shared" si="121"/>
        <v>0</v>
      </c>
      <c r="CO61" s="1334">
        <f t="shared" si="122"/>
        <v>1836855.7794359238</v>
      </c>
      <c r="CP61" s="1334">
        <f t="shared" si="123"/>
        <v>0</v>
      </c>
      <c r="CQ61" s="1334">
        <f t="shared" si="124"/>
        <v>0</v>
      </c>
      <c r="CR61" s="1334">
        <f t="shared" si="125"/>
        <v>0</v>
      </c>
      <c r="CS61" s="1334">
        <f t="shared" si="126"/>
        <v>0</v>
      </c>
      <c r="CT61" s="1334">
        <f t="shared" si="127"/>
        <v>0</v>
      </c>
      <c r="CU61" s="1334">
        <f t="shared" si="128"/>
        <v>0</v>
      </c>
      <c r="CV61" s="1334">
        <f t="shared" si="129"/>
        <v>0</v>
      </c>
      <c r="CW61" s="1334">
        <f t="shared" si="130"/>
        <v>0</v>
      </c>
      <c r="CX61" s="1334">
        <f t="shared" si="131"/>
        <v>0</v>
      </c>
      <c r="CY61" s="1334"/>
      <c r="CZ61" s="1334"/>
      <c r="DA61" s="1334">
        <f ca="1">Rental!Y91</f>
        <v>0</v>
      </c>
      <c r="DB61" s="1334">
        <f ca="1">Rental!AD91</f>
        <v>0</v>
      </c>
      <c r="DC61" s="1972"/>
      <c r="DD61" s="1761"/>
      <c r="DE61" s="1761"/>
      <c r="DF61" s="1335"/>
      <c r="DG61" s="1335"/>
      <c r="DH61" s="1335"/>
      <c r="DI61" s="1335"/>
      <c r="DJ61" s="1335"/>
      <c r="DK61" s="1335"/>
      <c r="DL61" s="1335"/>
      <c r="DM61" s="1335"/>
      <c r="DN61" s="1335"/>
      <c r="DO61" s="1335"/>
      <c r="DP61" s="1335"/>
      <c r="DQ61" s="1335"/>
      <c r="DR61" s="1335"/>
      <c r="DS61" s="1335"/>
      <c r="DT61" s="1335"/>
    </row>
    <row r="62" spans="1:124" s="1185" customFormat="1" ht="18" customHeight="1">
      <c r="A62" s="523">
        <f ca="1">IF(E62=YEAR(Retire!$D$12),1,0)</f>
        <v>0</v>
      </c>
      <c r="B62" s="502"/>
      <c r="C62" s="503" t="str">
        <f ca="1">IF(E62=Retire!$D$12,"==&gt;","")</f>
        <v/>
      </c>
      <c r="D62" s="512">
        <f t="shared" si="132"/>
        <v>56</v>
      </c>
      <c r="E62" s="512">
        <f t="shared" ca="1" si="133"/>
        <v>2077</v>
      </c>
      <c r="F62" s="513">
        <f t="shared" ca="1" si="14"/>
        <v>11055598</v>
      </c>
      <c r="G62" s="505"/>
      <c r="H62" s="514">
        <f>Assets!$G$37</f>
        <v>5.5E-2</v>
      </c>
      <c r="I62" s="515">
        <f>Assets!$F$37</f>
        <v>2000</v>
      </c>
      <c r="J62" s="515">
        <f t="shared" si="134"/>
        <v>5406195.3985050218</v>
      </c>
      <c r="K62" s="1220"/>
      <c r="L62" s="514">
        <f>Assets!$G$38</f>
        <v>0.05</v>
      </c>
      <c r="M62" s="515">
        <f>Assets!$F$38</f>
        <v>1500</v>
      </c>
      <c r="N62" s="515">
        <f t="shared" si="135"/>
        <v>3702085.8836753359</v>
      </c>
      <c r="O62" s="1220"/>
      <c r="P62" s="514">
        <f>Assets!$G$39</f>
        <v>0.06</v>
      </c>
      <c r="Q62" s="516">
        <f>Assets!$F$39</f>
        <v>250</v>
      </c>
      <c r="R62" s="515">
        <f t="shared" si="136"/>
        <v>1947317.1262020792</v>
      </c>
      <c r="S62" s="1220"/>
      <c r="T62" s="514">
        <f>Assets!$G$40</f>
        <v>0</v>
      </c>
      <c r="U62" s="517">
        <f>Assets!$F$40</f>
        <v>0</v>
      </c>
      <c r="V62" s="515">
        <f t="shared" si="137"/>
        <v>0</v>
      </c>
      <c r="W62" s="1220"/>
      <c r="X62" s="514">
        <f>Assets!$G$41</f>
        <v>0</v>
      </c>
      <c r="Y62" s="517">
        <f>Assets!$F$41</f>
        <v>0</v>
      </c>
      <c r="Z62" s="515">
        <f t="shared" si="138"/>
        <v>0</v>
      </c>
      <c r="AA62" s="1220"/>
      <c r="AB62" s="514">
        <f>Assets!$G$42</f>
        <v>0</v>
      </c>
      <c r="AC62" s="515">
        <f>Assets!$F$42</f>
        <v>0</v>
      </c>
      <c r="AD62" s="515">
        <f t="shared" si="139"/>
        <v>0</v>
      </c>
      <c r="AE62" s="1220"/>
      <c r="AF62" s="514">
        <f>Assets!$G$43</f>
        <v>0</v>
      </c>
      <c r="AG62" s="515">
        <f>Assets!$F$43</f>
        <v>0</v>
      </c>
      <c r="AH62" s="515">
        <f t="shared" si="140"/>
        <v>0</v>
      </c>
      <c r="AI62" s="1220"/>
      <c r="AJ62" s="514">
        <f>Assets!$G$44</f>
        <v>0</v>
      </c>
      <c r="AK62" s="515">
        <f>Assets!$F$44</f>
        <v>0</v>
      </c>
      <c r="AL62" s="515">
        <f t="shared" si="141"/>
        <v>0</v>
      </c>
      <c r="AM62" s="1220"/>
      <c r="AN62" s="514">
        <f>Assets!$G$45</f>
        <v>0</v>
      </c>
      <c r="AO62" s="515">
        <f>Assets!$F$45</f>
        <v>0</v>
      </c>
      <c r="AP62" s="515">
        <f t="shared" si="142"/>
        <v>0</v>
      </c>
      <c r="AQ62" s="1220"/>
      <c r="AR62" s="514">
        <f>Assets!$G$46</f>
        <v>0</v>
      </c>
      <c r="AS62" s="515">
        <f>Assets!$F$46</f>
        <v>0</v>
      </c>
      <c r="AT62" s="515">
        <f t="shared" si="143"/>
        <v>0</v>
      </c>
      <c r="AU62" s="1220"/>
      <c r="AV62" s="514">
        <f>Assets!$G$47</f>
        <v>0</v>
      </c>
      <c r="AW62" s="515">
        <f>Assets!F$47</f>
        <v>0</v>
      </c>
      <c r="AX62" s="515">
        <f t="shared" si="144"/>
        <v>0</v>
      </c>
      <c r="AY62" s="1220"/>
      <c r="AZ62" s="514">
        <f>Assets!$G$48</f>
        <v>0</v>
      </c>
      <c r="BA62" s="515">
        <f>Assets!$F$48</f>
        <v>0</v>
      </c>
      <c r="BB62" s="515">
        <f t="shared" si="145"/>
        <v>0</v>
      </c>
      <c r="BC62" s="502"/>
      <c r="BD62" s="2005"/>
      <c r="BE62" s="523"/>
      <c r="BF62" s="523"/>
      <c r="BG62" s="1331">
        <f t="shared" si="67"/>
        <v>5406195.3985050218</v>
      </c>
      <c r="BH62" s="1331">
        <f t="shared" si="68"/>
        <v>3702085.8836753359</v>
      </c>
      <c r="BI62" s="1331">
        <f t="shared" si="69"/>
        <v>1947317.1262020792</v>
      </c>
      <c r="BJ62" s="1331">
        <f t="shared" si="70"/>
        <v>0</v>
      </c>
      <c r="BK62" s="1331">
        <f t="shared" si="71"/>
        <v>0</v>
      </c>
      <c r="BL62" s="1331">
        <f t="shared" si="72"/>
        <v>0</v>
      </c>
      <c r="BM62" s="1331">
        <f t="shared" si="73"/>
        <v>0</v>
      </c>
      <c r="BN62" s="1331">
        <f t="shared" si="74"/>
        <v>0</v>
      </c>
      <c r="BO62" s="1331">
        <f t="shared" si="75"/>
        <v>0</v>
      </c>
      <c r="BP62" s="1331">
        <f t="shared" si="76"/>
        <v>0</v>
      </c>
      <c r="BQ62" s="1331">
        <f t="shared" si="77"/>
        <v>0</v>
      </c>
      <c r="BR62" s="1331">
        <f t="shared" si="78"/>
        <v>0</v>
      </c>
      <c r="BS62" s="523"/>
      <c r="BT62" s="523"/>
      <c r="BU62" s="523"/>
      <c r="BV62" s="523"/>
      <c r="BW62" s="1333">
        <f t="shared" ca="1" si="53"/>
        <v>2077</v>
      </c>
      <c r="BX62" s="1331">
        <f t="shared" si="107"/>
        <v>9108281.2821803577</v>
      </c>
      <c r="BY62" s="1331">
        <f t="shared" ca="1" si="79"/>
        <v>1947317.1262020792</v>
      </c>
      <c r="BZ62" s="1334">
        <f t="shared" si="108"/>
        <v>5406195.3985050218</v>
      </c>
      <c r="CA62" s="1334">
        <f t="shared" si="109"/>
        <v>3702085.8836753359</v>
      </c>
      <c r="CB62" s="1334">
        <f t="shared" si="110"/>
        <v>0</v>
      </c>
      <c r="CC62" s="1334">
        <f t="shared" si="111"/>
        <v>0</v>
      </c>
      <c r="CD62" s="1334">
        <f t="shared" si="112"/>
        <v>0</v>
      </c>
      <c r="CE62" s="1334">
        <f t="shared" si="113"/>
        <v>0</v>
      </c>
      <c r="CF62" s="1334">
        <f t="shared" si="114"/>
        <v>0</v>
      </c>
      <c r="CG62" s="1334">
        <f t="shared" si="115"/>
        <v>0</v>
      </c>
      <c r="CH62" s="1334">
        <f t="shared" si="116"/>
        <v>0</v>
      </c>
      <c r="CI62" s="1334">
        <f t="shared" si="117"/>
        <v>0</v>
      </c>
      <c r="CJ62" s="1334">
        <f t="shared" si="118"/>
        <v>0</v>
      </c>
      <c r="CK62" s="1334">
        <f t="shared" si="119"/>
        <v>0</v>
      </c>
      <c r="CL62" s="1334"/>
      <c r="CM62" s="1334">
        <f t="shared" si="120"/>
        <v>0</v>
      </c>
      <c r="CN62" s="1334">
        <f t="shared" si="121"/>
        <v>0</v>
      </c>
      <c r="CO62" s="1334">
        <f t="shared" si="122"/>
        <v>1947317.1262020792</v>
      </c>
      <c r="CP62" s="1334">
        <f t="shared" si="123"/>
        <v>0</v>
      </c>
      <c r="CQ62" s="1334">
        <f t="shared" si="124"/>
        <v>0</v>
      </c>
      <c r="CR62" s="1334">
        <f t="shared" si="125"/>
        <v>0</v>
      </c>
      <c r="CS62" s="1334">
        <f t="shared" si="126"/>
        <v>0</v>
      </c>
      <c r="CT62" s="1334">
        <f t="shared" si="127"/>
        <v>0</v>
      </c>
      <c r="CU62" s="1334">
        <f t="shared" si="128"/>
        <v>0</v>
      </c>
      <c r="CV62" s="1334">
        <f t="shared" si="129"/>
        <v>0</v>
      </c>
      <c r="CW62" s="1334">
        <f t="shared" si="130"/>
        <v>0</v>
      </c>
      <c r="CX62" s="1334">
        <f t="shared" si="131"/>
        <v>0</v>
      </c>
      <c r="CY62" s="1334"/>
      <c r="CZ62" s="1334"/>
      <c r="DA62" s="1334">
        <f ca="1">Rental!Y92</f>
        <v>0</v>
      </c>
      <c r="DB62" s="1334">
        <f ca="1">Rental!AD92</f>
        <v>0</v>
      </c>
      <c r="DC62" s="1972"/>
      <c r="DD62" s="1761"/>
      <c r="DE62" s="1761"/>
      <c r="DF62" s="1335"/>
      <c r="DG62" s="1335"/>
      <c r="DH62" s="1335"/>
      <c r="DI62" s="1335"/>
      <c r="DJ62" s="1335"/>
      <c r="DK62" s="1335"/>
      <c r="DL62" s="1335"/>
      <c r="DM62" s="1335"/>
      <c r="DN62" s="1335"/>
      <c r="DO62" s="1335"/>
      <c r="DP62" s="1335"/>
      <c r="DQ62" s="1335"/>
      <c r="DR62" s="1335"/>
      <c r="DS62" s="1335"/>
      <c r="DT62" s="1335"/>
    </row>
    <row r="63" spans="1:124" s="1185" customFormat="1" ht="18" customHeight="1">
      <c r="A63" s="523">
        <f ca="1">IF(E63=YEAR(Retire!$D$12),1,0)</f>
        <v>0</v>
      </c>
      <c r="B63" s="502"/>
      <c r="C63" s="503" t="str">
        <f ca="1">IF(E63=Retire!$D$12,"==&gt;","")</f>
        <v/>
      </c>
      <c r="D63" s="504">
        <f t="shared" si="132"/>
        <v>57</v>
      </c>
      <c r="E63" s="504">
        <f t="shared" ca="1" si="133"/>
        <v>2078</v>
      </c>
      <c r="F63" s="505">
        <f t="shared" ca="1" si="14"/>
        <v>11658632</v>
      </c>
      <c r="G63" s="505"/>
      <c r="H63" s="506">
        <f>Assets!$G$37</f>
        <v>5.5E-2</v>
      </c>
      <c r="I63" s="507">
        <f>Assets!$F$37</f>
        <v>2000</v>
      </c>
      <c r="J63" s="507">
        <f t="shared" si="134"/>
        <v>5705536.1454227977</v>
      </c>
      <c r="K63" s="1220"/>
      <c r="L63" s="506">
        <f>Assets!$G$38</f>
        <v>0.05</v>
      </c>
      <c r="M63" s="507">
        <f>Assets!$F$38</f>
        <v>1500</v>
      </c>
      <c r="N63" s="507">
        <f t="shared" si="135"/>
        <v>3888690.1778591028</v>
      </c>
      <c r="O63" s="1220"/>
      <c r="P63" s="506">
        <f>Assets!$G$39</f>
        <v>0.06</v>
      </c>
      <c r="Q63" s="508">
        <f>Assets!$F$39</f>
        <v>250</v>
      </c>
      <c r="R63" s="507">
        <f t="shared" si="136"/>
        <v>2064406.153774204</v>
      </c>
      <c r="S63" s="1220"/>
      <c r="T63" s="506">
        <f>Assets!$G$40</f>
        <v>0</v>
      </c>
      <c r="U63" s="510">
        <f>Assets!$F$40</f>
        <v>0</v>
      </c>
      <c r="V63" s="507">
        <f t="shared" si="137"/>
        <v>0</v>
      </c>
      <c r="W63" s="1220"/>
      <c r="X63" s="506">
        <f>Assets!$G$41</f>
        <v>0</v>
      </c>
      <c r="Y63" s="510">
        <f>Assets!$F$41</f>
        <v>0</v>
      </c>
      <c r="Z63" s="507">
        <f t="shared" si="138"/>
        <v>0</v>
      </c>
      <c r="AA63" s="1220"/>
      <c r="AB63" s="506">
        <f>Assets!$G$42</f>
        <v>0</v>
      </c>
      <c r="AC63" s="507">
        <f>Assets!$F$42</f>
        <v>0</v>
      </c>
      <c r="AD63" s="507">
        <f t="shared" si="139"/>
        <v>0</v>
      </c>
      <c r="AE63" s="1220"/>
      <c r="AF63" s="506">
        <f>Assets!$G$43</f>
        <v>0</v>
      </c>
      <c r="AG63" s="507">
        <f>Assets!$F$43</f>
        <v>0</v>
      </c>
      <c r="AH63" s="507">
        <f t="shared" si="140"/>
        <v>0</v>
      </c>
      <c r="AI63" s="1220"/>
      <c r="AJ63" s="506">
        <f>Assets!$G$44</f>
        <v>0</v>
      </c>
      <c r="AK63" s="507">
        <f>Assets!$F$44</f>
        <v>0</v>
      </c>
      <c r="AL63" s="507">
        <f t="shared" si="141"/>
        <v>0</v>
      </c>
      <c r="AM63" s="1220"/>
      <c r="AN63" s="506">
        <f>Assets!$G$45</f>
        <v>0</v>
      </c>
      <c r="AO63" s="507">
        <f>Assets!$F$45</f>
        <v>0</v>
      </c>
      <c r="AP63" s="507">
        <f t="shared" si="142"/>
        <v>0</v>
      </c>
      <c r="AQ63" s="1220"/>
      <c r="AR63" s="506">
        <f>Assets!$G$46</f>
        <v>0</v>
      </c>
      <c r="AS63" s="507">
        <f>Assets!$F$46</f>
        <v>0</v>
      </c>
      <c r="AT63" s="507">
        <f t="shared" si="143"/>
        <v>0</v>
      </c>
      <c r="AU63" s="1220"/>
      <c r="AV63" s="506">
        <f>Assets!$G$47</f>
        <v>0</v>
      </c>
      <c r="AW63" s="507">
        <f>Assets!F$47</f>
        <v>0</v>
      </c>
      <c r="AX63" s="507">
        <f t="shared" si="144"/>
        <v>0</v>
      </c>
      <c r="AY63" s="1220"/>
      <c r="AZ63" s="506">
        <f>Assets!$G$48</f>
        <v>0</v>
      </c>
      <c r="BA63" s="507">
        <f>Assets!$F$48</f>
        <v>0</v>
      </c>
      <c r="BB63" s="507">
        <f t="shared" si="145"/>
        <v>0</v>
      </c>
      <c r="BC63" s="502"/>
      <c r="BD63" s="2005"/>
      <c r="BE63" s="523"/>
      <c r="BF63" s="523"/>
      <c r="BG63" s="1331">
        <f t="shared" si="67"/>
        <v>5705536.1454227977</v>
      </c>
      <c r="BH63" s="1331">
        <f t="shared" si="68"/>
        <v>3888690.1778591028</v>
      </c>
      <c r="BI63" s="1331">
        <f t="shared" si="69"/>
        <v>2064406.153774204</v>
      </c>
      <c r="BJ63" s="1331">
        <f t="shared" si="70"/>
        <v>0</v>
      </c>
      <c r="BK63" s="1331">
        <f t="shared" si="71"/>
        <v>0</v>
      </c>
      <c r="BL63" s="1331">
        <f t="shared" si="72"/>
        <v>0</v>
      </c>
      <c r="BM63" s="1331">
        <f t="shared" si="73"/>
        <v>0</v>
      </c>
      <c r="BN63" s="1331">
        <f t="shared" si="74"/>
        <v>0</v>
      </c>
      <c r="BO63" s="1331">
        <f t="shared" si="75"/>
        <v>0</v>
      </c>
      <c r="BP63" s="1331">
        <f t="shared" si="76"/>
        <v>0</v>
      </c>
      <c r="BQ63" s="1331">
        <f t="shared" si="77"/>
        <v>0</v>
      </c>
      <c r="BR63" s="1331">
        <f t="shared" si="78"/>
        <v>0</v>
      </c>
      <c r="BS63" s="523"/>
      <c r="BT63" s="523"/>
      <c r="BU63" s="523"/>
      <c r="BV63" s="523"/>
      <c r="BW63" s="1333">
        <f t="shared" ca="1" si="53"/>
        <v>2078</v>
      </c>
      <c r="BX63" s="1331">
        <f t="shared" si="107"/>
        <v>9594226.323281901</v>
      </c>
      <c r="BY63" s="1331">
        <f t="shared" ca="1" si="79"/>
        <v>2064406.153774204</v>
      </c>
      <c r="BZ63" s="1334">
        <f t="shared" si="108"/>
        <v>5705536.1454227977</v>
      </c>
      <c r="CA63" s="1334">
        <f t="shared" si="109"/>
        <v>3888690.1778591028</v>
      </c>
      <c r="CB63" s="1334">
        <f t="shared" si="110"/>
        <v>0</v>
      </c>
      <c r="CC63" s="1334">
        <f t="shared" si="111"/>
        <v>0</v>
      </c>
      <c r="CD63" s="1334">
        <f t="shared" si="112"/>
        <v>0</v>
      </c>
      <c r="CE63" s="1334">
        <f t="shared" si="113"/>
        <v>0</v>
      </c>
      <c r="CF63" s="1334">
        <f t="shared" si="114"/>
        <v>0</v>
      </c>
      <c r="CG63" s="1334">
        <f t="shared" si="115"/>
        <v>0</v>
      </c>
      <c r="CH63" s="1334">
        <f t="shared" si="116"/>
        <v>0</v>
      </c>
      <c r="CI63" s="1334">
        <f t="shared" si="117"/>
        <v>0</v>
      </c>
      <c r="CJ63" s="1334">
        <f t="shared" si="118"/>
        <v>0</v>
      </c>
      <c r="CK63" s="1334">
        <f t="shared" si="119"/>
        <v>0</v>
      </c>
      <c r="CL63" s="1334"/>
      <c r="CM63" s="1334">
        <f t="shared" si="120"/>
        <v>0</v>
      </c>
      <c r="CN63" s="1334">
        <f t="shared" si="121"/>
        <v>0</v>
      </c>
      <c r="CO63" s="1334">
        <f t="shared" si="122"/>
        <v>2064406.153774204</v>
      </c>
      <c r="CP63" s="1334">
        <f t="shared" si="123"/>
        <v>0</v>
      </c>
      <c r="CQ63" s="1334">
        <f t="shared" si="124"/>
        <v>0</v>
      </c>
      <c r="CR63" s="1334">
        <f t="shared" si="125"/>
        <v>0</v>
      </c>
      <c r="CS63" s="1334">
        <f t="shared" si="126"/>
        <v>0</v>
      </c>
      <c r="CT63" s="1334">
        <f t="shared" si="127"/>
        <v>0</v>
      </c>
      <c r="CU63" s="1334">
        <f t="shared" si="128"/>
        <v>0</v>
      </c>
      <c r="CV63" s="1334">
        <f t="shared" si="129"/>
        <v>0</v>
      </c>
      <c r="CW63" s="1334">
        <f t="shared" si="130"/>
        <v>0</v>
      </c>
      <c r="CX63" s="1334">
        <f t="shared" si="131"/>
        <v>0</v>
      </c>
      <c r="CY63" s="1334"/>
      <c r="CZ63" s="1334"/>
      <c r="DA63" s="1334">
        <f ca="1">Rental!Y93</f>
        <v>0</v>
      </c>
      <c r="DB63" s="1334">
        <f ca="1">Rental!AD93</f>
        <v>0</v>
      </c>
      <c r="DC63" s="1972"/>
      <c r="DD63" s="1761"/>
      <c r="DE63" s="1761"/>
      <c r="DF63" s="1335"/>
      <c r="DG63" s="1335"/>
      <c r="DH63" s="1335"/>
      <c r="DI63" s="1335"/>
      <c r="DJ63" s="1335"/>
      <c r="DK63" s="1335"/>
      <c r="DL63" s="1335"/>
      <c r="DM63" s="1335"/>
      <c r="DN63" s="1335"/>
      <c r="DO63" s="1335"/>
      <c r="DP63" s="1335"/>
      <c r="DQ63" s="1335"/>
      <c r="DR63" s="1335"/>
      <c r="DS63" s="1335"/>
      <c r="DT63" s="1335"/>
    </row>
    <row r="64" spans="1:124" s="1185" customFormat="1" ht="18" customHeight="1">
      <c r="A64" s="523">
        <f ca="1">IF(E64=YEAR(Retire!$D$12),1,0)</f>
        <v>0</v>
      </c>
      <c r="B64" s="502"/>
      <c r="C64" s="503" t="str">
        <f ca="1">IF(E64=Retire!$D$12,"==&gt;","")</f>
        <v/>
      </c>
      <c r="D64" s="512">
        <f t="shared" si="132"/>
        <v>58</v>
      </c>
      <c r="E64" s="512">
        <f t="shared" ca="1" si="133"/>
        <v>2079</v>
      </c>
      <c r="F64" s="513">
        <f t="shared" ca="1" si="14"/>
        <v>12294486</v>
      </c>
      <c r="G64" s="505"/>
      <c r="H64" s="514">
        <f>Assets!$G$37</f>
        <v>5.5E-2</v>
      </c>
      <c r="I64" s="515">
        <f>Assets!$F$37</f>
        <v>2000</v>
      </c>
      <c r="J64" s="515">
        <f t="shared" si="134"/>
        <v>6021340.6334210513</v>
      </c>
      <c r="K64" s="1220"/>
      <c r="L64" s="514">
        <f>Assets!$G$38</f>
        <v>0.05</v>
      </c>
      <c r="M64" s="515">
        <f>Assets!$F$38</f>
        <v>1500</v>
      </c>
      <c r="N64" s="515">
        <f t="shared" si="135"/>
        <v>4084624.6867520581</v>
      </c>
      <c r="O64" s="1220"/>
      <c r="P64" s="514">
        <f>Assets!$G$39</f>
        <v>0.06</v>
      </c>
      <c r="Q64" s="516">
        <f>Assets!$F$39</f>
        <v>250</v>
      </c>
      <c r="R64" s="515">
        <f t="shared" si="136"/>
        <v>2188520.5230006562</v>
      </c>
      <c r="S64" s="1220"/>
      <c r="T64" s="514">
        <f>Assets!$G$40</f>
        <v>0</v>
      </c>
      <c r="U64" s="517">
        <f>Assets!$F$40</f>
        <v>0</v>
      </c>
      <c r="V64" s="515">
        <f t="shared" si="137"/>
        <v>0</v>
      </c>
      <c r="W64" s="1220"/>
      <c r="X64" s="514">
        <f>Assets!$G$41</f>
        <v>0</v>
      </c>
      <c r="Y64" s="517">
        <f>Assets!$F$41</f>
        <v>0</v>
      </c>
      <c r="Z64" s="515">
        <f t="shared" si="138"/>
        <v>0</v>
      </c>
      <c r="AA64" s="1220"/>
      <c r="AB64" s="514">
        <f>Assets!$G$42</f>
        <v>0</v>
      </c>
      <c r="AC64" s="515">
        <f>Assets!$F$42</f>
        <v>0</v>
      </c>
      <c r="AD64" s="515">
        <f t="shared" si="139"/>
        <v>0</v>
      </c>
      <c r="AE64" s="1220"/>
      <c r="AF64" s="514">
        <f>Assets!$G$43</f>
        <v>0</v>
      </c>
      <c r="AG64" s="515">
        <f>Assets!$F$43</f>
        <v>0</v>
      </c>
      <c r="AH64" s="515">
        <f t="shared" si="140"/>
        <v>0</v>
      </c>
      <c r="AI64" s="1220"/>
      <c r="AJ64" s="514">
        <f>Assets!$G$44</f>
        <v>0</v>
      </c>
      <c r="AK64" s="515">
        <f>Assets!$F$44</f>
        <v>0</v>
      </c>
      <c r="AL64" s="515">
        <f t="shared" si="141"/>
        <v>0</v>
      </c>
      <c r="AM64" s="1220"/>
      <c r="AN64" s="514">
        <f>Assets!$G$45</f>
        <v>0</v>
      </c>
      <c r="AO64" s="515">
        <f>Assets!$F$45</f>
        <v>0</v>
      </c>
      <c r="AP64" s="515">
        <f t="shared" si="142"/>
        <v>0</v>
      </c>
      <c r="AQ64" s="1220"/>
      <c r="AR64" s="514">
        <f>Assets!$G$46</f>
        <v>0</v>
      </c>
      <c r="AS64" s="515">
        <f>Assets!$F$46</f>
        <v>0</v>
      </c>
      <c r="AT64" s="515">
        <f t="shared" si="143"/>
        <v>0</v>
      </c>
      <c r="AU64" s="1220"/>
      <c r="AV64" s="514">
        <f>Assets!$G$47</f>
        <v>0</v>
      </c>
      <c r="AW64" s="515">
        <f>Assets!F$47</f>
        <v>0</v>
      </c>
      <c r="AX64" s="515">
        <f t="shared" si="144"/>
        <v>0</v>
      </c>
      <c r="AY64" s="1220"/>
      <c r="AZ64" s="514">
        <f>Assets!$G$48</f>
        <v>0</v>
      </c>
      <c r="BA64" s="515">
        <f>Assets!$F$48</f>
        <v>0</v>
      </c>
      <c r="BB64" s="515">
        <f t="shared" si="145"/>
        <v>0</v>
      </c>
      <c r="BC64" s="502"/>
      <c r="BD64" s="2005"/>
      <c r="BE64" s="523"/>
      <c r="BF64" s="523"/>
      <c r="BG64" s="1331">
        <f t="shared" si="67"/>
        <v>6021340.6334210513</v>
      </c>
      <c r="BH64" s="1331">
        <f t="shared" si="68"/>
        <v>4084624.6867520581</v>
      </c>
      <c r="BI64" s="1331">
        <f t="shared" si="69"/>
        <v>2188520.5230006562</v>
      </c>
      <c r="BJ64" s="1331">
        <f t="shared" si="70"/>
        <v>0</v>
      </c>
      <c r="BK64" s="1331">
        <f t="shared" si="71"/>
        <v>0</v>
      </c>
      <c r="BL64" s="1331">
        <f t="shared" si="72"/>
        <v>0</v>
      </c>
      <c r="BM64" s="1331">
        <f t="shared" si="73"/>
        <v>0</v>
      </c>
      <c r="BN64" s="1331">
        <f t="shared" si="74"/>
        <v>0</v>
      </c>
      <c r="BO64" s="1331">
        <f t="shared" si="75"/>
        <v>0</v>
      </c>
      <c r="BP64" s="1331">
        <f t="shared" si="76"/>
        <v>0</v>
      </c>
      <c r="BQ64" s="1331">
        <f t="shared" si="77"/>
        <v>0</v>
      </c>
      <c r="BR64" s="1331">
        <f t="shared" si="78"/>
        <v>0</v>
      </c>
      <c r="BS64" s="523"/>
      <c r="BT64" s="523"/>
      <c r="BU64" s="523"/>
      <c r="BV64" s="523"/>
      <c r="BW64" s="1333">
        <f t="shared" ca="1" si="53"/>
        <v>2079</v>
      </c>
      <c r="BX64" s="1331">
        <f t="shared" si="107"/>
        <v>10105965.320173109</v>
      </c>
      <c r="BY64" s="1331">
        <f t="shared" ca="1" si="79"/>
        <v>2188520.5230006562</v>
      </c>
      <c r="BZ64" s="1334">
        <f t="shared" si="108"/>
        <v>6021340.6334210513</v>
      </c>
      <c r="CA64" s="1334">
        <f t="shared" si="109"/>
        <v>4084624.6867520581</v>
      </c>
      <c r="CB64" s="1334">
        <f t="shared" si="110"/>
        <v>0</v>
      </c>
      <c r="CC64" s="1334">
        <f t="shared" si="111"/>
        <v>0</v>
      </c>
      <c r="CD64" s="1334">
        <f t="shared" si="112"/>
        <v>0</v>
      </c>
      <c r="CE64" s="1334">
        <f t="shared" si="113"/>
        <v>0</v>
      </c>
      <c r="CF64" s="1334">
        <f t="shared" si="114"/>
        <v>0</v>
      </c>
      <c r="CG64" s="1334">
        <f t="shared" si="115"/>
        <v>0</v>
      </c>
      <c r="CH64" s="1334">
        <f t="shared" si="116"/>
        <v>0</v>
      </c>
      <c r="CI64" s="1334">
        <f t="shared" si="117"/>
        <v>0</v>
      </c>
      <c r="CJ64" s="1334">
        <f t="shared" si="118"/>
        <v>0</v>
      </c>
      <c r="CK64" s="1334">
        <f t="shared" si="119"/>
        <v>0</v>
      </c>
      <c r="CL64" s="1334"/>
      <c r="CM64" s="1334">
        <f t="shared" si="120"/>
        <v>0</v>
      </c>
      <c r="CN64" s="1334">
        <f t="shared" si="121"/>
        <v>0</v>
      </c>
      <c r="CO64" s="1334">
        <f t="shared" si="122"/>
        <v>2188520.5230006562</v>
      </c>
      <c r="CP64" s="1334">
        <f t="shared" si="123"/>
        <v>0</v>
      </c>
      <c r="CQ64" s="1334">
        <f t="shared" si="124"/>
        <v>0</v>
      </c>
      <c r="CR64" s="1334">
        <f t="shared" si="125"/>
        <v>0</v>
      </c>
      <c r="CS64" s="1334">
        <f t="shared" si="126"/>
        <v>0</v>
      </c>
      <c r="CT64" s="1334">
        <f t="shared" si="127"/>
        <v>0</v>
      </c>
      <c r="CU64" s="1334">
        <f t="shared" si="128"/>
        <v>0</v>
      </c>
      <c r="CV64" s="1334">
        <f t="shared" si="129"/>
        <v>0</v>
      </c>
      <c r="CW64" s="1334">
        <f t="shared" si="130"/>
        <v>0</v>
      </c>
      <c r="CX64" s="1334">
        <f t="shared" si="131"/>
        <v>0</v>
      </c>
      <c r="CY64" s="1334"/>
      <c r="CZ64" s="1334"/>
      <c r="DA64" s="1334">
        <f ca="1">Rental!Y94</f>
        <v>0</v>
      </c>
      <c r="DB64" s="1334">
        <f ca="1">Rental!AD94</f>
        <v>0</v>
      </c>
      <c r="DC64" s="1972"/>
      <c r="DD64" s="1761"/>
      <c r="DE64" s="1761"/>
      <c r="DF64" s="1335"/>
      <c r="DG64" s="1335"/>
      <c r="DH64" s="1335"/>
      <c r="DI64" s="1335"/>
      <c r="DJ64" s="1335"/>
      <c r="DK64" s="1335"/>
      <c r="DL64" s="1335"/>
      <c r="DM64" s="1335"/>
      <c r="DN64" s="1335"/>
      <c r="DO64" s="1335"/>
      <c r="DP64" s="1335"/>
      <c r="DQ64" s="1335"/>
      <c r="DR64" s="1335"/>
      <c r="DS64" s="1335"/>
      <c r="DT64" s="1335"/>
    </row>
    <row r="65" spans="1:124" s="1185" customFormat="1" ht="18" customHeight="1">
      <c r="A65" s="523">
        <f ca="1">IF(E65=YEAR(Retire!$D$12),1,0)</f>
        <v>0</v>
      </c>
      <c r="B65" s="502"/>
      <c r="C65" s="503" t="str">
        <f ca="1">IF(E65=Retire!$D$12,"==&gt;","")</f>
        <v/>
      </c>
      <c r="D65" s="504">
        <f t="shared" si="132"/>
        <v>59</v>
      </c>
      <c r="E65" s="504">
        <f t="shared" ca="1" si="133"/>
        <v>2080</v>
      </c>
      <c r="F65" s="505">
        <f t="shared" ca="1" si="14"/>
        <v>12964952</v>
      </c>
      <c r="G65" s="505"/>
      <c r="H65" s="506">
        <f>Assets!$G$37</f>
        <v>5.5E-2</v>
      </c>
      <c r="I65" s="507">
        <f>Assets!$F$37</f>
        <v>2000</v>
      </c>
      <c r="J65" s="507">
        <f t="shared" si="134"/>
        <v>6354514.3682592092</v>
      </c>
      <c r="K65" s="1220"/>
      <c r="L65" s="506">
        <f>Assets!$G$38</f>
        <v>0.05</v>
      </c>
      <c r="M65" s="507">
        <f>Assets!$F$38</f>
        <v>1500</v>
      </c>
      <c r="N65" s="507">
        <f t="shared" si="135"/>
        <v>4290355.9210896613</v>
      </c>
      <c r="O65" s="1220"/>
      <c r="P65" s="506">
        <f>Assets!$G$39</f>
        <v>0.06</v>
      </c>
      <c r="Q65" s="508">
        <f>Assets!$F$39</f>
        <v>250</v>
      </c>
      <c r="R65" s="507">
        <f t="shared" si="136"/>
        <v>2320081.7543806955</v>
      </c>
      <c r="S65" s="1220"/>
      <c r="T65" s="506">
        <f>Assets!$G$40</f>
        <v>0</v>
      </c>
      <c r="U65" s="510">
        <f>Assets!$F$40</f>
        <v>0</v>
      </c>
      <c r="V65" s="507">
        <f t="shared" si="137"/>
        <v>0</v>
      </c>
      <c r="W65" s="1220"/>
      <c r="X65" s="506">
        <f>Assets!$G$41</f>
        <v>0</v>
      </c>
      <c r="Y65" s="510">
        <f>Assets!$F$41</f>
        <v>0</v>
      </c>
      <c r="Z65" s="507">
        <f t="shared" si="138"/>
        <v>0</v>
      </c>
      <c r="AA65" s="1220"/>
      <c r="AB65" s="506">
        <f>Assets!$G$42</f>
        <v>0</v>
      </c>
      <c r="AC65" s="507">
        <f>Assets!$F$42</f>
        <v>0</v>
      </c>
      <c r="AD65" s="507">
        <f t="shared" si="139"/>
        <v>0</v>
      </c>
      <c r="AE65" s="1220"/>
      <c r="AF65" s="506">
        <f>Assets!$G$43</f>
        <v>0</v>
      </c>
      <c r="AG65" s="507">
        <f>Assets!$F$43</f>
        <v>0</v>
      </c>
      <c r="AH65" s="507">
        <f t="shared" si="140"/>
        <v>0</v>
      </c>
      <c r="AI65" s="1220"/>
      <c r="AJ65" s="506">
        <f>Assets!$G$44</f>
        <v>0</v>
      </c>
      <c r="AK65" s="507">
        <f>Assets!$F$44</f>
        <v>0</v>
      </c>
      <c r="AL65" s="507">
        <f t="shared" si="141"/>
        <v>0</v>
      </c>
      <c r="AM65" s="1220"/>
      <c r="AN65" s="506">
        <f>Assets!$G$45</f>
        <v>0</v>
      </c>
      <c r="AO65" s="507">
        <f>Assets!$F$45</f>
        <v>0</v>
      </c>
      <c r="AP65" s="507">
        <f t="shared" si="142"/>
        <v>0</v>
      </c>
      <c r="AQ65" s="1220"/>
      <c r="AR65" s="506">
        <f>Assets!$G$46</f>
        <v>0</v>
      </c>
      <c r="AS65" s="507">
        <f>Assets!$F$46</f>
        <v>0</v>
      </c>
      <c r="AT65" s="507">
        <f t="shared" si="143"/>
        <v>0</v>
      </c>
      <c r="AU65" s="1220"/>
      <c r="AV65" s="506">
        <f>Assets!$G$47</f>
        <v>0</v>
      </c>
      <c r="AW65" s="507">
        <f>Assets!F$47</f>
        <v>0</v>
      </c>
      <c r="AX65" s="507">
        <f t="shared" si="144"/>
        <v>0</v>
      </c>
      <c r="AY65" s="1220"/>
      <c r="AZ65" s="506">
        <f>Assets!$G$48</f>
        <v>0</v>
      </c>
      <c r="BA65" s="507">
        <f>Assets!$F$48</f>
        <v>0</v>
      </c>
      <c r="BB65" s="507">
        <f t="shared" si="145"/>
        <v>0</v>
      </c>
      <c r="BC65" s="502"/>
      <c r="BD65" s="2005"/>
      <c r="BE65" s="523"/>
      <c r="BF65" s="523"/>
      <c r="BG65" s="1331">
        <f t="shared" si="67"/>
        <v>6354514.3682592092</v>
      </c>
      <c r="BH65" s="1331">
        <f t="shared" si="68"/>
        <v>4290355.9210896613</v>
      </c>
      <c r="BI65" s="1331">
        <f t="shared" si="69"/>
        <v>2320081.7543806955</v>
      </c>
      <c r="BJ65" s="1331">
        <f t="shared" si="70"/>
        <v>0</v>
      </c>
      <c r="BK65" s="1331">
        <f t="shared" si="71"/>
        <v>0</v>
      </c>
      <c r="BL65" s="1331">
        <f t="shared" si="72"/>
        <v>0</v>
      </c>
      <c r="BM65" s="1331">
        <f t="shared" si="73"/>
        <v>0</v>
      </c>
      <c r="BN65" s="1331">
        <f t="shared" si="74"/>
        <v>0</v>
      </c>
      <c r="BO65" s="1331">
        <f t="shared" si="75"/>
        <v>0</v>
      </c>
      <c r="BP65" s="1331">
        <f t="shared" si="76"/>
        <v>0</v>
      </c>
      <c r="BQ65" s="1331">
        <f t="shared" si="77"/>
        <v>0</v>
      </c>
      <c r="BR65" s="1331">
        <f t="shared" si="78"/>
        <v>0</v>
      </c>
      <c r="BS65" s="523"/>
      <c r="BT65" s="523"/>
      <c r="BU65" s="523"/>
      <c r="BV65" s="523"/>
      <c r="BW65" s="1333">
        <f t="shared" ca="1" si="53"/>
        <v>2080</v>
      </c>
      <c r="BX65" s="1331">
        <f t="shared" si="107"/>
        <v>10644870.289348871</v>
      </c>
      <c r="BY65" s="1331">
        <f t="shared" ca="1" si="79"/>
        <v>2320081.7543806955</v>
      </c>
      <c r="BZ65" s="1334">
        <f t="shared" si="108"/>
        <v>6354514.3682592092</v>
      </c>
      <c r="CA65" s="1334">
        <f t="shared" si="109"/>
        <v>4290355.9210896613</v>
      </c>
      <c r="CB65" s="1334">
        <f t="shared" si="110"/>
        <v>0</v>
      </c>
      <c r="CC65" s="1334">
        <f t="shared" si="111"/>
        <v>0</v>
      </c>
      <c r="CD65" s="1334">
        <f t="shared" si="112"/>
        <v>0</v>
      </c>
      <c r="CE65" s="1334">
        <f t="shared" si="113"/>
        <v>0</v>
      </c>
      <c r="CF65" s="1334">
        <f t="shared" si="114"/>
        <v>0</v>
      </c>
      <c r="CG65" s="1334">
        <f t="shared" si="115"/>
        <v>0</v>
      </c>
      <c r="CH65" s="1334">
        <f t="shared" si="116"/>
        <v>0</v>
      </c>
      <c r="CI65" s="1334">
        <f t="shared" si="117"/>
        <v>0</v>
      </c>
      <c r="CJ65" s="1334">
        <f t="shared" si="118"/>
        <v>0</v>
      </c>
      <c r="CK65" s="1334">
        <f t="shared" si="119"/>
        <v>0</v>
      </c>
      <c r="CL65" s="1334"/>
      <c r="CM65" s="1334">
        <f t="shared" si="120"/>
        <v>0</v>
      </c>
      <c r="CN65" s="1334">
        <f t="shared" si="121"/>
        <v>0</v>
      </c>
      <c r="CO65" s="1334">
        <f t="shared" si="122"/>
        <v>2320081.7543806955</v>
      </c>
      <c r="CP65" s="1334">
        <f t="shared" si="123"/>
        <v>0</v>
      </c>
      <c r="CQ65" s="1334">
        <f t="shared" si="124"/>
        <v>0</v>
      </c>
      <c r="CR65" s="1334">
        <f t="shared" si="125"/>
        <v>0</v>
      </c>
      <c r="CS65" s="1334">
        <f t="shared" si="126"/>
        <v>0</v>
      </c>
      <c r="CT65" s="1334">
        <f t="shared" si="127"/>
        <v>0</v>
      </c>
      <c r="CU65" s="1334">
        <f t="shared" si="128"/>
        <v>0</v>
      </c>
      <c r="CV65" s="1334">
        <f t="shared" si="129"/>
        <v>0</v>
      </c>
      <c r="CW65" s="1334">
        <f t="shared" si="130"/>
        <v>0</v>
      </c>
      <c r="CX65" s="1334">
        <f t="shared" si="131"/>
        <v>0</v>
      </c>
      <c r="CY65" s="1334"/>
      <c r="CZ65" s="1334"/>
      <c r="DA65" s="1334">
        <f ca="1">Rental!Y95</f>
        <v>0</v>
      </c>
      <c r="DB65" s="1334">
        <f ca="1">Rental!AD95</f>
        <v>0</v>
      </c>
      <c r="DC65" s="1972"/>
      <c r="DD65" s="1761"/>
      <c r="DE65" s="1761"/>
      <c r="DF65" s="1335"/>
      <c r="DG65" s="1335"/>
      <c r="DH65" s="1335"/>
      <c r="DI65" s="1335"/>
      <c r="DJ65" s="1335"/>
      <c r="DK65" s="1335"/>
      <c r="DL65" s="1335"/>
      <c r="DM65" s="1335"/>
      <c r="DN65" s="1335"/>
      <c r="DO65" s="1335"/>
      <c r="DP65" s="1335"/>
      <c r="DQ65" s="1335"/>
      <c r="DR65" s="1335"/>
      <c r="DS65" s="1335"/>
      <c r="DT65" s="1335"/>
    </row>
    <row r="66" spans="1:124" s="1185" customFormat="1" ht="18" customHeight="1">
      <c r="A66" s="523">
        <f ca="1">IF(E66=YEAR(Retire!$D$12),1,0)</f>
        <v>0</v>
      </c>
      <c r="B66" s="502"/>
      <c r="C66" s="503" t="str">
        <f ca="1">IF(E66=Retire!$D$12,"==&gt;","")</f>
        <v/>
      </c>
      <c r="D66" s="512">
        <f t="shared" si="132"/>
        <v>60</v>
      </c>
      <c r="E66" s="512">
        <f t="shared" ca="1" si="133"/>
        <v>2081</v>
      </c>
      <c r="F66" s="513">
        <f t="shared" ca="1" si="14"/>
        <v>13671923</v>
      </c>
      <c r="G66" s="505"/>
      <c r="H66" s="514">
        <f>Assets!$G$37</f>
        <v>5.5E-2</v>
      </c>
      <c r="I66" s="515">
        <f>Assets!$F$37</f>
        <v>2000</v>
      </c>
      <c r="J66" s="515">
        <f t="shared" si="134"/>
        <v>6706012.6585134659</v>
      </c>
      <c r="K66" s="1220"/>
      <c r="L66" s="514">
        <f>Assets!$G$38</f>
        <v>0.05</v>
      </c>
      <c r="M66" s="515">
        <f>Assets!$F$38</f>
        <v>1500</v>
      </c>
      <c r="N66" s="515">
        <f t="shared" si="135"/>
        <v>4506373.7171441447</v>
      </c>
      <c r="O66" s="1220"/>
      <c r="P66" s="514">
        <f>Assets!$G$39</f>
        <v>0.06</v>
      </c>
      <c r="Q66" s="516">
        <f>Assets!$F$39</f>
        <v>250</v>
      </c>
      <c r="R66" s="515">
        <f t="shared" si="136"/>
        <v>2459536.6596435374</v>
      </c>
      <c r="S66" s="1220"/>
      <c r="T66" s="514">
        <f>Assets!$G$40</f>
        <v>0</v>
      </c>
      <c r="U66" s="517">
        <f>Assets!$F$40</f>
        <v>0</v>
      </c>
      <c r="V66" s="515">
        <f t="shared" si="137"/>
        <v>0</v>
      </c>
      <c r="W66" s="1220"/>
      <c r="X66" s="514">
        <f>Assets!$G$41</f>
        <v>0</v>
      </c>
      <c r="Y66" s="517">
        <f>Assets!$F$41</f>
        <v>0</v>
      </c>
      <c r="Z66" s="515">
        <f t="shared" si="138"/>
        <v>0</v>
      </c>
      <c r="AA66" s="1220"/>
      <c r="AB66" s="514">
        <f>Assets!$G$42</f>
        <v>0</v>
      </c>
      <c r="AC66" s="515">
        <f>Assets!$F$42</f>
        <v>0</v>
      </c>
      <c r="AD66" s="515">
        <f t="shared" si="139"/>
        <v>0</v>
      </c>
      <c r="AE66" s="1220"/>
      <c r="AF66" s="514">
        <f>Assets!$G$43</f>
        <v>0</v>
      </c>
      <c r="AG66" s="515">
        <f>Assets!$F$43</f>
        <v>0</v>
      </c>
      <c r="AH66" s="515">
        <f t="shared" si="140"/>
        <v>0</v>
      </c>
      <c r="AI66" s="1220"/>
      <c r="AJ66" s="514">
        <f>Assets!$G$44</f>
        <v>0</v>
      </c>
      <c r="AK66" s="515">
        <f>Assets!$F$44</f>
        <v>0</v>
      </c>
      <c r="AL66" s="515">
        <f t="shared" si="141"/>
        <v>0</v>
      </c>
      <c r="AM66" s="1220"/>
      <c r="AN66" s="514">
        <f>Assets!$G$45</f>
        <v>0</v>
      </c>
      <c r="AO66" s="515">
        <f>Assets!$F$45</f>
        <v>0</v>
      </c>
      <c r="AP66" s="515">
        <f t="shared" si="142"/>
        <v>0</v>
      </c>
      <c r="AQ66" s="1220"/>
      <c r="AR66" s="514">
        <f>Assets!$G$46</f>
        <v>0</v>
      </c>
      <c r="AS66" s="515">
        <f>Assets!$F$46</f>
        <v>0</v>
      </c>
      <c r="AT66" s="515">
        <f t="shared" si="143"/>
        <v>0</v>
      </c>
      <c r="AU66" s="1220"/>
      <c r="AV66" s="514">
        <f>Assets!$G$47</f>
        <v>0</v>
      </c>
      <c r="AW66" s="515">
        <f>Assets!F$47</f>
        <v>0</v>
      </c>
      <c r="AX66" s="515">
        <f t="shared" si="144"/>
        <v>0</v>
      </c>
      <c r="AY66" s="1220"/>
      <c r="AZ66" s="514">
        <f>Assets!$G$48</f>
        <v>0</v>
      </c>
      <c r="BA66" s="515">
        <f>Assets!$F$48</f>
        <v>0</v>
      </c>
      <c r="BB66" s="515">
        <f t="shared" si="145"/>
        <v>0</v>
      </c>
      <c r="BC66" s="502"/>
      <c r="BD66" s="2005"/>
      <c r="BE66" s="523"/>
      <c r="BF66" s="523"/>
      <c r="BG66" s="1331">
        <f t="shared" si="67"/>
        <v>6706012.6585134659</v>
      </c>
      <c r="BH66" s="1331">
        <f t="shared" si="68"/>
        <v>4506373.7171441447</v>
      </c>
      <c r="BI66" s="1331">
        <f t="shared" si="69"/>
        <v>2459536.6596435374</v>
      </c>
      <c r="BJ66" s="1331">
        <f t="shared" si="70"/>
        <v>0</v>
      </c>
      <c r="BK66" s="1331">
        <f t="shared" si="71"/>
        <v>0</v>
      </c>
      <c r="BL66" s="1331">
        <f t="shared" si="72"/>
        <v>0</v>
      </c>
      <c r="BM66" s="1331">
        <f t="shared" si="73"/>
        <v>0</v>
      </c>
      <c r="BN66" s="1331">
        <f t="shared" si="74"/>
        <v>0</v>
      </c>
      <c r="BO66" s="1331">
        <f t="shared" si="75"/>
        <v>0</v>
      </c>
      <c r="BP66" s="1331">
        <f t="shared" si="76"/>
        <v>0</v>
      </c>
      <c r="BQ66" s="1331">
        <f t="shared" si="77"/>
        <v>0</v>
      </c>
      <c r="BR66" s="1331">
        <f t="shared" si="78"/>
        <v>0</v>
      </c>
      <c r="BS66" s="523"/>
      <c r="BT66" s="523"/>
      <c r="BU66" s="523"/>
      <c r="BV66" s="523"/>
      <c r="BW66" s="1333">
        <f t="shared" ca="1" si="53"/>
        <v>2081</v>
      </c>
      <c r="BX66" s="1331">
        <f t="shared" si="107"/>
        <v>11212386.375657611</v>
      </c>
      <c r="BY66" s="1331">
        <f t="shared" ca="1" si="79"/>
        <v>2459536.6596435374</v>
      </c>
      <c r="BZ66" s="1334">
        <f t="shared" si="108"/>
        <v>6706012.6585134659</v>
      </c>
      <c r="CA66" s="1334">
        <f t="shared" si="109"/>
        <v>4506373.7171441447</v>
      </c>
      <c r="CB66" s="1334">
        <f t="shared" si="110"/>
        <v>0</v>
      </c>
      <c r="CC66" s="1334">
        <f t="shared" si="111"/>
        <v>0</v>
      </c>
      <c r="CD66" s="1334">
        <f t="shared" si="112"/>
        <v>0</v>
      </c>
      <c r="CE66" s="1334">
        <f t="shared" si="113"/>
        <v>0</v>
      </c>
      <c r="CF66" s="1334">
        <f t="shared" si="114"/>
        <v>0</v>
      </c>
      <c r="CG66" s="1334">
        <f t="shared" si="115"/>
        <v>0</v>
      </c>
      <c r="CH66" s="1334">
        <f t="shared" si="116"/>
        <v>0</v>
      </c>
      <c r="CI66" s="1334">
        <f t="shared" si="117"/>
        <v>0</v>
      </c>
      <c r="CJ66" s="1334">
        <f t="shared" si="118"/>
        <v>0</v>
      </c>
      <c r="CK66" s="1334">
        <f t="shared" si="119"/>
        <v>0</v>
      </c>
      <c r="CL66" s="1334"/>
      <c r="CM66" s="1334">
        <f t="shared" si="120"/>
        <v>0</v>
      </c>
      <c r="CN66" s="1334">
        <f t="shared" si="121"/>
        <v>0</v>
      </c>
      <c r="CO66" s="1334">
        <f t="shared" si="122"/>
        <v>2459536.6596435374</v>
      </c>
      <c r="CP66" s="1334">
        <f t="shared" si="123"/>
        <v>0</v>
      </c>
      <c r="CQ66" s="1334">
        <f t="shared" si="124"/>
        <v>0</v>
      </c>
      <c r="CR66" s="1334">
        <f t="shared" si="125"/>
        <v>0</v>
      </c>
      <c r="CS66" s="1334">
        <f t="shared" si="126"/>
        <v>0</v>
      </c>
      <c r="CT66" s="1334">
        <f t="shared" si="127"/>
        <v>0</v>
      </c>
      <c r="CU66" s="1334">
        <f t="shared" si="128"/>
        <v>0</v>
      </c>
      <c r="CV66" s="1334">
        <f t="shared" si="129"/>
        <v>0</v>
      </c>
      <c r="CW66" s="1334">
        <f t="shared" si="130"/>
        <v>0</v>
      </c>
      <c r="CX66" s="1334">
        <f t="shared" si="131"/>
        <v>0</v>
      </c>
      <c r="CY66" s="1334"/>
      <c r="CZ66" s="1334"/>
      <c r="DA66" s="1334">
        <f ca="1">Rental!Y96</f>
        <v>0</v>
      </c>
      <c r="DB66" s="1334">
        <f ca="1">Rental!AD96</f>
        <v>0</v>
      </c>
      <c r="DC66" s="1972"/>
      <c r="DD66" s="1761"/>
      <c r="DE66" s="1761"/>
      <c r="DF66" s="1335"/>
      <c r="DG66" s="1335"/>
      <c r="DH66" s="1335"/>
      <c r="DI66" s="1335"/>
      <c r="DJ66" s="1335"/>
      <c r="DK66" s="1335"/>
      <c r="DL66" s="1335"/>
      <c r="DM66" s="1335"/>
      <c r="DN66" s="1335"/>
      <c r="DO66" s="1335"/>
      <c r="DP66" s="1335"/>
      <c r="DQ66" s="1335"/>
      <c r="DR66" s="1335"/>
      <c r="DS66" s="1335"/>
      <c r="DT66" s="1335"/>
    </row>
    <row r="67" spans="1:124" s="1185" customFormat="1" ht="18" customHeight="1">
      <c r="A67" s="523">
        <f ca="1">IF(E67=YEAR(Retire!$D$12),1,0)</f>
        <v>0</v>
      </c>
      <c r="B67" s="502"/>
      <c r="C67" s="503" t="str">
        <f ca="1">IF(E67=Retire!$D$12,"==&gt;","")</f>
        <v/>
      </c>
      <c r="D67" s="504">
        <f t="shared" si="132"/>
        <v>61</v>
      </c>
      <c r="E67" s="504">
        <f t="shared" ca="1" si="133"/>
        <v>2082</v>
      </c>
      <c r="F67" s="505">
        <f t="shared" ca="1" si="14"/>
        <v>14417395</v>
      </c>
      <c r="G67" s="505"/>
      <c r="H67" s="506">
        <f>Assets!$G$37</f>
        <v>5.5E-2</v>
      </c>
      <c r="I67" s="507">
        <f>Assets!$F$37</f>
        <v>2000</v>
      </c>
      <c r="J67" s="507">
        <f t="shared" si="134"/>
        <v>7076843.3547317069</v>
      </c>
      <c r="K67" s="1220"/>
      <c r="L67" s="506">
        <f>Assets!$G$38</f>
        <v>0.05</v>
      </c>
      <c r="M67" s="507">
        <f>Assets!$F$38</f>
        <v>1500</v>
      </c>
      <c r="N67" s="507">
        <f t="shared" si="135"/>
        <v>4733192.4030013522</v>
      </c>
      <c r="O67" s="1220"/>
      <c r="P67" s="506">
        <f>Assets!$G$39</f>
        <v>0.06</v>
      </c>
      <c r="Q67" s="508">
        <f>Assets!$F$39</f>
        <v>250</v>
      </c>
      <c r="R67" s="507">
        <f t="shared" si="136"/>
        <v>2607358.8592221495</v>
      </c>
      <c r="S67" s="1220"/>
      <c r="T67" s="506">
        <f>Assets!$G$40</f>
        <v>0</v>
      </c>
      <c r="U67" s="510">
        <f>Assets!$F$40</f>
        <v>0</v>
      </c>
      <c r="V67" s="507">
        <f t="shared" si="137"/>
        <v>0</v>
      </c>
      <c r="W67" s="1220"/>
      <c r="X67" s="506">
        <f>Assets!$G$41</f>
        <v>0</v>
      </c>
      <c r="Y67" s="510">
        <f>Assets!$F$41</f>
        <v>0</v>
      </c>
      <c r="Z67" s="507">
        <f t="shared" si="138"/>
        <v>0</v>
      </c>
      <c r="AA67" s="1220"/>
      <c r="AB67" s="506">
        <f>Assets!$G$42</f>
        <v>0</v>
      </c>
      <c r="AC67" s="507">
        <f>Assets!$F$42</f>
        <v>0</v>
      </c>
      <c r="AD67" s="507">
        <f t="shared" si="139"/>
        <v>0</v>
      </c>
      <c r="AE67" s="1220"/>
      <c r="AF67" s="506">
        <f>Assets!$G$43</f>
        <v>0</v>
      </c>
      <c r="AG67" s="507">
        <f>Assets!$F$43</f>
        <v>0</v>
      </c>
      <c r="AH67" s="507">
        <f t="shared" si="140"/>
        <v>0</v>
      </c>
      <c r="AI67" s="1220"/>
      <c r="AJ67" s="506">
        <f>Assets!$G$44</f>
        <v>0</v>
      </c>
      <c r="AK67" s="507">
        <f>Assets!$F$44</f>
        <v>0</v>
      </c>
      <c r="AL67" s="507">
        <f t="shared" si="141"/>
        <v>0</v>
      </c>
      <c r="AM67" s="1220"/>
      <c r="AN67" s="506">
        <f>Assets!$G$45</f>
        <v>0</v>
      </c>
      <c r="AO67" s="507">
        <f>Assets!$F$45</f>
        <v>0</v>
      </c>
      <c r="AP67" s="507">
        <f t="shared" si="142"/>
        <v>0</v>
      </c>
      <c r="AQ67" s="1220"/>
      <c r="AR67" s="506">
        <f>Assets!$G$46</f>
        <v>0</v>
      </c>
      <c r="AS67" s="507">
        <f>Assets!$F$46</f>
        <v>0</v>
      </c>
      <c r="AT67" s="507">
        <f t="shared" si="143"/>
        <v>0</v>
      </c>
      <c r="AU67" s="1220"/>
      <c r="AV67" s="506">
        <f>Assets!$G$47</f>
        <v>0</v>
      </c>
      <c r="AW67" s="507">
        <f>Assets!F$47</f>
        <v>0</v>
      </c>
      <c r="AX67" s="507">
        <f t="shared" si="144"/>
        <v>0</v>
      </c>
      <c r="AY67" s="1220"/>
      <c r="AZ67" s="506">
        <f>Assets!$G$48</f>
        <v>0</v>
      </c>
      <c r="BA67" s="507">
        <f>Assets!$F$48</f>
        <v>0</v>
      </c>
      <c r="BB67" s="507">
        <f t="shared" si="145"/>
        <v>0</v>
      </c>
      <c r="BC67" s="502"/>
      <c r="BD67" s="2005"/>
      <c r="BE67" s="523"/>
      <c r="BF67" s="523"/>
      <c r="BG67" s="1331">
        <f t="shared" si="67"/>
        <v>7076843.3547317069</v>
      </c>
      <c r="BH67" s="1331">
        <f t="shared" si="68"/>
        <v>4733192.4030013522</v>
      </c>
      <c r="BI67" s="1331">
        <f t="shared" si="69"/>
        <v>2607358.8592221495</v>
      </c>
      <c r="BJ67" s="1331">
        <f t="shared" si="70"/>
        <v>0</v>
      </c>
      <c r="BK67" s="1331">
        <f t="shared" si="71"/>
        <v>0</v>
      </c>
      <c r="BL67" s="1331">
        <f t="shared" si="72"/>
        <v>0</v>
      </c>
      <c r="BM67" s="1331">
        <f t="shared" si="73"/>
        <v>0</v>
      </c>
      <c r="BN67" s="1331">
        <f t="shared" si="74"/>
        <v>0</v>
      </c>
      <c r="BO67" s="1331">
        <f t="shared" si="75"/>
        <v>0</v>
      </c>
      <c r="BP67" s="1331">
        <f t="shared" si="76"/>
        <v>0</v>
      </c>
      <c r="BQ67" s="1331">
        <f t="shared" si="77"/>
        <v>0</v>
      </c>
      <c r="BR67" s="1331">
        <f t="shared" si="78"/>
        <v>0</v>
      </c>
      <c r="BS67" s="523"/>
      <c r="BT67" s="523"/>
      <c r="BU67" s="523"/>
      <c r="BV67" s="523"/>
      <c r="BW67" s="1333">
        <f t="shared" ca="1" si="53"/>
        <v>2082</v>
      </c>
      <c r="BX67" s="1331">
        <f t="shared" si="107"/>
        <v>11810035.757733058</v>
      </c>
      <c r="BY67" s="1331">
        <f t="shared" ca="1" si="79"/>
        <v>2607358.8592221495</v>
      </c>
      <c r="BZ67" s="1336">
        <f t="shared" si="108"/>
        <v>7076843.3547317069</v>
      </c>
      <c r="CA67" s="1336">
        <f t="shared" si="109"/>
        <v>4733192.4030013522</v>
      </c>
      <c r="CB67" s="1336">
        <f t="shared" si="110"/>
        <v>0</v>
      </c>
      <c r="CC67" s="1336">
        <f t="shared" si="111"/>
        <v>0</v>
      </c>
      <c r="CD67" s="1336">
        <f t="shared" si="112"/>
        <v>0</v>
      </c>
      <c r="CE67" s="1336">
        <f t="shared" si="113"/>
        <v>0</v>
      </c>
      <c r="CF67" s="1336">
        <f t="shared" si="114"/>
        <v>0</v>
      </c>
      <c r="CG67" s="1336">
        <f t="shared" si="115"/>
        <v>0</v>
      </c>
      <c r="CH67" s="1336">
        <f t="shared" si="116"/>
        <v>0</v>
      </c>
      <c r="CI67" s="1336">
        <f t="shared" si="117"/>
        <v>0</v>
      </c>
      <c r="CJ67" s="1336">
        <f t="shared" si="118"/>
        <v>0</v>
      </c>
      <c r="CK67" s="1336">
        <f t="shared" si="119"/>
        <v>0</v>
      </c>
      <c r="CL67" s="1336"/>
      <c r="CM67" s="1336">
        <f t="shared" si="120"/>
        <v>0</v>
      </c>
      <c r="CN67" s="1336">
        <f t="shared" si="121"/>
        <v>0</v>
      </c>
      <c r="CO67" s="1336">
        <f t="shared" si="122"/>
        <v>2607358.8592221495</v>
      </c>
      <c r="CP67" s="1336">
        <f t="shared" si="123"/>
        <v>0</v>
      </c>
      <c r="CQ67" s="1336">
        <f t="shared" si="124"/>
        <v>0</v>
      </c>
      <c r="CR67" s="1336">
        <f t="shared" si="125"/>
        <v>0</v>
      </c>
      <c r="CS67" s="1336">
        <f t="shared" si="126"/>
        <v>0</v>
      </c>
      <c r="CT67" s="1336">
        <f t="shared" si="127"/>
        <v>0</v>
      </c>
      <c r="CU67" s="1336">
        <f t="shared" si="128"/>
        <v>0</v>
      </c>
      <c r="CV67" s="1336">
        <f t="shared" si="129"/>
        <v>0</v>
      </c>
      <c r="CW67" s="1336">
        <f t="shared" si="130"/>
        <v>0</v>
      </c>
      <c r="CX67" s="1336">
        <f t="shared" si="131"/>
        <v>0</v>
      </c>
      <c r="CY67" s="1336"/>
      <c r="CZ67" s="1336"/>
      <c r="DA67" s="1334">
        <f ca="1">Rental!Y97</f>
        <v>0</v>
      </c>
      <c r="DB67" s="1334">
        <f ca="1">Rental!AD97</f>
        <v>0</v>
      </c>
      <c r="DC67" s="1972"/>
      <c r="DD67" s="1761"/>
      <c r="DE67" s="1761"/>
      <c r="DF67" s="1335"/>
      <c r="DG67" s="1335"/>
      <c r="DH67" s="1335"/>
      <c r="DI67" s="1335"/>
      <c r="DJ67" s="1335"/>
      <c r="DK67" s="1335"/>
      <c r="DL67" s="1335"/>
      <c r="DM67" s="1335"/>
      <c r="DN67" s="1335"/>
      <c r="DO67" s="1335"/>
      <c r="DP67" s="1335"/>
      <c r="DQ67" s="1335"/>
      <c r="DR67" s="1335"/>
      <c r="DS67" s="1335"/>
      <c r="DT67" s="1335"/>
    </row>
    <row r="68" spans="1:124" s="1185" customFormat="1" ht="18" customHeight="1">
      <c r="A68" s="523">
        <f ca="1">IF(E68=YEAR(Retire!$D$12),1,0)</f>
        <v>0</v>
      </c>
      <c r="B68" s="502"/>
      <c r="C68" s="503" t="str">
        <f ca="1">IF(E68=Retire!$D$12,"==&gt;","")</f>
        <v/>
      </c>
      <c r="D68" s="512">
        <f t="shared" si="132"/>
        <v>62</v>
      </c>
      <c r="E68" s="512">
        <f t="shared" ca="1" si="133"/>
        <v>2083</v>
      </c>
      <c r="F68" s="513">
        <f t="shared" ref="F68:F116" ca="1" si="146">ROUND(BX68+BY68,0)</f>
        <v>15203472</v>
      </c>
      <c r="G68" s="513"/>
      <c r="H68" s="514">
        <f>Assets!$G$37</f>
        <v>5.5E-2</v>
      </c>
      <c r="I68" s="515">
        <f>Assets!$F$37</f>
        <v>2000</v>
      </c>
      <c r="J68" s="515">
        <f t="shared" ref="J68:J116" si="147">SUM((J67*H67)+J67+I67)</f>
        <v>7468069.7392419511</v>
      </c>
      <c r="K68" s="1220"/>
      <c r="L68" s="514">
        <f>Assets!$G$38</f>
        <v>0.05</v>
      </c>
      <c r="M68" s="515">
        <f>Assets!$F$38</f>
        <v>1500</v>
      </c>
      <c r="N68" s="515">
        <f t="shared" ref="N68:N116" si="148">SUM((N67*L67)+N67+M67)</f>
        <v>4971352.0231514201</v>
      </c>
      <c r="O68" s="1220"/>
      <c r="P68" s="514">
        <f>Assets!$G$39</f>
        <v>0.06</v>
      </c>
      <c r="Q68" s="516">
        <f>Assets!$F$39</f>
        <v>250</v>
      </c>
      <c r="R68" s="515">
        <f t="shared" ref="R68:R116" si="149">SUM((R67*P67)+R67+Q67)</f>
        <v>2764050.3907754784</v>
      </c>
      <c r="S68" s="1220"/>
      <c r="T68" s="514">
        <f>Assets!$G$40</f>
        <v>0</v>
      </c>
      <c r="U68" s="517">
        <f>Assets!$F$40</f>
        <v>0</v>
      </c>
      <c r="V68" s="515">
        <f t="shared" ref="V68:V116" si="150">SUM((V67*T67)+V67+U67)</f>
        <v>0</v>
      </c>
      <c r="W68" s="1220"/>
      <c r="X68" s="514">
        <f>Assets!$G$41</f>
        <v>0</v>
      </c>
      <c r="Y68" s="517">
        <f>Assets!$F$41</f>
        <v>0</v>
      </c>
      <c r="Z68" s="515">
        <f t="shared" ref="Z68:Z116" si="151">SUM((Z67*X67)+Z67+Y67)</f>
        <v>0</v>
      </c>
      <c r="AA68" s="1220"/>
      <c r="AB68" s="514">
        <f>Assets!$G$42</f>
        <v>0</v>
      </c>
      <c r="AC68" s="515">
        <f>Assets!$F$42</f>
        <v>0</v>
      </c>
      <c r="AD68" s="515">
        <f t="shared" ref="AD68:AD116" si="152">SUM((AD67*AB67)+AD67+AC67)</f>
        <v>0</v>
      </c>
      <c r="AE68" s="1220"/>
      <c r="AF68" s="514">
        <f>Assets!$G$43</f>
        <v>0</v>
      </c>
      <c r="AG68" s="515">
        <f>Assets!$F$43</f>
        <v>0</v>
      </c>
      <c r="AH68" s="515">
        <f t="shared" ref="AH68:AH116" si="153">SUM((AH67*AF67)+AH67+AG67)</f>
        <v>0</v>
      </c>
      <c r="AI68" s="1220"/>
      <c r="AJ68" s="514">
        <f>Assets!$G$44</f>
        <v>0</v>
      </c>
      <c r="AK68" s="515">
        <f>Assets!$F$44</f>
        <v>0</v>
      </c>
      <c r="AL68" s="515">
        <f t="shared" ref="AL68:AL116" si="154">SUM((AL67*AJ67)+AL67+AK67)</f>
        <v>0</v>
      </c>
      <c r="AM68" s="1220"/>
      <c r="AN68" s="514">
        <f>Assets!$G$45</f>
        <v>0</v>
      </c>
      <c r="AO68" s="515">
        <f>Assets!$F$45</f>
        <v>0</v>
      </c>
      <c r="AP68" s="515">
        <f t="shared" ref="AP68:AP116" si="155">SUM((AP67*AN67)+AP67+AO67)</f>
        <v>0</v>
      </c>
      <c r="AQ68" s="1220"/>
      <c r="AR68" s="514">
        <f>Assets!$G$46</f>
        <v>0</v>
      </c>
      <c r="AS68" s="515">
        <f>Assets!$F$46</f>
        <v>0</v>
      </c>
      <c r="AT68" s="515">
        <f t="shared" ref="AT68:AT116" si="156">SUM((AT67*AR67)+AT67+AS67)</f>
        <v>0</v>
      </c>
      <c r="AU68" s="1220"/>
      <c r="AV68" s="514">
        <f>Assets!$G$47</f>
        <v>0</v>
      </c>
      <c r="AW68" s="515">
        <f>Assets!F$47</f>
        <v>0</v>
      </c>
      <c r="AX68" s="515">
        <f t="shared" ref="AX68:AX116" si="157">SUM((AX67*AV67)+AX67+AW67)</f>
        <v>0</v>
      </c>
      <c r="AY68" s="1220"/>
      <c r="AZ68" s="514">
        <f>Assets!$G$48</f>
        <v>0</v>
      </c>
      <c r="BA68" s="515">
        <f>Assets!$F$48</f>
        <v>0</v>
      </c>
      <c r="BB68" s="515">
        <f t="shared" ref="BB68:BB116" si="158">SUM((BB67*AZ67)+BB67+BA67)</f>
        <v>0</v>
      </c>
      <c r="BC68" s="502"/>
      <c r="BD68" s="2005"/>
      <c r="BE68" s="523"/>
      <c r="BF68" s="523"/>
      <c r="BG68" s="1331">
        <f t="shared" ref="BG68:BG116" si="159">IF($H$6&lt;&gt;"",J68,0)</f>
        <v>7468069.7392419511</v>
      </c>
      <c r="BH68" s="1331">
        <f t="shared" ref="BH68:BH116" si="160">IF($L$6&lt;&gt;"",N68,0)</f>
        <v>4971352.0231514201</v>
      </c>
      <c r="BI68" s="1331">
        <f t="shared" ref="BI68:BI116" si="161">IF($P$6&lt;&gt;"",R68,0)</f>
        <v>2764050.3907754784</v>
      </c>
      <c r="BJ68" s="1331">
        <f t="shared" ref="BJ68:BJ116" si="162">IF($T$6&lt;&gt;"",V68,0)</f>
        <v>0</v>
      </c>
      <c r="BK68" s="1331">
        <f t="shared" ref="BK68:BK116" si="163">IF($X$6&lt;&gt;"",Z68,0)</f>
        <v>0</v>
      </c>
      <c r="BL68" s="1331">
        <f t="shared" ref="BL68:BL116" si="164">IF($AB$6&lt;&gt;"",AD68,0)</f>
        <v>0</v>
      </c>
      <c r="BM68" s="1331">
        <f t="shared" ref="BM68:BM116" si="165">IF($AF$6&lt;&gt;"",AH68,0)</f>
        <v>0</v>
      </c>
      <c r="BN68" s="1331">
        <f t="shared" ref="BN68:BN116" si="166">IF($AJ$6&lt;&gt;"",AL68,0)</f>
        <v>0</v>
      </c>
      <c r="BO68" s="1331">
        <f t="shared" ref="BO68:BO116" si="167">IF($AN$6&lt;&gt;"",AP68,0)</f>
        <v>0</v>
      </c>
      <c r="BP68" s="1331">
        <f t="shared" ref="BP68:BP116" si="168">IF($AR$6&lt;&gt;"",AT68,0)</f>
        <v>0</v>
      </c>
      <c r="BQ68" s="1331">
        <f t="shared" ref="BQ68:BQ116" si="169">IF($AV$6&lt;&gt;"",AX68,0)</f>
        <v>0</v>
      </c>
      <c r="BR68" s="1331">
        <f t="shared" ref="BR68:BR116" si="170">IF($AZ$6&lt;&gt;"",BB68,0)</f>
        <v>0</v>
      </c>
      <c r="BS68" s="523"/>
      <c r="BT68" s="523"/>
      <c r="BU68" s="523"/>
      <c r="BV68" s="523"/>
      <c r="BW68" s="1333">
        <f t="shared" ca="1" si="53"/>
        <v>2083</v>
      </c>
      <c r="BX68" s="1331">
        <f t="shared" ref="BX68:BX116" si="171">SUM(BZ68:CK68)</f>
        <v>12439421.76239337</v>
      </c>
      <c r="BY68" s="1331">
        <f t="shared" ca="1" si="79"/>
        <v>2764050.3907754784</v>
      </c>
      <c r="BZ68" s="1336">
        <f t="shared" ref="BZ68:BZ116" si="172">IF($H$5="Before tax",J68,0)</f>
        <v>7468069.7392419511</v>
      </c>
      <c r="CA68" s="1336">
        <f t="shared" ref="CA68:CA116" si="173">IF($L$5="Before tax",N68,0)</f>
        <v>4971352.0231514201</v>
      </c>
      <c r="CB68" s="1336">
        <f t="shared" ref="CB68:CB116" si="174">IF($P$5="Before tax",R68,0)</f>
        <v>0</v>
      </c>
      <c r="CC68" s="1336">
        <f t="shared" ref="CC68:CC116" si="175">IF($T$5="Before tax",V68,0)</f>
        <v>0</v>
      </c>
      <c r="CD68" s="1336">
        <f t="shared" ref="CD68:CD116" si="176">IF($X$5="Before tax",Z68,0)</f>
        <v>0</v>
      </c>
      <c r="CE68" s="1336">
        <f t="shared" ref="CE68:CE116" si="177">IF($AB$5="Before tax",AD68,0)</f>
        <v>0</v>
      </c>
      <c r="CF68" s="1336">
        <f t="shared" ref="CF68:CF116" si="178">IF($AF$5="Before tax",AH68,0)</f>
        <v>0</v>
      </c>
      <c r="CG68" s="1336">
        <f t="shared" ref="CG68:CG116" si="179">IF($AJ$5="Before tax",AL68,0)</f>
        <v>0</v>
      </c>
      <c r="CH68" s="1336">
        <f t="shared" ref="CH68:CH116" si="180">IF($AN$5="Before tax",AP68,0)</f>
        <v>0</v>
      </c>
      <c r="CI68" s="1336">
        <f t="shared" ref="CI68:CI116" si="181">IF($AR$5="Before tax",AT68,0)</f>
        <v>0</v>
      </c>
      <c r="CJ68" s="1336">
        <f t="shared" ref="CJ68:CJ116" si="182">IF($AV$5="Before tax",AX68,0)</f>
        <v>0</v>
      </c>
      <c r="CK68" s="1336">
        <f t="shared" ref="CK68:CK116" si="183">IF($AZ$5="Before tax",BB68,0)</f>
        <v>0</v>
      </c>
      <c r="CL68" s="1336"/>
      <c r="CM68" s="1336">
        <f t="shared" ref="CM68:CM116" si="184">IF($H$5="After tax",J68,0)</f>
        <v>0</v>
      </c>
      <c r="CN68" s="1336">
        <f t="shared" ref="CN68:CN116" si="185">IF($L$5="After tax",N68,0)</f>
        <v>0</v>
      </c>
      <c r="CO68" s="1336">
        <f t="shared" ref="CO68:CO116" si="186">IF($P$5="After tax",R68,0)</f>
        <v>2764050.3907754784</v>
      </c>
      <c r="CP68" s="1336">
        <f t="shared" ref="CP68:CP116" si="187">IF($T$5="After tax",V68,0)</f>
        <v>0</v>
      </c>
      <c r="CQ68" s="1336">
        <f t="shared" ref="CQ68:CQ116" si="188">IF($X$5="After tax",Z68,0)</f>
        <v>0</v>
      </c>
      <c r="CR68" s="1336">
        <f t="shared" ref="CR68:CR116" si="189">IF($AB$5="After tax",AD68,0)</f>
        <v>0</v>
      </c>
      <c r="CS68" s="1336">
        <f t="shared" ref="CS68:CS116" si="190">IF($AF$5="After tax",AH68,0)</f>
        <v>0</v>
      </c>
      <c r="CT68" s="1336">
        <f t="shared" ref="CT68:CT116" si="191">IF($AJ$5="After tax",AL68,0)</f>
        <v>0</v>
      </c>
      <c r="CU68" s="1336">
        <f t="shared" ref="CU68:CU116" si="192">IF($AN$5="After tax",AP68,0)</f>
        <v>0</v>
      </c>
      <c r="CV68" s="1336">
        <f t="shared" ref="CV68:CV116" si="193">IF($AR$5="After tax",AT68,0)</f>
        <v>0</v>
      </c>
      <c r="CW68" s="1336">
        <f t="shared" ref="CW68:CW116" si="194">IF($AV$5="After tax",AX68,0)</f>
        <v>0</v>
      </c>
      <c r="CX68" s="1336">
        <f t="shared" ref="CX68:CX116" si="195">IF($AZ$5="After tax",BB68,0)</f>
        <v>0</v>
      </c>
      <c r="CY68" s="1336"/>
      <c r="CZ68" s="1336"/>
      <c r="DA68" s="1334">
        <f ca="1">Rental!Y98</f>
        <v>0</v>
      </c>
      <c r="DB68" s="1334">
        <f ca="1">Rental!AD98</f>
        <v>0</v>
      </c>
      <c r="DC68" s="1972"/>
      <c r="DD68" s="1761"/>
      <c r="DE68" s="1761"/>
      <c r="DF68" s="1335"/>
      <c r="DG68" s="1335"/>
      <c r="DH68" s="1335"/>
      <c r="DI68" s="1335"/>
      <c r="DJ68" s="1335"/>
      <c r="DK68" s="1335"/>
      <c r="DL68" s="1335"/>
      <c r="DM68" s="1335"/>
      <c r="DN68" s="1335"/>
      <c r="DO68" s="1335"/>
      <c r="DP68" s="1335"/>
      <c r="DQ68" s="1335"/>
      <c r="DR68" s="1335"/>
      <c r="DS68" s="1335"/>
      <c r="DT68" s="1335"/>
    </row>
    <row r="69" spans="1:124" s="1185" customFormat="1" ht="18" customHeight="1">
      <c r="A69" s="523">
        <f ca="1">IF(E69=YEAR(Retire!$D$12),1,0)</f>
        <v>0</v>
      </c>
      <c r="B69" s="502"/>
      <c r="C69" s="503" t="str">
        <f ca="1">IF(E69=Retire!$D$12,"==&gt;","")</f>
        <v/>
      </c>
      <c r="D69" s="504">
        <f t="shared" si="132"/>
        <v>63</v>
      </c>
      <c r="E69" s="504">
        <f t="shared" ca="1" si="133"/>
        <v>2084</v>
      </c>
      <c r="F69" s="505">
        <f t="shared" ca="1" si="146"/>
        <v>16032377</v>
      </c>
      <c r="G69" s="505"/>
      <c r="H69" s="506">
        <f>Assets!$G$37</f>
        <v>5.5E-2</v>
      </c>
      <c r="I69" s="507">
        <f>Assets!$F$37</f>
        <v>2000</v>
      </c>
      <c r="J69" s="507">
        <f t="shared" si="147"/>
        <v>7880813.5749002583</v>
      </c>
      <c r="K69" s="1220"/>
      <c r="L69" s="506">
        <f>Assets!$G$38</f>
        <v>0.05</v>
      </c>
      <c r="M69" s="507">
        <f>Assets!$F$38</f>
        <v>1500</v>
      </c>
      <c r="N69" s="507">
        <f t="shared" si="148"/>
        <v>5221419.6243089912</v>
      </c>
      <c r="O69" s="1220"/>
      <c r="P69" s="506">
        <f>Assets!$G$39</f>
        <v>0.06</v>
      </c>
      <c r="Q69" s="508">
        <f>Assets!$F$39</f>
        <v>250</v>
      </c>
      <c r="R69" s="507">
        <f t="shared" si="149"/>
        <v>2930143.4142220072</v>
      </c>
      <c r="S69" s="1220"/>
      <c r="T69" s="506">
        <f>Assets!$G$40</f>
        <v>0</v>
      </c>
      <c r="U69" s="510">
        <f>Assets!$F$40</f>
        <v>0</v>
      </c>
      <c r="V69" s="507">
        <f t="shared" si="150"/>
        <v>0</v>
      </c>
      <c r="W69" s="1220"/>
      <c r="X69" s="506">
        <f>Assets!$G$41</f>
        <v>0</v>
      </c>
      <c r="Y69" s="510">
        <f>Assets!$F$41</f>
        <v>0</v>
      </c>
      <c r="Z69" s="507">
        <f t="shared" si="151"/>
        <v>0</v>
      </c>
      <c r="AA69" s="1220"/>
      <c r="AB69" s="506">
        <f>Assets!$G$42</f>
        <v>0</v>
      </c>
      <c r="AC69" s="507">
        <f>Assets!$F$42</f>
        <v>0</v>
      </c>
      <c r="AD69" s="507">
        <f t="shared" si="152"/>
        <v>0</v>
      </c>
      <c r="AE69" s="1220"/>
      <c r="AF69" s="506">
        <f>Assets!$G$43</f>
        <v>0</v>
      </c>
      <c r="AG69" s="507">
        <f>Assets!$F$43</f>
        <v>0</v>
      </c>
      <c r="AH69" s="507">
        <f t="shared" si="153"/>
        <v>0</v>
      </c>
      <c r="AI69" s="1220"/>
      <c r="AJ69" s="506">
        <f>Assets!$G$44</f>
        <v>0</v>
      </c>
      <c r="AK69" s="507">
        <f>Assets!$F$44</f>
        <v>0</v>
      </c>
      <c r="AL69" s="507">
        <f t="shared" si="154"/>
        <v>0</v>
      </c>
      <c r="AM69" s="1220"/>
      <c r="AN69" s="506">
        <f>Assets!$G$45</f>
        <v>0</v>
      </c>
      <c r="AO69" s="507">
        <f>Assets!$F$45</f>
        <v>0</v>
      </c>
      <c r="AP69" s="507">
        <f t="shared" si="155"/>
        <v>0</v>
      </c>
      <c r="AQ69" s="1220"/>
      <c r="AR69" s="506">
        <f>Assets!$G$46</f>
        <v>0</v>
      </c>
      <c r="AS69" s="507">
        <f>Assets!$F$46</f>
        <v>0</v>
      </c>
      <c r="AT69" s="507">
        <f t="shared" si="156"/>
        <v>0</v>
      </c>
      <c r="AU69" s="1220"/>
      <c r="AV69" s="506">
        <f>Assets!$G$47</f>
        <v>0</v>
      </c>
      <c r="AW69" s="507">
        <f>Assets!F$47</f>
        <v>0</v>
      </c>
      <c r="AX69" s="507">
        <f t="shared" si="157"/>
        <v>0</v>
      </c>
      <c r="AY69" s="1220"/>
      <c r="AZ69" s="506">
        <f>Assets!$G$48</f>
        <v>0</v>
      </c>
      <c r="BA69" s="507">
        <f>Assets!$F$48</f>
        <v>0</v>
      </c>
      <c r="BB69" s="507">
        <f t="shared" si="158"/>
        <v>0</v>
      </c>
      <c r="BC69" s="502"/>
      <c r="BD69" s="2005"/>
      <c r="BE69" s="523"/>
      <c r="BF69" s="523"/>
      <c r="BG69" s="1331">
        <f t="shared" si="159"/>
        <v>7880813.5749002583</v>
      </c>
      <c r="BH69" s="1331">
        <f t="shared" si="160"/>
        <v>5221419.6243089912</v>
      </c>
      <c r="BI69" s="1331">
        <f t="shared" si="161"/>
        <v>2930143.4142220072</v>
      </c>
      <c r="BJ69" s="1331">
        <f t="shared" si="162"/>
        <v>0</v>
      </c>
      <c r="BK69" s="1331">
        <f t="shared" si="163"/>
        <v>0</v>
      </c>
      <c r="BL69" s="1331">
        <f t="shared" si="164"/>
        <v>0</v>
      </c>
      <c r="BM69" s="1331">
        <f t="shared" si="165"/>
        <v>0</v>
      </c>
      <c r="BN69" s="1331">
        <f t="shared" si="166"/>
        <v>0</v>
      </c>
      <c r="BO69" s="1331">
        <f t="shared" si="167"/>
        <v>0</v>
      </c>
      <c r="BP69" s="1331">
        <f t="shared" si="168"/>
        <v>0</v>
      </c>
      <c r="BQ69" s="1331">
        <f t="shared" si="169"/>
        <v>0</v>
      </c>
      <c r="BR69" s="1331">
        <f t="shared" si="170"/>
        <v>0</v>
      </c>
      <c r="BS69" s="523"/>
      <c r="BT69" s="523"/>
      <c r="BU69" s="523"/>
      <c r="BV69" s="523"/>
      <c r="BW69" s="1333">
        <f t="shared" ca="1" si="53"/>
        <v>2084</v>
      </c>
      <c r="BX69" s="1331">
        <f t="shared" si="171"/>
        <v>13102233.199209251</v>
      </c>
      <c r="BY69" s="1331">
        <f t="shared" ca="1" si="79"/>
        <v>2930143.4142220072</v>
      </c>
      <c r="BZ69" s="1336">
        <f t="shared" si="172"/>
        <v>7880813.5749002583</v>
      </c>
      <c r="CA69" s="1336">
        <f t="shared" si="173"/>
        <v>5221419.6243089912</v>
      </c>
      <c r="CB69" s="1336">
        <f t="shared" si="174"/>
        <v>0</v>
      </c>
      <c r="CC69" s="1336">
        <f t="shared" si="175"/>
        <v>0</v>
      </c>
      <c r="CD69" s="1336">
        <f t="shared" si="176"/>
        <v>0</v>
      </c>
      <c r="CE69" s="1336">
        <f t="shared" si="177"/>
        <v>0</v>
      </c>
      <c r="CF69" s="1336">
        <f t="shared" si="178"/>
        <v>0</v>
      </c>
      <c r="CG69" s="1336">
        <f t="shared" si="179"/>
        <v>0</v>
      </c>
      <c r="CH69" s="1336">
        <f t="shared" si="180"/>
        <v>0</v>
      </c>
      <c r="CI69" s="1336">
        <f t="shared" si="181"/>
        <v>0</v>
      </c>
      <c r="CJ69" s="1336">
        <f t="shared" si="182"/>
        <v>0</v>
      </c>
      <c r="CK69" s="1336">
        <f t="shared" si="183"/>
        <v>0</v>
      </c>
      <c r="CL69" s="1336"/>
      <c r="CM69" s="1336">
        <f t="shared" si="184"/>
        <v>0</v>
      </c>
      <c r="CN69" s="1336">
        <f t="shared" si="185"/>
        <v>0</v>
      </c>
      <c r="CO69" s="1336">
        <f t="shared" si="186"/>
        <v>2930143.4142220072</v>
      </c>
      <c r="CP69" s="1336">
        <f t="shared" si="187"/>
        <v>0</v>
      </c>
      <c r="CQ69" s="1336">
        <f t="shared" si="188"/>
        <v>0</v>
      </c>
      <c r="CR69" s="1336">
        <f t="shared" si="189"/>
        <v>0</v>
      </c>
      <c r="CS69" s="1336">
        <f t="shared" si="190"/>
        <v>0</v>
      </c>
      <c r="CT69" s="1336">
        <f t="shared" si="191"/>
        <v>0</v>
      </c>
      <c r="CU69" s="1336">
        <f t="shared" si="192"/>
        <v>0</v>
      </c>
      <c r="CV69" s="1336">
        <f t="shared" si="193"/>
        <v>0</v>
      </c>
      <c r="CW69" s="1336">
        <f t="shared" si="194"/>
        <v>0</v>
      </c>
      <c r="CX69" s="1336">
        <f t="shared" si="195"/>
        <v>0</v>
      </c>
      <c r="CY69" s="1336"/>
      <c r="CZ69" s="1336"/>
      <c r="DA69" s="1334">
        <f ca="1">Rental!Y99</f>
        <v>0</v>
      </c>
      <c r="DB69" s="1334">
        <f ca="1">Rental!AD99</f>
        <v>0</v>
      </c>
      <c r="DC69" s="1972"/>
      <c r="DD69" s="1761"/>
      <c r="DE69" s="1761"/>
      <c r="DF69" s="1335"/>
      <c r="DG69" s="1335"/>
      <c r="DH69" s="1335"/>
      <c r="DI69" s="1335"/>
      <c r="DJ69" s="1335"/>
      <c r="DK69" s="1335"/>
      <c r="DL69" s="1335"/>
      <c r="DM69" s="1335"/>
      <c r="DN69" s="1335"/>
      <c r="DO69" s="1335"/>
      <c r="DP69" s="1335"/>
      <c r="DQ69" s="1335"/>
      <c r="DR69" s="1335"/>
      <c r="DS69" s="1335"/>
      <c r="DT69" s="1335"/>
    </row>
    <row r="70" spans="1:124" s="1185" customFormat="1" ht="18" customHeight="1">
      <c r="A70" s="523">
        <f ca="1">IF(E70=YEAR(Retire!$D$12),1,0)</f>
        <v>0</v>
      </c>
      <c r="B70" s="502"/>
      <c r="C70" s="503" t="str">
        <f ca="1">IF(E70=Retire!$D$12,"==&gt;","")</f>
        <v/>
      </c>
      <c r="D70" s="512">
        <f t="shared" si="132"/>
        <v>64</v>
      </c>
      <c r="E70" s="512">
        <f t="shared" ca="1" si="133"/>
        <v>2085</v>
      </c>
      <c r="F70" s="513">
        <f t="shared" ca="1" si="146"/>
        <v>16906451</v>
      </c>
      <c r="G70" s="513"/>
      <c r="H70" s="514">
        <f>Assets!$G$37</f>
        <v>5.5E-2</v>
      </c>
      <c r="I70" s="515">
        <f>Assets!$F$37</f>
        <v>2000</v>
      </c>
      <c r="J70" s="515">
        <f t="shared" si="147"/>
        <v>8316258.3215197725</v>
      </c>
      <c r="K70" s="1220"/>
      <c r="L70" s="514">
        <f>Assets!$G$38</f>
        <v>0.05</v>
      </c>
      <c r="M70" s="515">
        <f>Assets!$F$38</f>
        <v>1500</v>
      </c>
      <c r="N70" s="515">
        <f t="shared" si="148"/>
        <v>5483990.6055244412</v>
      </c>
      <c r="O70" s="1220"/>
      <c r="P70" s="514">
        <f>Assets!$G$39</f>
        <v>0.06</v>
      </c>
      <c r="Q70" s="516">
        <f>Assets!$F$39</f>
        <v>250</v>
      </c>
      <c r="R70" s="515">
        <f t="shared" si="149"/>
        <v>3106202.0190753276</v>
      </c>
      <c r="S70" s="1220"/>
      <c r="T70" s="514">
        <f>Assets!$G$40</f>
        <v>0</v>
      </c>
      <c r="U70" s="517">
        <f>Assets!$F$40</f>
        <v>0</v>
      </c>
      <c r="V70" s="515">
        <f t="shared" si="150"/>
        <v>0</v>
      </c>
      <c r="W70" s="1220"/>
      <c r="X70" s="514">
        <f>Assets!$G$41</f>
        <v>0</v>
      </c>
      <c r="Y70" s="517">
        <f>Assets!$F$41</f>
        <v>0</v>
      </c>
      <c r="Z70" s="515">
        <f t="shared" si="151"/>
        <v>0</v>
      </c>
      <c r="AA70" s="1220"/>
      <c r="AB70" s="514">
        <f>Assets!$G$42</f>
        <v>0</v>
      </c>
      <c r="AC70" s="515">
        <f>Assets!$F$42</f>
        <v>0</v>
      </c>
      <c r="AD70" s="515">
        <f t="shared" si="152"/>
        <v>0</v>
      </c>
      <c r="AE70" s="1220"/>
      <c r="AF70" s="514">
        <f>Assets!$G$43</f>
        <v>0</v>
      </c>
      <c r="AG70" s="515">
        <f>Assets!$F$43</f>
        <v>0</v>
      </c>
      <c r="AH70" s="515">
        <f t="shared" si="153"/>
        <v>0</v>
      </c>
      <c r="AI70" s="1220"/>
      <c r="AJ70" s="514">
        <f>Assets!$G$44</f>
        <v>0</v>
      </c>
      <c r="AK70" s="515">
        <f>Assets!$F$44</f>
        <v>0</v>
      </c>
      <c r="AL70" s="515">
        <f t="shared" si="154"/>
        <v>0</v>
      </c>
      <c r="AM70" s="1220"/>
      <c r="AN70" s="514">
        <f>Assets!$G$45</f>
        <v>0</v>
      </c>
      <c r="AO70" s="515">
        <f>Assets!$F$45</f>
        <v>0</v>
      </c>
      <c r="AP70" s="515">
        <f t="shared" si="155"/>
        <v>0</v>
      </c>
      <c r="AQ70" s="1220"/>
      <c r="AR70" s="514">
        <f>Assets!$G$46</f>
        <v>0</v>
      </c>
      <c r="AS70" s="515">
        <f>Assets!$F$46</f>
        <v>0</v>
      </c>
      <c r="AT70" s="515">
        <f t="shared" si="156"/>
        <v>0</v>
      </c>
      <c r="AU70" s="1220"/>
      <c r="AV70" s="514">
        <f>Assets!$G$47</f>
        <v>0</v>
      </c>
      <c r="AW70" s="515">
        <f>Assets!F$47</f>
        <v>0</v>
      </c>
      <c r="AX70" s="515">
        <f t="shared" si="157"/>
        <v>0</v>
      </c>
      <c r="AY70" s="1220"/>
      <c r="AZ70" s="514">
        <f>Assets!$G$48</f>
        <v>0</v>
      </c>
      <c r="BA70" s="515">
        <f>Assets!$F$48</f>
        <v>0</v>
      </c>
      <c r="BB70" s="515">
        <f t="shared" si="158"/>
        <v>0</v>
      </c>
      <c r="BC70" s="502"/>
      <c r="BD70" s="2005"/>
      <c r="BE70" s="523"/>
      <c r="BF70" s="523"/>
      <c r="BG70" s="1331">
        <f t="shared" si="159"/>
        <v>8316258.3215197725</v>
      </c>
      <c r="BH70" s="1331">
        <f t="shared" si="160"/>
        <v>5483990.6055244412</v>
      </c>
      <c r="BI70" s="1331">
        <f t="shared" si="161"/>
        <v>3106202.0190753276</v>
      </c>
      <c r="BJ70" s="1331">
        <f t="shared" si="162"/>
        <v>0</v>
      </c>
      <c r="BK70" s="1331">
        <f t="shared" si="163"/>
        <v>0</v>
      </c>
      <c r="BL70" s="1331">
        <f t="shared" si="164"/>
        <v>0</v>
      </c>
      <c r="BM70" s="1331">
        <f t="shared" si="165"/>
        <v>0</v>
      </c>
      <c r="BN70" s="1331">
        <f t="shared" si="166"/>
        <v>0</v>
      </c>
      <c r="BO70" s="1331">
        <f t="shared" si="167"/>
        <v>0</v>
      </c>
      <c r="BP70" s="1331">
        <f t="shared" si="168"/>
        <v>0</v>
      </c>
      <c r="BQ70" s="1331">
        <f t="shared" si="169"/>
        <v>0</v>
      </c>
      <c r="BR70" s="1331">
        <f t="shared" si="170"/>
        <v>0</v>
      </c>
      <c r="BS70" s="523"/>
      <c r="BT70" s="523"/>
      <c r="BU70" s="523"/>
      <c r="BV70" s="523"/>
      <c r="BW70" s="1333">
        <f t="shared" ca="1" si="53"/>
        <v>2085</v>
      </c>
      <c r="BX70" s="1331">
        <f t="shared" si="171"/>
        <v>13800248.927044213</v>
      </c>
      <c r="BY70" s="1331">
        <f t="shared" ca="1" si="79"/>
        <v>3106202.0190753276</v>
      </c>
      <c r="BZ70" s="1336">
        <f t="shared" si="172"/>
        <v>8316258.3215197725</v>
      </c>
      <c r="CA70" s="1336">
        <f t="shared" si="173"/>
        <v>5483990.6055244412</v>
      </c>
      <c r="CB70" s="1336">
        <f t="shared" si="174"/>
        <v>0</v>
      </c>
      <c r="CC70" s="1336">
        <f t="shared" si="175"/>
        <v>0</v>
      </c>
      <c r="CD70" s="1336">
        <f t="shared" si="176"/>
        <v>0</v>
      </c>
      <c r="CE70" s="1336">
        <f t="shared" si="177"/>
        <v>0</v>
      </c>
      <c r="CF70" s="1336">
        <f t="shared" si="178"/>
        <v>0</v>
      </c>
      <c r="CG70" s="1336">
        <f t="shared" si="179"/>
        <v>0</v>
      </c>
      <c r="CH70" s="1336">
        <f t="shared" si="180"/>
        <v>0</v>
      </c>
      <c r="CI70" s="1336">
        <f t="shared" si="181"/>
        <v>0</v>
      </c>
      <c r="CJ70" s="1336">
        <f t="shared" si="182"/>
        <v>0</v>
      </c>
      <c r="CK70" s="1336">
        <f t="shared" si="183"/>
        <v>0</v>
      </c>
      <c r="CL70" s="1336"/>
      <c r="CM70" s="1336">
        <f t="shared" si="184"/>
        <v>0</v>
      </c>
      <c r="CN70" s="1336">
        <f t="shared" si="185"/>
        <v>0</v>
      </c>
      <c r="CO70" s="1336">
        <f t="shared" si="186"/>
        <v>3106202.0190753276</v>
      </c>
      <c r="CP70" s="1336">
        <f t="shared" si="187"/>
        <v>0</v>
      </c>
      <c r="CQ70" s="1336">
        <f t="shared" si="188"/>
        <v>0</v>
      </c>
      <c r="CR70" s="1336">
        <f t="shared" si="189"/>
        <v>0</v>
      </c>
      <c r="CS70" s="1336">
        <f t="shared" si="190"/>
        <v>0</v>
      </c>
      <c r="CT70" s="1336">
        <f t="shared" si="191"/>
        <v>0</v>
      </c>
      <c r="CU70" s="1336">
        <f t="shared" si="192"/>
        <v>0</v>
      </c>
      <c r="CV70" s="1336">
        <f t="shared" si="193"/>
        <v>0</v>
      </c>
      <c r="CW70" s="1336">
        <f t="shared" si="194"/>
        <v>0</v>
      </c>
      <c r="CX70" s="1336">
        <f t="shared" si="195"/>
        <v>0</v>
      </c>
      <c r="CY70" s="1336"/>
      <c r="CZ70" s="1336"/>
      <c r="DA70" s="1334">
        <f ca="1">Rental!Y100</f>
        <v>0</v>
      </c>
      <c r="DB70" s="1334">
        <f ca="1">Rental!AD100</f>
        <v>0</v>
      </c>
      <c r="DC70" s="1972"/>
      <c r="DD70" s="1761"/>
      <c r="DE70" s="1761"/>
      <c r="DF70" s="1335"/>
      <c r="DG70" s="1335"/>
      <c r="DH70" s="1335"/>
      <c r="DI70" s="1335"/>
      <c r="DJ70" s="1335"/>
      <c r="DK70" s="1335"/>
      <c r="DL70" s="1335"/>
      <c r="DM70" s="1335"/>
      <c r="DN70" s="1335"/>
      <c r="DO70" s="1335"/>
      <c r="DP70" s="1335"/>
      <c r="DQ70" s="1335"/>
      <c r="DR70" s="1335"/>
      <c r="DS70" s="1335"/>
      <c r="DT70" s="1335"/>
    </row>
    <row r="71" spans="1:124" s="1185" customFormat="1" ht="18" customHeight="1">
      <c r="A71" s="523">
        <f ca="1">IF(E71=YEAR(Retire!$D$12),1,0)</f>
        <v>0</v>
      </c>
      <c r="B71" s="502"/>
      <c r="C71" s="503" t="str">
        <f ca="1">IF(E71=Retire!$D$12,"==&gt;","")</f>
        <v/>
      </c>
      <c r="D71" s="504">
        <f t="shared" si="132"/>
        <v>65</v>
      </c>
      <c r="E71" s="504">
        <f t="shared" ca="1" si="133"/>
        <v>2086</v>
      </c>
      <c r="F71" s="505">
        <f t="shared" ca="1" si="146"/>
        <v>17828167</v>
      </c>
      <c r="G71" s="505"/>
      <c r="H71" s="506">
        <f>Assets!$G$37</f>
        <v>5.5E-2</v>
      </c>
      <c r="I71" s="507">
        <f>Assets!$F$37</f>
        <v>2000</v>
      </c>
      <c r="J71" s="507">
        <f t="shared" si="147"/>
        <v>8775652.5292033609</v>
      </c>
      <c r="K71" s="1220"/>
      <c r="L71" s="506">
        <f>Assets!$G$38</f>
        <v>0.05</v>
      </c>
      <c r="M71" s="507">
        <f>Assets!$F$38</f>
        <v>1500</v>
      </c>
      <c r="N71" s="507">
        <f t="shared" si="148"/>
        <v>5759690.1358006634</v>
      </c>
      <c r="O71" s="1220"/>
      <c r="P71" s="506">
        <f>Assets!$G$39</f>
        <v>0.06</v>
      </c>
      <c r="Q71" s="508">
        <f>Assets!$F$39</f>
        <v>250</v>
      </c>
      <c r="R71" s="507">
        <f t="shared" si="149"/>
        <v>3292824.1402198472</v>
      </c>
      <c r="S71" s="1220"/>
      <c r="T71" s="506">
        <f>Assets!$G$40</f>
        <v>0</v>
      </c>
      <c r="U71" s="510">
        <f>Assets!$F$40</f>
        <v>0</v>
      </c>
      <c r="V71" s="507">
        <f t="shared" si="150"/>
        <v>0</v>
      </c>
      <c r="W71" s="1220"/>
      <c r="X71" s="506">
        <f>Assets!$G$41</f>
        <v>0</v>
      </c>
      <c r="Y71" s="510">
        <f>Assets!$F$41</f>
        <v>0</v>
      </c>
      <c r="Z71" s="507">
        <f t="shared" si="151"/>
        <v>0</v>
      </c>
      <c r="AA71" s="1220"/>
      <c r="AB71" s="506">
        <f>Assets!$G$42</f>
        <v>0</v>
      </c>
      <c r="AC71" s="507">
        <f>Assets!$F$42</f>
        <v>0</v>
      </c>
      <c r="AD71" s="507">
        <f t="shared" si="152"/>
        <v>0</v>
      </c>
      <c r="AE71" s="1220"/>
      <c r="AF71" s="506">
        <f>Assets!$G$43</f>
        <v>0</v>
      </c>
      <c r="AG71" s="507">
        <f>Assets!$F$43</f>
        <v>0</v>
      </c>
      <c r="AH71" s="507">
        <f t="shared" si="153"/>
        <v>0</v>
      </c>
      <c r="AI71" s="1220"/>
      <c r="AJ71" s="506">
        <f>Assets!$G$44</f>
        <v>0</v>
      </c>
      <c r="AK71" s="507">
        <f>Assets!$F$44</f>
        <v>0</v>
      </c>
      <c r="AL71" s="507">
        <f t="shared" si="154"/>
        <v>0</v>
      </c>
      <c r="AM71" s="1220"/>
      <c r="AN71" s="506">
        <f>Assets!$G$45</f>
        <v>0</v>
      </c>
      <c r="AO71" s="507">
        <f>Assets!$F$45</f>
        <v>0</v>
      </c>
      <c r="AP71" s="507">
        <f t="shared" si="155"/>
        <v>0</v>
      </c>
      <c r="AQ71" s="1220"/>
      <c r="AR71" s="506">
        <f>Assets!$G$46</f>
        <v>0</v>
      </c>
      <c r="AS71" s="507">
        <f>Assets!$F$46</f>
        <v>0</v>
      </c>
      <c r="AT71" s="507">
        <f t="shared" si="156"/>
        <v>0</v>
      </c>
      <c r="AU71" s="1220"/>
      <c r="AV71" s="506">
        <f>Assets!$G$47</f>
        <v>0</v>
      </c>
      <c r="AW71" s="507">
        <f>Assets!F$47</f>
        <v>0</v>
      </c>
      <c r="AX71" s="507">
        <f t="shared" si="157"/>
        <v>0</v>
      </c>
      <c r="AY71" s="1220"/>
      <c r="AZ71" s="506">
        <f>Assets!$G$48</f>
        <v>0</v>
      </c>
      <c r="BA71" s="507">
        <f>Assets!$F$48</f>
        <v>0</v>
      </c>
      <c r="BB71" s="507">
        <f t="shared" si="158"/>
        <v>0</v>
      </c>
      <c r="BC71" s="502"/>
      <c r="BD71" s="2005"/>
      <c r="BE71" s="523"/>
      <c r="BF71" s="523"/>
      <c r="BG71" s="1331">
        <f t="shared" si="159"/>
        <v>8775652.5292033609</v>
      </c>
      <c r="BH71" s="1331">
        <f t="shared" si="160"/>
        <v>5759690.1358006634</v>
      </c>
      <c r="BI71" s="1331">
        <f t="shared" si="161"/>
        <v>3292824.1402198472</v>
      </c>
      <c r="BJ71" s="1331">
        <f t="shared" si="162"/>
        <v>0</v>
      </c>
      <c r="BK71" s="1331">
        <f t="shared" si="163"/>
        <v>0</v>
      </c>
      <c r="BL71" s="1331">
        <f t="shared" si="164"/>
        <v>0</v>
      </c>
      <c r="BM71" s="1331">
        <f t="shared" si="165"/>
        <v>0</v>
      </c>
      <c r="BN71" s="1331">
        <f t="shared" si="166"/>
        <v>0</v>
      </c>
      <c r="BO71" s="1331">
        <f t="shared" si="167"/>
        <v>0</v>
      </c>
      <c r="BP71" s="1331">
        <f t="shared" si="168"/>
        <v>0</v>
      </c>
      <c r="BQ71" s="1331">
        <f t="shared" si="169"/>
        <v>0</v>
      </c>
      <c r="BR71" s="1331">
        <f t="shared" si="170"/>
        <v>0</v>
      </c>
      <c r="BS71" s="523"/>
      <c r="BT71" s="523"/>
      <c r="BU71" s="523"/>
      <c r="BV71" s="523"/>
      <c r="BW71" s="1333">
        <f t="shared" ca="1" si="53"/>
        <v>2086</v>
      </c>
      <c r="BX71" s="1331">
        <f t="shared" si="171"/>
        <v>14535342.665004024</v>
      </c>
      <c r="BY71" s="1331">
        <f t="shared" ref="BY71:BY102" ca="1" si="196">SUM(CM71:DB71)</f>
        <v>3292824.1402198472</v>
      </c>
      <c r="BZ71" s="1336">
        <f t="shared" si="172"/>
        <v>8775652.5292033609</v>
      </c>
      <c r="CA71" s="1336">
        <f t="shared" si="173"/>
        <v>5759690.1358006634</v>
      </c>
      <c r="CB71" s="1336">
        <f t="shared" si="174"/>
        <v>0</v>
      </c>
      <c r="CC71" s="1336">
        <f t="shared" si="175"/>
        <v>0</v>
      </c>
      <c r="CD71" s="1336">
        <f t="shared" si="176"/>
        <v>0</v>
      </c>
      <c r="CE71" s="1336">
        <f t="shared" si="177"/>
        <v>0</v>
      </c>
      <c r="CF71" s="1336">
        <f t="shared" si="178"/>
        <v>0</v>
      </c>
      <c r="CG71" s="1336">
        <f t="shared" si="179"/>
        <v>0</v>
      </c>
      <c r="CH71" s="1336">
        <f t="shared" si="180"/>
        <v>0</v>
      </c>
      <c r="CI71" s="1336">
        <f t="shared" si="181"/>
        <v>0</v>
      </c>
      <c r="CJ71" s="1336">
        <f t="shared" si="182"/>
        <v>0</v>
      </c>
      <c r="CK71" s="1336">
        <f t="shared" si="183"/>
        <v>0</v>
      </c>
      <c r="CL71" s="1336"/>
      <c r="CM71" s="1336">
        <f t="shared" si="184"/>
        <v>0</v>
      </c>
      <c r="CN71" s="1336">
        <f t="shared" si="185"/>
        <v>0</v>
      </c>
      <c r="CO71" s="1336">
        <f t="shared" si="186"/>
        <v>3292824.1402198472</v>
      </c>
      <c r="CP71" s="1336">
        <f t="shared" si="187"/>
        <v>0</v>
      </c>
      <c r="CQ71" s="1336">
        <f t="shared" si="188"/>
        <v>0</v>
      </c>
      <c r="CR71" s="1336">
        <f t="shared" si="189"/>
        <v>0</v>
      </c>
      <c r="CS71" s="1336">
        <f t="shared" si="190"/>
        <v>0</v>
      </c>
      <c r="CT71" s="1336">
        <f t="shared" si="191"/>
        <v>0</v>
      </c>
      <c r="CU71" s="1336">
        <f t="shared" si="192"/>
        <v>0</v>
      </c>
      <c r="CV71" s="1336">
        <f t="shared" si="193"/>
        <v>0</v>
      </c>
      <c r="CW71" s="1336">
        <f t="shared" si="194"/>
        <v>0</v>
      </c>
      <c r="CX71" s="1336">
        <f t="shared" si="195"/>
        <v>0</v>
      </c>
      <c r="CY71" s="1336"/>
      <c r="CZ71" s="1336"/>
      <c r="DA71" s="1334">
        <f ca="1">Rental!Y101</f>
        <v>0</v>
      </c>
      <c r="DB71" s="1334">
        <f ca="1">Rental!AD101</f>
        <v>0</v>
      </c>
      <c r="DC71" s="1972"/>
      <c r="DD71" s="1761"/>
      <c r="DE71" s="1761"/>
      <c r="DF71" s="1335"/>
      <c r="DG71" s="1335"/>
      <c r="DH71" s="1335"/>
      <c r="DI71" s="1335"/>
      <c r="DJ71" s="1335"/>
      <c r="DK71" s="1335"/>
      <c r="DL71" s="1335"/>
      <c r="DM71" s="1335"/>
      <c r="DN71" s="1335"/>
      <c r="DO71" s="1335"/>
      <c r="DP71" s="1335"/>
      <c r="DQ71" s="1335"/>
      <c r="DR71" s="1335"/>
      <c r="DS71" s="1335"/>
      <c r="DT71" s="1335"/>
    </row>
    <row r="72" spans="1:124" s="1185" customFormat="1" ht="18" customHeight="1">
      <c r="A72" s="523">
        <f ca="1">IF(E72=YEAR(Retire!$D$12),1,0)</f>
        <v>0</v>
      </c>
      <c r="B72" s="502"/>
      <c r="C72" s="503" t="str">
        <f ca="1">IF(E72=Retire!$D$12,"==&gt;","")</f>
        <v/>
      </c>
      <c r="D72" s="512">
        <f t="shared" si="132"/>
        <v>66</v>
      </c>
      <c r="E72" s="512">
        <f t="shared" ca="1" si="133"/>
        <v>2087</v>
      </c>
      <c r="F72" s="513">
        <f t="shared" ca="1" si="146"/>
        <v>18800132</v>
      </c>
      <c r="G72" s="513"/>
      <c r="H72" s="514">
        <f>Assets!$G$37</f>
        <v>5.5E-2</v>
      </c>
      <c r="I72" s="515">
        <f>Assets!$F$37</f>
        <v>2000</v>
      </c>
      <c r="J72" s="515">
        <f t="shared" si="147"/>
        <v>9260313.4183095451</v>
      </c>
      <c r="K72" s="1220"/>
      <c r="L72" s="514">
        <f>Assets!$G$38</f>
        <v>0.05</v>
      </c>
      <c r="M72" s="515">
        <f>Assets!$F$38</f>
        <v>1500</v>
      </c>
      <c r="N72" s="515">
        <f t="shared" si="148"/>
        <v>6049174.6425906969</v>
      </c>
      <c r="O72" s="1220"/>
      <c r="P72" s="514">
        <f>Assets!$G$39</f>
        <v>0.06</v>
      </c>
      <c r="Q72" s="516">
        <f>Assets!$F$39</f>
        <v>250</v>
      </c>
      <c r="R72" s="515">
        <f t="shared" si="149"/>
        <v>3490643.5886330381</v>
      </c>
      <c r="S72" s="1220"/>
      <c r="T72" s="514">
        <f>Assets!$G$40</f>
        <v>0</v>
      </c>
      <c r="U72" s="517">
        <f>Assets!$F$40</f>
        <v>0</v>
      </c>
      <c r="V72" s="515">
        <f t="shared" si="150"/>
        <v>0</v>
      </c>
      <c r="W72" s="1220"/>
      <c r="X72" s="514">
        <f>Assets!$G$41</f>
        <v>0</v>
      </c>
      <c r="Y72" s="517">
        <f>Assets!$F$41</f>
        <v>0</v>
      </c>
      <c r="Z72" s="515">
        <f t="shared" si="151"/>
        <v>0</v>
      </c>
      <c r="AA72" s="1220"/>
      <c r="AB72" s="514">
        <f>Assets!$G$42</f>
        <v>0</v>
      </c>
      <c r="AC72" s="515">
        <f>Assets!$F$42</f>
        <v>0</v>
      </c>
      <c r="AD72" s="515">
        <f t="shared" si="152"/>
        <v>0</v>
      </c>
      <c r="AE72" s="1220"/>
      <c r="AF72" s="514">
        <f>Assets!$G$43</f>
        <v>0</v>
      </c>
      <c r="AG72" s="515">
        <f>Assets!$F$43</f>
        <v>0</v>
      </c>
      <c r="AH72" s="515">
        <f t="shared" si="153"/>
        <v>0</v>
      </c>
      <c r="AI72" s="1220"/>
      <c r="AJ72" s="514">
        <f>Assets!$G$44</f>
        <v>0</v>
      </c>
      <c r="AK72" s="515">
        <f>Assets!$F$44</f>
        <v>0</v>
      </c>
      <c r="AL72" s="515">
        <f t="shared" si="154"/>
        <v>0</v>
      </c>
      <c r="AM72" s="1220"/>
      <c r="AN72" s="514">
        <f>Assets!$G$45</f>
        <v>0</v>
      </c>
      <c r="AO72" s="515">
        <f>Assets!$F$45</f>
        <v>0</v>
      </c>
      <c r="AP72" s="515">
        <f t="shared" si="155"/>
        <v>0</v>
      </c>
      <c r="AQ72" s="1220"/>
      <c r="AR72" s="514">
        <f>Assets!$G$46</f>
        <v>0</v>
      </c>
      <c r="AS72" s="515">
        <f>Assets!$F$46</f>
        <v>0</v>
      </c>
      <c r="AT72" s="515">
        <f t="shared" si="156"/>
        <v>0</v>
      </c>
      <c r="AU72" s="1220"/>
      <c r="AV72" s="514">
        <f>Assets!$G$47</f>
        <v>0</v>
      </c>
      <c r="AW72" s="515">
        <f>Assets!F$47</f>
        <v>0</v>
      </c>
      <c r="AX72" s="515">
        <f t="shared" si="157"/>
        <v>0</v>
      </c>
      <c r="AY72" s="1220"/>
      <c r="AZ72" s="514">
        <f>Assets!$G$48</f>
        <v>0</v>
      </c>
      <c r="BA72" s="515">
        <f>Assets!$F$48</f>
        <v>0</v>
      </c>
      <c r="BB72" s="515">
        <f t="shared" si="158"/>
        <v>0</v>
      </c>
      <c r="BC72" s="502"/>
      <c r="BD72" s="2005"/>
      <c r="BE72" s="523"/>
      <c r="BF72" s="523"/>
      <c r="BG72" s="1331">
        <f t="shared" si="159"/>
        <v>9260313.4183095451</v>
      </c>
      <c r="BH72" s="1331">
        <f t="shared" si="160"/>
        <v>6049174.6425906969</v>
      </c>
      <c r="BI72" s="1331">
        <f t="shared" si="161"/>
        <v>3490643.5886330381</v>
      </c>
      <c r="BJ72" s="1331">
        <f t="shared" si="162"/>
        <v>0</v>
      </c>
      <c r="BK72" s="1331">
        <f t="shared" si="163"/>
        <v>0</v>
      </c>
      <c r="BL72" s="1331">
        <f t="shared" si="164"/>
        <v>0</v>
      </c>
      <c r="BM72" s="1331">
        <f t="shared" si="165"/>
        <v>0</v>
      </c>
      <c r="BN72" s="1331">
        <f t="shared" si="166"/>
        <v>0</v>
      </c>
      <c r="BO72" s="1331">
        <f t="shared" si="167"/>
        <v>0</v>
      </c>
      <c r="BP72" s="1331">
        <f t="shared" si="168"/>
        <v>0</v>
      </c>
      <c r="BQ72" s="1331">
        <f t="shared" si="169"/>
        <v>0</v>
      </c>
      <c r="BR72" s="1331">
        <f t="shared" si="170"/>
        <v>0</v>
      </c>
      <c r="BS72" s="523"/>
      <c r="BT72" s="523"/>
      <c r="BU72" s="523"/>
      <c r="BV72" s="523"/>
      <c r="BW72" s="1333">
        <f t="shared" ca="1" si="53"/>
        <v>2087</v>
      </c>
      <c r="BX72" s="1331">
        <f t="shared" si="171"/>
        <v>15309488.060900241</v>
      </c>
      <c r="BY72" s="1331">
        <f t="shared" ca="1" si="196"/>
        <v>3490643.5886330381</v>
      </c>
      <c r="BZ72" s="1336">
        <f t="shared" si="172"/>
        <v>9260313.4183095451</v>
      </c>
      <c r="CA72" s="1336">
        <f t="shared" si="173"/>
        <v>6049174.6425906969</v>
      </c>
      <c r="CB72" s="1336">
        <f t="shared" si="174"/>
        <v>0</v>
      </c>
      <c r="CC72" s="1336">
        <f t="shared" si="175"/>
        <v>0</v>
      </c>
      <c r="CD72" s="1336">
        <f t="shared" si="176"/>
        <v>0</v>
      </c>
      <c r="CE72" s="1336">
        <f t="shared" si="177"/>
        <v>0</v>
      </c>
      <c r="CF72" s="1336">
        <f t="shared" si="178"/>
        <v>0</v>
      </c>
      <c r="CG72" s="1336">
        <f t="shared" si="179"/>
        <v>0</v>
      </c>
      <c r="CH72" s="1336">
        <f t="shared" si="180"/>
        <v>0</v>
      </c>
      <c r="CI72" s="1336">
        <f t="shared" si="181"/>
        <v>0</v>
      </c>
      <c r="CJ72" s="1336">
        <f t="shared" si="182"/>
        <v>0</v>
      </c>
      <c r="CK72" s="1336">
        <f t="shared" si="183"/>
        <v>0</v>
      </c>
      <c r="CL72" s="1336"/>
      <c r="CM72" s="1336">
        <f t="shared" si="184"/>
        <v>0</v>
      </c>
      <c r="CN72" s="1336">
        <f t="shared" si="185"/>
        <v>0</v>
      </c>
      <c r="CO72" s="1336">
        <f t="shared" si="186"/>
        <v>3490643.5886330381</v>
      </c>
      <c r="CP72" s="1336">
        <f t="shared" si="187"/>
        <v>0</v>
      </c>
      <c r="CQ72" s="1336">
        <f t="shared" si="188"/>
        <v>0</v>
      </c>
      <c r="CR72" s="1336">
        <f t="shared" si="189"/>
        <v>0</v>
      </c>
      <c r="CS72" s="1336">
        <f t="shared" si="190"/>
        <v>0</v>
      </c>
      <c r="CT72" s="1336">
        <f t="shared" si="191"/>
        <v>0</v>
      </c>
      <c r="CU72" s="1336">
        <f t="shared" si="192"/>
        <v>0</v>
      </c>
      <c r="CV72" s="1336">
        <f t="shared" si="193"/>
        <v>0</v>
      </c>
      <c r="CW72" s="1336">
        <f t="shared" si="194"/>
        <v>0</v>
      </c>
      <c r="CX72" s="1336">
        <f t="shared" si="195"/>
        <v>0</v>
      </c>
      <c r="CY72" s="1336"/>
      <c r="CZ72" s="1336"/>
      <c r="DA72" s="1334">
        <f ca="1">Rental!Y102</f>
        <v>0</v>
      </c>
      <c r="DB72" s="1334">
        <f ca="1">Rental!AD102</f>
        <v>0</v>
      </c>
      <c r="DC72" s="1972"/>
      <c r="DD72" s="1761"/>
      <c r="DE72" s="1761"/>
      <c r="DF72" s="1335"/>
      <c r="DG72" s="1335"/>
      <c r="DH72" s="1335"/>
      <c r="DI72" s="1335"/>
      <c r="DJ72" s="1335"/>
      <c r="DK72" s="1335"/>
      <c r="DL72" s="1335"/>
      <c r="DM72" s="1335"/>
      <c r="DN72" s="1335"/>
      <c r="DO72" s="1335"/>
      <c r="DP72" s="1335"/>
      <c r="DQ72" s="1335"/>
      <c r="DR72" s="1335"/>
      <c r="DS72" s="1335"/>
      <c r="DT72" s="1335"/>
    </row>
    <row r="73" spans="1:124" s="1185" customFormat="1" ht="18" customHeight="1">
      <c r="A73" s="523">
        <f ca="1">IF(E73=YEAR(Retire!$D$12),1,0)</f>
        <v>0</v>
      </c>
      <c r="B73" s="502"/>
      <c r="C73" s="503" t="str">
        <f ca="1">IF(E73=Retire!$D$12,"==&gt;","")</f>
        <v/>
      </c>
      <c r="D73" s="504">
        <f t="shared" si="132"/>
        <v>67</v>
      </c>
      <c r="E73" s="504">
        <f t="shared" ca="1" si="133"/>
        <v>2088</v>
      </c>
      <c r="F73" s="505">
        <f t="shared" ca="1" si="146"/>
        <v>19825096</v>
      </c>
      <c r="G73" s="505"/>
      <c r="H73" s="506">
        <f>Assets!$G$37</f>
        <v>5.5E-2</v>
      </c>
      <c r="I73" s="507">
        <f>Assets!$F$37</f>
        <v>2000</v>
      </c>
      <c r="J73" s="507">
        <f t="shared" si="147"/>
        <v>9771630.6563165709</v>
      </c>
      <c r="K73" s="1220"/>
      <c r="L73" s="506">
        <f>Assets!$G$38</f>
        <v>0.05</v>
      </c>
      <c r="M73" s="507">
        <f>Assets!$F$38</f>
        <v>1500</v>
      </c>
      <c r="N73" s="507">
        <f t="shared" si="148"/>
        <v>6353133.3747202316</v>
      </c>
      <c r="O73" s="1220"/>
      <c r="P73" s="506">
        <f>Assets!$G$39</f>
        <v>0.06</v>
      </c>
      <c r="Q73" s="508">
        <f>Assets!$F$39</f>
        <v>250</v>
      </c>
      <c r="R73" s="507">
        <f t="shared" si="149"/>
        <v>3700332.2039510203</v>
      </c>
      <c r="S73" s="1220"/>
      <c r="T73" s="506">
        <f>Assets!$G$40</f>
        <v>0</v>
      </c>
      <c r="U73" s="510">
        <f>Assets!$F$40</f>
        <v>0</v>
      </c>
      <c r="V73" s="507">
        <f t="shared" si="150"/>
        <v>0</v>
      </c>
      <c r="W73" s="1220"/>
      <c r="X73" s="506">
        <f>Assets!$G$41</f>
        <v>0</v>
      </c>
      <c r="Y73" s="510">
        <f>Assets!$F$41</f>
        <v>0</v>
      </c>
      <c r="Z73" s="507">
        <f t="shared" si="151"/>
        <v>0</v>
      </c>
      <c r="AA73" s="1220"/>
      <c r="AB73" s="506">
        <f>Assets!$G$42</f>
        <v>0</v>
      </c>
      <c r="AC73" s="507">
        <f>Assets!$F$42</f>
        <v>0</v>
      </c>
      <c r="AD73" s="507">
        <f t="shared" si="152"/>
        <v>0</v>
      </c>
      <c r="AE73" s="1220"/>
      <c r="AF73" s="506">
        <f>Assets!$G$43</f>
        <v>0</v>
      </c>
      <c r="AG73" s="507">
        <f>Assets!$F$43</f>
        <v>0</v>
      </c>
      <c r="AH73" s="507">
        <f t="shared" si="153"/>
        <v>0</v>
      </c>
      <c r="AI73" s="1220"/>
      <c r="AJ73" s="506">
        <f>Assets!$G$44</f>
        <v>0</v>
      </c>
      <c r="AK73" s="507">
        <f>Assets!$F$44</f>
        <v>0</v>
      </c>
      <c r="AL73" s="507">
        <f t="shared" si="154"/>
        <v>0</v>
      </c>
      <c r="AM73" s="1220"/>
      <c r="AN73" s="506">
        <f>Assets!$G$45</f>
        <v>0</v>
      </c>
      <c r="AO73" s="507">
        <f>Assets!$F$45</f>
        <v>0</v>
      </c>
      <c r="AP73" s="507">
        <f t="shared" si="155"/>
        <v>0</v>
      </c>
      <c r="AQ73" s="1220"/>
      <c r="AR73" s="506">
        <f>Assets!$G$46</f>
        <v>0</v>
      </c>
      <c r="AS73" s="507">
        <f>Assets!$F$46</f>
        <v>0</v>
      </c>
      <c r="AT73" s="507">
        <f t="shared" si="156"/>
        <v>0</v>
      </c>
      <c r="AU73" s="1220"/>
      <c r="AV73" s="506">
        <f>Assets!$G$47</f>
        <v>0</v>
      </c>
      <c r="AW73" s="507">
        <f>Assets!F$47</f>
        <v>0</v>
      </c>
      <c r="AX73" s="507">
        <f t="shared" si="157"/>
        <v>0</v>
      </c>
      <c r="AY73" s="1220"/>
      <c r="AZ73" s="506">
        <f>Assets!$G$48</f>
        <v>0</v>
      </c>
      <c r="BA73" s="507">
        <f>Assets!$F$48</f>
        <v>0</v>
      </c>
      <c r="BB73" s="507">
        <f t="shared" si="158"/>
        <v>0</v>
      </c>
      <c r="BC73" s="502"/>
      <c r="BD73" s="2005"/>
      <c r="BE73" s="523"/>
      <c r="BF73" s="523"/>
      <c r="BG73" s="1331">
        <f t="shared" si="159"/>
        <v>9771630.6563165709</v>
      </c>
      <c r="BH73" s="1331">
        <f t="shared" si="160"/>
        <v>6353133.3747202316</v>
      </c>
      <c r="BI73" s="1331">
        <f t="shared" si="161"/>
        <v>3700332.2039510203</v>
      </c>
      <c r="BJ73" s="1331">
        <f t="shared" si="162"/>
        <v>0</v>
      </c>
      <c r="BK73" s="1331">
        <f t="shared" si="163"/>
        <v>0</v>
      </c>
      <c r="BL73" s="1331">
        <f t="shared" si="164"/>
        <v>0</v>
      </c>
      <c r="BM73" s="1331">
        <f t="shared" si="165"/>
        <v>0</v>
      </c>
      <c r="BN73" s="1331">
        <f t="shared" si="166"/>
        <v>0</v>
      </c>
      <c r="BO73" s="1331">
        <f t="shared" si="167"/>
        <v>0</v>
      </c>
      <c r="BP73" s="1331">
        <f t="shared" si="168"/>
        <v>0</v>
      </c>
      <c r="BQ73" s="1331">
        <f t="shared" si="169"/>
        <v>0</v>
      </c>
      <c r="BR73" s="1331">
        <f t="shared" si="170"/>
        <v>0</v>
      </c>
      <c r="BS73" s="523"/>
      <c r="BT73" s="523"/>
      <c r="BU73" s="523"/>
      <c r="BV73" s="523"/>
      <c r="BW73" s="1333">
        <f t="shared" ref="BW73:BW131" ca="1" si="197">BW72+1</f>
        <v>2088</v>
      </c>
      <c r="BX73" s="1331">
        <f t="shared" si="171"/>
        <v>16124764.031036802</v>
      </c>
      <c r="BY73" s="1331">
        <f t="shared" ca="1" si="196"/>
        <v>3700332.2039510203</v>
      </c>
      <c r="BZ73" s="1336">
        <f t="shared" si="172"/>
        <v>9771630.6563165709</v>
      </c>
      <c r="CA73" s="1336">
        <f t="shared" si="173"/>
        <v>6353133.3747202316</v>
      </c>
      <c r="CB73" s="1336">
        <f t="shared" si="174"/>
        <v>0</v>
      </c>
      <c r="CC73" s="1336">
        <f t="shared" si="175"/>
        <v>0</v>
      </c>
      <c r="CD73" s="1336">
        <f t="shared" si="176"/>
        <v>0</v>
      </c>
      <c r="CE73" s="1336">
        <f t="shared" si="177"/>
        <v>0</v>
      </c>
      <c r="CF73" s="1336">
        <f t="shared" si="178"/>
        <v>0</v>
      </c>
      <c r="CG73" s="1336">
        <f t="shared" si="179"/>
        <v>0</v>
      </c>
      <c r="CH73" s="1336">
        <f t="shared" si="180"/>
        <v>0</v>
      </c>
      <c r="CI73" s="1336">
        <f t="shared" si="181"/>
        <v>0</v>
      </c>
      <c r="CJ73" s="1336">
        <f t="shared" si="182"/>
        <v>0</v>
      </c>
      <c r="CK73" s="1336">
        <f t="shared" si="183"/>
        <v>0</v>
      </c>
      <c r="CL73" s="1336"/>
      <c r="CM73" s="1336">
        <f t="shared" si="184"/>
        <v>0</v>
      </c>
      <c r="CN73" s="1336">
        <f t="shared" si="185"/>
        <v>0</v>
      </c>
      <c r="CO73" s="1336">
        <f t="shared" si="186"/>
        <v>3700332.2039510203</v>
      </c>
      <c r="CP73" s="1336">
        <f t="shared" si="187"/>
        <v>0</v>
      </c>
      <c r="CQ73" s="1336">
        <f t="shared" si="188"/>
        <v>0</v>
      </c>
      <c r="CR73" s="1336">
        <f t="shared" si="189"/>
        <v>0</v>
      </c>
      <c r="CS73" s="1336">
        <f t="shared" si="190"/>
        <v>0</v>
      </c>
      <c r="CT73" s="1336">
        <f t="shared" si="191"/>
        <v>0</v>
      </c>
      <c r="CU73" s="1336">
        <f t="shared" si="192"/>
        <v>0</v>
      </c>
      <c r="CV73" s="1336">
        <f t="shared" si="193"/>
        <v>0</v>
      </c>
      <c r="CW73" s="1336">
        <f t="shared" si="194"/>
        <v>0</v>
      </c>
      <c r="CX73" s="1336">
        <f t="shared" si="195"/>
        <v>0</v>
      </c>
      <c r="CY73" s="1336"/>
      <c r="CZ73" s="1336"/>
      <c r="DA73" s="1334">
        <f ca="1">Rental!Y103</f>
        <v>0</v>
      </c>
      <c r="DB73" s="1334">
        <f ca="1">Rental!AD103</f>
        <v>0</v>
      </c>
      <c r="DC73" s="1972"/>
      <c r="DD73" s="1761"/>
      <c r="DE73" s="1761"/>
      <c r="DF73" s="1335"/>
      <c r="DG73" s="1335"/>
      <c r="DH73" s="1335"/>
      <c r="DI73" s="1335"/>
      <c r="DJ73" s="1335"/>
      <c r="DK73" s="1335"/>
      <c r="DL73" s="1335"/>
      <c r="DM73" s="1335"/>
      <c r="DN73" s="1335"/>
      <c r="DO73" s="1335"/>
      <c r="DP73" s="1335"/>
      <c r="DQ73" s="1335"/>
      <c r="DR73" s="1335"/>
      <c r="DS73" s="1335"/>
      <c r="DT73" s="1335"/>
    </row>
    <row r="74" spans="1:124" s="1185" customFormat="1" ht="18" customHeight="1">
      <c r="A74" s="523">
        <f ca="1">IF(E74=YEAR(Retire!$D$12),1,0)</f>
        <v>0</v>
      </c>
      <c r="B74" s="502"/>
      <c r="C74" s="503" t="str">
        <f ca="1">IF(E74=Retire!$D$12,"==&gt;","")</f>
        <v/>
      </c>
      <c r="D74" s="512">
        <f t="shared" si="132"/>
        <v>68</v>
      </c>
      <c r="E74" s="512">
        <f t="shared" ca="1" si="133"/>
        <v>2089</v>
      </c>
      <c r="F74" s="513">
        <f t="shared" ca="1" si="146"/>
        <v>20905963</v>
      </c>
      <c r="G74" s="513"/>
      <c r="H74" s="514">
        <f>Assets!$G$37</f>
        <v>5.5E-2</v>
      </c>
      <c r="I74" s="515">
        <f>Assets!$F$37</f>
        <v>2000</v>
      </c>
      <c r="J74" s="515">
        <f t="shared" si="147"/>
        <v>10311070.342413982</v>
      </c>
      <c r="K74" s="1220"/>
      <c r="L74" s="514">
        <f>Assets!$G$38</f>
        <v>0.05</v>
      </c>
      <c r="M74" s="515">
        <f>Assets!$F$38</f>
        <v>1500</v>
      </c>
      <c r="N74" s="515">
        <f t="shared" si="148"/>
        <v>6672290.0434562434</v>
      </c>
      <c r="O74" s="1220"/>
      <c r="P74" s="514">
        <f>Assets!$G$39</f>
        <v>0.06</v>
      </c>
      <c r="Q74" s="516">
        <f>Assets!$F$39</f>
        <v>250</v>
      </c>
      <c r="R74" s="515">
        <f t="shared" si="149"/>
        <v>3922602.1361880815</v>
      </c>
      <c r="S74" s="1220"/>
      <c r="T74" s="514">
        <f>Assets!$G$40</f>
        <v>0</v>
      </c>
      <c r="U74" s="517">
        <f>Assets!$F$40</f>
        <v>0</v>
      </c>
      <c r="V74" s="515">
        <f t="shared" si="150"/>
        <v>0</v>
      </c>
      <c r="W74" s="1220"/>
      <c r="X74" s="514">
        <f>Assets!$G$41</f>
        <v>0</v>
      </c>
      <c r="Y74" s="517">
        <f>Assets!$F$41</f>
        <v>0</v>
      </c>
      <c r="Z74" s="515">
        <f t="shared" si="151"/>
        <v>0</v>
      </c>
      <c r="AA74" s="1220"/>
      <c r="AB74" s="514">
        <f>Assets!$G$42</f>
        <v>0</v>
      </c>
      <c r="AC74" s="515">
        <f>Assets!$F$42</f>
        <v>0</v>
      </c>
      <c r="AD74" s="515">
        <f t="shared" si="152"/>
        <v>0</v>
      </c>
      <c r="AE74" s="1220"/>
      <c r="AF74" s="514">
        <f>Assets!$G$43</f>
        <v>0</v>
      </c>
      <c r="AG74" s="515">
        <f>Assets!$F$43</f>
        <v>0</v>
      </c>
      <c r="AH74" s="515">
        <f t="shared" si="153"/>
        <v>0</v>
      </c>
      <c r="AI74" s="1220"/>
      <c r="AJ74" s="514">
        <f>Assets!$G$44</f>
        <v>0</v>
      </c>
      <c r="AK74" s="515">
        <f>Assets!$F$44</f>
        <v>0</v>
      </c>
      <c r="AL74" s="515">
        <f t="shared" si="154"/>
        <v>0</v>
      </c>
      <c r="AM74" s="1220"/>
      <c r="AN74" s="514">
        <f>Assets!$G$45</f>
        <v>0</v>
      </c>
      <c r="AO74" s="515">
        <f>Assets!$F$45</f>
        <v>0</v>
      </c>
      <c r="AP74" s="515">
        <f t="shared" si="155"/>
        <v>0</v>
      </c>
      <c r="AQ74" s="1220"/>
      <c r="AR74" s="514">
        <f>Assets!$G$46</f>
        <v>0</v>
      </c>
      <c r="AS74" s="515">
        <f>Assets!$F$46</f>
        <v>0</v>
      </c>
      <c r="AT74" s="515">
        <f t="shared" si="156"/>
        <v>0</v>
      </c>
      <c r="AU74" s="1220"/>
      <c r="AV74" s="514">
        <f>Assets!$G$47</f>
        <v>0</v>
      </c>
      <c r="AW74" s="515">
        <f>Assets!F$47</f>
        <v>0</v>
      </c>
      <c r="AX74" s="515">
        <f t="shared" si="157"/>
        <v>0</v>
      </c>
      <c r="AY74" s="1220"/>
      <c r="AZ74" s="514">
        <f>Assets!$G$48</f>
        <v>0</v>
      </c>
      <c r="BA74" s="515">
        <f>Assets!$F$48</f>
        <v>0</v>
      </c>
      <c r="BB74" s="515">
        <f t="shared" si="158"/>
        <v>0</v>
      </c>
      <c r="BC74" s="502"/>
      <c r="BD74" s="2005"/>
      <c r="BE74" s="523"/>
      <c r="BF74" s="523"/>
      <c r="BG74" s="1331">
        <f t="shared" si="159"/>
        <v>10311070.342413982</v>
      </c>
      <c r="BH74" s="1331">
        <f t="shared" si="160"/>
        <v>6672290.0434562434</v>
      </c>
      <c r="BI74" s="1331">
        <f t="shared" si="161"/>
        <v>3922602.1361880815</v>
      </c>
      <c r="BJ74" s="1331">
        <f t="shared" si="162"/>
        <v>0</v>
      </c>
      <c r="BK74" s="1331">
        <f t="shared" si="163"/>
        <v>0</v>
      </c>
      <c r="BL74" s="1331">
        <f t="shared" si="164"/>
        <v>0</v>
      </c>
      <c r="BM74" s="1331">
        <f t="shared" si="165"/>
        <v>0</v>
      </c>
      <c r="BN74" s="1331">
        <f t="shared" si="166"/>
        <v>0</v>
      </c>
      <c r="BO74" s="1331">
        <f t="shared" si="167"/>
        <v>0</v>
      </c>
      <c r="BP74" s="1331">
        <f t="shared" si="168"/>
        <v>0</v>
      </c>
      <c r="BQ74" s="1331">
        <f t="shared" si="169"/>
        <v>0</v>
      </c>
      <c r="BR74" s="1331">
        <f t="shared" si="170"/>
        <v>0</v>
      </c>
      <c r="BS74" s="523"/>
      <c r="BT74" s="523"/>
      <c r="BU74" s="523"/>
      <c r="BV74" s="523"/>
      <c r="BW74" s="1333">
        <f t="shared" ca="1" si="197"/>
        <v>2089</v>
      </c>
      <c r="BX74" s="1331">
        <f t="shared" si="171"/>
        <v>16983360.385870226</v>
      </c>
      <c r="BY74" s="1331">
        <f t="shared" ca="1" si="196"/>
        <v>3922602.1361880815</v>
      </c>
      <c r="BZ74" s="1336">
        <f t="shared" si="172"/>
        <v>10311070.342413982</v>
      </c>
      <c r="CA74" s="1336">
        <f t="shared" si="173"/>
        <v>6672290.0434562434</v>
      </c>
      <c r="CB74" s="1336">
        <f t="shared" si="174"/>
        <v>0</v>
      </c>
      <c r="CC74" s="1336">
        <f t="shared" si="175"/>
        <v>0</v>
      </c>
      <c r="CD74" s="1336">
        <f t="shared" si="176"/>
        <v>0</v>
      </c>
      <c r="CE74" s="1336">
        <f t="shared" si="177"/>
        <v>0</v>
      </c>
      <c r="CF74" s="1336">
        <f t="shared" si="178"/>
        <v>0</v>
      </c>
      <c r="CG74" s="1336">
        <f t="shared" si="179"/>
        <v>0</v>
      </c>
      <c r="CH74" s="1336">
        <f t="shared" si="180"/>
        <v>0</v>
      </c>
      <c r="CI74" s="1336">
        <f t="shared" si="181"/>
        <v>0</v>
      </c>
      <c r="CJ74" s="1336">
        <f t="shared" si="182"/>
        <v>0</v>
      </c>
      <c r="CK74" s="1336">
        <f t="shared" si="183"/>
        <v>0</v>
      </c>
      <c r="CL74" s="1336"/>
      <c r="CM74" s="1336">
        <f t="shared" si="184"/>
        <v>0</v>
      </c>
      <c r="CN74" s="1336">
        <f t="shared" si="185"/>
        <v>0</v>
      </c>
      <c r="CO74" s="1336">
        <f t="shared" si="186"/>
        <v>3922602.1361880815</v>
      </c>
      <c r="CP74" s="1336">
        <f t="shared" si="187"/>
        <v>0</v>
      </c>
      <c r="CQ74" s="1336">
        <f t="shared" si="188"/>
        <v>0</v>
      </c>
      <c r="CR74" s="1336">
        <f t="shared" si="189"/>
        <v>0</v>
      </c>
      <c r="CS74" s="1336">
        <f t="shared" si="190"/>
        <v>0</v>
      </c>
      <c r="CT74" s="1336">
        <f t="shared" si="191"/>
        <v>0</v>
      </c>
      <c r="CU74" s="1336">
        <f t="shared" si="192"/>
        <v>0</v>
      </c>
      <c r="CV74" s="1336">
        <f t="shared" si="193"/>
        <v>0</v>
      </c>
      <c r="CW74" s="1336">
        <f t="shared" si="194"/>
        <v>0</v>
      </c>
      <c r="CX74" s="1336">
        <f t="shared" si="195"/>
        <v>0</v>
      </c>
      <c r="CY74" s="1336"/>
      <c r="CZ74" s="1336"/>
      <c r="DA74" s="1334">
        <f ca="1">Rental!Y104</f>
        <v>0</v>
      </c>
      <c r="DB74" s="1334">
        <f ca="1">Rental!AD104</f>
        <v>0</v>
      </c>
      <c r="DC74" s="1972"/>
      <c r="DD74" s="1761"/>
      <c r="DE74" s="1761"/>
      <c r="DF74" s="1335"/>
      <c r="DG74" s="1335"/>
      <c r="DH74" s="1335"/>
      <c r="DI74" s="1335"/>
      <c r="DJ74" s="1335"/>
      <c r="DK74" s="1335"/>
      <c r="DL74" s="1335"/>
      <c r="DM74" s="1335"/>
      <c r="DN74" s="1335"/>
      <c r="DO74" s="1335"/>
      <c r="DP74" s="1335"/>
      <c r="DQ74" s="1335"/>
      <c r="DR74" s="1335"/>
      <c r="DS74" s="1335"/>
      <c r="DT74" s="1335"/>
    </row>
    <row r="75" spans="1:124" s="1185" customFormat="1" ht="18" customHeight="1">
      <c r="A75" s="523">
        <f ca="1">IF(E75=YEAR(Retire!$D$12),1,0)</f>
        <v>0</v>
      </c>
      <c r="B75" s="502"/>
      <c r="C75" s="503" t="str">
        <f ca="1">IF(E75=Retire!$D$12,"==&gt;","")</f>
        <v/>
      </c>
      <c r="D75" s="504">
        <f t="shared" si="132"/>
        <v>69</v>
      </c>
      <c r="E75" s="504">
        <f t="shared" ca="1" si="133"/>
        <v>2090</v>
      </c>
      <c r="F75" s="505">
        <f t="shared" ca="1" si="146"/>
        <v>22045792</v>
      </c>
      <c r="G75" s="505"/>
      <c r="H75" s="506">
        <f>Assets!$G$37</f>
        <v>5.5E-2</v>
      </c>
      <c r="I75" s="507">
        <f>Assets!$F$37</f>
        <v>2000</v>
      </c>
      <c r="J75" s="507">
        <f t="shared" si="147"/>
        <v>10880179.211246751</v>
      </c>
      <c r="K75" s="1220"/>
      <c r="L75" s="506">
        <f>Assets!$G$38</f>
        <v>0.05</v>
      </c>
      <c r="M75" s="507">
        <f>Assets!$F$38</f>
        <v>1500</v>
      </c>
      <c r="N75" s="507">
        <f t="shared" si="148"/>
        <v>7007404.5456290552</v>
      </c>
      <c r="O75" s="1220"/>
      <c r="P75" s="506">
        <f>Assets!$G$39</f>
        <v>0.06</v>
      </c>
      <c r="Q75" s="508">
        <f>Assets!$F$39</f>
        <v>250</v>
      </c>
      <c r="R75" s="507">
        <f t="shared" si="149"/>
        <v>4158208.2643593661</v>
      </c>
      <c r="S75" s="1220"/>
      <c r="T75" s="506">
        <f>Assets!$G$40</f>
        <v>0</v>
      </c>
      <c r="U75" s="510">
        <f>Assets!$F$40</f>
        <v>0</v>
      </c>
      <c r="V75" s="507">
        <f t="shared" si="150"/>
        <v>0</v>
      </c>
      <c r="W75" s="1220"/>
      <c r="X75" s="506">
        <f>Assets!$G$41</f>
        <v>0</v>
      </c>
      <c r="Y75" s="510">
        <f>Assets!$F$41</f>
        <v>0</v>
      </c>
      <c r="Z75" s="507">
        <f t="shared" si="151"/>
        <v>0</v>
      </c>
      <c r="AA75" s="1220"/>
      <c r="AB75" s="506">
        <f>Assets!$G$42</f>
        <v>0</v>
      </c>
      <c r="AC75" s="507">
        <f>Assets!$F$42</f>
        <v>0</v>
      </c>
      <c r="AD75" s="507">
        <f t="shared" si="152"/>
        <v>0</v>
      </c>
      <c r="AE75" s="1220"/>
      <c r="AF75" s="506">
        <f>Assets!$G$43</f>
        <v>0</v>
      </c>
      <c r="AG75" s="507">
        <f>Assets!$F$43</f>
        <v>0</v>
      </c>
      <c r="AH75" s="507">
        <f t="shared" si="153"/>
        <v>0</v>
      </c>
      <c r="AI75" s="1220"/>
      <c r="AJ75" s="506">
        <f>Assets!$G$44</f>
        <v>0</v>
      </c>
      <c r="AK75" s="507">
        <f>Assets!$F$44</f>
        <v>0</v>
      </c>
      <c r="AL75" s="507">
        <f t="shared" si="154"/>
        <v>0</v>
      </c>
      <c r="AM75" s="1220"/>
      <c r="AN75" s="506">
        <f>Assets!$G$45</f>
        <v>0</v>
      </c>
      <c r="AO75" s="507">
        <f>Assets!$F$45</f>
        <v>0</v>
      </c>
      <c r="AP75" s="507">
        <f t="shared" si="155"/>
        <v>0</v>
      </c>
      <c r="AQ75" s="1220"/>
      <c r="AR75" s="506">
        <f>Assets!$G$46</f>
        <v>0</v>
      </c>
      <c r="AS75" s="507">
        <f>Assets!$F$46</f>
        <v>0</v>
      </c>
      <c r="AT75" s="507">
        <f t="shared" si="156"/>
        <v>0</v>
      </c>
      <c r="AU75" s="1220"/>
      <c r="AV75" s="506">
        <f>Assets!$G$47</f>
        <v>0</v>
      </c>
      <c r="AW75" s="507">
        <f>Assets!F$47</f>
        <v>0</v>
      </c>
      <c r="AX75" s="507">
        <f t="shared" si="157"/>
        <v>0</v>
      </c>
      <c r="AY75" s="1220"/>
      <c r="AZ75" s="506">
        <f>Assets!$G$48</f>
        <v>0</v>
      </c>
      <c r="BA75" s="507">
        <f>Assets!$F$48</f>
        <v>0</v>
      </c>
      <c r="BB75" s="507">
        <f t="shared" si="158"/>
        <v>0</v>
      </c>
      <c r="BC75" s="502"/>
      <c r="BD75" s="2005"/>
      <c r="BE75" s="523"/>
      <c r="BF75" s="523"/>
      <c r="BG75" s="1331">
        <f t="shared" si="159"/>
        <v>10880179.211246751</v>
      </c>
      <c r="BH75" s="1331">
        <f t="shared" si="160"/>
        <v>7007404.5456290552</v>
      </c>
      <c r="BI75" s="1331">
        <f t="shared" si="161"/>
        <v>4158208.2643593661</v>
      </c>
      <c r="BJ75" s="1331">
        <f t="shared" si="162"/>
        <v>0</v>
      </c>
      <c r="BK75" s="1331">
        <f t="shared" si="163"/>
        <v>0</v>
      </c>
      <c r="BL75" s="1331">
        <f t="shared" si="164"/>
        <v>0</v>
      </c>
      <c r="BM75" s="1331">
        <f t="shared" si="165"/>
        <v>0</v>
      </c>
      <c r="BN75" s="1331">
        <f t="shared" si="166"/>
        <v>0</v>
      </c>
      <c r="BO75" s="1331">
        <f t="shared" si="167"/>
        <v>0</v>
      </c>
      <c r="BP75" s="1331">
        <f t="shared" si="168"/>
        <v>0</v>
      </c>
      <c r="BQ75" s="1331">
        <f t="shared" si="169"/>
        <v>0</v>
      </c>
      <c r="BR75" s="1331">
        <f t="shared" si="170"/>
        <v>0</v>
      </c>
      <c r="BS75" s="523"/>
      <c r="BT75" s="523"/>
      <c r="BU75" s="523"/>
      <c r="BV75" s="523"/>
      <c r="BW75" s="1333">
        <f t="shared" ca="1" si="197"/>
        <v>2090</v>
      </c>
      <c r="BX75" s="1331">
        <f t="shared" si="171"/>
        <v>17887583.756875806</v>
      </c>
      <c r="BY75" s="1331">
        <f t="shared" ca="1" si="196"/>
        <v>4158208.2643593661</v>
      </c>
      <c r="BZ75" s="1336">
        <f t="shared" si="172"/>
        <v>10880179.211246751</v>
      </c>
      <c r="CA75" s="1336">
        <f t="shared" si="173"/>
        <v>7007404.5456290552</v>
      </c>
      <c r="CB75" s="1336">
        <f t="shared" si="174"/>
        <v>0</v>
      </c>
      <c r="CC75" s="1336">
        <f t="shared" si="175"/>
        <v>0</v>
      </c>
      <c r="CD75" s="1336">
        <f t="shared" si="176"/>
        <v>0</v>
      </c>
      <c r="CE75" s="1336">
        <f t="shared" si="177"/>
        <v>0</v>
      </c>
      <c r="CF75" s="1336">
        <f t="shared" si="178"/>
        <v>0</v>
      </c>
      <c r="CG75" s="1336">
        <f t="shared" si="179"/>
        <v>0</v>
      </c>
      <c r="CH75" s="1336">
        <f t="shared" si="180"/>
        <v>0</v>
      </c>
      <c r="CI75" s="1336">
        <f t="shared" si="181"/>
        <v>0</v>
      </c>
      <c r="CJ75" s="1336">
        <f t="shared" si="182"/>
        <v>0</v>
      </c>
      <c r="CK75" s="1336">
        <f t="shared" si="183"/>
        <v>0</v>
      </c>
      <c r="CL75" s="1336"/>
      <c r="CM75" s="1336">
        <f t="shared" si="184"/>
        <v>0</v>
      </c>
      <c r="CN75" s="1336">
        <f t="shared" si="185"/>
        <v>0</v>
      </c>
      <c r="CO75" s="1336">
        <f t="shared" si="186"/>
        <v>4158208.2643593661</v>
      </c>
      <c r="CP75" s="1336">
        <f t="shared" si="187"/>
        <v>0</v>
      </c>
      <c r="CQ75" s="1336">
        <f t="shared" si="188"/>
        <v>0</v>
      </c>
      <c r="CR75" s="1336">
        <f t="shared" si="189"/>
        <v>0</v>
      </c>
      <c r="CS75" s="1336">
        <f t="shared" si="190"/>
        <v>0</v>
      </c>
      <c r="CT75" s="1336">
        <f t="shared" si="191"/>
        <v>0</v>
      </c>
      <c r="CU75" s="1336">
        <f t="shared" si="192"/>
        <v>0</v>
      </c>
      <c r="CV75" s="1336">
        <f t="shared" si="193"/>
        <v>0</v>
      </c>
      <c r="CW75" s="1336">
        <f t="shared" si="194"/>
        <v>0</v>
      </c>
      <c r="CX75" s="1336">
        <f t="shared" si="195"/>
        <v>0</v>
      </c>
      <c r="CY75" s="1336"/>
      <c r="CZ75" s="1336"/>
      <c r="DA75" s="1334">
        <f ca="1">Rental!Y105</f>
        <v>0</v>
      </c>
      <c r="DB75" s="1334">
        <f ca="1">Rental!AD105</f>
        <v>0</v>
      </c>
      <c r="DC75" s="1972"/>
      <c r="DD75" s="1761"/>
      <c r="DE75" s="1761"/>
      <c r="DF75" s="1335"/>
      <c r="DG75" s="1335"/>
      <c r="DH75" s="1335"/>
      <c r="DI75" s="1335"/>
      <c r="DJ75" s="1335"/>
      <c r="DK75" s="1335"/>
      <c r="DL75" s="1335"/>
      <c r="DM75" s="1335"/>
      <c r="DN75" s="1335"/>
      <c r="DO75" s="1335"/>
      <c r="DP75" s="1335"/>
      <c r="DQ75" s="1335"/>
      <c r="DR75" s="1335"/>
      <c r="DS75" s="1335"/>
      <c r="DT75" s="1335"/>
    </row>
    <row r="76" spans="1:124" s="1185" customFormat="1" ht="18" customHeight="1">
      <c r="A76" s="523">
        <f ca="1">IF(E76=YEAR(Retire!$D$12),1,0)</f>
        <v>0</v>
      </c>
      <c r="B76" s="502"/>
      <c r="C76" s="503" t="str">
        <f ca="1">IF(E76=Retire!$D$12,"==&gt;","")</f>
        <v/>
      </c>
      <c r="D76" s="512">
        <f t="shared" si="132"/>
        <v>70</v>
      </c>
      <c r="E76" s="512">
        <f t="shared" ca="1" si="133"/>
        <v>2091</v>
      </c>
      <c r="F76" s="513">
        <f t="shared" ca="1" si="146"/>
        <v>23247815</v>
      </c>
      <c r="G76" s="513"/>
      <c r="H76" s="514">
        <f>Assets!$G$37</f>
        <v>5.5E-2</v>
      </c>
      <c r="I76" s="515">
        <f>Assets!$F$37</f>
        <v>2000</v>
      </c>
      <c r="J76" s="515">
        <f t="shared" si="147"/>
        <v>11480589.067865323</v>
      </c>
      <c r="K76" s="1220"/>
      <c r="L76" s="514">
        <f>Assets!$G$38</f>
        <v>0.05</v>
      </c>
      <c r="M76" s="515">
        <f>Assets!$F$38</f>
        <v>1500</v>
      </c>
      <c r="N76" s="515">
        <f t="shared" si="148"/>
        <v>7359274.7729105083</v>
      </c>
      <c r="O76" s="1220"/>
      <c r="P76" s="514">
        <f>Assets!$G$39</f>
        <v>0.06</v>
      </c>
      <c r="Q76" s="516">
        <f>Assets!$F$39</f>
        <v>250</v>
      </c>
      <c r="R76" s="515">
        <f t="shared" si="149"/>
        <v>4407950.7602209281</v>
      </c>
      <c r="S76" s="1220"/>
      <c r="T76" s="514">
        <f>Assets!$G$40</f>
        <v>0</v>
      </c>
      <c r="U76" s="517">
        <f>Assets!$F$40</f>
        <v>0</v>
      </c>
      <c r="V76" s="515">
        <f t="shared" si="150"/>
        <v>0</v>
      </c>
      <c r="W76" s="1220"/>
      <c r="X76" s="514">
        <f>Assets!$G$41</f>
        <v>0</v>
      </c>
      <c r="Y76" s="517">
        <f>Assets!$F$41</f>
        <v>0</v>
      </c>
      <c r="Z76" s="515">
        <f t="shared" si="151"/>
        <v>0</v>
      </c>
      <c r="AA76" s="1220"/>
      <c r="AB76" s="514">
        <f>Assets!$G$42</f>
        <v>0</v>
      </c>
      <c r="AC76" s="515">
        <f>Assets!$F$42</f>
        <v>0</v>
      </c>
      <c r="AD76" s="515">
        <f t="shared" si="152"/>
        <v>0</v>
      </c>
      <c r="AE76" s="1220"/>
      <c r="AF76" s="514">
        <f>Assets!$G$43</f>
        <v>0</v>
      </c>
      <c r="AG76" s="515">
        <f>Assets!$F$43</f>
        <v>0</v>
      </c>
      <c r="AH76" s="515">
        <f t="shared" si="153"/>
        <v>0</v>
      </c>
      <c r="AI76" s="1220"/>
      <c r="AJ76" s="514">
        <f>Assets!$G$44</f>
        <v>0</v>
      </c>
      <c r="AK76" s="515">
        <f>Assets!$F$44</f>
        <v>0</v>
      </c>
      <c r="AL76" s="515">
        <f t="shared" si="154"/>
        <v>0</v>
      </c>
      <c r="AM76" s="1220"/>
      <c r="AN76" s="514">
        <f>Assets!$G$45</f>
        <v>0</v>
      </c>
      <c r="AO76" s="515">
        <f>Assets!$F$45</f>
        <v>0</v>
      </c>
      <c r="AP76" s="515">
        <f t="shared" si="155"/>
        <v>0</v>
      </c>
      <c r="AQ76" s="1220"/>
      <c r="AR76" s="514">
        <f>Assets!$G$46</f>
        <v>0</v>
      </c>
      <c r="AS76" s="515">
        <f>Assets!$F$46</f>
        <v>0</v>
      </c>
      <c r="AT76" s="515">
        <f t="shared" si="156"/>
        <v>0</v>
      </c>
      <c r="AU76" s="1220"/>
      <c r="AV76" s="514">
        <f>Assets!$G$47</f>
        <v>0</v>
      </c>
      <c r="AW76" s="515">
        <f>Assets!F$47</f>
        <v>0</v>
      </c>
      <c r="AX76" s="515">
        <f t="shared" si="157"/>
        <v>0</v>
      </c>
      <c r="AY76" s="1220"/>
      <c r="AZ76" s="514">
        <f>Assets!$G$48</f>
        <v>0</v>
      </c>
      <c r="BA76" s="515">
        <f>Assets!$F$48</f>
        <v>0</v>
      </c>
      <c r="BB76" s="515">
        <f t="shared" si="158"/>
        <v>0</v>
      </c>
      <c r="BC76" s="502"/>
      <c r="BD76" s="2005"/>
      <c r="BE76" s="523"/>
      <c r="BF76" s="523"/>
      <c r="BG76" s="1331">
        <f t="shared" si="159"/>
        <v>11480589.067865323</v>
      </c>
      <c r="BH76" s="1331">
        <f t="shared" si="160"/>
        <v>7359274.7729105083</v>
      </c>
      <c r="BI76" s="1331">
        <f t="shared" si="161"/>
        <v>4407950.7602209281</v>
      </c>
      <c r="BJ76" s="1331">
        <f t="shared" si="162"/>
        <v>0</v>
      </c>
      <c r="BK76" s="1331">
        <f t="shared" si="163"/>
        <v>0</v>
      </c>
      <c r="BL76" s="1331">
        <f t="shared" si="164"/>
        <v>0</v>
      </c>
      <c r="BM76" s="1331">
        <f t="shared" si="165"/>
        <v>0</v>
      </c>
      <c r="BN76" s="1331">
        <f t="shared" si="166"/>
        <v>0</v>
      </c>
      <c r="BO76" s="1331">
        <f t="shared" si="167"/>
        <v>0</v>
      </c>
      <c r="BP76" s="1331">
        <f t="shared" si="168"/>
        <v>0</v>
      </c>
      <c r="BQ76" s="1331">
        <f t="shared" si="169"/>
        <v>0</v>
      </c>
      <c r="BR76" s="1331">
        <f t="shared" si="170"/>
        <v>0</v>
      </c>
      <c r="BS76" s="523"/>
      <c r="BT76" s="523"/>
      <c r="BU76" s="523"/>
      <c r="BV76" s="523"/>
      <c r="BW76" s="1333">
        <f t="shared" ca="1" si="197"/>
        <v>2091</v>
      </c>
      <c r="BX76" s="1331">
        <f t="shared" si="171"/>
        <v>18839863.840775833</v>
      </c>
      <c r="BY76" s="1331">
        <f t="shared" ca="1" si="196"/>
        <v>4407950.7602209281</v>
      </c>
      <c r="BZ76" s="1336">
        <f t="shared" si="172"/>
        <v>11480589.067865323</v>
      </c>
      <c r="CA76" s="1336">
        <f t="shared" si="173"/>
        <v>7359274.7729105083</v>
      </c>
      <c r="CB76" s="1336">
        <f t="shared" si="174"/>
        <v>0</v>
      </c>
      <c r="CC76" s="1336">
        <f t="shared" si="175"/>
        <v>0</v>
      </c>
      <c r="CD76" s="1336">
        <f t="shared" si="176"/>
        <v>0</v>
      </c>
      <c r="CE76" s="1336">
        <f t="shared" si="177"/>
        <v>0</v>
      </c>
      <c r="CF76" s="1336">
        <f t="shared" si="178"/>
        <v>0</v>
      </c>
      <c r="CG76" s="1336">
        <f t="shared" si="179"/>
        <v>0</v>
      </c>
      <c r="CH76" s="1336">
        <f t="shared" si="180"/>
        <v>0</v>
      </c>
      <c r="CI76" s="1336">
        <f t="shared" si="181"/>
        <v>0</v>
      </c>
      <c r="CJ76" s="1336">
        <f t="shared" si="182"/>
        <v>0</v>
      </c>
      <c r="CK76" s="1336">
        <f t="shared" si="183"/>
        <v>0</v>
      </c>
      <c r="CL76" s="1336"/>
      <c r="CM76" s="1336">
        <f t="shared" si="184"/>
        <v>0</v>
      </c>
      <c r="CN76" s="1336">
        <f t="shared" si="185"/>
        <v>0</v>
      </c>
      <c r="CO76" s="1336">
        <f t="shared" si="186"/>
        <v>4407950.7602209281</v>
      </c>
      <c r="CP76" s="1336">
        <f t="shared" si="187"/>
        <v>0</v>
      </c>
      <c r="CQ76" s="1336">
        <f t="shared" si="188"/>
        <v>0</v>
      </c>
      <c r="CR76" s="1336">
        <f t="shared" si="189"/>
        <v>0</v>
      </c>
      <c r="CS76" s="1336">
        <f t="shared" si="190"/>
        <v>0</v>
      </c>
      <c r="CT76" s="1336">
        <f t="shared" si="191"/>
        <v>0</v>
      </c>
      <c r="CU76" s="1336">
        <f t="shared" si="192"/>
        <v>0</v>
      </c>
      <c r="CV76" s="1336">
        <f t="shared" si="193"/>
        <v>0</v>
      </c>
      <c r="CW76" s="1336">
        <f t="shared" si="194"/>
        <v>0</v>
      </c>
      <c r="CX76" s="1336">
        <f t="shared" si="195"/>
        <v>0</v>
      </c>
      <c r="CY76" s="1336"/>
      <c r="CZ76" s="1336"/>
      <c r="DA76" s="1334">
        <f ca="1">Rental!Y106</f>
        <v>0</v>
      </c>
      <c r="DB76" s="1334">
        <f ca="1">Rental!AD106</f>
        <v>0</v>
      </c>
      <c r="DC76" s="1972"/>
      <c r="DD76" s="1761"/>
      <c r="DE76" s="1761"/>
      <c r="DF76" s="1335"/>
      <c r="DG76" s="1335"/>
      <c r="DH76" s="1335"/>
      <c r="DI76" s="1335"/>
      <c r="DJ76" s="1335"/>
      <c r="DK76" s="1335"/>
      <c r="DL76" s="1335"/>
      <c r="DM76" s="1335"/>
      <c r="DN76" s="1335"/>
      <c r="DO76" s="1335"/>
      <c r="DP76" s="1335"/>
      <c r="DQ76" s="1335"/>
      <c r="DR76" s="1335"/>
      <c r="DS76" s="1335"/>
      <c r="DT76" s="1335"/>
    </row>
    <row r="77" spans="1:124" s="1185" customFormat="1" ht="18" customHeight="1">
      <c r="A77" s="523">
        <f ca="1">IF(E77=YEAR(Retire!$D$12),1,0)</f>
        <v>0</v>
      </c>
      <c r="B77" s="502"/>
      <c r="C77" s="503" t="str">
        <f ca="1">IF(E77=Retire!$D$12,"==&gt;","")</f>
        <v/>
      </c>
      <c r="D77" s="504">
        <f t="shared" si="132"/>
        <v>71</v>
      </c>
      <c r="E77" s="504">
        <f t="shared" ca="1" si="133"/>
        <v>2092</v>
      </c>
      <c r="F77" s="505">
        <f t="shared" ca="1" si="146"/>
        <v>24515438</v>
      </c>
      <c r="G77" s="505"/>
      <c r="H77" s="506">
        <f>Assets!$G$37</f>
        <v>5.5E-2</v>
      </c>
      <c r="I77" s="507">
        <f>Assets!$F$37</f>
        <v>2000</v>
      </c>
      <c r="J77" s="507">
        <f t="shared" si="147"/>
        <v>12114021.466597917</v>
      </c>
      <c r="K77" s="1220"/>
      <c r="L77" s="506">
        <f>Assets!$G$38</f>
        <v>0.05</v>
      </c>
      <c r="M77" s="507">
        <f>Assets!$F$38</f>
        <v>1500</v>
      </c>
      <c r="N77" s="507">
        <f t="shared" si="148"/>
        <v>7728738.511556034</v>
      </c>
      <c r="O77" s="1220"/>
      <c r="P77" s="506">
        <f>Assets!$G$39</f>
        <v>0.06</v>
      </c>
      <c r="Q77" s="508">
        <f>Assets!$F$39</f>
        <v>250</v>
      </c>
      <c r="R77" s="507">
        <f t="shared" si="149"/>
        <v>4672677.8058341835</v>
      </c>
      <c r="S77" s="1220"/>
      <c r="T77" s="506">
        <f>Assets!$G$40</f>
        <v>0</v>
      </c>
      <c r="U77" s="510">
        <f>Assets!$F$40</f>
        <v>0</v>
      </c>
      <c r="V77" s="507">
        <f t="shared" si="150"/>
        <v>0</v>
      </c>
      <c r="W77" s="1220"/>
      <c r="X77" s="506">
        <f>Assets!$G$41</f>
        <v>0</v>
      </c>
      <c r="Y77" s="510">
        <f>Assets!$F$41</f>
        <v>0</v>
      </c>
      <c r="Z77" s="507">
        <f t="shared" si="151"/>
        <v>0</v>
      </c>
      <c r="AA77" s="1220"/>
      <c r="AB77" s="506">
        <f>Assets!$G$42</f>
        <v>0</v>
      </c>
      <c r="AC77" s="507">
        <f>Assets!$F$42</f>
        <v>0</v>
      </c>
      <c r="AD77" s="507">
        <f t="shared" si="152"/>
        <v>0</v>
      </c>
      <c r="AE77" s="1220"/>
      <c r="AF77" s="506">
        <f>Assets!$G$43</f>
        <v>0</v>
      </c>
      <c r="AG77" s="507">
        <f>Assets!$F$43</f>
        <v>0</v>
      </c>
      <c r="AH77" s="507">
        <f t="shared" si="153"/>
        <v>0</v>
      </c>
      <c r="AI77" s="1220"/>
      <c r="AJ77" s="506">
        <f>Assets!$G$44</f>
        <v>0</v>
      </c>
      <c r="AK77" s="507">
        <f>Assets!$F$44</f>
        <v>0</v>
      </c>
      <c r="AL77" s="507">
        <f t="shared" si="154"/>
        <v>0</v>
      </c>
      <c r="AM77" s="1220"/>
      <c r="AN77" s="506">
        <f>Assets!$G$45</f>
        <v>0</v>
      </c>
      <c r="AO77" s="507">
        <f>Assets!$F$45</f>
        <v>0</v>
      </c>
      <c r="AP77" s="507">
        <f t="shared" si="155"/>
        <v>0</v>
      </c>
      <c r="AQ77" s="1220"/>
      <c r="AR77" s="506">
        <f>Assets!$G$46</f>
        <v>0</v>
      </c>
      <c r="AS77" s="507">
        <f>Assets!$F$46</f>
        <v>0</v>
      </c>
      <c r="AT77" s="507">
        <f t="shared" si="156"/>
        <v>0</v>
      </c>
      <c r="AU77" s="1220"/>
      <c r="AV77" s="506">
        <f>Assets!$G$47</f>
        <v>0</v>
      </c>
      <c r="AW77" s="507">
        <f>Assets!F$47</f>
        <v>0</v>
      </c>
      <c r="AX77" s="507">
        <f t="shared" si="157"/>
        <v>0</v>
      </c>
      <c r="AY77" s="1220"/>
      <c r="AZ77" s="506">
        <f>Assets!$G$48</f>
        <v>0</v>
      </c>
      <c r="BA77" s="507">
        <f>Assets!$F$48</f>
        <v>0</v>
      </c>
      <c r="BB77" s="507">
        <f t="shared" si="158"/>
        <v>0</v>
      </c>
      <c r="BC77" s="502"/>
      <c r="BD77" s="2005"/>
      <c r="BE77" s="523"/>
      <c r="BF77" s="523"/>
      <c r="BG77" s="1331">
        <f t="shared" si="159"/>
        <v>12114021.466597917</v>
      </c>
      <c r="BH77" s="1331">
        <f t="shared" si="160"/>
        <v>7728738.511556034</v>
      </c>
      <c r="BI77" s="1331">
        <f t="shared" si="161"/>
        <v>4672677.8058341835</v>
      </c>
      <c r="BJ77" s="1331">
        <f t="shared" si="162"/>
        <v>0</v>
      </c>
      <c r="BK77" s="1331">
        <f t="shared" si="163"/>
        <v>0</v>
      </c>
      <c r="BL77" s="1331">
        <f t="shared" si="164"/>
        <v>0</v>
      </c>
      <c r="BM77" s="1331">
        <f t="shared" si="165"/>
        <v>0</v>
      </c>
      <c r="BN77" s="1331">
        <f t="shared" si="166"/>
        <v>0</v>
      </c>
      <c r="BO77" s="1331">
        <f t="shared" si="167"/>
        <v>0</v>
      </c>
      <c r="BP77" s="1331">
        <f t="shared" si="168"/>
        <v>0</v>
      </c>
      <c r="BQ77" s="1331">
        <f t="shared" si="169"/>
        <v>0</v>
      </c>
      <c r="BR77" s="1331">
        <f t="shared" si="170"/>
        <v>0</v>
      </c>
      <c r="BS77" s="523"/>
      <c r="BT77" s="523"/>
      <c r="BU77" s="523"/>
      <c r="BV77" s="523"/>
      <c r="BW77" s="1333">
        <f t="shared" ca="1" si="197"/>
        <v>2092</v>
      </c>
      <c r="BX77" s="1331">
        <f t="shared" si="171"/>
        <v>19842759.978153951</v>
      </c>
      <c r="BY77" s="1331">
        <f t="shared" ca="1" si="196"/>
        <v>4672677.8058341835</v>
      </c>
      <c r="BZ77" s="1336">
        <f t="shared" si="172"/>
        <v>12114021.466597917</v>
      </c>
      <c r="CA77" s="1336">
        <f t="shared" si="173"/>
        <v>7728738.511556034</v>
      </c>
      <c r="CB77" s="1336">
        <f t="shared" si="174"/>
        <v>0</v>
      </c>
      <c r="CC77" s="1336">
        <f t="shared" si="175"/>
        <v>0</v>
      </c>
      <c r="CD77" s="1336">
        <f t="shared" si="176"/>
        <v>0</v>
      </c>
      <c r="CE77" s="1336">
        <f t="shared" si="177"/>
        <v>0</v>
      </c>
      <c r="CF77" s="1336">
        <f t="shared" si="178"/>
        <v>0</v>
      </c>
      <c r="CG77" s="1336">
        <f t="shared" si="179"/>
        <v>0</v>
      </c>
      <c r="CH77" s="1336">
        <f t="shared" si="180"/>
        <v>0</v>
      </c>
      <c r="CI77" s="1336">
        <f t="shared" si="181"/>
        <v>0</v>
      </c>
      <c r="CJ77" s="1336">
        <f t="shared" si="182"/>
        <v>0</v>
      </c>
      <c r="CK77" s="1336">
        <f t="shared" si="183"/>
        <v>0</v>
      </c>
      <c r="CL77" s="1336"/>
      <c r="CM77" s="1336">
        <f t="shared" si="184"/>
        <v>0</v>
      </c>
      <c r="CN77" s="1336">
        <f t="shared" si="185"/>
        <v>0</v>
      </c>
      <c r="CO77" s="1336">
        <f t="shared" si="186"/>
        <v>4672677.8058341835</v>
      </c>
      <c r="CP77" s="1336">
        <f t="shared" si="187"/>
        <v>0</v>
      </c>
      <c r="CQ77" s="1336">
        <f t="shared" si="188"/>
        <v>0</v>
      </c>
      <c r="CR77" s="1336">
        <f t="shared" si="189"/>
        <v>0</v>
      </c>
      <c r="CS77" s="1336">
        <f t="shared" si="190"/>
        <v>0</v>
      </c>
      <c r="CT77" s="1336">
        <f t="shared" si="191"/>
        <v>0</v>
      </c>
      <c r="CU77" s="1336">
        <f t="shared" si="192"/>
        <v>0</v>
      </c>
      <c r="CV77" s="1336">
        <f t="shared" si="193"/>
        <v>0</v>
      </c>
      <c r="CW77" s="1336">
        <f t="shared" si="194"/>
        <v>0</v>
      </c>
      <c r="CX77" s="1336">
        <f t="shared" si="195"/>
        <v>0</v>
      </c>
      <c r="CY77" s="1336"/>
      <c r="CZ77" s="1336"/>
      <c r="DA77" s="1334">
        <f ca="1">Rental!Y107</f>
        <v>0</v>
      </c>
      <c r="DB77" s="1334">
        <f ca="1">Rental!AD107</f>
        <v>0</v>
      </c>
      <c r="DC77" s="1972"/>
      <c r="DD77" s="1761"/>
      <c r="DE77" s="1761"/>
      <c r="DF77" s="1335"/>
      <c r="DG77" s="1335"/>
      <c r="DH77" s="1335"/>
      <c r="DI77" s="1335"/>
      <c r="DJ77" s="1335"/>
      <c r="DK77" s="1335"/>
      <c r="DL77" s="1335"/>
      <c r="DM77" s="1335"/>
      <c r="DN77" s="1335"/>
      <c r="DO77" s="1335"/>
      <c r="DP77" s="1335"/>
      <c r="DQ77" s="1335"/>
      <c r="DR77" s="1335"/>
      <c r="DS77" s="1335"/>
      <c r="DT77" s="1335"/>
    </row>
    <row r="78" spans="1:124" s="1185" customFormat="1" ht="18" customHeight="1">
      <c r="A78" s="523">
        <f ca="1">IF(E78=YEAR(Retire!$D$12),1,0)</f>
        <v>0</v>
      </c>
      <c r="B78" s="502"/>
      <c r="C78" s="503" t="str">
        <f ca="1">IF(E78=Retire!$D$12,"==&gt;","")</f>
        <v/>
      </c>
      <c r="D78" s="512">
        <f t="shared" si="132"/>
        <v>72</v>
      </c>
      <c r="E78" s="512">
        <f t="shared" ca="1" si="133"/>
        <v>2093</v>
      </c>
      <c r="F78" s="513">
        <f t="shared" ca="1" si="146"/>
        <v>25852257</v>
      </c>
      <c r="G78" s="513"/>
      <c r="H78" s="514">
        <f>Assets!$G$37</f>
        <v>5.5E-2</v>
      </c>
      <c r="I78" s="515">
        <f>Assets!$F$37</f>
        <v>2000</v>
      </c>
      <c r="J78" s="515">
        <f t="shared" si="147"/>
        <v>12782292.647260802</v>
      </c>
      <c r="K78" s="1220"/>
      <c r="L78" s="514">
        <f>Assets!$G$38</f>
        <v>0.05</v>
      </c>
      <c r="M78" s="515">
        <f>Assets!$F$38</f>
        <v>1500</v>
      </c>
      <c r="N78" s="515">
        <f t="shared" si="148"/>
        <v>8116675.4371338356</v>
      </c>
      <c r="O78" s="1220"/>
      <c r="P78" s="514">
        <f>Assets!$G$39</f>
        <v>0.06</v>
      </c>
      <c r="Q78" s="516">
        <f>Assets!$F$39</f>
        <v>250</v>
      </c>
      <c r="R78" s="515">
        <f t="shared" si="149"/>
        <v>4953288.4741842346</v>
      </c>
      <c r="S78" s="1220"/>
      <c r="T78" s="514">
        <f>Assets!$G$40</f>
        <v>0</v>
      </c>
      <c r="U78" s="517">
        <f>Assets!$F$40</f>
        <v>0</v>
      </c>
      <c r="V78" s="515">
        <f t="shared" si="150"/>
        <v>0</v>
      </c>
      <c r="W78" s="1220"/>
      <c r="X78" s="514">
        <f>Assets!$G$41</f>
        <v>0</v>
      </c>
      <c r="Y78" s="517">
        <f>Assets!$F$41</f>
        <v>0</v>
      </c>
      <c r="Z78" s="515">
        <f t="shared" si="151"/>
        <v>0</v>
      </c>
      <c r="AA78" s="1220"/>
      <c r="AB78" s="514">
        <f>Assets!$G$42</f>
        <v>0</v>
      </c>
      <c r="AC78" s="515">
        <f>Assets!$F$42</f>
        <v>0</v>
      </c>
      <c r="AD78" s="515">
        <f t="shared" si="152"/>
        <v>0</v>
      </c>
      <c r="AE78" s="1220"/>
      <c r="AF78" s="514">
        <f>Assets!$G$43</f>
        <v>0</v>
      </c>
      <c r="AG78" s="515">
        <f>Assets!$F$43</f>
        <v>0</v>
      </c>
      <c r="AH78" s="515">
        <f t="shared" si="153"/>
        <v>0</v>
      </c>
      <c r="AI78" s="1220"/>
      <c r="AJ78" s="514">
        <f>Assets!$G$44</f>
        <v>0</v>
      </c>
      <c r="AK78" s="515">
        <f>Assets!$F$44</f>
        <v>0</v>
      </c>
      <c r="AL78" s="515">
        <f t="shared" si="154"/>
        <v>0</v>
      </c>
      <c r="AM78" s="1220"/>
      <c r="AN78" s="514">
        <f>Assets!$G$45</f>
        <v>0</v>
      </c>
      <c r="AO78" s="515">
        <f>Assets!$F$45</f>
        <v>0</v>
      </c>
      <c r="AP78" s="515">
        <f t="shared" si="155"/>
        <v>0</v>
      </c>
      <c r="AQ78" s="1220"/>
      <c r="AR78" s="514">
        <f>Assets!$G$46</f>
        <v>0</v>
      </c>
      <c r="AS78" s="515">
        <f>Assets!$F$46</f>
        <v>0</v>
      </c>
      <c r="AT78" s="515">
        <f t="shared" si="156"/>
        <v>0</v>
      </c>
      <c r="AU78" s="1220"/>
      <c r="AV78" s="514">
        <f>Assets!$G$47</f>
        <v>0</v>
      </c>
      <c r="AW78" s="515">
        <f>Assets!F$47</f>
        <v>0</v>
      </c>
      <c r="AX78" s="515">
        <f t="shared" si="157"/>
        <v>0</v>
      </c>
      <c r="AY78" s="1220"/>
      <c r="AZ78" s="514">
        <f>Assets!$G$48</f>
        <v>0</v>
      </c>
      <c r="BA78" s="515">
        <f>Assets!$F$48</f>
        <v>0</v>
      </c>
      <c r="BB78" s="515">
        <f t="shared" si="158"/>
        <v>0</v>
      </c>
      <c r="BC78" s="502"/>
      <c r="BD78" s="2005"/>
      <c r="BE78" s="523"/>
      <c r="BF78" s="523"/>
      <c r="BG78" s="1331">
        <f t="shared" si="159"/>
        <v>12782292.647260802</v>
      </c>
      <c r="BH78" s="1331">
        <f t="shared" si="160"/>
        <v>8116675.4371338356</v>
      </c>
      <c r="BI78" s="1331">
        <f t="shared" si="161"/>
        <v>4953288.4741842346</v>
      </c>
      <c r="BJ78" s="1331">
        <f t="shared" si="162"/>
        <v>0</v>
      </c>
      <c r="BK78" s="1331">
        <f t="shared" si="163"/>
        <v>0</v>
      </c>
      <c r="BL78" s="1331">
        <f t="shared" si="164"/>
        <v>0</v>
      </c>
      <c r="BM78" s="1331">
        <f t="shared" si="165"/>
        <v>0</v>
      </c>
      <c r="BN78" s="1331">
        <f t="shared" si="166"/>
        <v>0</v>
      </c>
      <c r="BO78" s="1331">
        <f t="shared" si="167"/>
        <v>0</v>
      </c>
      <c r="BP78" s="1331">
        <f t="shared" si="168"/>
        <v>0</v>
      </c>
      <c r="BQ78" s="1331">
        <f t="shared" si="169"/>
        <v>0</v>
      </c>
      <c r="BR78" s="1331">
        <f t="shared" si="170"/>
        <v>0</v>
      </c>
      <c r="BS78" s="523"/>
      <c r="BT78" s="523"/>
      <c r="BU78" s="523"/>
      <c r="BV78" s="523"/>
      <c r="BW78" s="1333">
        <f t="shared" ca="1" si="197"/>
        <v>2093</v>
      </c>
      <c r="BX78" s="1331">
        <f t="shared" si="171"/>
        <v>20898968.084394637</v>
      </c>
      <c r="BY78" s="1331">
        <f t="shared" ca="1" si="196"/>
        <v>4953288.4741842346</v>
      </c>
      <c r="BZ78" s="1336">
        <f t="shared" si="172"/>
        <v>12782292.647260802</v>
      </c>
      <c r="CA78" s="1336">
        <f t="shared" si="173"/>
        <v>8116675.4371338356</v>
      </c>
      <c r="CB78" s="1336">
        <f t="shared" si="174"/>
        <v>0</v>
      </c>
      <c r="CC78" s="1336">
        <f t="shared" si="175"/>
        <v>0</v>
      </c>
      <c r="CD78" s="1336">
        <f t="shared" si="176"/>
        <v>0</v>
      </c>
      <c r="CE78" s="1336">
        <f t="shared" si="177"/>
        <v>0</v>
      </c>
      <c r="CF78" s="1336">
        <f t="shared" si="178"/>
        <v>0</v>
      </c>
      <c r="CG78" s="1336">
        <f t="shared" si="179"/>
        <v>0</v>
      </c>
      <c r="CH78" s="1336">
        <f t="shared" si="180"/>
        <v>0</v>
      </c>
      <c r="CI78" s="1336">
        <f t="shared" si="181"/>
        <v>0</v>
      </c>
      <c r="CJ78" s="1336">
        <f t="shared" si="182"/>
        <v>0</v>
      </c>
      <c r="CK78" s="1336">
        <f t="shared" si="183"/>
        <v>0</v>
      </c>
      <c r="CL78" s="1336"/>
      <c r="CM78" s="1336">
        <f t="shared" si="184"/>
        <v>0</v>
      </c>
      <c r="CN78" s="1336">
        <f t="shared" si="185"/>
        <v>0</v>
      </c>
      <c r="CO78" s="1336">
        <f t="shared" si="186"/>
        <v>4953288.4741842346</v>
      </c>
      <c r="CP78" s="1336">
        <f t="shared" si="187"/>
        <v>0</v>
      </c>
      <c r="CQ78" s="1336">
        <f t="shared" si="188"/>
        <v>0</v>
      </c>
      <c r="CR78" s="1336">
        <f t="shared" si="189"/>
        <v>0</v>
      </c>
      <c r="CS78" s="1336">
        <f t="shared" si="190"/>
        <v>0</v>
      </c>
      <c r="CT78" s="1336">
        <f t="shared" si="191"/>
        <v>0</v>
      </c>
      <c r="CU78" s="1336">
        <f t="shared" si="192"/>
        <v>0</v>
      </c>
      <c r="CV78" s="1336">
        <f t="shared" si="193"/>
        <v>0</v>
      </c>
      <c r="CW78" s="1336">
        <f t="shared" si="194"/>
        <v>0</v>
      </c>
      <c r="CX78" s="1336">
        <f t="shared" si="195"/>
        <v>0</v>
      </c>
      <c r="CY78" s="1336"/>
      <c r="CZ78" s="1336"/>
      <c r="DA78" s="1334">
        <f ca="1">Rental!Y108</f>
        <v>0</v>
      </c>
      <c r="DB78" s="1334">
        <f ca="1">Rental!AD108</f>
        <v>0</v>
      </c>
      <c r="DC78" s="1972"/>
      <c r="DD78" s="1761"/>
      <c r="DE78" s="1761"/>
      <c r="DF78" s="1335"/>
      <c r="DG78" s="1335"/>
      <c r="DH78" s="1335"/>
      <c r="DI78" s="1335"/>
      <c r="DJ78" s="1335"/>
      <c r="DK78" s="1335"/>
      <c r="DL78" s="1335"/>
      <c r="DM78" s="1335"/>
      <c r="DN78" s="1335"/>
      <c r="DO78" s="1335"/>
      <c r="DP78" s="1335"/>
      <c r="DQ78" s="1335"/>
      <c r="DR78" s="1335"/>
      <c r="DS78" s="1335"/>
      <c r="DT78" s="1335"/>
    </row>
    <row r="79" spans="1:124" s="1185" customFormat="1" ht="18" customHeight="1">
      <c r="A79" s="523">
        <f ca="1">IF(E79=YEAR(Retire!$D$12),1,0)</f>
        <v>0</v>
      </c>
      <c r="B79" s="502"/>
      <c r="C79" s="503" t="str">
        <f ca="1">IF(E79=Retire!$D$12,"==&gt;","")</f>
        <v/>
      </c>
      <c r="D79" s="504">
        <f t="shared" si="132"/>
        <v>73</v>
      </c>
      <c r="E79" s="504">
        <f t="shared" ca="1" si="133"/>
        <v>2094</v>
      </c>
      <c r="F79" s="505">
        <f t="shared" ca="1" si="146"/>
        <v>27262064</v>
      </c>
      <c r="G79" s="505"/>
      <c r="H79" s="506">
        <f>Assets!$G$37</f>
        <v>5.5E-2</v>
      </c>
      <c r="I79" s="507">
        <f>Assets!$F$37</f>
        <v>2000</v>
      </c>
      <c r="J79" s="507">
        <f t="shared" si="147"/>
        <v>13487318.742860146</v>
      </c>
      <c r="K79" s="1220"/>
      <c r="L79" s="506">
        <f>Assets!$G$38</f>
        <v>0.05</v>
      </c>
      <c r="M79" s="507">
        <f>Assets!$F$38</f>
        <v>1500</v>
      </c>
      <c r="N79" s="507">
        <f t="shared" si="148"/>
        <v>8524009.2089905273</v>
      </c>
      <c r="O79" s="1220"/>
      <c r="P79" s="506">
        <f>Assets!$G$39</f>
        <v>0.06</v>
      </c>
      <c r="Q79" s="508">
        <f>Assets!$F$39</f>
        <v>250</v>
      </c>
      <c r="R79" s="507">
        <f t="shared" si="149"/>
        <v>5250735.7826352883</v>
      </c>
      <c r="S79" s="1220"/>
      <c r="T79" s="506">
        <f>Assets!$G$40</f>
        <v>0</v>
      </c>
      <c r="U79" s="510">
        <f>Assets!$F$40</f>
        <v>0</v>
      </c>
      <c r="V79" s="507">
        <f t="shared" si="150"/>
        <v>0</v>
      </c>
      <c r="W79" s="1220"/>
      <c r="X79" s="506">
        <f>Assets!$G$41</f>
        <v>0</v>
      </c>
      <c r="Y79" s="510">
        <f>Assets!$F$41</f>
        <v>0</v>
      </c>
      <c r="Z79" s="507">
        <f t="shared" si="151"/>
        <v>0</v>
      </c>
      <c r="AA79" s="1220"/>
      <c r="AB79" s="506">
        <f>Assets!$G$42</f>
        <v>0</v>
      </c>
      <c r="AC79" s="507">
        <f>Assets!$F$42</f>
        <v>0</v>
      </c>
      <c r="AD79" s="507">
        <f t="shared" si="152"/>
        <v>0</v>
      </c>
      <c r="AE79" s="1220"/>
      <c r="AF79" s="506">
        <f>Assets!$G$43</f>
        <v>0</v>
      </c>
      <c r="AG79" s="507">
        <f>Assets!$F$43</f>
        <v>0</v>
      </c>
      <c r="AH79" s="507">
        <f t="shared" si="153"/>
        <v>0</v>
      </c>
      <c r="AI79" s="1220"/>
      <c r="AJ79" s="506">
        <f>Assets!$G$44</f>
        <v>0</v>
      </c>
      <c r="AK79" s="507">
        <f>Assets!$F$44</f>
        <v>0</v>
      </c>
      <c r="AL79" s="507">
        <f t="shared" si="154"/>
        <v>0</v>
      </c>
      <c r="AM79" s="1220"/>
      <c r="AN79" s="506">
        <f>Assets!$G$45</f>
        <v>0</v>
      </c>
      <c r="AO79" s="507">
        <f>Assets!$F$45</f>
        <v>0</v>
      </c>
      <c r="AP79" s="507">
        <f t="shared" si="155"/>
        <v>0</v>
      </c>
      <c r="AQ79" s="1220"/>
      <c r="AR79" s="506">
        <f>Assets!$G$46</f>
        <v>0</v>
      </c>
      <c r="AS79" s="507">
        <f>Assets!$F$46</f>
        <v>0</v>
      </c>
      <c r="AT79" s="507">
        <f t="shared" si="156"/>
        <v>0</v>
      </c>
      <c r="AU79" s="1220"/>
      <c r="AV79" s="506">
        <f>Assets!$G$47</f>
        <v>0</v>
      </c>
      <c r="AW79" s="507">
        <f>Assets!F$47</f>
        <v>0</v>
      </c>
      <c r="AX79" s="507">
        <f t="shared" si="157"/>
        <v>0</v>
      </c>
      <c r="AY79" s="1220"/>
      <c r="AZ79" s="506">
        <f>Assets!$G$48</f>
        <v>0</v>
      </c>
      <c r="BA79" s="507">
        <f>Assets!$F$48</f>
        <v>0</v>
      </c>
      <c r="BB79" s="507">
        <f t="shared" si="158"/>
        <v>0</v>
      </c>
      <c r="BC79" s="502"/>
      <c r="BD79" s="2005"/>
      <c r="BE79" s="523"/>
      <c r="BF79" s="523"/>
      <c r="BG79" s="1331">
        <f t="shared" si="159"/>
        <v>13487318.742860146</v>
      </c>
      <c r="BH79" s="1331">
        <f t="shared" si="160"/>
        <v>8524009.2089905273</v>
      </c>
      <c r="BI79" s="1331">
        <f t="shared" si="161"/>
        <v>5250735.7826352883</v>
      </c>
      <c r="BJ79" s="1331">
        <f t="shared" si="162"/>
        <v>0</v>
      </c>
      <c r="BK79" s="1331">
        <f t="shared" si="163"/>
        <v>0</v>
      </c>
      <c r="BL79" s="1331">
        <f t="shared" si="164"/>
        <v>0</v>
      </c>
      <c r="BM79" s="1331">
        <f t="shared" si="165"/>
        <v>0</v>
      </c>
      <c r="BN79" s="1331">
        <f t="shared" si="166"/>
        <v>0</v>
      </c>
      <c r="BO79" s="1331">
        <f t="shared" si="167"/>
        <v>0</v>
      </c>
      <c r="BP79" s="1331">
        <f t="shared" si="168"/>
        <v>0</v>
      </c>
      <c r="BQ79" s="1331">
        <f t="shared" si="169"/>
        <v>0</v>
      </c>
      <c r="BR79" s="1331">
        <f t="shared" si="170"/>
        <v>0</v>
      </c>
      <c r="BS79" s="523"/>
      <c r="BT79" s="523"/>
      <c r="BU79" s="523"/>
      <c r="BV79" s="523"/>
      <c r="BW79" s="1333">
        <f t="shared" ca="1" si="197"/>
        <v>2094</v>
      </c>
      <c r="BX79" s="1331">
        <f t="shared" si="171"/>
        <v>22011327.951850675</v>
      </c>
      <c r="BY79" s="1331">
        <f t="shared" ca="1" si="196"/>
        <v>5250735.7826352883</v>
      </c>
      <c r="BZ79" s="1336">
        <f t="shared" si="172"/>
        <v>13487318.742860146</v>
      </c>
      <c r="CA79" s="1336">
        <f t="shared" si="173"/>
        <v>8524009.2089905273</v>
      </c>
      <c r="CB79" s="1336">
        <f t="shared" si="174"/>
        <v>0</v>
      </c>
      <c r="CC79" s="1336">
        <f t="shared" si="175"/>
        <v>0</v>
      </c>
      <c r="CD79" s="1336">
        <f t="shared" si="176"/>
        <v>0</v>
      </c>
      <c r="CE79" s="1336">
        <f t="shared" si="177"/>
        <v>0</v>
      </c>
      <c r="CF79" s="1336">
        <f t="shared" si="178"/>
        <v>0</v>
      </c>
      <c r="CG79" s="1336">
        <f t="shared" si="179"/>
        <v>0</v>
      </c>
      <c r="CH79" s="1336">
        <f t="shared" si="180"/>
        <v>0</v>
      </c>
      <c r="CI79" s="1336">
        <f t="shared" si="181"/>
        <v>0</v>
      </c>
      <c r="CJ79" s="1336">
        <f t="shared" si="182"/>
        <v>0</v>
      </c>
      <c r="CK79" s="1336">
        <f t="shared" si="183"/>
        <v>0</v>
      </c>
      <c r="CL79" s="1336"/>
      <c r="CM79" s="1336">
        <f t="shared" si="184"/>
        <v>0</v>
      </c>
      <c r="CN79" s="1336">
        <f t="shared" si="185"/>
        <v>0</v>
      </c>
      <c r="CO79" s="1336">
        <f t="shared" si="186"/>
        <v>5250735.7826352883</v>
      </c>
      <c r="CP79" s="1336">
        <f t="shared" si="187"/>
        <v>0</v>
      </c>
      <c r="CQ79" s="1336">
        <f t="shared" si="188"/>
        <v>0</v>
      </c>
      <c r="CR79" s="1336">
        <f t="shared" si="189"/>
        <v>0</v>
      </c>
      <c r="CS79" s="1336">
        <f t="shared" si="190"/>
        <v>0</v>
      </c>
      <c r="CT79" s="1336">
        <f t="shared" si="191"/>
        <v>0</v>
      </c>
      <c r="CU79" s="1336">
        <f t="shared" si="192"/>
        <v>0</v>
      </c>
      <c r="CV79" s="1336">
        <f t="shared" si="193"/>
        <v>0</v>
      </c>
      <c r="CW79" s="1336">
        <f t="shared" si="194"/>
        <v>0</v>
      </c>
      <c r="CX79" s="1336">
        <f t="shared" si="195"/>
        <v>0</v>
      </c>
      <c r="CY79" s="1336"/>
      <c r="CZ79" s="1336"/>
      <c r="DA79" s="1334">
        <f ca="1">Rental!Y109</f>
        <v>0</v>
      </c>
      <c r="DB79" s="1334">
        <f ca="1">Rental!AD109</f>
        <v>0</v>
      </c>
      <c r="DC79" s="1972"/>
      <c r="DD79" s="1761"/>
      <c r="DE79" s="1761"/>
      <c r="DF79" s="1335"/>
      <c r="DG79" s="1335"/>
      <c r="DH79" s="1335"/>
      <c r="DI79" s="1335"/>
      <c r="DJ79" s="1335"/>
      <c r="DK79" s="1335"/>
      <c r="DL79" s="1335"/>
      <c r="DM79" s="1335"/>
      <c r="DN79" s="1335"/>
      <c r="DO79" s="1335"/>
      <c r="DP79" s="1335"/>
      <c r="DQ79" s="1335"/>
      <c r="DR79" s="1335"/>
      <c r="DS79" s="1335"/>
      <c r="DT79" s="1335"/>
    </row>
    <row r="80" spans="1:124" s="1185" customFormat="1" ht="18" customHeight="1">
      <c r="A80" s="523">
        <f ca="1">IF(E80=YEAR(Retire!$D$12),1,0)</f>
        <v>0</v>
      </c>
      <c r="B80" s="502"/>
      <c r="C80" s="503" t="str">
        <f ca="1">IF(E80=Retire!$D$12,"==&gt;","")</f>
        <v/>
      </c>
      <c r="D80" s="512">
        <f t="shared" si="132"/>
        <v>74</v>
      </c>
      <c r="E80" s="512">
        <f t="shared" ca="1" si="133"/>
        <v>2095</v>
      </c>
      <c r="F80" s="513">
        <f t="shared" ca="1" si="146"/>
        <v>28748861</v>
      </c>
      <c r="G80" s="513"/>
      <c r="H80" s="514">
        <f>Assets!$G$37</f>
        <v>5.5E-2</v>
      </c>
      <c r="I80" s="515">
        <f>Assets!$F$37</f>
        <v>2000</v>
      </c>
      <c r="J80" s="515">
        <f t="shared" si="147"/>
        <v>14231121.273717454</v>
      </c>
      <c r="K80" s="1220"/>
      <c r="L80" s="514">
        <f>Assets!$G$38</f>
        <v>0.05</v>
      </c>
      <c r="M80" s="515">
        <f>Assets!$F$38</f>
        <v>1500</v>
      </c>
      <c r="N80" s="515">
        <f t="shared" si="148"/>
        <v>8951709.6694400534</v>
      </c>
      <c r="O80" s="1220"/>
      <c r="P80" s="514">
        <f>Assets!$G$39</f>
        <v>0.06</v>
      </c>
      <c r="Q80" s="516">
        <f>Assets!$F$39</f>
        <v>250</v>
      </c>
      <c r="R80" s="515">
        <f t="shared" si="149"/>
        <v>5566029.9295934057</v>
      </c>
      <c r="S80" s="1220"/>
      <c r="T80" s="514">
        <f>Assets!$G$40</f>
        <v>0</v>
      </c>
      <c r="U80" s="517">
        <f>Assets!$F$40</f>
        <v>0</v>
      </c>
      <c r="V80" s="515">
        <f t="shared" si="150"/>
        <v>0</v>
      </c>
      <c r="W80" s="1220"/>
      <c r="X80" s="514">
        <f>Assets!$G$41</f>
        <v>0</v>
      </c>
      <c r="Y80" s="517">
        <f>Assets!$F$41</f>
        <v>0</v>
      </c>
      <c r="Z80" s="515">
        <f t="shared" si="151"/>
        <v>0</v>
      </c>
      <c r="AA80" s="1220"/>
      <c r="AB80" s="514">
        <f>Assets!$G$42</f>
        <v>0</v>
      </c>
      <c r="AC80" s="515">
        <f>Assets!$F$42</f>
        <v>0</v>
      </c>
      <c r="AD80" s="515">
        <f t="shared" si="152"/>
        <v>0</v>
      </c>
      <c r="AE80" s="1220"/>
      <c r="AF80" s="514">
        <f>Assets!$G$43</f>
        <v>0</v>
      </c>
      <c r="AG80" s="515">
        <f>Assets!$F$43</f>
        <v>0</v>
      </c>
      <c r="AH80" s="515">
        <f t="shared" si="153"/>
        <v>0</v>
      </c>
      <c r="AI80" s="1220"/>
      <c r="AJ80" s="514">
        <f>Assets!$G$44</f>
        <v>0</v>
      </c>
      <c r="AK80" s="515">
        <f>Assets!$F$44</f>
        <v>0</v>
      </c>
      <c r="AL80" s="515">
        <f t="shared" si="154"/>
        <v>0</v>
      </c>
      <c r="AM80" s="1220"/>
      <c r="AN80" s="514">
        <f>Assets!$G$45</f>
        <v>0</v>
      </c>
      <c r="AO80" s="515">
        <f>Assets!$F$45</f>
        <v>0</v>
      </c>
      <c r="AP80" s="515">
        <f t="shared" si="155"/>
        <v>0</v>
      </c>
      <c r="AQ80" s="1220"/>
      <c r="AR80" s="514">
        <f>Assets!$G$46</f>
        <v>0</v>
      </c>
      <c r="AS80" s="515">
        <f>Assets!$F$46</f>
        <v>0</v>
      </c>
      <c r="AT80" s="515">
        <f t="shared" si="156"/>
        <v>0</v>
      </c>
      <c r="AU80" s="1220"/>
      <c r="AV80" s="514">
        <f>Assets!$G$47</f>
        <v>0</v>
      </c>
      <c r="AW80" s="515">
        <f>Assets!F$47</f>
        <v>0</v>
      </c>
      <c r="AX80" s="515">
        <f t="shared" si="157"/>
        <v>0</v>
      </c>
      <c r="AY80" s="1220"/>
      <c r="AZ80" s="514">
        <f>Assets!$G$48</f>
        <v>0</v>
      </c>
      <c r="BA80" s="515">
        <f>Assets!$F$48</f>
        <v>0</v>
      </c>
      <c r="BB80" s="515">
        <f t="shared" si="158"/>
        <v>0</v>
      </c>
      <c r="BC80" s="502"/>
      <c r="BD80" s="2005"/>
      <c r="BE80" s="523"/>
      <c r="BF80" s="523"/>
      <c r="BG80" s="1331">
        <f t="shared" si="159"/>
        <v>14231121.273717454</v>
      </c>
      <c r="BH80" s="1331">
        <f t="shared" si="160"/>
        <v>8951709.6694400534</v>
      </c>
      <c r="BI80" s="1331">
        <f t="shared" si="161"/>
        <v>5566029.9295934057</v>
      </c>
      <c r="BJ80" s="1331">
        <f t="shared" si="162"/>
        <v>0</v>
      </c>
      <c r="BK80" s="1331">
        <f t="shared" si="163"/>
        <v>0</v>
      </c>
      <c r="BL80" s="1331">
        <f t="shared" si="164"/>
        <v>0</v>
      </c>
      <c r="BM80" s="1331">
        <f t="shared" si="165"/>
        <v>0</v>
      </c>
      <c r="BN80" s="1331">
        <f t="shared" si="166"/>
        <v>0</v>
      </c>
      <c r="BO80" s="1331">
        <f t="shared" si="167"/>
        <v>0</v>
      </c>
      <c r="BP80" s="1331">
        <f t="shared" si="168"/>
        <v>0</v>
      </c>
      <c r="BQ80" s="1331">
        <f t="shared" si="169"/>
        <v>0</v>
      </c>
      <c r="BR80" s="1331">
        <f t="shared" si="170"/>
        <v>0</v>
      </c>
      <c r="BS80" s="523"/>
      <c r="BT80" s="523"/>
      <c r="BU80" s="523"/>
      <c r="BV80" s="523"/>
      <c r="BW80" s="1333">
        <f t="shared" ca="1" si="197"/>
        <v>2095</v>
      </c>
      <c r="BX80" s="1331">
        <f t="shared" si="171"/>
        <v>23182830.943157509</v>
      </c>
      <c r="BY80" s="1331">
        <f t="shared" ca="1" si="196"/>
        <v>5566029.9295934057</v>
      </c>
      <c r="BZ80" s="1336">
        <f t="shared" si="172"/>
        <v>14231121.273717454</v>
      </c>
      <c r="CA80" s="1336">
        <f t="shared" si="173"/>
        <v>8951709.6694400534</v>
      </c>
      <c r="CB80" s="1336">
        <f t="shared" si="174"/>
        <v>0</v>
      </c>
      <c r="CC80" s="1336">
        <f t="shared" si="175"/>
        <v>0</v>
      </c>
      <c r="CD80" s="1336">
        <f t="shared" si="176"/>
        <v>0</v>
      </c>
      <c r="CE80" s="1336">
        <f t="shared" si="177"/>
        <v>0</v>
      </c>
      <c r="CF80" s="1336">
        <f t="shared" si="178"/>
        <v>0</v>
      </c>
      <c r="CG80" s="1336">
        <f t="shared" si="179"/>
        <v>0</v>
      </c>
      <c r="CH80" s="1336">
        <f t="shared" si="180"/>
        <v>0</v>
      </c>
      <c r="CI80" s="1336">
        <f t="shared" si="181"/>
        <v>0</v>
      </c>
      <c r="CJ80" s="1336">
        <f t="shared" si="182"/>
        <v>0</v>
      </c>
      <c r="CK80" s="1336">
        <f t="shared" si="183"/>
        <v>0</v>
      </c>
      <c r="CL80" s="1336"/>
      <c r="CM80" s="1336">
        <f t="shared" si="184"/>
        <v>0</v>
      </c>
      <c r="CN80" s="1336">
        <f t="shared" si="185"/>
        <v>0</v>
      </c>
      <c r="CO80" s="1336">
        <f t="shared" si="186"/>
        <v>5566029.9295934057</v>
      </c>
      <c r="CP80" s="1336">
        <f t="shared" si="187"/>
        <v>0</v>
      </c>
      <c r="CQ80" s="1336">
        <f t="shared" si="188"/>
        <v>0</v>
      </c>
      <c r="CR80" s="1336">
        <f t="shared" si="189"/>
        <v>0</v>
      </c>
      <c r="CS80" s="1336">
        <f t="shared" si="190"/>
        <v>0</v>
      </c>
      <c r="CT80" s="1336">
        <f t="shared" si="191"/>
        <v>0</v>
      </c>
      <c r="CU80" s="1336">
        <f t="shared" si="192"/>
        <v>0</v>
      </c>
      <c r="CV80" s="1336">
        <f t="shared" si="193"/>
        <v>0</v>
      </c>
      <c r="CW80" s="1336">
        <f t="shared" si="194"/>
        <v>0</v>
      </c>
      <c r="CX80" s="1336">
        <f t="shared" si="195"/>
        <v>0</v>
      </c>
      <c r="CY80" s="1336"/>
      <c r="CZ80" s="1336"/>
      <c r="DA80" s="1334">
        <f ca="1">Rental!Y110</f>
        <v>0</v>
      </c>
      <c r="DB80" s="1334">
        <f ca="1">Rental!AD110</f>
        <v>0</v>
      </c>
      <c r="DC80" s="1972"/>
      <c r="DD80" s="1761"/>
      <c r="DE80" s="1761"/>
      <c r="DF80" s="1335"/>
      <c r="DG80" s="1335"/>
      <c r="DH80" s="1335"/>
      <c r="DI80" s="1335"/>
      <c r="DJ80" s="1335"/>
      <c r="DK80" s="1335"/>
      <c r="DL80" s="1335"/>
      <c r="DM80" s="1335"/>
      <c r="DN80" s="1335"/>
      <c r="DO80" s="1335"/>
      <c r="DP80" s="1335"/>
      <c r="DQ80" s="1335"/>
      <c r="DR80" s="1335"/>
      <c r="DS80" s="1335"/>
      <c r="DT80" s="1335"/>
    </row>
    <row r="81" spans="1:124" s="1185" customFormat="1" ht="18" customHeight="1">
      <c r="A81" s="523">
        <f ca="1">IF(E81=YEAR(Retire!$D$12),1,0)</f>
        <v>0</v>
      </c>
      <c r="B81" s="502"/>
      <c r="C81" s="503" t="str">
        <f ca="1">IF(E81=Retire!$D$12,"==&gt;","")</f>
        <v/>
      </c>
      <c r="D81" s="504">
        <f t="shared" si="132"/>
        <v>75</v>
      </c>
      <c r="E81" s="504">
        <f t="shared" ca="1" si="133"/>
        <v>2096</v>
      </c>
      <c r="F81" s="505">
        <f t="shared" ca="1" si="146"/>
        <v>30316870</v>
      </c>
      <c r="G81" s="505"/>
      <c r="H81" s="506">
        <f>Assets!$G$37</f>
        <v>5.5E-2</v>
      </c>
      <c r="I81" s="507">
        <f>Assets!$F$37</f>
        <v>2000</v>
      </c>
      <c r="J81" s="507">
        <f t="shared" si="147"/>
        <v>15015832.943771914</v>
      </c>
      <c r="K81" s="1220"/>
      <c r="L81" s="506">
        <f>Assets!$G$38</f>
        <v>0.05</v>
      </c>
      <c r="M81" s="507">
        <f>Assets!$F$38</f>
        <v>1500</v>
      </c>
      <c r="N81" s="507">
        <f t="shared" si="148"/>
        <v>9400795.1529120561</v>
      </c>
      <c r="O81" s="1220"/>
      <c r="P81" s="506">
        <f>Assets!$G$39</f>
        <v>0.06</v>
      </c>
      <c r="Q81" s="508">
        <f>Assets!$F$39</f>
        <v>250</v>
      </c>
      <c r="R81" s="507">
        <f t="shared" si="149"/>
        <v>5900241.7253690101</v>
      </c>
      <c r="S81" s="1220"/>
      <c r="T81" s="506">
        <f>Assets!$G$40</f>
        <v>0</v>
      </c>
      <c r="U81" s="510">
        <f>Assets!$F$40</f>
        <v>0</v>
      </c>
      <c r="V81" s="507">
        <f t="shared" si="150"/>
        <v>0</v>
      </c>
      <c r="W81" s="1220"/>
      <c r="X81" s="506">
        <f>Assets!$G$41</f>
        <v>0</v>
      </c>
      <c r="Y81" s="510">
        <f>Assets!$F$41</f>
        <v>0</v>
      </c>
      <c r="Z81" s="507">
        <f t="shared" si="151"/>
        <v>0</v>
      </c>
      <c r="AA81" s="1220"/>
      <c r="AB81" s="506">
        <f>Assets!$G$42</f>
        <v>0</v>
      </c>
      <c r="AC81" s="507">
        <f>Assets!$F$42</f>
        <v>0</v>
      </c>
      <c r="AD81" s="507">
        <f t="shared" si="152"/>
        <v>0</v>
      </c>
      <c r="AE81" s="1220"/>
      <c r="AF81" s="506">
        <f>Assets!$G$43</f>
        <v>0</v>
      </c>
      <c r="AG81" s="507">
        <f>Assets!$F$43</f>
        <v>0</v>
      </c>
      <c r="AH81" s="507">
        <f t="shared" si="153"/>
        <v>0</v>
      </c>
      <c r="AI81" s="1220"/>
      <c r="AJ81" s="506">
        <f>Assets!$G$44</f>
        <v>0</v>
      </c>
      <c r="AK81" s="507">
        <f>Assets!$F$44</f>
        <v>0</v>
      </c>
      <c r="AL81" s="507">
        <f t="shared" si="154"/>
        <v>0</v>
      </c>
      <c r="AM81" s="1220"/>
      <c r="AN81" s="506">
        <f>Assets!$G$45</f>
        <v>0</v>
      </c>
      <c r="AO81" s="507">
        <f>Assets!$F$45</f>
        <v>0</v>
      </c>
      <c r="AP81" s="507">
        <f t="shared" si="155"/>
        <v>0</v>
      </c>
      <c r="AQ81" s="1220"/>
      <c r="AR81" s="506">
        <f>Assets!$G$46</f>
        <v>0</v>
      </c>
      <c r="AS81" s="507">
        <f>Assets!$F$46</f>
        <v>0</v>
      </c>
      <c r="AT81" s="507">
        <f t="shared" si="156"/>
        <v>0</v>
      </c>
      <c r="AU81" s="1220"/>
      <c r="AV81" s="506">
        <f>Assets!$G$47</f>
        <v>0</v>
      </c>
      <c r="AW81" s="507">
        <f>Assets!F$47</f>
        <v>0</v>
      </c>
      <c r="AX81" s="507">
        <f t="shared" si="157"/>
        <v>0</v>
      </c>
      <c r="AY81" s="1220"/>
      <c r="AZ81" s="506">
        <f>Assets!$G$48</f>
        <v>0</v>
      </c>
      <c r="BA81" s="507">
        <f>Assets!$F$48</f>
        <v>0</v>
      </c>
      <c r="BB81" s="507">
        <f t="shared" si="158"/>
        <v>0</v>
      </c>
      <c r="BC81" s="502"/>
      <c r="BD81" s="2005"/>
      <c r="BE81" s="523"/>
      <c r="BF81" s="523"/>
      <c r="BG81" s="1331">
        <f t="shared" si="159"/>
        <v>15015832.943771914</v>
      </c>
      <c r="BH81" s="1331">
        <f t="shared" si="160"/>
        <v>9400795.1529120561</v>
      </c>
      <c r="BI81" s="1331">
        <f t="shared" si="161"/>
        <v>5900241.7253690101</v>
      </c>
      <c r="BJ81" s="1331">
        <f t="shared" si="162"/>
        <v>0</v>
      </c>
      <c r="BK81" s="1331">
        <f t="shared" si="163"/>
        <v>0</v>
      </c>
      <c r="BL81" s="1331">
        <f t="shared" si="164"/>
        <v>0</v>
      </c>
      <c r="BM81" s="1331">
        <f t="shared" si="165"/>
        <v>0</v>
      </c>
      <c r="BN81" s="1331">
        <f t="shared" si="166"/>
        <v>0</v>
      </c>
      <c r="BO81" s="1331">
        <f t="shared" si="167"/>
        <v>0</v>
      </c>
      <c r="BP81" s="1331">
        <f t="shared" si="168"/>
        <v>0</v>
      </c>
      <c r="BQ81" s="1331">
        <f t="shared" si="169"/>
        <v>0</v>
      </c>
      <c r="BR81" s="1331">
        <f t="shared" si="170"/>
        <v>0</v>
      </c>
      <c r="BS81" s="523"/>
      <c r="BT81" s="523"/>
      <c r="BU81" s="523"/>
      <c r="BV81" s="523"/>
      <c r="BW81" s="1333">
        <f t="shared" ca="1" si="197"/>
        <v>2096</v>
      </c>
      <c r="BX81" s="1331">
        <f t="shared" si="171"/>
        <v>24416628.096683972</v>
      </c>
      <c r="BY81" s="1331">
        <f t="shared" ca="1" si="196"/>
        <v>5900241.7253690101</v>
      </c>
      <c r="BZ81" s="1336">
        <f t="shared" si="172"/>
        <v>15015832.943771914</v>
      </c>
      <c r="CA81" s="1336">
        <f t="shared" si="173"/>
        <v>9400795.1529120561</v>
      </c>
      <c r="CB81" s="1336">
        <f t="shared" si="174"/>
        <v>0</v>
      </c>
      <c r="CC81" s="1336">
        <f t="shared" si="175"/>
        <v>0</v>
      </c>
      <c r="CD81" s="1336">
        <f t="shared" si="176"/>
        <v>0</v>
      </c>
      <c r="CE81" s="1336">
        <f t="shared" si="177"/>
        <v>0</v>
      </c>
      <c r="CF81" s="1336">
        <f t="shared" si="178"/>
        <v>0</v>
      </c>
      <c r="CG81" s="1336">
        <f t="shared" si="179"/>
        <v>0</v>
      </c>
      <c r="CH81" s="1336">
        <f t="shared" si="180"/>
        <v>0</v>
      </c>
      <c r="CI81" s="1336">
        <f t="shared" si="181"/>
        <v>0</v>
      </c>
      <c r="CJ81" s="1336">
        <f t="shared" si="182"/>
        <v>0</v>
      </c>
      <c r="CK81" s="1336">
        <f t="shared" si="183"/>
        <v>0</v>
      </c>
      <c r="CL81" s="1336"/>
      <c r="CM81" s="1336">
        <f t="shared" si="184"/>
        <v>0</v>
      </c>
      <c r="CN81" s="1336">
        <f t="shared" si="185"/>
        <v>0</v>
      </c>
      <c r="CO81" s="1336">
        <f t="shared" si="186"/>
        <v>5900241.7253690101</v>
      </c>
      <c r="CP81" s="1336">
        <f t="shared" si="187"/>
        <v>0</v>
      </c>
      <c r="CQ81" s="1336">
        <f t="shared" si="188"/>
        <v>0</v>
      </c>
      <c r="CR81" s="1336">
        <f t="shared" si="189"/>
        <v>0</v>
      </c>
      <c r="CS81" s="1336">
        <f t="shared" si="190"/>
        <v>0</v>
      </c>
      <c r="CT81" s="1336">
        <f t="shared" si="191"/>
        <v>0</v>
      </c>
      <c r="CU81" s="1336">
        <f t="shared" si="192"/>
        <v>0</v>
      </c>
      <c r="CV81" s="1336">
        <f t="shared" si="193"/>
        <v>0</v>
      </c>
      <c r="CW81" s="1336">
        <f t="shared" si="194"/>
        <v>0</v>
      </c>
      <c r="CX81" s="1336">
        <f t="shared" si="195"/>
        <v>0</v>
      </c>
      <c r="CY81" s="1336"/>
      <c r="CZ81" s="1336"/>
      <c r="DA81" s="1334">
        <f ca="1">Rental!Y111</f>
        <v>0</v>
      </c>
      <c r="DB81" s="1334">
        <f ca="1">Rental!AD111</f>
        <v>0</v>
      </c>
      <c r="DC81" s="1972"/>
      <c r="DD81" s="1761"/>
      <c r="DE81" s="1761"/>
      <c r="DF81" s="1335"/>
      <c r="DG81" s="1335"/>
      <c r="DH81" s="1335"/>
      <c r="DI81" s="1335"/>
      <c r="DJ81" s="1335"/>
      <c r="DK81" s="1335"/>
      <c r="DL81" s="1335"/>
      <c r="DM81" s="1335"/>
      <c r="DN81" s="1335"/>
      <c r="DO81" s="1335"/>
      <c r="DP81" s="1335"/>
      <c r="DQ81" s="1335"/>
      <c r="DR81" s="1335"/>
      <c r="DS81" s="1335"/>
      <c r="DT81" s="1335"/>
    </row>
    <row r="82" spans="1:124" s="1185" customFormat="1" ht="18" customHeight="1">
      <c r="A82" s="523">
        <f ca="1">IF(E82=YEAR(Retire!$D$12),1,0)</f>
        <v>0</v>
      </c>
      <c r="B82" s="502"/>
      <c r="C82" s="503" t="str">
        <f ca="1">IF(E82=Retire!$D$12,"==&gt;","")</f>
        <v/>
      </c>
      <c r="D82" s="512">
        <f t="shared" si="132"/>
        <v>76</v>
      </c>
      <c r="E82" s="512">
        <f t="shared" ca="1" si="133"/>
        <v>2097</v>
      </c>
      <c r="F82" s="513">
        <f t="shared" ca="1" si="146"/>
        <v>31970545</v>
      </c>
      <c r="G82" s="513"/>
      <c r="H82" s="514">
        <f>Assets!$G$37</f>
        <v>5.5E-2</v>
      </c>
      <c r="I82" s="515">
        <f>Assets!$F$37</f>
        <v>2000</v>
      </c>
      <c r="J82" s="515">
        <f t="shared" si="147"/>
        <v>15843703.755679369</v>
      </c>
      <c r="K82" s="1220"/>
      <c r="L82" s="514">
        <f>Assets!$G$38</f>
        <v>0.05</v>
      </c>
      <c r="M82" s="515">
        <f>Assets!$F$38</f>
        <v>1500</v>
      </c>
      <c r="N82" s="515">
        <f t="shared" si="148"/>
        <v>9872334.9105576593</v>
      </c>
      <c r="O82" s="1220"/>
      <c r="P82" s="514">
        <f>Assets!$G$39</f>
        <v>0.06</v>
      </c>
      <c r="Q82" s="516">
        <f>Assets!$F$39</f>
        <v>250</v>
      </c>
      <c r="R82" s="515">
        <f t="shared" si="149"/>
        <v>6254506.228891151</v>
      </c>
      <c r="S82" s="1220"/>
      <c r="T82" s="514">
        <f>Assets!$G$40</f>
        <v>0</v>
      </c>
      <c r="U82" s="517">
        <f>Assets!$F$40</f>
        <v>0</v>
      </c>
      <c r="V82" s="515">
        <f t="shared" si="150"/>
        <v>0</v>
      </c>
      <c r="W82" s="1220"/>
      <c r="X82" s="514">
        <f>Assets!$G$41</f>
        <v>0</v>
      </c>
      <c r="Y82" s="517">
        <f>Assets!$F$41</f>
        <v>0</v>
      </c>
      <c r="Z82" s="515">
        <f t="shared" si="151"/>
        <v>0</v>
      </c>
      <c r="AA82" s="1220"/>
      <c r="AB82" s="514">
        <f>Assets!$G$42</f>
        <v>0</v>
      </c>
      <c r="AC82" s="515">
        <f>Assets!$F$42</f>
        <v>0</v>
      </c>
      <c r="AD82" s="515">
        <f t="shared" si="152"/>
        <v>0</v>
      </c>
      <c r="AE82" s="1220"/>
      <c r="AF82" s="514">
        <f>Assets!$G$43</f>
        <v>0</v>
      </c>
      <c r="AG82" s="515">
        <f>Assets!$F$43</f>
        <v>0</v>
      </c>
      <c r="AH82" s="515">
        <f t="shared" si="153"/>
        <v>0</v>
      </c>
      <c r="AI82" s="1220"/>
      <c r="AJ82" s="514">
        <f>Assets!$G$44</f>
        <v>0</v>
      </c>
      <c r="AK82" s="515">
        <f>Assets!$F$44</f>
        <v>0</v>
      </c>
      <c r="AL82" s="515">
        <f t="shared" si="154"/>
        <v>0</v>
      </c>
      <c r="AM82" s="1220"/>
      <c r="AN82" s="514">
        <f>Assets!$G$45</f>
        <v>0</v>
      </c>
      <c r="AO82" s="515">
        <f>Assets!$F$45</f>
        <v>0</v>
      </c>
      <c r="AP82" s="515">
        <f t="shared" si="155"/>
        <v>0</v>
      </c>
      <c r="AQ82" s="1220"/>
      <c r="AR82" s="514">
        <f>Assets!$G$46</f>
        <v>0</v>
      </c>
      <c r="AS82" s="515">
        <f>Assets!$F$46</f>
        <v>0</v>
      </c>
      <c r="AT82" s="515">
        <f t="shared" si="156"/>
        <v>0</v>
      </c>
      <c r="AU82" s="1220"/>
      <c r="AV82" s="514">
        <f>Assets!$G$47</f>
        <v>0</v>
      </c>
      <c r="AW82" s="515">
        <f>Assets!F$47</f>
        <v>0</v>
      </c>
      <c r="AX82" s="515">
        <f t="shared" si="157"/>
        <v>0</v>
      </c>
      <c r="AY82" s="1220"/>
      <c r="AZ82" s="514">
        <f>Assets!$G$48</f>
        <v>0</v>
      </c>
      <c r="BA82" s="515">
        <f>Assets!$F$48</f>
        <v>0</v>
      </c>
      <c r="BB82" s="515">
        <f t="shared" si="158"/>
        <v>0</v>
      </c>
      <c r="BC82" s="502"/>
      <c r="BD82" s="2005"/>
      <c r="BE82" s="523"/>
      <c r="BF82" s="523"/>
      <c r="BG82" s="1331">
        <f t="shared" si="159"/>
        <v>15843703.755679369</v>
      </c>
      <c r="BH82" s="1331">
        <f t="shared" si="160"/>
        <v>9872334.9105576593</v>
      </c>
      <c r="BI82" s="1331">
        <f t="shared" si="161"/>
        <v>6254506.228891151</v>
      </c>
      <c r="BJ82" s="1331">
        <f t="shared" si="162"/>
        <v>0</v>
      </c>
      <c r="BK82" s="1331">
        <f t="shared" si="163"/>
        <v>0</v>
      </c>
      <c r="BL82" s="1331">
        <f t="shared" si="164"/>
        <v>0</v>
      </c>
      <c r="BM82" s="1331">
        <f t="shared" si="165"/>
        <v>0</v>
      </c>
      <c r="BN82" s="1331">
        <f t="shared" si="166"/>
        <v>0</v>
      </c>
      <c r="BO82" s="1331">
        <f t="shared" si="167"/>
        <v>0</v>
      </c>
      <c r="BP82" s="1331">
        <f t="shared" si="168"/>
        <v>0</v>
      </c>
      <c r="BQ82" s="1331">
        <f t="shared" si="169"/>
        <v>0</v>
      </c>
      <c r="BR82" s="1331">
        <f t="shared" si="170"/>
        <v>0</v>
      </c>
      <c r="BS82" s="523"/>
      <c r="BT82" s="523"/>
      <c r="BU82" s="523"/>
      <c r="BV82" s="523"/>
      <c r="BW82" s="1333">
        <f t="shared" ca="1" si="197"/>
        <v>2097</v>
      </c>
      <c r="BX82" s="1331">
        <f t="shared" si="171"/>
        <v>25716038.666237026</v>
      </c>
      <c r="BY82" s="1331">
        <f t="shared" ca="1" si="196"/>
        <v>6254506.228891151</v>
      </c>
      <c r="BZ82" s="1336">
        <f t="shared" si="172"/>
        <v>15843703.755679369</v>
      </c>
      <c r="CA82" s="1336">
        <f t="shared" si="173"/>
        <v>9872334.9105576593</v>
      </c>
      <c r="CB82" s="1336">
        <f t="shared" si="174"/>
        <v>0</v>
      </c>
      <c r="CC82" s="1336">
        <f t="shared" si="175"/>
        <v>0</v>
      </c>
      <c r="CD82" s="1336">
        <f t="shared" si="176"/>
        <v>0</v>
      </c>
      <c r="CE82" s="1336">
        <f t="shared" si="177"/>
        <v>0</v>
      </c>
      <c r="CF82" s="1336">
        <f t="shared" si="178"/>
        <v>0</v>
      </c>
      <c r="CG82" s="1336">
        <f t="shared" si="179"/>
        <v>0</v>
      </c>
      <c r="CH82" s="1336">
        <f t="shared" si="180"/>
        <v>0</v>
      </c>
      <c r="CI82" s="1336">
        <f t="shared" si="181"/>
        <v>0</v>
      </c>
      <c r="CJ82" s="1336">
        <f t="shared" si="182"/>
        <v>0</v>
      </c>
      <c r="CK82" s="1336">
        <f t="shared" si="183"/>
        <v>0</v>
      </c>
      <c r="CL82" s="1336"/>
      <c r="CM82" s="1336">
        <f t="shared" si="184"/>
        <v>0</v>
      </c>
      <c r="CN82" s="1336">
        <f t="shared" si="185"/>
        <v>0</v>
      </c>
      <c r="CO82" s="1336">
        <f t="shared" si="186"/>
        <v>6254506.228891151</v>
      </c>
      <c r="CP82" s="1336">
        <f t="shared" si="187"/>
        <v>0</v>
      </c>
      <c r="CQ82" s="1336">
        <f t="shared" si="188"/>
        <v>0</v>
      </c>
      <c r="CR82" s="1336">
        <f t="shared" si="189"/>
        <v>0</v>
      </c>
      <c r="CS82" s="1336">
        <f t="shared" si="190"/>
        <v>0</v>
      </c>
      <c r="CT82" s="1336">
        <f t="shared" si="191"/>
        <v>0</v>
      </c>
      <c r="CU82" s="1336">
        <f t="shared" si="192"/>
        <v>0</v>
      </c>
      <c r="CV82" s="1336">
        <f t="shared" si="193"/>
        <v>0</v>
      </c>
      <c r="CW82" s="1336">
        <f t="shared" si="194"/>
        <v>0</v>
      </c>
      <c r="CX82" s="1336">
        <f t="shared" si="195"/>
        <v>0</v>
      </c>
      <c r="CY82" s="1336"/>
      <c r="CZ82" s="1336"/>
      <c r="DA82" s="1334">
        <f ca="1">Rental!Y112</f>
        <v>0</v>
      </c>
      <c r="DB82" s="1334">
        <f ca="1">Rental!AD112</f>
        <v>0</v>
      </c>
      <c r="DC82" s="1972"/>
      <c r="DD82" s="1761"/>
      <c r="DE82" s="1761"/>
      <c r="DF82" s="1335"/>
      <c r="DG82" s="1335"/>
      <c r="DH82" s="1335"/>
      <c r="DI82" s="1335"/>
      <c r="DJ82" s="1335"/>
      <c r="DK82" s="1335"/>
      <c r="DL82" s="1335"/>
      <c r="DM82" s="1335"/>
      <c r="DN82" s="1335"/>
      <c r="DO82" s="1335"/>
      <c r="DP82" s="1335"/>
      <c r="DQ82" s="1335"/>
      <c r="DR82" s="1335"/>
      <c r="DS82" s="1335"/>
      <c r="DT82" s="1335"/>
    </row>
    <row r="83" spans="1:124" s="1185" customFormat="1" ht="18" customHeight="1">
      <c r="A83" s="523">
        <f ca="1">IF(E83=YEAR(Retire!$D$12),1,0)</f>
        <v>0</v>
      </c>
      <c r="B83" s="502"/>
      <c r="C83" s="503" t="str">
        <f ca="1">IF(E83=Retire!$D$12,"==&gt;","")</f>
        <v/>
      </c>
      <c r="D83" s="504">
        <f t="shared" si="132"/>
        <v>77</v>
      </c>
      <c r="E83" s="504">
        <f t="shared" ca="1" si="133"/>
        <v>2098</v>
      </c>
      <c r="F83" s="505">
        <f t="shared" ca="1" si="146"/>
        <v>33714586</v>
      </c>
      <c r="G83" s="505"/>
      <c r="H83" s="506">
        <f>Assets!$G$37</f>
        <v>5.5E-2</v>
      </c>
      <c r="I83" s="507">
        <f>Assets!$F$37</f>
        <v>2000</v>
      </c>
      <c r="J83" s="507">
        <f t="shared" si="147"/>
        <v>16717107.462241733</v>
      </c>
      <c r="K83" s="1220"/>
      <c r="L83" s="506">
        <f>Assets!$G$38</f>
        <v>0.05</v>
      </c>
      <c r="M83" s="507">
        <f>Assets!$F$38</f>
        <v>1500</v>
      </c>
      <c r="N83" s="507">
        <f t="shared" si="148"/>
        <v>10367451.656085541</v>
      </c>
      <c r="O83" s="1220"/>
      <c r="P83" s="506">
        <f>Assets!$G$39</f>
        <v>0.06</v>
      </c>
      <c r="Q83" s="508">
        <f>Assets!$F$39</f>
        <v>250</v>
      </c>
      <c r="R83" s="507">
        <f t="shared" si="149"/>
        <v>6630026.6026246203</v>
      </c>
      <c r="S83" s="1220"/>
      <c r="T83" s="506">
        <f>Assets!$G$40</f>
        <v>0</v>
      </c>
      <c r="U83" s="510">
        <f>Assets!$F$40</f>
        <v>0</v>
      </c>
      <c r="V83" s="507">
        <f t="shared" si="150"/>
        <v>0</v>
      </c>
      <c r="W83" s="1220"/>
      <c r="X83" s="506">
        <f>Assets!$G$41</f>
        <v>0</v>
      </c>
      <c r="Y83" s="510">
        <f>Assets!$F$41</f>
        <v>0</v>
      </c>
      <c r="Z83" s="507">
        <f t="shared" si="151"/>
        <v>0</v>
      </c>
      <c r="AA83" s="1220"/>
      <c r="AB83" s="506">
        <f>Assets!$G$42</f>
        <v>0</v>
      </c>
      <c r="AC83" s="507">
        <f>Assets!$F$42</f>
        <v>0</v>
      </c>
      <c r="AD83" s="507">
        <f t="shared" si="152"/>
        <v>0</v>
      </c>
      <c r="AE83" s="1220"/>
      <c r="AF83" s="506">
        <f>Assets!$G$43</f>
        <v>0</v>
      </c>
      <c r="AG83" s="507">
        <f>Assets!$F$43</f>
        <v>0</v>
      </c>
      <c r="AH83" s="507">
        <f t="shared" si="153"/>
        <v>0</v>
      </c>
      <c r="AI83" s="1220"/>
      <c r="AJ83" s="506">
        <f>Assets!$G$44</f>
        <v>0</v>
      </c>
      <c r="AK83" s="507">
        <f>Assets!$F$44</f>
        <v>0</v>
      </c>
      <c r="AL83" s="507">
        <f t="shared" si="154"/>
        <v>0</v>
      </c>
      <c r="AM83" s="1220"/>
      <c r="AN83" s="506">
        <f>Assets!$G$45</f>
        <v>0</v>
      </c>
      <c r="AO83" s="507">
        <f>Assets!$F$45</f>
        <v>0</v>
      </c>
      <c r="AP83" s="507">
        <f t="shared" si="155"/>
        <v>0</v>
      </c>
      <c r="AQ83" s="1220"/>
      <c r="AR83" s="506">
        <f>Assets!$G$46</f>
        <v>0</v>
      </c>
      <c r="AS83" s="507">
        <f>Assets!$F$46</f>
        <v>0</v>
      </c>
      <c r="AT83" s="507">
        <f t="shared" si="156"/>
        <v>0</v>
      </c>
      <c r="AU83" s="1220"/>
      <c r="AV83" s="506">
        <f>Assets!$G$47</f>
        <v>0</v>
      </c>
      <c r="AW83" s="507">
        <f>Assets!F$47</f>
        <v>0</v>
      </c>
      <c r="AX83" s="507">
        <f t="shared" si="157"/>
        <v>0</v>
      </c>
      <c r="AY83" s="1220"/>
      <c r="AZ83" s="506">
        <f>Assets!$G$48</f>
        <v>0</v>
      </c>
      <c r="BA83" s="507">
        <f>Assets!$F$48</f>
        <v>0</v>
      </c>
      <c r="BB83" s="507">
        <f t="shared" si="158"/>
        <v>0</v>
      </c>
      <c r="BC83" s="502"/>
      <c r="BD83" s="2005"/>
      <c r="BE83" s="523"/>
      <c r="BF83" s="523"/>
      <c r="BG83" s="1331">
        <f t="shared" si="159"/>
        <v>16717107.462241733</v>
      </c>
      <c r="BH83" s="1331">
        <f t="shared" si="160"/>
        <v>10367451.656085541</v>
      </c>
      <c r="BI83" s="1331">
        <f t="shared" si="161"/>
        <v>6630026.6026246203</v>
      </c>
      <c r="BJ83" s="1331">
        <f t="shared" si="162"/>
        <v>0</v>
      </c>
      <c r="BK83" s="1331">
        <f t="shared" si="163"/>
        <v>0</v>
      </c>
      <c r="BL83" s="1331">
        <f t="shared" si="164"/>
        <v>0</v>
      </c>
      <c r="BM83" s="1331">
        <f t="shared" si="165"/>
        <v>0</v>
      </c>
      <c r="BN83" s="1331">
        <f t="shared" si="166"/>
        <v>0</v>
      </c>
      <c r="BO83" s="1331">
        <f t="shared" si="167"/>
        <v>0</v>
      </c>
      <c r="BP83" s="1331">
        <f t="shared" si="168"/>
        <v>0</v>
      </c>
      <c r="BQ83" s="1331">
        <f t="shared" si="169"/>
        <v>0</v>
      </c>
      <c r="BR83" s="1331">
        <f t="shared" si="170"/>
        <v>0</v>
      </c>
      <c r="BS83" s="523"/>
      <c r="BT83" s="523"/>
      <c r="BU83" s="523"/>
      <c r="BV83" s="523"/>
      <c r="BW83" s="1333">
        <f t="shared" ca="1" si="197"/>
        <v>2098</v>
      </c>
      <c r="BX83" s="1331">
        <f t="shared" si="171"/>
        <v>27084559.118327275</v>
      </c>
      <c r="BY83" s="1331">
        <f t="shared" ca="1" si="196"/>
        <v>6630026.6026246203</v>
      </c>
      <c r="BZ83" s="1336">
        <f t="shared" si="172"/>
        <v>16717107.462241733</v>
      </c>
      <c r="CA83" s="1336">
        <f t="shared" si="173"/>
        <v>10367451.656085541</v>
      </c>
      <c r="CB83" s="1336">
        <f t="shared" si="174"/>
        <v>0</v>
      </c>
      <c r="CC83" s="1336">
        <f t="shared" si="175"/>
        <v>0</v>
      </c>
      <c r="CD83" s="1336">
        <f t="shared" si="176"/>
        <v>0</v>
      </c>
      <c r="CE83" s="1336">
        <f t="shared" si="177"/>
        <v>0</v>
      </c>
      <c r="CF83" s="1336">
        <f t="shared" si="178"/>
        <v>0</v>
      </c>
      <c r="CG83" s="1336">
        <f t="shared" si="179"/>
        <v>0</v>
      </c>
      <c r="CH83" s="1336">
        <f t="shared" si="180"/>
        <v>0</v>
      </c>
      <c r="CI83" s="1336">
        <f t="shared" si="181"/>
        <v>0</v>
      </c>
      <c r="CJ83" s="1336">
        <f t="shared" si="182"/>
        <v>0</v>
      </c>
      <c r="CK83" s="1336">
        <f t="shared" si="183"/>
        <v>0</v>
      </c>
      <c r="CL83" s="1336"/>
      <c r="CM83" s="1336">
        <f t="shared" si="184"/>
        <v>0</v>
      </c>
      <c r="CN83" s="1336">
        <f t="shared" si="185"/>
        <v>0</v>
      </c>
      <c r="CO83" s="1336">
        <f t="shared" si="186"/>
        <v>6630026.6026246203</v>
      </c>
      <c r="CP83" s="1336">
        <f t="shared" si="187"/>
        <v>0</v>
      </c>
      <c r="CQ83" s="1336">
        <f t="shared" si="188"/>
        <v>0</v>
      </c>
      <c r="CR83" s="1336">
        <f t="shared" si="189"/>
        <v>0</v>
      </c>
      <c r="CS83" s="1336">
        <f t="shared" si="190"/>
        <v>0</v>
      </c>
      <c r="CT83" s="1336">
        <f t="shared" si="191"/>
        <v>0</v>
      </c>
      <c r="CU83" s="1336">
        <f t="shared" si="192"/>
        <v>0</v>
      </c>
      <c r="CV83" s="1336">
        <f t="shared" si="193"/>
        <v>0</v>
      </c>
      <c r="CW83" s="1336">
        <f t="shared" si="194"/>
        <v>0</v>
      </c>
      <c r="CX83" s="1336">
        <f t="shared" si="195"/>
        <v>0</v>
      </c>
      <c r="CY83" s="1336"/>
      <c r="CZ83" s="1336"/>
      <c r="DA83" s="1334">
        <f ca="1">Rental!Y113</f>
        <v>0</v>
      </c>
      <c r="DB83" s="1334">
        <f ca="1">Rental!AD113</f>
        <v>0</v>
      </c>
      <c r="DC83" s="1972"/>
      <c r="DD83" s="1761"/>
      <c r="DE83" s="1761"/>
      <c r="DF83" s="1335"/>
      <c r="DG83" s="1335"/>
      <c r="DH83" s="1335"/>
      <c r="DI83" s="1335"/>
      <c r="DJ83" s="1335"/>
      <c r="DK83" s="1335"/>
      <c r="DL83" s="1335"/>
      <c r="DM83" s="1335"/>
      <c r="DN83" s="1335"/>
      <c r="DO83" s="1335"/>
      <c r="DP83" s="1335"/>
      <c r="DQ83" s="1335"/>
      <c r="DR83" s="1335"/>
      <c r="DS83" s="1335"/>
      <c r="DT83" s="1335"/>
    </row>
    <row r="84" spans="1:124" s="1185" customFormat="1" ht="18" customHeight="1">
      <c r="A84" s="523">
        <f ca="1">IF(E84=YEAR(Retire!$D$12),1,0)</f>
        <v>0</v>
      </c>
      <c r="B84" s="502"/>
      <c r="C84" s="503" t="str">
        <f ca="1">IF(E84=Retire!$D$12,"==&gt;","")</f>
        <v/>
      </c>
      <c r="D84" s="512">
        <f t="shared" si="132"/>
        <v>78</v>
      </c>
      <c r="E84" s="512">
        <f t="shared" ca="1" si="133"/>
        <v>2099</v>
      </c>
      <c r="F84" s="513">
        <f t="shared" ca="1" si="146"/>
        <v>35553951</v>
      </c>
      <c r="G84" s="513"/>
      <c r="H84" s="514">
        <f>Assets!$G$37</f>
        <v>5.5E-2</v>
      </c>
      <c r="I84" s="515">
        <f>Assets!$F$37</f>
        <v>2000</v>
      </c>
      <c r="J84" s="515">
        <f t="shared" si="147"/>
        <v>17638548.372665029</v>
      </c>
      <c r="K84" s="1220"/>
      <c r="L84" s="514">
        <f>Assets!$G$38</f>
        <v>0.05</v>
      </c>
      <c r="M84" s="515">
        <f>Assets!$F$38</f>
        <v>1500</v>
      </c>
      <c r="N84" s="515">
        <f t="shared" si="148"/>
        <v>10887324.238889819</v>
      </c>
      <c r="O84" s="1220"/>
      <c r="P84" s="514">
        <f>Assets!$G$39</f>
        <v>0.06</v>
      </c>
      <c r="Q84" s="516">
        <f>Assets!$F$39</f>
        <v>250</v>
      </c>
      <c r="R84" s="515">
        <f t="shared" si="149"/>
        <v>7028078.1987820975</v>
      </c>
      <c r="S84" s="1220"/>
      <c r="T84" s="514">
        <f>Assets!$G$40</f>
        <v>0</v>
      </c>
      <c r="U84" s="517">
        <f>Assets!$F$40</f>
        <v>0</v>
      </c>
      <c r="V84" s="515">
        <f t="shared" si="150"/>
        <v>0</v>
      </c>
      <c r="W84" s="1220"/>
      <c r="X84" s="514">
        <f>Assets!$G$41</f>
        <v>0</v>
      </c>
      <c r="Y84" s="517">
        <f>Assets!$F$41</f>
        <v>0</v>
      </c>
      <c r="Z84" s="515">
        <f t="shared" si="151"/>
        <v>0</v>
      </c>
      <c r="AA84" s="1220"/>
      <c r="AB84" s="514">
        <f>Assets!$G$42</f>
        <v>0</v>
      </c>
      <c r="AC84" s="515">
        <f>Assets!$F$42</f>
        <v>0</v>
      </c>
      <c r="AD84" s="515">
        <f t="shared" si="152"/>
        <v>0</v>
      </c>
      <c r="AE84" s="1220"/>
      <c r="AF84" s="514">
        <f>Assets!$G$43</f>
        <v>0</v>
      </c>
      <c r="AG84" s="515">
        <f>Assets!$F$43</f>
        <v>0</v>
      </c>
      <c r="AH84" s="515">
        <f t="shared" si="153"/>
        <v>0</v>
      </c>
      <c r="AI84" s="1220"/>
      <c r="AJ84" s="514">
        <f>Assets!$G$44</f>
        <v>0</v>
      </c>
      <c r="AK84" s="515">
        <f>Assets!$F$44</f>
        <v>0</v>
      </c>
      <c r="AL84" s="515">
        <f t="shared" si="154"/>
        <v>0</v>
      </c>
      <c r="AM84" s="1220"/>
      <c r="AN84" s="514">
        <f>Assets!$G$45</f>
        <v>0</v>
      </c>
      <c r="AO84" s="515">
        <f>Assets!$F$45</f>
        <v>0</v>
      </c>
      <c r="AP84" s="515">
        <f t="shared" si="155"/>
        <v>0</v>
      </c>
      <c r="AQ84" s="1220"/>
      <c r="AR84" s="514">
        <f>Assets!$G$46</f>
        <v>0</v>
      </c>
      <c r="AS84" s="515">
        <f>Assets!$F$46</f>
        <v>0</v>
      </c>
      <c r="AT84" s="515">
        <f t="shared" si="156"/>
        <v>0</v>
      </c>
      <c r="AU84" s="1220"/>
      <c r="AV84" s="514">
        <f>Assets!$G$47</f>
        <v>0</v>
      </c>
      <c r="AW84" s="515">
        <f>Assets!F$47</f>
        <v>0</v>
      </c>
      <c r="AX84" s="515">
        <f t="shared" si="157"/>
        <v>0</v>
      </c>
      <c r="AY84" s="1220"/>
      <c r="AZ84" s="514">
        <f>Assets!$G$48</f>
        <v>0</v>
      </c>
      <c r="BA84" s="515">
        <f>Assets!$F$48</f>
        <v>0</v>
      </c>
      <c r="BB84" s="515">
        <f t="shared" si="158"/>
        <v>0</v>
      </c>
      <c r="BC84" s="502"/>
      <c r="BD84" s="2005"/>
      <c r="BE84" s="523"/>
      <c r="BF84" s="523"/>
      <c r="BG84" s="1331">
        <f t="shared" si="159"/>
        <v>17638548.372665029</v>
      </c>
      <c r="BH84" s="1331">
        <f t="shared" si="160"/>
        <v>10887324.238889819</v>
      </c>
      <c r="BI84" s="1331">
        <f t="shared" si="161"/>
        <v>7028078.1987820975</v>
      </c>
      <c r="BJ84" s="1331">
        <f t="shared" si="162"/>
        <v>0</v>
      </c>
      <c r="BK84" s="1331">
        <f t="shared" si="163"/>
        <v>0</v>
      </c>
      <c r="BL84" s="1331">
        <f t="shared" si="164"/>
        <v>0</v>
      </c>
      <c r="BM84" s="1331">
        <f t="shared" si="165"/>
        <v>0</v>
      </c>
      <c r="BN84" s="1331">
        <f t="shared" si="166"/>
        <v>0</v>
      </c>
      <c r="BO84" s="1331">
        <f t="shared" si="167"/>
        <v>0</v>
      </c>
      <c r="BP84" s="1331">
        <f t="shared" si="168"/>
        <v>0</v>
      </c>
      <c r="BQ84" s="1331">
        <f t="shared" si="169"/>
        <v>0</v>
      </c>
      <c r="BR84" s="1331">
        <f t="shared" si="170"/>
        <v>0</v>
      </c>
      <c r="BS84" s="523"/>
      <c r="BT84" s="523"/>
      <c r="BU84" s="523"/>
      <c r="BV84" s="523"/>
      <c r="BW84" s="1333">
        <f t="shared" ca="1" si="197"/>
        <v>2099</v>
      </c>
      <c r="BX84" s="1331">
        <f t="shared" si="171"/>
        <v>28525872.611554846</v>
      </c>
      <c r="BY84" s="1331">
        <f t="shared" ca="1" si="196"/>
        <v>7028078.1987820975</v>
      </c>
      <c r="BZ84" s="1336">
        <f t="shared" si="172"/>
        <v>17638548.372665029</v>
      </c>
      <c r="CA84" s="1336">
        <f t="shared" si="173"/>
        <v>10887324.238889819</v>
      </c>
      <c r="CB84" s="1336">
        <f t="shared" si="174"/>
        <v>0</v>
      </c>
      <c r="CC84" s="1336">
        <f t="shared" si="175"/>
        <v>0</v>
      </c>
      <c r="CD84" s="1336">
        <f t="shared" si="176"/>
        <v>0</v>
      </c>
      <c r="CE84" s="1336">
        <f t="shared" si="177"/>
        <v>0</v>
      </c>
      <c r="CF84" s="1336">
        <f t="shared" si="178"/>
        <v>0</v>
      </c>
      <c r="CG84" s="1336">
        <f t="shared" si="179"/>
        <v>0</v>
      </c>
      <c r="CH84" s="1336">
        <f t="shared" si="180"/>
        <v>0</v>
      </c>
      <c r="CI84" s="1336">
        <f t="shared" si="181"/>
        <v>0</v>
      </c>
      <c r="CJ84" s="1336">
        <f t="shared" si="182"/>
        <v>0</v>
      </c>
      <c r="CK84" s="1336">
        <f t="shared" si="183"/>
        <v>0</v>
      </c>
      <c r="CL84" s="1336"/>
      <c r="CM84" s="1336">
        <f t="shared" si="184"/>
        <v>0</v>
      </c>
      <c r="CN84" s="1336">
        <f t="shared" si="185"/>
        <v>0</v>
      </c>
      <c r="CO84" s="1336">
        <f t="shared" si="186"/>
        <v>7028078.1987820975</v>
      </c>
      <c r="CP84" s="1336">
        <f t="shared" si="187"/>
        <v>0</v>
      </c>
      <c r="CQ84" s="1336">
        <f t="shared" si="188"/>
        <v>0</v>
      </c>
      <c r="CR84" s="1336">
        <f t="shared" si="189"/>
        <v>0</v>
      </c>
      <c r="CS84" s="1336">
        <f t="shared" si="190"/>
        <v>0</v>
      </c>
      <c r="CT84" s="1336">
        <f t="shared" si="191"/>
        <v>0</v>
      </c>
      <c r="CU84" s="1336">
        <f t="shared" si="192"/>
        <v>0</v>
      </c>
      <c r="CV84" s="1336">
        <f t="shared" si="193"/>
        <v>0</v>
      </c>
      <c r="CW84" s="1336">
        <f t="shared" si="194"/>
        <v>0</v>
      </c>
      <c r="CX84" s="1336">
        <f t="shared" si="195"/>
        <v>0</v>
      </c>
      <c r="CY84" s="1336"/>
      <c r="CZ84" s="1336"/>
      <c r="DA84" s="1334">
        <f ca="1">Rental!Y114</f>
        <v>0</v>
      </c>
      <c r="DB84" s="1334">
        <f ca="1">Rental!AD114</f>
        <v>0</v>
      </c>
      <c r="DC84" s="1972"/>
      <c r="DD84" s="1761"/>
      <c r="DE84" s="1761"/>
      <c r="DF84" s="1335"/>
      <c r="DG84" s="1335"/>
      <c r="DH84" s="1335"/>
      <c r="DI84" s="1335"/>
      <c r="DJ84" s="1335"/>
      <c r="DK84" s="1335"/>
      <c r="DL84" s="1335"/>
      <c r="DM84" s="1335"/>
      <c r="DN84" s="1335"/>
      <c r="DO84" s="1335"/>
      <c r="DP84" s="1335"/>
      <c r="DQ84" s="1335"/>
      <c r="DR84" s="1335"/>
      <c r="DS84" s="1335"/>
      <c r="DT84" s="1335"/>
    </row>
    <row r="85" spans="1:124" s="1185" customFormat="1" ht="18" customHeight="1">
      <c r="A85" s="523">
        <f ca="1">IF(E85=YEAR(Retire!$D$12),1,0)</f>
        <v>0</v>
      </c>
      <c r="B85" s="502"/>
      <c r="C85" s="503" t="str">
        <f ca="1">IF(E85=Retire!$D$12,"==&gt;","")</f>
        <v/>
      </c>
      <c r="D85" s="504">
        <f t="shared" si="132"/>
        <v>79</v>
      </c>
      <c r="E85" s="504">
        <f t="shared" ca="1" si="133"/>
        <v>2100</v>
      </c>
      <c r="F85" s="505">
        <f t="shared" ca="1" si="146"/>
        <v>37493872</v>
      </c>
      <c r="G85" s="505"/>
      <c r="H85" s="506">
        <f>Assets!$G$37</f>
        <v>5.5E-2</v>
      </c>
      <c r="I85" s="507">
        <f>Assets!$F$37</f>
        <v>2000</v>
      </c>
      <c r="J85" s="507">
        <f t="shared" si="147"/>
        <v>18610668.533161607</v>
      </c>
      <c r="K85" s="1220"/>
      <c r="L85" s="506">
        <f>Assets!$G$38</f>
        <v>0.05</v>
      </c>
      <c r="M85" s="507">
        <f>Assets!$F$38</f>
        <v>1500</v>
      </c>
      <c r="N85" s="507">
        <f t="shared" si="148"/>
        <v>11433190.45083431</v>
      </c>
      <c r="O85" s="1220"/>
      <c r="P85" s="506">
        <f>Assets!$G$39</f>
        <v>0.06</v>
      </c>
      <c r="Q85" s="508">
        <f>Assets!$F$39</f>
        <v>250</v>
      </c>
      <c r="R85" s="507">
        <f t="shared" si="149"/>
        <v>7450012.890709023</v>
      </c>
      <c r="S85" s="1220"/>
      <c r="T85" s="506">
        <f>Assets!$G$40</f>
        <v>0</v>
      </c>
      <c r="U85" s="510">
        <f>Assets!$F$40</f>
        <v>0</v>
      </c>
      <c r="V85" s="507">
        <f t="shared" si="150"/>
        <v>0</v>
      </c>
      <c r="W85" s="1220"/>
      <c r="X85" s="506">
        <f>Assets!$G$41</f>
        <v>0</v>
      </c>
      <c r="Y85" s="510">
        <f>Assets!$F$41</f>
        <v>0</v>
      </c>
      <c r="Z85" s="507">
        <f t="shared" si="151"/>
        <v>0</v>
      </c>
      <c r="AA85" s="1220"/>
      <c r="AB85" s="506">
        <f>Assets!$G$42</f>
        <v>0</v>
      </c>
      <c r="AC85" s="507">
        <f>Assets!$F$42</f>
        <v>0</v>
      </c>
      <c r="AD85" s="507">
        <f t="shared" si="152"/>
        <v>0</v>
      </c>
      <c r="AE85" s="1220"/>
      <c r="AF85" s="506">
        <f>Assets!$G$43</f>
        <v>0</v>
      </c>
      <c r="AG85" s="507">
        <f>Assets!$F$43</f>
        <v>0</v>
      </c>
      <c r="AH85" s="507">
        <f t="shared" si="153"/>
        <v>0</v>
      </c>
      <c r="AI85" s="1220"/>
      <c r="AJ85" s="506">
        <f>Assets!$G$44</f>
        <v>0</v>
      </c>
      <c r="AK85" s="507">
        <f>Assets!$F$44</f>
        <v>0</v>
      </c>
      <c r="AL85" s="507">
        <f t="shared" si="154"/>
        <v>0</v>
      </c>
      <c r="AM85" s="1220"/>
      <c r="AN85" s="506">
        <f>Assets!$G$45</f>
        <v>0</v>
      </c>
      <c r="AO85" s="507">
        <f>Assets!$F$45</f>
        <v>0</v>
      </c>
      <c r="AP85" s="507">
        <f t="shared" si="155"/>
        <v>0</v>
      </c>
      <c r="AQ85" s="1220"/>
      <c r="AR85" s="506">
        <f>Assets!$G$46</f>
        <v>0</v>
      </c>
      <c r="AS85" s="507">
        <f>Assets!$F$46</f>
        <v>0</v>
      </c>
      <c r="AT85" s="507">
        <f t="shared" si="156"/>
        <v>0</v>
      </c>
      <c r="AU85" s="1220"/>
      <c r="AV85" s="506">
        <f>Assets!$G$47</f>
        <v>0</v>
      </c>
      <c r="AW85" s="507">
        <f>Assets!F$47</f>
        <v>0</v>
      </c>
      <c r="AX85" s="507">
        <f t="shared" si="157"/>
        <v>0</v>
      </c>
      <c r="AY85" s="1220"/>
      <c r="AZ85" s="506">
        <f>Assets!$G$48</f>
        <v>0</v>
      </c>
      <c r="BA85" s="507">
        <f>Assets!$F$48</f>
        <v>0</v>
      </c>
      <c r="BB85" s="507">
        <f t="shared" si="158"/>
        <v>0</v>
      </c>
      <c r="BC85" s="502"/>
      <c r="BD85" s="2005"/>
      <c r="BE85" s="523"/>
      <c r="BF85" s="523"/>
      <c r="BG85" s="1331">
        <f t="shared" si="159"/>
        <v>18610668.533161607</v>
      </c>
      <c r="BH85" s="1331">
        <f t="shared" si="160"/>
        <v>11433190.45083431</v>
      </c>
      <c r="BI85" s="1331">
        <f t="shared" si="161"/>
        <v>7450012.890709023</v>
      </c>
      <c r="BJ85" s="1331">
        <f t="shared" si="162"/>
        <v>0</v>
      </c>
      <c r="BK85" s="1331">
        <f t="shared" si="163"/>
        <v>0</v>
      </c>
      <c r="BL85" s="1331">
        <f t="shared" si="164"/>
        <v>0</v>
      </c>
      <c r="BM85" s="1331">
        <f t="shared" si="165"/>
        <v>0</v>
      </c>
      <c r="BN85" s="1331">
        <f t="shared" si="166"/>
        <v>0</v>
      </c>
      <c r="BO85" s="1331">
        <f t="shared" si="167"/>
        <v>0</v>
      </c>
      <c r="BP85" s="1331">
        <f t="shared" si="168"/>
        <v>0</v>
      </c>
      <c r="BQ85" s="1331">
        <f t="shared" si="169"/>
        <v>0</v>
      </c>
      <c r="BR85" s="1331">
        <f t="shared" si="170"/>
        <v>0</v>
      </c>
      <c r="BS85" s="523"/>
      <c r="BT85" s="523"/>
      <c r="BU85" s="523"/>
      <c r="BV85" s="523"/>
      <c r="BW85" s="1333">
        <f t="shared" ca="1" si="197"/>
        <v>2100</v>
      </c>
      <c r="BX85" s="1331">
        <f t="shared" si="171"/>
        <v>30043858.983995914</v>
      </c>
      <c r="BY85" s="1331">
        <f t="shared" ca="1" si="196"/>
        <v>7450012.890709023</v>
      </c>
      <c r="BZ85" s="1336">
        <f t="shared" si="172"/>
        <v>18610668.533161607</v>
      </c>
      <c r="CA85" s="1336">
        <f t="shared" si="173"/>
        <v>11433190.45083431</v>
      </c>
      <c r="CB85" s="1336">
        <f t="shared" si="174"/>
        <v>0</v>
      </c>
      <c r="CC85" s="1336">
        <f t="shared" si="175"/>
        <v>0</v>
      </c>
      <c r="CD85" s="1336">
        <f t="shared" si="176"/>
        <v>0</v>
      </c>
      <c r="CE85" s="1336">
        <f t="shared" si="177"/>
        <v>0</v>
      </c>
      <c r="CF85" s="1336">
        <f t="shared" si="178"/>
        <v>0</v>
      </c>
      <c r="CG85" s="1336">
        <f t="shared" si="179"/>
        <v>0</v>
      </c>
      <c r="CH85" s="1336">
        <f t="shared" si="180"/>
        <v>0</v>
      </c>
      <c r="CI85" s="1336">
        <f t="shared" si="181"/>
        <v>0</v>
      </c>
      <c r="CJ85" s="1336">
        <f t="shared" si="182"/>
        <v>0</v>
      </c>
      <c r="CK85" s="1336">
        <f t="shared" si="183"/>
        <v>0</v>
      </c>
      <c r="CL85" s="1336"/>
      <c r="CM85" s="1336">
        <f t="shared" si="184"/>
        <v>0</v>
      </c>
      <c r="CN85" s="1336">
        <f t="shared" si="185"/>
        <v>0</v>
      </c>
      <c r="CO85" s="1336">
        <f t="shared" si="186"/>
        <v>7450012.890709023</v>
      </c>
      <c r="CP85" s="1336">
        <f t="shared" si="187"/>
        <v>0</v>
      </c>
      <c r="CQ85" s="1336">
        <f t="shared" si="188"/>
        <v>0</v>
      </c>
      <c r="CR85" s="1336">
        <f t="shared" si="189"/>
        <v>0</v>
      </c>
      <c r="CS85" s="1336">
        <f t="shared" si="190"/>
        <v>0</v>
      </c>
      <c r="CT85" s="1336">
        <f t="shared" si="191"/>
        <v>0</v>
      </c>
      <c r="CU85" s="1336">
        <f t="shared" si="192"/>
        <v>0</v>
      </c>
      <c r="CV85" s="1336">
        <f t="shared" si="193"/>
        <v>0</v>
      </c>
      <c r="CW85" s="1336">
        <f t="shared" si="194"/>
        <v>0</v>
      </c>
      <c r="CX85" s="1336">
        <f t="shared" si="195"/>
        <v>0</v>
      </c>
      <c r="CY85" s="1336"/>
      <c r="CZ85" s="1336"/>
      <c r="DA85" s="1334">
        <f ca="1">Rental!Y115</f>
        <v>0</v>
      </c>
      <c r="DB85" s="1334">
        <f ca="1">Rental!AD115</f>
        <v>0</v>
      </c>
      <c r="DC85" s="1972"/>
      <c r="DD85" s="1761"/>
      <c r="DE85" s="1761"/>
      <c r="DF85" s="1335"/>
      <c r="DG85" s="1335"/>
      <c r="DH85" s="1335"/>
      <c r="DI85" s="1335"/>
      <c r="DJ85" s="1335"/>
      <c r="DK85" s="1335"/>
      <c r="DL85" s="1335"/>
      <c r="DM85" s="1335"/>
      <c r="DN85" s="1335"/>
      <c r="DO85" s="1335"/>
      <c r="DP85" s="1335"/>
      <c r="DQ85" s="1335"/>
      <c r="DR85" s="1335"/>
      <c r="DS85" s="1335"/>
      <c r="DT85" s="1335"/>
    </row>
    <row r="86" spans="1:124" s="1185" customFormat="1" ht="18" customHeight="1">
      <c r="A86" s="523">
        <f ca="1">IF(E86=YEAR(Retire!$D$12),1,0)</f>
        <v>0</v>
      </c>
      <c r="B86" s="502"/>
      <c r="C86" s="503" t="str">
        <f ca="1">IF(E86=Retire!$D$12,"==&gt;","")</f>
        <v/>
      </c>
      <c r="D86" s="512">
        <f t="shared" si="132"/>
        <v>80</v>
      </c>
      <c r="E86" s="512">
        <f t="shared" ca="1" si="133"/>
        <v>2101</v>
      </c>
      <c r="F86" s="513">
        <f t="shared" ca="1" si="146"/>
        <v>39539869</v>
      </c>
      <c r="G86" s="513"/>
      <c r="H86" s="514">
        <f>Assets!$G$37</f>
        <v>5.5E-2</v>
      </c>
      <c r="I86" s="515">
        <f>Assets!$F$37</f>
        <v>2000</v>
      </c>
      <c r="J86" s="515">
        <f t="shared" si="147"/>
        <v>19636255.302485496</v>
      </c>
      <c r="K86" s="1220"/>
      <c r="L86" s="514">
        <f>Assets!$G$38</f>
        <v>0.05</v>
      </c>
      <c r="M86" s="515">
        <f>Assets!$F$38</f>
        <v>1500</v>
      </c>
      <c r="N86" s="515">
        <f t="shared" si="148"/>
        <v>12006349.973376025</v>
      </c>
      <c r="O86" s="1220"/>
      <c r="P86" s="514">
        <f>Assets!$G$39</f>
        <v>0.06</v>
      </c>
      <c r="Q86" s="516">
        <f>Assets!$F$39</f>
        <v>250</v>
      </c>
      <c r="R86" s="515">
        <f t="shared" si="149"/>
        <v>7897263.6641515642</v>
      </c>
      <c r="S86" s="1220"/>
      <c r="T86" s="514">
        <f>Assets!$G$40</f>
        <v>0</v>
      </c>
      <c r="U86" s="517">
        <f>Assets!$F$40</f>
        <v>0</v>
      </c>
      <c r="V86" s="515">
        <f t="shared" si="150"/>
        <v>0</v>
      </c>
      <c r="W86" s="1220"/>
      <c r="X86" s="514">
        <f>Assets!$G$41</f>
        <v>0</v>
      </c>
      <c r="Y86" s="517">
        <f>Assets!$F$41</f>
        <v>0</v>
      </c>
      <c r="Z86" s="515">
        <f t="shared" si="151"/>
        <v>0</v>
      </c>
      <c r="AA86" s="1220"/>
      <c r="AB86" s="514">
        <f>Assets!$G$42</f>
        <v>0</v>
      </c>
      <c r="AC86" s="515">
        <f>Assets!$F$42</f>
        <v>0</v>
      </c>
      <c r="AD86" s="515">
        <f t="shared" si="152"/>
        <v>0</v>
      </c>
      <c r="AE86" s="1220"/>
      <c r="AF86" s="514">
        <f>Assets!$G$43</f>
        <v>0</v>
      </c>
      <c r="AG86" s="515">
        <f>Assets!$F$43</f>
        <v>0</v>
      </c>
      <c r="AH86" s="515">
        <f t="shared" si="153"/>
        <v>0</v>
      </c>
      <c r="AI86" s="1220"/>
      <c r="AJ86" s="514">
        <f>Assets!$G$44</f>
        <v>0</v>
      </c>
      <c r="AK86" s="515">
        <f>Assets!$F$44</f>
        <v>0</v>
      </c>
      <c r="AL86" s="515">
        <f t="shared" si="154"/>
        <v>0</v>
      </c>
      <c r="AM86" s="1220"/>
      <c r="AN86" s="514">
        <f>Assets!$G$45</f>
        <v>0</v>
      </c>
      <c r="AO86" s="515">
        <f>Assets!$F$45</f>
        <v>0</v>
      </c>
      <c r="AP86" s="515">
        <f t="shared" si="155"/>
        <v>0</v>
      </c>
      <c r="AQ86" s="1220"/>
      <c r="AR86" s="514">
        <f>Assets!$G$46</f>
        <v>0</v>
      </c>
      <c r="AS86" s="515">
        <f>Assets!$F$46</f>
        <v>0</v>
      </c>
      <c r="AT86" s="515">
        <f t="shared" si="156"/>
        <v>0</v>
      </c>
      <c r="AU86" s="1220"/>
      <c r="AV86" s="514">
        <f>Assets!$G$47</f>
        <v>0</v>
      </c>
      <c r="AW86" s="515">
        <f>Assets!F$47</f>
        <v>0</v>
      </c>
      <c r="AX86" s="515">
        <f t="shared" si="157"/>
        <v>0</v>
      </c>
      <c r="AY86" s="1220"/>
      <c r="AZ86" s="514">
        <f>Assets!$G$48</f>
        <v>0</v>
      </c>
      <c r="BA86" s="515">
        <f>Assets!$F$48</f>
        <v>0</v>
      </c>
      <c r="BB86" s="515">
        <f t="shared" si="158"/>
        <v>0</v>
      </c>
      <c r="BC86" s="502"/>
      <c r="BD86" s="2005"/>
      <c r="BE86" s="523"/>
      <c r="BF86" s="523"/>
      <c r="BG86" s="1331">
        <f t="shared" si="159"/>
        <v>19636255.302485496</v>
      </c>
      <c r="BH86" s="1331">
        <f t="shared" si="160"/>
        <v>12006349.973376025</v>
      </c>
      <c r="BI86" s="1331">
        <f t="shared" si="161"/>
        <v>7897263.6641515642</v>
      </c>
      <c r="BJ86" s="1331">
        <f t="shared" si="162"/>
        <v>0</v>
      </c>
      <c r="BK86" s="1331">
        <f t="shared" si="163"/>
        <v>0</v>
      </c>
      <c r="BL86" s="1331">
        <f t="shared" si="164"/>
        <v>0</v>
      </c>
      <c r="BM86" s="1331">
        <f t="shared" si="165"/>
        <v>0</v>
      </c>
      <c r="BN86" s="1331">
        <f t="shared" si="166"/>
        <v>0</v>
      </c>
      <c r="BO86" s="1331">
        <f t="shared" si="167"/>
        <v>0</v>
      </c>
      <c r="BP86" s="1331">
        <f t="shared" si="168"/>
        <v>0</v>
      </c>
      <c r="BQ86" s="1331">
        <f t="shared" si="169"/>
        <v>0</v>
      </c>
      <c r="BR86" s="1331">
        <f t="shared" si="170"/>
        <v>0</v>
      </c>
      <c r="BS86" s="523"/>
      <c r="BT86" s="523"/>
      <c r="BU86" s="523"/>
      <c r="BV86" s="523"/>
      <c r="BW86" s="1333">
        <f t="shared" ca="1" si="197"/>
        <v>2101</v>
      </c>
      <c r="BX86" s="1331">
        <f t="shared" si="171"/>
        <v>31642605.27586152</v>
      </c>
      <c r="BY86" s="1331">
        <f t="shared" ca="1" si="196"/>
        <v>7897263.6641515642</v>
      </c>
      <c r="BZ86" s="1336">
        <f t="shared" si="172"/>
        <v>19636255.302485496</v>
      </c>
      <c r="CA86" s="1336">
        <f t="shared" si="173"/>
        <v>12006349.973376025</v>
      </c>
      <c r="CB86" s="1336">
        <f t="shared" si="174"/>
        <v>0</v>
      </c>
      <c r="CC86" s="1336">
        <f t="shared" si="175"/>
        <v>0</v>
      </c>
      <c r="CD86" s="1336">
        <f t="shared" si="176"/>
        <v>0</v>
      </c>
      <c r="CE86" s="1336">
        <f t="shared" si="177"/>
        <v>0</v>
      </c>
      <c r="CF86" s="1336">
        <f t="shared" si="178"/>
        <v>0</v>
      </c>
      <c r="CG86" s="1336">
        <f t="shared" si="179"/>
        <v>0</v>
      </c>
      <c r="CH86" s="1336">
        <f t="shared" si="180"/>
        <v>0</v>
      </c>
      <c r="CI86" s="1336">
        <f t="shared" si="181"/>
        <v>0</v>
      </c>
      <c r="CJ86" s="1336">
        <f t="shared" si="182"/>
        <v>0</v>
      </c>
      <c r="CK86" s="1336">
        <f t="shared" si="183"/>
        <v>0</v>
      </c>
      <c r="CL86" s="1336"/>
      <c r="CM86" s="1336">
        <f t="shared" si="184"/>
        <v>0</v>
      </c>
      <c r="CN86" s="1336">
        <f t="shared" si="185"/>
        <v>0</v>
      </c>
      <c r="CO86" s="1336">
        <f t="shared" si="186"/>
        <v>7897263.6641515642</v>
      </c>
      <c r="CP86" s="1336">
        <f t="shared" si="187"/>
        <v>0</v>
      </c>
      <c r="CQ86" s="1336">
        <f t="shared" si="188"/>
        <v>0</v>
      </c>
      <c r="CR86" s="1336">
        <f t="shared" si="189"/>
        <v>0</v>
      </c>
      <c r="CS86" s="1336">
        <f t="shared" si="190"/>
        <v>0</v>
      </c>
      <c r="CT86" s="1336">
        <f t="shared" si="191"/>
        <v>0</v>
      </c>
      <c r="CU86" s="1336">
        <f t="shared" si="192"/>
        <v>0</v>
      </c>
      <c r="CV86" s="1336">
        <f t="shared" si="193"/>
        <v>0</v>
      </c>
      <c r="CW86" s="1336">
        <f t="shared" si="194"/>
        <v>0</v>
      </c>
      <c r="CX86" s="1336">
        <f t="shared" si="195"/>
        <v>0</v>
      </c>
      <c r="CY86" s="1336"/>
      <c r="CZ86" s="1336"/>
      <c r="DA86" s="1334">
        <f ca="1">Rental!Y116</f>
        <v>0</v>
      </c>
      <c r="DB86" s="1334">
        <f ca="1">Rental!AD116</f>
        <v>0</v>
      </c>
      <c r="DC86" s="1972"/>
      <c r="DD86" s="1761"/>
      <c r="DE86" s="1761"/>
      <c r="DF86" s="1335"/>
      <c r="DG86" s="1335"/>
      <c r="DH86" s="1335"/>
      <c r="DI86" s="1335"/>
      <c r="DJ86" s="1335"/>
      <c r="DK86" s="1335"/>
      <c r="DL86" s="1335"/>
      <c r="DM86" s="1335"/>
      <c r="DN86" s="1335"/>
      <c r="DO86" s="1335"/>
      <c r="DP86" s="1335"/>
      <c r="DQ86" s="1335"/>
      <c r="DR86" s="1335"/>
      <c r="DS86" s="1335"/>
      <c r="DT86" s="1335"/>
    </row>
    <row r="87" spans="1:124" s="1185" customFormat="1" ht="18" customHeight="1">
      <c r="A87" s="523">
        <f ca="1">IF(E87=YEAR(Retire!$D$12),1,0)</f>
        <v>0</v>
      </c>
      <c r="B87" s="502"/>
      <c r="C87" s="503" t="str">
        <f ca="1">IF(E87=Retire!$D$12,"==&gt;","")</f>
        <v/>
      </c>
      <c r="D87" s="504">
        <f t="shared" si="132"/>
        <v>81</v>
      </c>
      <c r="E87" s="504">
        <f t="shared" ca="1" si="133"/>
        <v>2102</v>
      </c>
      <c r="F87" s="505">
        <f t="shared" ca="1" si="146"/>
        <v>41697766</v>
      </c>
      <c r="G87" s="505"/>
      <c r="H87" s="506">
        <f>Assets!$G$37</f>
        <v>5.5E-2</v>
      </c>
      <c r="I87" s="507">
        <f>Assets!$F$37</f>
        <v>2000</v>
      </c>
      <c r="J87" s="507">
        <f t="shared" si="147"/>
        <v>20718249.344122197</v>
      </c>
      <c r="K87" s="1220"/>
      <c r="L87" s="506">
        <f>Assets!$G$38</f>
        <v>0.05</v>
      </c>
      <c r="M87" s="507">
        <f>Assets!$F$38</f>
        <v>1500</v>
      </c>
      <c r="N87" s="507">
        <f t="shared" si="148"/>
        <v>12608167.472044826</v>
      </c>
      <c r="O87" s="1220"/>
      <c r="P87" s="506">
        <f>Assets!$G$39</f>
        <v>0.06</v>
      </c>
      <c r="Q87" s="508">
        <f>Assets!$F$39</f>
        <v>250</v>
      </c>
      <c r="R87" s="507">
        <f t="shared" si="149"/>
        <v>8371349.4840006577</v>
      </c>
      <c r="S87" s="1220"/>
      <c r="T87" s="506">
        <f>Assets!$G$40</f>
        <v>0</v>
      </c>
      <c r="U87" s="510">
        <f>Assets!$F$40</f>
        <v>0</v>
      </c>
      <c r="V87" s="507">
        <f t="shared" si="150"/>
        <v>0</v>
      </c>
      <c r="W87" s="1220"/>
      <c r="X87" s="506">
        <f>Assets!$G$41</f>
        <v>0</v>
      </c>
      <c r="Y87" s="510">
        <f>Assets!$F$41</f>
        <v>0</v>
      </c>
      <c r="Z87" s="507">
        <f t="shared" si="151"/>
        <v>0</v>
      </c>
      <c r="AA87" s="1220"/>
      <c r="AB87" s="506">
        <f>Assets!$G$42</f>
        <v>0</v>
      </c>
      <c r="AC87" s="507">
        <f>Assets!$F$42</f>
        <v>0</v>
      </c>
      <c r="AD87" s="507">
        <f t="shared" si="152"/>
        <v>0</v>
      </c>
      <c r="AE87" s="1220"/>
      <c r="AF87" s="506">
        <f>Assets!$G$43</f>
        <v>0</v>
      </c>
      <c r="AG87" s="507">
        <f>Assets!$F$43</f>
        <v>0</v>
      </c>
      <c r="AH87" s="507">
        <f t="shared" si="153"/>
        <v>0</v>
      </c>
      <c r="AI87" s="1220"/>
      <c r="AJ87" s="506">
        <f>Assets!$G$44</f>
        <v>0</v>
      </c>
      <c r="AK87" s="507">
        <f>Assets!$F$44</f>
        <v>0</v>
      </c>
      <c r="AL87" s="507">
        <f t="shared" si="154"/>
        <v>0</v>
      </c>
      <c r="AM87" s="1220"/>
      <c r="AN87" s="506">
        <f>Assets!$G$45</f>
        <v>0</v>
      </c>
      <c r="AO87" s="507">
        <f>Assets!$F$45</f>
        <v>0</v>
      </c>
      <c r="AP87" s="507">
        <f t="shared" si="155"/>
        <v>0</v>
      </c>
      <c r="AQ87" s="1220"/>
      <c r="AR87" s="506">
        <f>Assets!$G$46</f>
        <v>0</v>
      </c>
      <c r="AS87" s="507">
        <f>Assets!$F$46</f>
        <v>0</v>
      </c>
      <c r="AT87" s="507">
        <f t="shared" si="156"/>
        <v>0</v>
      </c>
      <c r="AU87" s="1220"/>
      <c r="AV87" s="506">
        <f>Assets!$G$47</f>
        <v>0</v>
      </c>
      <c r="AW87" s="507">
        <f>Assets!F$47</f>
        <v>0</v>
      </c>
      <c r="AX87" s="507">
        <f t="shared" si="157"/>
        <v>0</v>
      </c>
      <c r="AY87" s="1220"/>
      <c r="AZ87" s="506">
        <f>Assets!$G$48</f>
        <v>0</v>
      </c>
      <c r="BA87" s="507">
        <f>Assets!$F$48</f>
        <v>0</v>
      </c>
      <c r="BB87" s="507">
        <f t="shared" si="158"/>
        <v>0</v>
      </c>
      <c r="BC87" s="502"/>
      <c r="BD87" s="2005"/>
      <c r="BE87" s="523"/>
      <c r="BF87" s="523"/>
      <c r="BG87" s="1331">
        <f t="shared" si="159"/>
        <v>20718249.344122197</v>
      </c>
      <c r="BH87" s="1331">
        <f t="shared" si="160"/>
        <v>12608167.472044826</v>
      </c>
      <c r="BI87" s="1331">
        <f t="shared" si="161"/>
        <v>8371349.4840006577</v>
      </c>
      <c r="BJ87" s="1331">
        <f t="shared" si="162"/>
        <v>0</v>
      </c>
      <c r="BK87" s="1331">
        <f t="shared" si="163"/>
        <v>0</v>
      </c>
      <c r="BL87" s="1331">
        <f t="shared" si="164"/>
        <v>0</v>
      </c>
      <c r="BM87" s="1331">
        <f t="shared" si="165"/>
        <v>0</v>
      </c>
      <c r="BN87" s="1331">
        <f t="shared" si="166"/>
        <v>0</v>
      </c>
      <c r="BO87" s="1331">
        <f t="shared" si="167"/>
        <v>0</v>
      </c>
      <c r="BP87" s="1331">
        <f t="shared" si="168"/>
        <v>0</v>
      </c>
      <c r="BQ87" s="1331">
        <f t="shared" si="169"/>
        <v>0</v>
      </c>
      <c r="BR87" s="1331">
        <f t="shared" si="170"/>
        <v>0</v>
      </c>
      <c r="BS87" s="523"/>
      <c r="BT87" s="523"/>
      <c r="BU87" s="523"/>
      <c r="BV87" s="523"/>
      <c r="BW87" s="1333">
        <f t="shared" ca="1" si="197"/>
        <v>2102</v>
      </c>
      <c r="BX87" s="1331">
        <f t="shared" si="171"/>
        <v>33326416.816167023</v>
      </c>
      <c r="BY87" s="1331">
        <f t="shared" ca="1" si="196"/>
        <v>8371349.4840006577</v>
      </c>
      <c r="BZ87" s="1336">
        <f t="shared" si="172"/>
        <v>20718249.344122197</v>
      </c>
      <c r="CA87" s="1336">
        <f t="shared" si="173"/>
        <v>12608167.472044826</v>
      </c>
      <c r="CB87" s="1336">
        <f t="shared" si="174"/>
        <v>0</v>
      </c>
      <c r="CC87" s="1336">
        <f t="shared" si="175"/>
        <v>0</v>
      </c>
      <c r="CD87" s="1336">
        <f t="shared" si="176"/>
        <v>0</v>
      </c>
      <c r="CE87" s="1336">
        <f t="shared" si="177"/>
        <v>0</v>
      </c>
      <c r="CF87" s="1336">
        <f t="shared" si="178"/>
        <v>0</v>
      </c>
      <c r="CG87" s="1336">
        <f t="shared" si="179"/>
        <v>0</v>
      </c>
      <c r="CH87" s="1336">
        <f t="shared" si="180"/>
        <v>0</v>
      </c>
      <c r="CI87" s="1336">
        <f t="shared" si="181"/>
        <v>0</v>
      </c>
      <c r="CJ87" s="1336">
        <f t="shared" si="182"/>
        <v>0</v>
      </c>
      <c r="CK87" s="1336">
        <f t="shared" si="183"/>
        <v>0</v>
      </c>
      <c r="CL87" s="1336"/>
      <c r="CM87" s="1336">
        <f t="shared" si="184"/>
        <v>0</v>
      </c>
      <c r="CN87" s="1336">
        <f t="shared" si="185"/>
        <v>0</v>
      </c>
      <c r="CO87" s="1336">
        <f t="shared" si="186"/>
        <v>8371349.4840006577</v>
      </c>
      <c r="CP87" s="1336">
        <f t="shared" si="187"/>
        <v>0</v>
      </c>
      <c r="CQ87" s="1336">
        <f t="shared" si="188"/>
        <v>0</v>
      </c>
      <c r="CR87" s="1336">
        <f t="shared" si="189"/>
        <v>0</v>
      </c>
      <c r="CS87" s="1336">
        <f t="shared" si="190"/>
        <v>0</v>
      </c>
      <c r="CT87" s="1336">
        <f t="shared" si="191"/>
        <v>0</v>
      </c>
      <c r="CU87" s="1336">
        <f t="shared" si="192"/>
        <v>0</v>
      </c>
      <c r="CV87" s="1336">
        <f t="shared" si="193"/>
        <v>0</v>
      </c>
      <c r="CW87" s="1336">
        <f t="shared" si="194"/>
        <v>0</v>
      </c>
      <c r="CX87" s="1336">
        <f t="shared" si="195"/>
        <v>0</v>
      </c>
      <c r="CY87" s="1336"/>
      <c r="CZ87" s="1336"/>
      <c r="DA87" s="1334">
        <f ca="1">Rental!Y117</f>
        <v>0</v>
      </c>
      <c r="DB87" s="1334">
        <f ca="1">Rental!AD117</f>
        <v>0</v>
      </c>
      <c r="DC87" s="1972"/>
      <c r="DD87" s="1761"/>
      <c r="DE87" s="1761"/>
      <c r="DF87" s="1335"/>
      <c r="DG87" s="1335"/>
      <c r="DH87" s="1335"/>
      <c r="DI87" s="1335"/>
      <c r="DJ87" s="1335"/>
      <c r="DK87" s="1335"/>
      <c r="DL87" s="1335"/>
      <c r="DM87" s="1335"/>
      <c r="DN87" s="1335"/>
      <c r="DO87" s="1335"/>
      <c r="DP87" s="1335"/>
      <c r="DQ87" s="1335"/>
      <c r="DR87" s="1335"/>
      <c r="DS87" s="1335"/>
      <c r="DT87" s="1335"/>
    </row>
    <row r="88" spans="1:124" s="1185" customFormat="1" ht="18" customHeight="1">
      <c r="A88" s="523">
        <f ca="1">IF(E88=YEAR(Retire!$D$12),1,0)</f>
        <v>0</v>
      </c>
      <c r="B88" s="502"/>
      <c r="C88" s="503" t="str">
        <f ca="1">IF(E88=Retire!$D$12,"==&gt;","")</f>
        <v/>
      </c>
      <c r="D88" s="512">
        <f t="shared" si="132"/>
        <v>82</v>
      </c>
      <c r="E88" s="512">
        <f t="shared" ca="1" si="133"/>
        <v>2103</v>
      </c>
      <c r="F88" s="513">
        <f t="shared" ca="1" si="146"/>
        <v>43973709</v>
      </c>
      <c r="G88" s="513"/>
      <c r="H88" s="514">
        <f>Assets!$G$37</f>
        <v>5.5E-2</v>
      </c>
      <c r="I88" s="515">
        <f>Assets!$F$37</f>
        <v>2000</v>
      </c>
      <c r="J88" s="515">
        <f t="shared" si="147"/>
        <v>21859753.058048919</v>
      </c>
      <c r="K88" s="1220"/>
      <c r="L88" s="514">
        <f>Assets!$G$38</f>
        <v>0.05</v>
      </c>
      <c r="M88" s="515">
        <f>Assets!$F$38</f>
        <v>1500</v>
      </c>
      <c r="N88" s="515">
        <f t="shared" si="148"/>
        <v>13240075.845647067</v>
      </c>
      <c r="O88" s="1220"/>
      <c r="P88" s="514">
        <f>Assets!$G$39</f>
        <v>0.06</v>
      </c>
      <c r="Q88" s="516">
        <f>Assets!$F$39</f>
        <v>250</v>
      </c>
      <c r="R88" s="515">
        <f t="shared" si="149"/>
        <v>8873880.4530406967</v>
      </c>
      <c r="S88" s="1220"/>
      <c r="T88" s="514">
        <f>Assets!$G$40</f>
        <v>0</v>
      </c>
      <c r="U88" s="517">
        <f>Assets!$F$40</f>
        <v>0</v>
      </c>
      <c r="V88" s="515">
        <f t="shared" si="150"/>
        <v>0</v>
      </c>
      <c r="W88" s="1220"/>
      <c r="X88" s="514">
        <f>Assets!$G$41</f>
        <v>0</v>
      </c>
      <c r="Y88" s="517">
        <f>Assets!$F$41</f>
        <v>0</v>
      </c>
      <c r="Z88" s="515">
        <f t="shared" si="151"/>
        <v>0</v>
      </c>
      <c r="AA88" s="1220"/>
      <c r="AB88" s="514">
        <f>Assets!$G$42</f>
        <v>0</v>
      </c>
      <c r="AC88" s="515">
        <f>Assets!$F$42</f>
        <v>0</v>
      </c>
      <c r="AD88" s="515">
        <f t="shared" si="152"/>
        <v>0</v>
      </c>
      <c r="AE88" s="1220"/>
      <c r="AF88" s="514">
        <f>Assets!$G$43</f>
        <v>0</v>
      </c>
      <c r="AG88" s="515">
        <f>Assets!$F$43</f>
        <v>0</v>
      </c>
      <c r="AH88" s="515">
        <f t="shared" si="153"/>
        <v>0</v>
      </c>
      <c r="AI88" s="1220"/>
      <c r="AJ88" s="514">
        <f>Assets!$G$44</f>
        <v>0</v>
      </c>
      <c r="AK88" s="515">
        <f>Assets!$F$44</f>
        <v>0</v>
      </c>
      <c r="AL88" s="515">
        <f t="shared" si="154"/>
        <v>0</v>
      </c>
      <c r="AM88" s="1220"/>
      <c r="AN88" s="514">
        <f>Assets!$G$45</f>
        <v>0</v>
      </c>
      <c r="AO88" s="515">
        <f>Assets!$F$45</f>
        <v>0</v>
      </c>
      <c r="AP88" s="515">
        <f t="shared" si="155"/>
        <v>0</v>
      </c>
      <c r="AQ88" s="1220"/>
      <c r="AR88" s="514">
        <f>Assets!$G$46</f>
        <v>0</v>
      </c>
      <c r="AS88" s="515">
        <f>Assets!$F$46</f>
        <v>0</v>
      </c>
      <c r="AT88" s="515">
        <f t="shared" si="156"/>
        <v>0</v>
      </c>
      <c r="AU88" s="1220"/>
      <c r="AV88" s="514">
        <f>Assets!$G$47</f>
        <v>0</v>
      </c>
      <c r="AW88" s="515">
        <f>Assets!F$47</f>
        <v>0</v>
      </c>
      <c r="AX88" s="515">
        <f t="shared" si="157"/>
        <v>0</v>
      </c>
      <c r="AY88" s="1220"/>
      <c r="AZ88" s="514">
        <f>Assets!$G$48</f>
        <v>0</v>
      </c>
      <c r="BA88" s="515">
        <f>Assets!$F$48</f>
        <v>0</v>
      </c>
      <c r="BB88" s="515">
        <f t="shared" si="158"/>
        <v>0</v>
      </c>
      <c r="BC88" s="502"/>
      <c r="BD88" s="2005"/>
      <c r="BE88" s="523"/>
      <c r="BF88" s="523"/>
      <c r="BG88" s="1331">
        <f t="shared" si="159"/>
        <v>21859753.058048919</v>
      </c>
      <c r="BH88" s="1331">
        <f t="shared" si="160"/>
        <v>13240075.845647067</v>
      </c>
      <c r="BI88" s="1331">
        <f t="shared" si="161"/>
        <v>8873880.4530406967</v>
      </c>
      <c r="BJ88" s="1331">
        <f t="shared" si="162"/>
        <v>0</v>
      </c>
      <c r="BK88" s="1331">
        <f t="shared" si="163"/>
        <v>0</v>
      </c>
      <c r="BL88" s="1331">
        <f t="shared" si="164"/>
        <v>0</v>
      </c>
      <c r="BM88" s="1331">
        <f t="shared" si="165"/>
        <v>0</v>
      </c>
      <c r="BN88" s="1331">
        <f t="shared" si="166"/>
        <v>0</v>
      </c>
      <c r="BO88" s="1331">
        <f t="shared" si="167"/>
        <v>0</v>
      </c>
      <c r="BP88" s="1331">
        <f t="shared" si="168"/>
        <v>0</v>
      </c>
      <c r="BQ88" s="1331">
        <f t="shared" si="169"/>
        <v>0</v>
      </c>
      <c r="BR88" s="1331">
        <f t="shared" si="170"/>
        <v>0</v>
      </c>
      <c r="BS88" s="523"/>
      <c r="BT88" s="523"/>
      <c r="BU88" s="523"/>
      <c r="BV88" s="523"/>
      <c r="BW88" s="1333">
        <f t="shared" ca="1" si="197"/>
        <v>2103</v>
      </c>
      <c r="BX88" s="1331">
        <f t="shared" si="171"/>
        <v>35099828.903695986</v>
      </c>
      <c r="BY88" s="1331">
        <f t="shared" ca="1" si="196"/>
        <v>8873880.4530406967</v>
      </c>
      <c r="BZ88" s="1336">
        <f t="shared" si="172"/>
        <v>21859753.058048919</v>
      </c>
      <c r="CA88" s="1336">
        <f t="shared" si="173"/>
        <v>13240075.845647067</v>
      </c>
      <c r="CB88" s="1336">
        <f t="shared" si="174"/>
        <v>0</v>
      </c>
      <c r="CC88" s="1336">
        <f t="shared" si="175"/>
        <v>0</v>
      </c>
      <c r="CD88" s="1336">
        <f t="shared" si="176"/>
        <v>0</v>
      </c>
      <c r="CE88" s="1336">
        <f t="shared" si="177"/>
        <v>0</v>
      </c>
      <c r="CF88" s="1336">
        <f t="shared" si="178"/>
        <v>0</v>
      </c>
      <c r="CG88" s="1336">
        <f t="shared" si="179"/>
        <v>0</v>
      </c>
      <c r="CH88" s="1336">
        <f t="shared" si="180"/>
        <v>0</v>
      </c>
      <c r="CI88" s="1336">
        <f t="shared" si="181"/>
        <v>0</v>
      </c>
      <c r="CJ88" s="1336">
        <f t="shared" si="182"/>
        <v>0</v>
      </c>
      <c r="CK88" s="1336">
        <f t="shared" si="183"/>
        <v>0</v>
      </c>
      <c r="CL88" s="1336"/>
      <c r="CM88" s="1336">
        <f t="shared" si="184"/>
        <v>0</v>
      </c>
      <c r="CN88" s="1336">
        <f t="shared" si="185"/>
        <v>0</v>
      </c>
      <c r="CO88" s="1336">
        <f t="shared" si="186"/>
        <v>8873880.4530406967</v>
      </c>
      <c r="CP88" s="1336">
        <f t="shared" si="187"/>
        <v>0</v>
      </c>
      <c r="CQ88" s="1336">
        <f t="shared" si="188"/>
        <v>0</v>
      </c>
      <c r="CR88" s="1336">
        <f t="shared" si="189"/>
        <v>0</v>
      </c>
      <c r="CS88" s="1336">
        <f t="shared" si="190"/>
        <v>0</v>
      </c>
      <c r="CT88" s="1336">
        <f t="shared" si="191"/>
        <v>0</v>
      </c>
      <c r="CU88" s="1336">
        <f t="shared" si="192"/>
        <v>0</v>
      </c>
      <c r="CV88" s="1336">
        <f t="shared" si="193"/>
        <v>0</v>
      </c>
      <c r="CW88" s="1336">
        <f t="shared" si="194"/>
        <v>0</v>
      </c>
      <c r="CX88" s="1336">
        <f t="shared" si="195"/>
        <v>0</v>
      </c>
      <c r="CY88" s="1336"/>
      <c r="CZ88" s="1336"/>
      <c r="DA88" s="1334">
        <f ca="1">Rental!Y118</f>
        <v>0</v>
      </c>
      <c r="DB88" s="1334">
        <f ca="1">Rental!AD118</f>
        <v>0</v>
      </c>
      <c r="DC88" s="1972"/>
      <c r="DD88" s="1761"/>
      <c r="DE88" s="1761"/>
      <c r="DF88" s="1335"/>
      <c r="DG88" s="1335"/>
      <c r="DH88" s="1335"/>
      <c r="DI88" s="1335"/>
      <c r="DJ88" s="1335"/>
      <c r="DK88" s="1335"/>
      <c r="DL88" s="1335"/>
      <c r="DM88" s="1335"/>
      <c r="DN88" s="1335"/>
      <c r="DO88" s="1335"/>
      <c r="DP88" s="1335"/>
      <c r="DQ88" s="1335"/>
      <c r="DR88" s="1335"/>
      <c r="DS88" s="1335"/>
      <c r="DT88" s="1335"/>
    </row>
    <row r="89" spans="1:124" s="1185" customFormat="1" ht="18" customHeight="1">
      <c r="A89" s="523">
        <f ca="1">IF(E89=YEAR(Retire!$D$12),1,0)</f>
        <v>0</v>
      </c>
      <c r="B89" s="502"/>
      <c r="C89" s="503" t="str">
        <f ca="1">IF(E89=Retire!$D$12,"==&gt;","")</f>
        <v/>
      </c>
      <c r="D89" s="504">
        <f t="shared" si="132"/>
        <v>83</v>
      </c>
      <c r="E89" s="504">
        <f t="shared" ca="1" si="133"/>
        <v>2104</v>
      </c>
      <c r="F89" s="505">
        <f t="shared" ca="1" si="146"/>
        <v>46374182</v>
      </c>
      <c r="G89" s="505"/>
      <c r="H89" s="506">
        <f>Assets!$G$37</f>
        <v>5.5E-2</v>
      </c>
      <c r="I89" s="507">
        <f>Assets!$F$37</f>
        <v>2000</v>
      </c>
      <c r="J89" s="507">
        <f t="shared" si="147"/>
        <v>23064039.476241611</v>
      </c>
      <c r="K89" s="1220"/>
      <c r="L89" s="506">
        <f>Assets!$G$38</f>
        <v>0.05</v>
      </c>
      <c r="M89" s="507">
        <f>Assets!$F$38</f>
        <v>1500</v>
      </c>
      <c r="N89" s="507">
        <f t="shared" si="148"/>
        <v>13903579.637929421</v>
      </c>
      <c r="O89" s="1220"/>
      <c r="P89" s="506">
        <f>Assets!$G$39</f>
        <v>0.06</v>
      </c>
      <c r="Q89" s="508">
        <f>Assets!$F$39</f>
        <v>250</v>
      </c>
      <c r="R89" s="507">
        <f t="shared" si="149"/>
        <v>9406563.2802231386</v>
      </c>
      <c r="S89" s="1220"/>
      <c r="T89" s="506">
        <f>Assets!$G$40</f>
        <v>0</v>
      </c>
      <c r="U89" s="510">
        <f>Assets!$F$40</f>
        <v>0</v>
      </c>
      <c r="V89" s="507">
        <f t="shared" si="150"/>
        <v>0</v>
      </c>
      <c r="W89" s="1220"/>
      <c r="X89" s="506">
        <f>Assets!$G$41</f>
        <v>0</v>
      </c>
      <c r="Y89" s="510">
        <f>Assets!$F$41</f>
        <v>0</v>
      </c>
      <c r="Z89" s="507">
        <f t="shared" si="151"/>
        <v>0</v>
      </c>
      <c r="AA89" s="1220"/>
      <c r="AB89" s="506">
        <f>Assets!$G$42</f>
        <v>0</v>
      </c>
      <c r="AC89" s="507">
        <f>Assets!$F$42</f>
        <v>0</v>
      </c>
      <c r="AD89" s="507">
        <f t="shared" si="152"/>
        <v>0</v>
      </c>
      <c r="AE89" s="1220"/>
      <c r="AF89" s="506">
        <f>Assets!$G$43</f>
        <v>0</v>
      </c>
      <c r="AG89" s="507">
        <f>Assets!$F$43</f>
        <v>0</v>
      </c>
      <c r="AH89" s="507">
        <f t="shared" si="153"/>
        <v>0</v>
      </c>
      <c r="AI89" s="1220"/>
      <c r="AJ89" s="506">
        <f>Assets!$G$44</f>
        <v>0</v>
      </c>
      <c r="AK89" s="507">
        <f>Assets!$F$44</f>
        <v>0</v>
      </c>
      <c r="AL89" s="507">
        <f t="shared" si="154"/>
        <v>0</v>
      </c>
      <c r="AM89" s="1220"/>
      <c r="AN89" s="506">
        <f>Assets!$G$45</f>
        <v>0</v>
      </c>
      <c r="AO89" s="507">
        <f>Assets!$F$45</f>
        <v>0</v>
      </c>
      <c r="AP89" s="507">
        <f t="shared" si="155"/>
        <v>0</v>
      </c>
      <c r="AQ89" s="1220"/>
      <c r="AR89" s="506">
        <f>Assets!$G$46</f>
        <v>0</v>
      </c>
      <c r="AS89" s="507">
        <f>Assets!$F$46</f>
        <v>0</v>
      </c>
      <c r="AT89" s="507">
        <f t="shared" si="156"/>
        <v>0</v>
      </c>
      <c r="AU89" s="1220"/>
      <c r="AV89" s="506">
        <f>Assets!$G$47</f>
        <v>0</v>
      </c>
      <c r="AW89" s="507">
        <f>Assets!F$47</f>
        <v>0</v>
      </c>
      <c r="AX89" s="507">
        <f t="shared" si="157"/>
        <v>0</v>
      </c>
      <c r="AY89" s="1220"/>
      <c r="AZ89" s="506">
        <f>Assets!$G$48</f>
        <v>0</v>
      </c>
      <c r="BA89" s="507">
        <f>Assets!$F$48</f>
        <v>0</v>
      </c>
      <c r="BB89" s="507">
        <f t="shared" si="158"/>
        <v>0</v>
      </c>
      <c r="BC89" s="502"/>
      <c r="BD89" s="2005"/>
      <c r="BE89" s="523"/>
      <c r="BF89" s="523"/>
      <c r="BG89" s="1331">
        <f t="shared" si="159"/>
        <v>23064039.476241611</v>
      </c>
      <c r="BH89" s="1331">
        <f t="shared" si="160"/>
        <v>13903579.637929421</v>
      </c>
      <c r="BI89" s="1331">
        <f t="shared" si="161"/>
        <v>9406563.2802231386</v>
      </c>
      <c r="BJ89" s="1331">
        <f t="shared" si="162"/>
        <v>0</v>
      </c>
      <c r="BK89" s="1331">
        <f t="shared" si="163"/>
        <v>0</v>
      </c>
      <c r="BL89" s="1331">
        <f t="shared" si="164"/>
        <v>0</v>
      </c>
      <c r="BM89" s="1331">
        <f t="shared" si="165"/>
        <v>0</v>
      </c>
      <c r="BN89" s="1331">
        <f t="shared" si="166"/>
        <v>0</v>
      </c>
      <c r="BO89" s="1331">
        <f t="shared" si="167"/>
        <v>0</v>
      </c>
      <c r="BP89" s="1331">
        <f t="shared" si="168"/>
        <v>0</v>
      </c>
      <c r="BQ89" s="1331">
        <f t="shared" si="169"/>
        <v>0</v>
      </c>
      <c r="BR89" s="1331">
        <f t="shared" si="170"/>
        <v>0</v>
      </c>
      <c r="BS89" s="523"/>
      <c r="BT89" s="523"/>
      <c r="BU89" s="523"/>
      <c r="BV89" s="523"/>
      <c r="BW89" s="1333">
        <f t="shared" ca="1" si="197"/>
        <v>2104</v>
      </c>
      <c r="BX89" s="1331">
        <f t="shared" si="171"/>
        <v>36967619.114171028</v>
      </c>
      <c r="BY89" s="1331">
        <f t="shared" ca="1" si="196"/>
        <v>9406563.2802231386</v>
      </c>
      <c r="BZ89" s="1336">
        <f t="shared" si="172"/>
        <v>23064039.476241611</v>
      </c>
      <c r="CA89" s="1336">
        <f t="shared" si="173"/>
        <v>13903579.637929421</v>
      </c>
      <c r="CB89" s="1336">
        <f t="shared" si="174"/>
        <v>0</v>
      </c>
      <c r="CC89" s="1336">
        <f t="shared" si="175"/>
        <v>0</v>
      </c>
      <c r="CD89" s="1336">
        <f t="shared" si="176"/>
        <v>0</v>
      </c>
      <c r="CE89" s="1336">
        <f t="shared" si="177"/>
        <v>0</v>
      </c>
      <c r="CF89" s="1336">
        <f t="shared" si="178"/>
        <v>0</v>
      </c>
      <c r="CG89" s="1336">
        <f t="shared" si="179"/>
        <v>0</v>
      </c>
      <c r="CH89" s="1336">
        <f t="shared" si="180"/>
        <v>0</v>
      </c>
      <c r="CI89" s="1336">
        <f t="shared" si="181"/>
        <v>0</v>
      </c>
      <c r="CJ89" s="1336">
        <f t="shared" si="182"/>
        <v>0</v>
      </c>
      <c r="CK89" s="1336">
        <f t="shared" si="183"/>
        <v>0</v>
      </c>
      <c r="CL89" s="1336"/>
      <c r="CM89" s="1336">
        <f t="shared" si="184"/>
        <v>0</v>
      </c>
      <c r="CN89" s="1336">
        <f t="shared" si="185"/>
        <v>0</v>
      </c>
      <c r="CO89" s="1336">
        <f t="shared" si="186"/>
        <v>9406563.2802231386</v>
      </c>
      <c r="CP89" s="1336">
        <f t="shared" si="187"/>
        <v>0</v>
      </c>
      <c r="CQ89" s="1336">
        <f t="shared" si="188"/>
        <v>0</v>
      </c>
      <c r="CR89" s="1336">
        <f t="shared" si="189"/>
        <v>0</v>
      </c>
      <c r="CS89" s="1336">
        <f t="shared" si="190"/>
        <v>0</v>
      </c>
      <c r="CT89" s="1336">
        <f t="shared" si="191"/>
        <v>0</v>
      </c>
      <c r="CU89" s="1336">
        <f t="shared" si="192"/>
        <v>0</v>
      </c>
      <c r="CV89" s="1336">
        <f t="shared" si="193"/>
        <v>0</v>
      </c>
      <c r="CW89" s="1336">
        <f t="shared" si="194"/>
        <v>0</v>
      </c>
      <c r="CX89" s="1336">
        <f t="shared" si="195"/>
        <v>0</v>
      </c>
      <c r="CY89" s="1336"/>
      <c r="CZ89" s="1336"/>
      <c r="DA89" s="1334">
        <f ca="1">Rental!Y119</f>
        <v>0</v>
      </c>
      <c r="DB89" s="1334">
        <f ca="1">Rental!AD119</f>
        <v>0</v>
      </c>
      <c r="DC89" s="1972"/>
      <c r="DD89" s="1761"/>
      <c r="DE89" s="1761"/>
      <c r="DF89" s="1335"/>
      <c r="DG89" s="1335"/>
      <c r="DH89" s="1335"/>
      <c r="DI89" s="1335"/>
      <c r="DJ89" s="1335"/>
      <c r="DK89" s="1335"/>
      <c r="DL89" s="1335"/>
      <c r="DM89" s="1335"/>
      <c r="DN89" s="1335"/>
      <c r="DO89" s="1335"/>
      <c r="DP89" s="1335"/>
      <c r="DQ89" s="1335"/>
      <c r="DR89" s="1335"/>
      <c r="DS89" s="1335"/>
      <c r="DT89" s="1335"/>
    </row>
    <row r="90" spans="1:124" s="1185" customFormat="1" ht="18" customHeight="1">
      <c r="A90" s="523">
        <f ca="1">IF(E90=YEAR(Retire!$D$12),1,0)</f>
        <v>0</v>
      </c>
      <c r="B90" s="502"/>
      <c r="C90" s="503" t="str">
        <f ca="1">IF(E90=Retire!$D$12,"==&gt;","")</f>
        <v/>
      </c>
      <c r="D90" s="512">
        <f t="shared" si="132"/>
        <v>84</v>
      </c>
      <c r="E90" s="512">
        <f t="shared" ca="1" si="133"/>
        <v>2105</v>
      </c>
      <c r="F90" s="513">
        <f t="shared" ca="1" si="146"/>
        <v>48906027</v>
      </c>
      <c r="G90" s="513"/>
      <c r="H90" s="514">
        <f>Assets!$G$37</f>
        <v>5.5E-2</v>
      </c>
      <c r="I90" s="515">
        <f>Assets!$F$37</f>
        <v>2000</v>
      </c>
      <c r="J90" s="515">
        <f t="shared" si="147"/>
        <v>24334561.647434898</v>
      </c>
      <c r="K90" s="1220"/>
      <c r="L90" s="514">
        <f>Assets!$G$38</f>
        <v>0.05</v>
      </c>
      <c r="M90" s="515">
        <f>Assets!$F$38</f>
        <v>1500</v>
      </c>
      <c r="N90" s="515">
        <f t="shared" si="148"/>
        <v>14600258.619825892</v>
      </c>
      <c r="O90" s="1220"/>
      <c r="P90" s="514">
        <f>Assets!$G$39</f>
        <v>0.06</v>
      </c>
      <c r="Q90" s="516">
        <f>Assets!$F$39</f>
        <v>250</v>
      </c>
      <c r="R90" s="515">
        <f t="shared" si="149"/>
        <v>9971207.0770365261</v>
      </c>
      <c r="S90" s="1220"/>
      <c r="T90" s="514">
        <f>Assets!$G$40</f>
        <v>0</v>
      </c>
      <c r="U90" s="517">
        <f>Assets!$F$40</f>
        <v>0</v>
      </c>
      <c r="V90" s="515">
        <f t="shared" si="150"/>
        <v>0</v>
      </c>
      <c r="W90" s="1220"/>
      <c r="X90" s="514">
        <f>Assets!$G$41</f>
        <v>0</v>
      </c>
      <c r="Y90" s="517">
        <f>Assets!$F$41</f>
        <v>0</v>
      </c>
      <c r="Z90" s="515">
        <f t="shared" si="151"/>
        <v>0</v>
      </c>
      <c r="AA90" s="1220"/>
      <c r="AB90" s="514">
        <f>Assets!$G$42</f>
        <v>0</v>
      </c>
      <c r="AC90" s="515">
        <f>Assets!$F$42</f>
        <v>0</v>
      </c>
      <c r="AD90" s="515">
        <f t="shared" si="152"/>
        <v>0</v>
      </c>
      <c r="AE90" s="1220"/>
      <c r="AF90" s="514">
        <f>Assets!$G$43</f>
        <v>0</v>
      </c>
      <c r="AG90" s="515">
        <f>Assets!$F$43</f>
        <v>0</v>
      </c>
      <c r="AH90" s="515">
        <f t="shared" si="153"/>
        <v>0</v>
      </c>
      <c r="AI90" s="1220"/>
      <c r="AJ90" s="514">
        <f>Assets!$G$44</f>
        <v>0</v>
      </c>
      <c r="AK90" s="515">
        <f>Assets!$F$44</f>
        <v>0</v>
      </c>
      <c r="AL90" s="515">
        <f t="shared" si="154"/>
        <v>0</v>
      </c>
      <c r="AM90" s="1220"/>
      <c r="AN90" s="514">
        <f>Assets!$G$45</f>
        <v>0</v>
      </c>
      <c r="AO90" s="515">
        <f>Assets!$F$45</f>
        <v>0</v>
      </c>
      <c r="AP90" s="515">
        <f t="shared" si="155"/>
        <v>0</v>
      </c>
      <c r="AQ90" s="1220"/>
      <c r="AR90" s="514">
        <f>Assets!$G$46</f>
        <v>0</v>
      </c>
      <c r="AS90" s="515">
        <f>Assets!$F$46</f>
        <v>0</v>
      </c>
      <c r="AT90" s="515">
        <f t="shared" si="156"/>
        <v>0</v>
      </c>
      <c r="AU90" s="1220"/>
      <c r="AV90" s="514">
        <f>Assets!$G$47</f>
        <v>0</v>
      </c>
      <c r="AW90" s="515">
        <f>Assets!F$47</f>
        <v>0</v>
      </c>
      <c r="AX90" s="515">
        <f t="shared" si="157"/>
        <v>0</v>
      </c>
      <c r="AY90" s="1220"/>
      <c r="AZ90" s="514">
        <f>Assets!$G$48</f>
        <v>0</v>
      </c>
      <c r="BA90" s="515">
        <f>Assets!$F$48</f>
        <v>0</v>
      </c>
      <c r="BB90" s="515">
        <f t="shared" si="158"/>
        <v>0</v>
      </c>
      <c r="BC90" s="502"/>
      <c r="BD90" s="2005"/>
      <c r="BE90" s="523"/>
      <c r="BF90" s="523"/>
      <c r="BG90" s="1331">
        <f t="shared" si="159"/>
        <v>24334561.647434898</v>
      </c>
      <c r="BH90" s="1331">
        <f t="shared" si="160"/>
        <v>14600258.619825892</v>
      </c>
      <c r="BI90" s="1331">
        <f t="shared" si="161"/>
        <v>9971207.0770365261</v>
      </c>
      <c r="BJ90" s="1331">
        <f t="shared" si="162"/>
        <v>0</v>
      </c>
      <c r="BK90" s="1331">
        <f t="shared" si="163"/>
        <v>0</v>
      </c>
      <c r="BL90" s="1331">
        <f t="shared" si="164"/>
        <v>0</v>
      </c>
      <c r="BM90" s="1331">
        <f t="shared" si="165"/>
        <v>0</v>
      </c>
      <c r="BN90" s="1331">
        <f t="shared" si="166"/>
        <v>0</v>
      </c>
      <c r="BO90" s="1331">
        <f t="shared" si="167"/>
        <v>0</v>
      </c>
      <c r="BP90" s="1331">
        <f t="shared" si="168"/>
        <v>0</v>
      </c>
      <c r="BQ90" s="1331">
        <f t="shared" si="169"/>
        <v>0</v>
      </c>
      <c r="BR90" s="1331">
        <f t="shared" si="170"/>
        <v>0</v>
      </c>
      <c r="BS90" s="523"/>
      <c r="BT90" s="523"/>
      <c r="BU90" s="523"/>
      <c r="BV90" s="523"/>
      <c r="BW90" s="1333">
        <f t="shared" ca="1" si="197"/>
        <v>2105</v>
      </c>
      <c r="BX90" s="1331">
        <f t="shared" si="171"/>
        <v>38934820.26726079</v>
      </c>
      <c r="BY90" s="1331">
        <f t="shared" ca="1" si="196"/>
        <v>9971207.0770365261</v>
      </c>
      <c r="BZ90" s="1336">
        <f t="shared" si="172"/>
        <v>24334561.647434898</v>
      </c>
      <c r="CA90" s="1336">
        <f t="shared" si="173"/>
        <v>14600258.619825892</v>
      </c>
      <c r="CB90" s="1336">
        <f t="shared" si="174"/>
        <v>0</v>
      </c>
      <c r="CC90" s="1336">
        <f t="shared" si="175"/>
        <v>0</v>
      </c>
      <c r="CD90" s="1336">
        <f t="shared" si="176"/>
        <v>0</v>
      </c>
      <c r="CE90" s="1336">
        <f t="shared" si="177"/>
        <v>0</v>
      </c>
      <c r="CF90" s="1336">
        <f t="shared" si="178"/>
        <v>0</v>
      </c>
      <c r="CG90" s="1336">
        <f t="shared" si="179"/>
        <v>0</v>
      </c>
      <c r="CH90" s="1336">
        <f t="shared" si="180"/>
        <v>0</v>
      </c>
      <c r="CI90" s="1336">
        <f t="shared" si="181"/>
        <v>0</v>
      </c>
      <c r="CJ90" s="1336">
        <f t="shared" si="182"/>
        <v>0</v>
      </c>
      <c r="CK90" s="1336">
        <f t="shared" si="183"/>
        <v>0</v>
      </c>
      <c r="CL90" s="1336"/>
      <c r="CM90" s="1336">
        <f t="shared" si="184"/>
        <v>0</v>
      </c>
      <c r="CN90" s="1336">
        <f t="shared" si="185"/>
        <v>0</v>
      </c>
      <c r="CO90" s="1336">
        <f t="shared" si="186"/>
        <v>9971207.0770365261</v>
      </c>
      <c r="CP90" s="1336">
        <f t="shared" si="187"/>
        <v>0</v>
      </c>
      <c r="CQ90" s="1336">
        <f t="shared" si="188"/>
        <v>0</v>
      </c>
      <c r="CR90" s="1336">
        <f t="shared" si="189"/>
        <v>0</v>
      </c>
      <c r="CS90" s="1336">
        <f t="shared" si="190"/>
        <v>0</v>
      </c>
      <c r="CT90" s="1336">
        <f t="shared" si="191"/>
        <v>0</v>
      </c>
      <c r="CU90" s="1336">
        <f t="shared" si="192"/>
        <v>0</v>
      </c>
      <c r="CV90" s="1336">
        <f t="shared" si="193"/>
        <v>0</v>
      </c>
      <c r="CW90" s="1336">
        <f t="shared" si="194"/>
        <v>0</v>
      </c>
      <c r="CX90" s="1336">
        <f t="shared" si="195"/>
        <v>0</v>
      </c>
      <c r="CY90" s="1336"/>
      <c r="CZ90" s="1336"/>
      <c r="DA90" s="1334">
        <f ca="1">Rental!Y120</f>
        <v>0</v>
      </c>
      <c r="DB90" s="1334">
        <f ca="1">Rental!AD120</f>
        <v>0</v>
      </c>
      <c r="DC90" s="1972"/>
      <c r="DD90" s="1761"/>
      <c r="DE90" s="1761"/>
      <c r="DF90" s="1335"/>
      <c r="DG90" s="1335"/>
      <c r="DH90" s="1335"/>
      <c r="DI90" s="1335"/>
      <c r="DJ90" s="1335"/>
      <c r="DK90" s="1335"/>
      <c r="DL90" s="1335"/>
      <c r="DM90" s="1335"/>
      <c r="DN90" s="1335"/>
      <c r="DO90" s="1335"/>
      <c r="DP90" s="1335"/>
      <c r="DQ90" s="1335"/>
      <c r="DR90" s="1335"/>
      <c r="DS90" s="1335"/>
      <c r="DT90" s="1335"/>
    </row>
    <row r="91" spans="1:124" s="1185" customFormat="1" ht="18" customHeight="1">
      <c r="A91" s="523">
        <f ca="1">IF(E91=YEAR(Retire!$D$12),1,0)</f>
        <v>0</v>
      </c>
      <c r="B91" s="502"/>
      <c r="C91" s="503" t="str">
        <f ca="1">IF(E91=Retire!$D$12,"==&gt;","")</f>
        <v/>
      </c>
      <c r="D91" s="504">
        <f t="shared" si="132"/>
        <v>85</v>
      </c>
      <c r="E91" s="504">
        <f t="shared" ca="1" si="133"/>
        <v>2106</v>
      </c>
      <c r="F91" s="505">
        <f t="shared" ca="1" si="146"/>
        <v>51576464</v>
      </c>
      <c r="G91" s="505"/>
      <c r="H91" s="506">
        <f>Assets!$G$37</f>
        <v>5.5E-2</v>
      </c>
      <c r="I91" s="507">
        <f>Assets!$F$37</f>
        <v>2000</v>
      </c>
      <c r="J91" s="507">
        <f t="shared" si="147"/>
        <v>25674962.538043816</v>
      </c>
      <c r="K91" s="1220"/>
      <c r="L91" s="506">
        <f>Assets!$G$38</f>
        <v>0.05</v>
      </c>
      <c r="M91" s="507">
        <f>Assets!$F$38</f>
        <v>1500</v>
      </c>
      <c r="N91" s="507">
        <f t="shared" si="148"/>
        <v>15331771.550817186</v>
      </c>
      <c r="O91" s="1220"/>
      <c r="P91" s="506">
        <f>Assets!$G$39</f>
        <v>0.06</v>
      </c>
      <c r="Q91" s="508">
        <f>Assets!$F$39</f>
        <v>250</v>
      </c>
      <c r="R91" s="507">
        <f t="shared" si="149"/>
        <v>10569729.501658717</v>
      </c>
      <c r="S91" s="1220"/>
      <c r="T91" s="506">
        <f>Assets!$G$40</f>
        <v>0</v>
      </c>
      <c r="U91" s="510">
        <f>Assets!$F$40</f>
        <v>0</v>
      </c>
      <c r="V91" s="507">
        <f t="shared" si="150"/>
        <v>0</v>
      </c>
      <c r="W91" s="1220"/>
      <c r="X91" s="506">
        <f>Assets!$G$41</f>
        <v>0</v>
      </c>
      <c r="Y91" s="510">
        <f>Assets!$F$41</f>
        <v>0</v>
      </c>
      <c r="Z91" s="507">
        <f t="shared" si="151"/>
        <v>0</v>
      </c>
      <c r="AA91" s="1220"/>
      <c r="AB91" s="506">
        <f>Assets!$G$42</f>
        <v>0</v>
      </c>
      <c r="AC91" s="507">
        <f>Assets!$F$42</f>
        <v>0</v>
      </c>
      <c r="AD91" s="507">
        <f t="shared" si="152"/>
        <v>0</v>
      </c>
      <c r="AE91" s="1220"/>
      <c r="AF91" s="506">
        <f>Assets!$G$43</f>
        <v>0</v>
      </c>
      <c r="AG91" s="507">
        <f>Assets!$F$43</f>
        <v>0</v>
      </c>
      <c r="AH91" s="507">
        <f t="shared" si="153"/>
        <v>0</v>
      </c>
      <c r="AI91" s="1220"/>
      <c r="AJ91" s="506">
        <f>Assets!$G$44</f>
        <v>0</v>
      </c>
      <c r="AK91" s="507">
        <f>Assets!$F$44</f>
        <v>0</v>
      </c>
      <c r="AL91" s="507">
        <f t="shared" si="154"/>
        <v>0</v>
      </c>
      <c r="AM91" s="1220"/>
      <c r="AN91" s="506">
        <f>Assets!$G$45</f>
        <v>0</v>
      </c>
      <c r="AO91" s="507">
        <f>Assets!$F$45</f>
        <v>0</v>
      </c>
      <c r="AP91" s="507">
        <f t="shared" si="155"/>
        <v>0</v>
      </c>
      <c r="AQ91" s="1220"/>
      <c r="AR91" s="506">
        <f>Assets!$G$46</f>
        <v>0</v>
      </c>
      <c r="AS91" s="507">
        <f>Assets!$F$46</f>
        <v>0</v>
      </c>
      <c r="AT91" s="507">
        <f t="shared" si="156"/>
        <v>0</v>
      </c>
      <c r="AU91" s="1220"/>
      <c r="AV91" s="506">
        <f>Assets!$G$47</f>
        <v>0</v>
      </c>
      <c r="AW91" s="507">
        <f>Assets!F$47</f>
        <v>0</v>
      </c>
      <c r="AX91" s="507">
        <f t="shared" si="157"/>
        <v>0</v>
      </c>
      <c r="AY91" s="1220"/>
      <c r="AZ91" s="506">
        <f>Assets!$G$48</f>
        <v>0</v>
      </c>
      <c r="BA91" s="507">
        <f>Assets!$F$48</f>
        <v>0</v>
      </c>
      <c r="BB91" s="507">
        <f t="shared" si="158"/>
        <v>0</v>
      </c>
      <c r="BC91" s="502"/>
      <c r="BD91" s="2005"/>
      <c r="BE91" s="523"/>
      <c r="BF91" s="523"/>
      <c r="BG91" s="1331">
        <f t="shared" si="159"/>
        <v>25674962.538043816</v>
      </c>
      <c r="BH91" s="1331">
        <f t="shared" si="160"/>
        <v>15331771.550817186</v>
      </c>
      <c r="BI91" s="1331">
        <f t="shared" si="161"/>
        <v>10569729.501658717</v>
      </c>
      <c r="BJ91" s="1331">
        <f t="shared" si="162"/>
        <v>0</v>
      </c>
      <c r="BK91" s="1331">
        <f t="shared" si="163"/>
        <v>0</v>
      </c>
      <c r="BL91" s="1331">
        <f t="shared" si="164"/>
        <v>0</v>
      </c>
      <c r="BM91" s="1331">
        <f t="shared" si="165"/>
        <v>0</v>
      </c>
      <c r="BN91" s="1331">
        <f t="shared" si="166"/>
        <v>0</v>
      </c>
      <c r="BO91" s="1331">
        <f t="shared" si="167"/>
        <v>0</v>
      </c>
      <c r="BP91" s="1331">
        <f t="shared" si="168"/>
        <v>0</v>
      </c>
      <c r="BQ91" s="1331">
        <f t="shared" si="169"/>
        <v>0</v>
      </c>
      <c r="BR91" s="1331">
        <f t="shared" si="170"/>
        <v>0</v>
      </c>
      <c r="BS91" s="523"/>
      <c r="BT91" s="523"/>
      <c r="BU91" s="523"/>
      <c r="BV91" s="523"/>
      <c r="BW91" s="1333">
        <f t="shared" ca="1" si="197"/>
        <v>2106</v>
      </c>
      <c r="BX91" s="1331">
        <f t="shared" si="171"/>
        <v>41006734.088861004</v>
      </c>
      <c r="BY91" s="1331">
        <f t="shared" ca="1" si="196"/>
        <v>10569729.501658717</v>
      </c>
      <c r="BZ91" s="1336">
        <f t="shared" si="172"/>
        <v>25674962.538043816</v>
      </c>
      <c r="CA91" s="1336">
        <f t="shared" si="173"/>
        <v>15331771.550817186</v>
      </c>
      <c r="CB91" s="1336">
        <f t="shared" si="174"/>
        <v>0</v>
      </c>
      <c r="CC91" s="1336">
        <f t="shared" si="175"/>
        <v>0</v>
      </c>
      <c r="CD91" s="1336">
        <f t="shared" si="176"/>
        <v>0</v>
      </c>
      <c r="CE91" s="1336">
        <f t="shared" si="177"/>
        <v>0</v>
      </c>
      <c r="CF91" s="1336">
        <f t="shared" si="178"/>
        <v>0</v>
      </c>
      <c r="CG91" s="1336">
        <f t="shared" si="179"/>
        <v>0</v>
      </c>
      <c r="CH91" s="1336">
        <f t="shared" si="180"/>
        <v>0</v>
      </c>
      <c r="CI91" s="1336">
        <f t="shared" si="181"/>
        <v>0</v>
      </c>
      <c r="CJ91" s="1336">
        <f t="shared" si="182"/>
        <v>0</v>
      </c>
      <c r="CK91" s="1336">
        <f t="shared" si="183"/>
        <v>0</v>
      </c>
      <c r="CL91" s="1336"/>
      <c r="CM91" s="1336">
        <f t="shared" si="184"/>
        <v>0</v>
      </c>
      <c r="CN91" s="1336">
        <f t="shared" si="185"/>
        <v>0</v>
      </c>
      <c r="CO91" s="1336">
        <f t="shared" si="186"/>
        <v>10569729.501658717</v>
      </c>
      <c r="CP91" s="1336">
        <f t="shared" si="187"/>
        <v>0</v>
      </c>
      <c r="CQ91" s="1336">
        <f t="shared" si="188"/>
        <v>0</v>
      </c>
      <c r="CR91" s="1336">
        <f t="shared" si="189"/>
        <v>0</v>
      </c>
      <c r="CS91" s="1336">
        <f t="shared" si="190"/>
        <v>0</v>
      </c>
      <c r="CT91" s="1336">
        <f t="shared" si="191"/>
        <v>0</v>
      </c>
      <c r="CU91" s="1336">
        <f t="shared" si="192"/>
        <v>0</v>
      </c>
      <c r="CV91" s="1336">
        <f t="shared" si="193"/>
        <v>0</v>
      </c>
      <c r="CW91" s="1336">
        <f t="shared" si="194"/>
        <v>0</v>
      </c>
      <c r="CX91" s="1336">
        <f t="shared" si="195"/>
        <v>0</v>
      </c>
      <c r="CY91" s="1336"/>
      <c r="CZ91" s="1336"/>
      <c r="DA91" s="1334">
        <f ca="1">Rental!Y121</f>
        <v>0</v>
      </c>
      <c r="DB91" s="1334">
        <f ca="1">Rental!AD121</f>
        <v>0</v>
      </c>
      <c r="DC91" s="1972"/>
      <c r="DD91" s="1761"/>
      <c r="DE91" s="1761"/>
      <c r="DF91" s="1335"/>
      <c r="DG91" s="1335"/>
      <c r="DH91" s="1335"/>
      <c r="DI91" s="1335"/>
      <c r="DJ91" s="1335"/>
      <c r="DK91" s="1335"/>
      <c r="DL91" s="1335"/>
      <c r="DM91" s="1335"/>
      <c r="DN91" s="1335"/>
      <c r="DO91" s="1335"/>
      <c r="DP91" s="1335"/>
      <c r="DQ91" s="1335"/>
      <c r="DR91" s="1335"/>
      <c r="DS91" s="1335"/>
      <c r="DT91" s="1335"/>
    </row>
    <row r="92" spans="1:124" s="1185" customFormat="1" ht="18" customHeight="1">
      <c r="A92" s="523">
        <f ca="1">IF(E92=YEAR(Retire!$D$12),1,0)</f>
        <v>0</v>
      </c>
      <c r="B92" s="502"/>
      <c r="C92" s="503" t="str">
        <f ca="1">IF(E92=Retire!$D$12,"==&gt;","")</f>
        <v/>
      </c>
      <c r="D92" s="512">
        <f t="shared" si="132"/>
        <v>86</v>
      </c>
      <c r="E92" s="512">
        <f t="shared" ca="1" si="133"/>
        <v>2107</v>
      </c>
      <c r="F92" s="513">
        <f t="shared" ca="1" si="146"/>
        <v>54393109</v>
      </c>
      <c r="G92" s="513"/>
      <c r="H92" s="514">
        <f>Assets!$G$37</f>
        <v>5.5E-2</v>
      </c>
      <c r="I92" s="515">
        <f>Assets!$F$37</f>
        <v>2000</v>
      </c>
      <c r="J92" s="515">
        <f t="shared" si="147"/>
        <v>27089085.477636226</v>
      </c>
      <c r="K92" s="1220"/>
      <c r="L92" s="514">
        <f>Assets!$G$38</f>
        <v>0.05</v>
      </c>
      <c r="M92" s="515">
        <f>Assets!$F$38</f>
        <v>1500</v>
      </c>
      <c r="N92" s="515">
        <f t="shared" si="148"/>
        <v>16099860.128358046</v>
      </c>
      <c r="O92" s="1220"/>
      <c r="P92" s="514">
        <f>Assets!$G$39</f>
        <v>0.06</v>
      </c>
      <c r="Q92" s="516">
        <f>Assets!$F$39</f>
        <v>250</v>
      </c>
      <c r="R92" s="515">
        <f t="shared" si="149"/>
        <v>11204163.27175824</v>
      </c>
      <c r="S92" s="1220"/>
      <c r="T92" s="514">
        <f>Assets!$G$40</f>
        <v>0</v>
      </c>
      <c r="U92" s="517">
        <f>Assets!$F$40</f>
        <v>0</v>
      </c>
      <c r="V92" s="515">
        <f t="shared" si="150"/>
        <v>0</v>
      </c>
      <c r="W92" s="1220"/>
      <c r="X92" s="514">
        <f>Assets!$G$41</f>
        <v>0</v>
      </c>
      <c r="Y92" s="517">
        <f>Assets!$F$41</f>
        <v>0</v>
      </c>
      <c r="Z92" s="515">
        <f t="shared" si="151"/>
        <v>0</v>
      </c>
      <c r="AA92" s="1220"/>
      <c r="AB92" s="514">
        <f>Assets!$G$42</f>
        <v>0</v>
      </c>
      <c r="AC92" s="515">
        <f>Assets!$F$42</f>
        <v>0</v>
      </c>
      <c r="AD92" s="515">
        <f t="shared" si="152"/>
        <v>0</v>
      </c>
      <c r="AE92" s="1220"/>
      <c r="AF92" s="514">
        <f>Assets!$G$43</f>
        <v>0</v>
      </c>
      <c r="AG92" s="515">
        <f>Assets!$F$43</f>
        <v>0</v>
      </c>
      <c r="AH92" s="515">
        <f t="shared" si="153"/>
        <v>0</v>
      </c>
      <c r="AI92" s="1220"/>
      <c r="AJ92" s="514">
        <f>Assets!$G$44</f>
        <v>0</v>
      </c>
      <c r="AK92" s="515">
        <f>Assets!$F$44</f>
        <v>0</v>
      </c>
      <c r="AL92" s="515">
        <f t="shared" si="154"/>
        <v>0</v>
      </c>
      <c r="AM92" s="1220"/>
      <c r="AN92" s="514">
        <f>Assets!$G$45</f>
        <v>0</v>
      </c>
      <c r="AO92" s="515">
        <f>Assets!$F$45</f>
        <v>0</v>
      </c>
      <c r="AP92" s="515">
        <f t="shared" si="155"/>
        <v>0</v>
      </c>
      <c r="AQ92" s="1220"/>
      <c r="AR92" s="514">
        <f>Assets!$G$46</f>
        <v>0</v>
      </c>
      <c r="AS92" s="515">
        <f>Assets!$F$46</f>
        <v>0</v>
      </c>
      <c r="AT92" s="515">
        <f t="shared" si="156"/>
        <v>0</v>
      </c>
      <c r="AU92" s="1220"/>
      <c r="AV92" s="514">
        <f>Assets!$G$47</f>
        <v>0</v>
      </c>
      <c r="AW92" s="515">
        <f>Assets!F$47</f>
        <v>0</v>
      </c>
      <c r="AX92" s="515">
        <f t="shared" si="157"/>
        <v>0</v>
      </c>
      <c r="AY92" s="1220"/>
      <c r="AZ92" s="514">
        <f>Assets!$G$48</f>
        <v>0</v>
      </c>
      <c r="BA92" s="515">
        <f>Assets!$F$48</f>
        <v>0</v>
      </c>
      <c r="BB92" s="515">
        <f t="shared" si="158"/>
        <v>0</v>
      </c>
      <c r="BC92" s="502"/>
      <c r="BD92" s="2005"/>
      <c r="BE92" s="523"/>
      <c r="BF92" s="523"/>
      <c r="BG92" s="1331">
        <f t="shared" si="159"/>
        <v>27089085.477636226</v>
      </c>
      <c r="BH92" s="1331">
        <f t="shared" si="160"/>
        <v>16099860.128358046</v>
      </c>
      <c r="BI92" s="1331">
        <f t="shared" si="161"/>
        <v>11204163.27175824</v>
      </c>
      <c r="BJ92" s="1331">
        <f t="shared" si="162"/>
        <v>0</v>
      </c>
      <c r="BK92" s="1331">
        <f t="shared" si="163"/>
        <v>0</v>
      </c>
      <c r="BL92" s="1331">
        <f t="shared" si="164"/>
        <v>0</v>
      </c>
      <c r="BM92" s="1331">
        <f t="shared" si="165"/>
        <v>0</v>
      </c>
      <c r="BN92" s="1331">
        <f t="shared" si="166"/>
        <v>0</v>
      </c>
      <c r="BO92" s="1331">
        <f t="shared" si="167"/>
        <v>0</v>
      </c>
      <c r="BP92" s="1331">
        <f t="shared" si="168"/>
        <v>0</v>
      </c>
      <c r="BQ92" s="1331">
        <f t="shared" si="169"/>
        <v>0</v>
      </c>
      <c r="BR92" s="1331">
        <f t="shared" si="170"/>
        <v>0</v>
      </c>
      <c r="BS92" s="523"/>
      <c r="BT92" s="523"/>
      <c r="BU92" s="523"/>
      <c r="BV92" s="523"/>
      <c r="BW92" s="1333">
        <f t="shared" ca="1" si="197"/>
        <v>2107</v>
      </c>
      <c r="BX92" s="1331">
        <f t="shared" si="171"/>
        <v>43188945.605994269</v>
      </c>
      <c r="BY92" s="1331">
        <f t="shared" ca="1" si="196"/>
        <v>11204163.27175824</v>
      </c>
      <c r="BZ92" s="1336">
        <f t="shared" si="172"/>
        <v>27089085.477636226</v>
      </c>
      <c r="CA92" s="1336">
        <f t="shared" si="173"/>
        <v>16099860.128358046</v>
      </c>
      <c r="CB92" s="1336">
        <f t="shared" si="174"/>
        <v>0</v>
      </c>
      <c r="CC92" s="1336">
        <f t="shared" si="175"/>
        <v>0</v>
      </c>
      <c r="CD92" s="1336">
        <f t="shared" si="176"/>
        <v>0</v>
      </c>
      <c r="CE92" s="1336">
        <f t="shared" si="177"/>
        <v>0</v>
      </c>
      <c r="CF92" s="1336">
        <f t="shared" si="178"/>
        <v>0</v>
      </c>
      <c r="CG92" s="1336">
        <f t="shared" si="179"/>
        <v>0</v>
      </c>
      <c r="CH92" s="1336">
        <f t="shared" si="180"/>
        <v>0</v>
      </c>
      <c r="CI92" s="1336">
        <f t="shared" si="181"/>
        <v>0</v>
      </c>
      <c r="CJ92" s="1336">
        <f t="shared" si="182"/>
        <v>0</v>
      </c>
      <c r="CK92" s="1336">
        <f t="shared" si="183"/>
        <v>0</v>
      </c>
      <c r="CL92" s="1336"/>
      <c r="CM92" s="1336">
        <f t="shared" si="184"/>
        <v>0</v>
      </c>
      <c r="CN92" s="1336">
        <f t="shared" si="185"/>
        <v>0</v>
      </c>
      <c r="CO92" s="1336">
        <f t="shared" si="186"/>
        <v>11204163.27175824</v>
      </c>
      <c r="CP92" s="1336">
        <f t="shared" si="187"/>
        <v>0</v>
      </c>
      <c r="CQ92" s="1336">
        <f t="shared" si="188"/>
        <v>0</v>
      </c>
      <c r="CR92" s="1336">
        <f t="shared" si="189"/>
        <v>0</v>
      </c>
      <c r="CS92" s="1336">
        <f t="shared" si="190"/>
        <v>0</v>
      </c>
      <c r="CT92" s="1336">
        <f t="shared" si="191"/>
        <v>0</v>
      </c>
      <c r="CU92" s="1336">
        <f t="shared" si="192"/>
        <v>0</v>
      </c>
      <c r="CV92" s="1336">
        <f t="shared" si="193"/>
        <v>0</v>
      </c>
      <c r="CW92" s="1336">
        <f t="shared" si="194"/>
        <v>0</v>
      </c>
      <c r="CX92" s="1336">
        <f t="shared" si="195"/>
        <v>0</v>
      </c>
      <c r="CY92" s="1336"/>
      <c r="CZ92" s="1336"/>
      <c r="DA92" s="1334">
        <f ca="1">Rental!Y122</f>
        <v>0</v>
      </c>
      <c r="DB92" s="1334">
        <f ca="1">Rental!AD122</f>
        <v>0</v>
      </c>
      <c r="DC92" s="1972"/>
      <c r="DD92" s="1761"/>
      <c r="DE92" s="1761"/>
      <c r="DF92" s="1335"/>
      <c r="DG92" s="1335"/>
      <c r="DH92" s="1335"/>
      <c r="DI92" s="1335"/>
      <c r="DJ92" s="1335"/>
      <c r="DK92" s="1335"/>
      <c r="DL92" s="1335"/>
      <c r="DM92" s="1335"/>
      <c r="DN92" s="1335"/>
      <c r="DO92" s="1335"/>
      <c r="DP92" s="1335"/>
      <c r="DQ92" s="1335"/>
      <c r="DR92" s="1335"/>
      <c r="DS92" s="1335"/>
      <c r="DT92" s="1335"/>
    </row>
    <row r="93" spans="1:124" s="1185" customFormat="1" ht="18" customHeight="1">
      <c r="A93" s="523">
        <f ca="1">IF(E93=YEAR(Retire!$D$12),1,0)</f>
        <v>0</v>
      </c>
      <c r="B93" s="502"/>
      <c r="C93" s="503" t="str">
        <f ca="1">IF(E93=Retire!$D$12,"==&gt;","")</f>
        <v/>
      </c>
      <c r="D93" s="504">
        <f t="shared" si="132"/>
        <v>87</v>
      </c>
      <c r="E93" s="504">
        <f t="shared" ca="1" si="133"/>
        <v>2108</v>
      </c>
      <c r="F93" s="505">
        <f t="shared" ca="1" si="146"/>
        <v>57364001</v>
      </c>
      <c r="G93" s="505"/>
      <c r="H93" s="506">
        <f>Assets!$G$37</f>
        <v>5.5E-2</v>
      </c>
      <c r="I93" s="507">
        <f>Assets!$F$37</f>
        <v>2000</v>
      </c>
      <c r="J93" s="507">
        <f t="shared" si="147"/>
        <v>28580985.178906217</v>
      </c>
      <c r="K93" s="1220"/>
      <c r="L93" s="506">
        <f>Assets!$G$38</f>
        <v>0.05</v>
      </c>
      <c r="M93" s="507">
        <f>Assets!$F$38</f>
        <v>1500</v>
      </c>
      <c r="N93" s="507">
        <f t="shared" si="148"/>
        <v>16906353.134775948</v>
      </c>
      <c r="O93" s="1220"/>
      <c r="P93" s="506">
        <f>Assets!$G$39</f>
        <v>0.06</v>
      </c>
      <c r="Q93" s="508">
        <f>Assets!$F$39</f>
        <v>250</v>
      </c>
      <c r="R93" s="507">
        <f t="shared" si="149"/>
        <v>11876663.068063734</v>
      </c>
      <c r="S93" s="1220"/>
      <c r="T93" s="506">
        <f>Assets!$G$40</f>
        <v>0</v>
      </c>
      <c r="U93" s="510">
        <f>Assets!$F$40</f>
        <v>0</v>
      </c>
      <c r="V93" s="507">
        <f t="shared" si="150"/>
        <v>0</v>
      </c>
      <c r="W93" s="1220"/>
      <c r="X93" s="506">
        <f>Assets!$G$41</f>
        <v>0</v>
      </c>
      <c r="Y93" s="510">
        <f>Assets!$F$41</f>
        <v>0</v>
      </c>
      <c r="Z93" s="507">
        <f t="shared" si="151"/>
        <v>0</v>
      </c>
      <c r="AA93" s="1220"/>
      <c r="AB93" s="506">
        <f>Assets!$G$42</f>
        <v>0</v>
      </c>
      <c r="AC93" s="507">
        <f>Assets!$F$42</f>
        <v>0</v>
      </c>
      <c r="AD93" s="507">
        <f t="shared" si="152"/>
        <v>0</v>
      </c>
      <c r="AE93" s="1220"/>
      <c r="AF93" s="506">
        <f>Assets!$G$43</f>
        <v>0</v>
      </c>
      <c r="AG93" s="507">
        <f>Assets!$F$43</f>
        <v>0</v>
      </c>
      <c r="AH93" s="507">
        <f t="shared" si="153"/>
        <v>0</v>
      </c>
      <c r="AI93" s="1220"/>
      <c r="AJ93" s="506">
        <f>Assets!$G$44</f>
        <v>0</v>
      </c>
      <c r="AK93" s="507">
        <f>Assets!$F$44</f>
        <v>0</v>
      </c>
      <c r="AL93" s="507">
        <f t="shared" si="154"/>
        <v>0</v>
      </c>
      <c r="AM93" s="1220"/>
      <c r="AN93" s="506">
        <f>Assets!$G$45</f>
        <v>0</v>
      </c>
      <c r="AO93" s="507">
        <f>Assets!$F$45</f>
        <v>0</v>
      </c>
      <c r="AP93" s="507">
        <f t="shared" si="155"/>
        <v>0</v>
      </c>
      <c r="AQ93" s="1220"/>
      <c r="AR93" s="506">
        <f>Assets!$G$46</f>
        <v>0</v>
      </c>
      <c r="AS93" s="507">
        <f>Assets!$F$46</f>
        <v>0</v>
      </c>
      <c r="AT93" s="507">
        <f t="shared" si="156"/>
        <v>0</v>
      </c>
      <c r="AU93" s="1220"/>
      <c r="AV93" s="506">
        <f>Assets!$G$47</f>
        <v>0</v>
      </c>
      <c r="AW93" s="507">
        <f>Assets!F$47</f>
        <v>0</v>
      </c>
      <c r="AX93" s="507">
        <f t="shared" si="157"/>
        <v>0</v>
      </c>
      <c r="AY93" s="1220"/>
      <c r="AZ93" s="506">
        <f>Assets!$G$48</f>
        <v>0</v>
      </c>
      <c r="BA93" s="507">
        <f>Assets!$F$48</f>
        <v>0</v>
      </c>
      <c r="BB93" s="507">
        <f t="shared" si="158"/>
        <v>0</v>
      </c>
      <c r="BC93" s="502"/>
      <c r="BD93" s="2005"/>
      <c r="BE93" s="523"/>
      <c r="BF93" s="523"/>
      <c r="BG93" s="1331">
        <f t="shared" si="159"/>
        <v>28580985.178906217</v>
      </c>
      <c r="BH93" s="1331">
        <f t="shared" si="160"/>
        <v>16906353.134775948</v>
      </c>
      <c r="BI93" s="1331">
        <f t="shared" si="161"/>
        <v>11876663.068063734</v>
      </c>
      <c r="BJ93" s="1331">
        <f t="shared" si="162"/>
        <v>0</v>
      </c>
      <c r="BK93" s="1331">
        <f t="shared" si="163"/>
        <v>0</v>
      </c>
      <c r="BL93" s="1331">
        <f t="shared" si="164"/>
        <v>0</v>
      </c>
      <c r="BM93" s="1331">
        <f t="shared" si="165"/>
        <v>0</v>
      </c>
      <c r="BN93" s="1331">
        <f t="shared" si="166"/>
        <v>0</v>
      </c>
      <c r="BO93" s="1331">
        <f t="shared" si="167"/>
        <v>0</v>
      </c>
      <c r="BP93" s="1331">
        <f t="shared" si="168"/>
        <v>0</v>
      </c>
      <c r="BQ93" s="1331">
        <f t="shared" si="169"/>
        <v>0</v>
      </c>
      <c r="BR93" s="1331">
        <f t="shared" si="170"/>
        <v>0</v>
      </c>
      <c r="BS93" s="523"/>
      <c r="BT93" s="523"/>
      <c r="BU93" s="523"/>
      <c r="BV93" s="523"/>
      <c r="BW93" s="1333">
        <f t="shared" ca="1" si="197"/>
        <v>2108</v>
      </c>
      <c r="BX93" s="1331">
        <f t="shared" si="171"/>
        <v>45487338.313682169</v>
      </c>
      <c r="BY93" s="1331">
        <f t="shared" ca="1" si="196"/>
        <v>11876663.068063734</v>
      </c>
      <c r="BZ93" s="1336">
        <f t="shared" si="172"/>
        <v>28580985.178906217</v>
      </c>
      <c r="CA93" s="1336">
        <f t="shared" si="173"/>
        <v>16906353.134775948</v>
      </c>
      <c r="CB93" s="1336">
        <f t="shared" si="174"/>
        <v>0</v>
      </c>
      <c r="CC93" s="1336">
        <f t="shared" si="175"/>
        <v>0</v>
      </c>
      <c r="CD93" s="1336">
        <f t="shared" si="176"/>
        <v>0</v>
      </c>
      <c r="CE93" s="1336">
        <f t="shared" si="177"/>
        <v>0</v>
      </c>
      <c r="CF93" s="1336">
        <f t="shared" si="178"/>
        <v>0</v>
      </c>
      <c r="CG93" s="1336">
        <f t="shared" si="179"/>
        <v>0</v>
      </c>
      <c r="CH93" s="1336">
        <f t="shared" si="180"/>
        <v>0</v>
      </c>
      <c r="CI93" s="1336">
        <f t="shared" si="181"/>
        <v>0</v>
      </c>
      <c r="CJ93" s="1336">
        <f t="shared" si="182"/>
        <v>0</v>
      </c>
      <c r="CK93" s="1336">
        <f t="shared" si="183"/>
        <v>0</v>
      </c>
      <c r="CL93" s="1336"/>
      <c r="CM93" s="1336">
        <f t="shared" si="184"/>
        <v>0</v>
      </c>
      <c r="CN93" s="1336">
        <f t="shared" si="185"/>
        <v>0</v>
      </c>
      <c r="CO93" s="1336">
        <f t="shared" si="186"/>
        <v>11876663.068063734</v>
      </c>
      <c r="CP93" s="1336">
        <f t="shared" si="187"/>
        <v>0</v>
      </c>
      <c r="CQ93" s="1336">
        <f t="shared" si="188"/>
        <v>0</v>
      </c>
      <c r="CR93" s="1336">
        <f t="shared" si="189"/>
        <v>0</v>
      </c>
      <c r="CS93" s="1336">
        <f t="shared" si="190"/>
        <v>0</v>
      </c>
      <c r="CT93" s="1336">
        <f t="shared" si="191"/>
        <v>0</v>
      </c>
      <c r="CU93" s="1336">
        <f t="shared" si="192"/>
        <v>0</v>
      </c>
      <c r="CV93" s="1336">
        <f t="shared" si="193"/>
        <v>0</v>
      </c>
      <c r="CW93" s="1336">
        <f t="shared" si="194"/>
        <v>0</v>
      </c>
      <c r="CX93" s="1336">
        <f t="shared" si="195"/>
        <v>0</v>
      </c>
      <c r="CY93" s="1336"/>
      <c r="CZ93" s="1336"/>
      <c r="DA93" s="1334">
        <f ca="1">Rental!Y123</f>
        <v>0</v>
      </c>
      <c r="DB93" s="1334">
        <f ca="1">Rental!AD123</f>
        <v>0</v>
      </c>
      <c r="DC93" s="1972"/>
      <c r="DD93" s="1761"/>
      <c r="DE93" s="1761"/>
      <c r="DF93" s="1335"/>
      <c r="DG93" s="1335"/>
      <c r="DH93" s="1335"/>
      <c r="DI93" s="1335"/>
      <c r="DJ93" s="1335"/>
      <c r="DK93" s="1335"/>
      <c r="DL93" s="1335"/>
      <c r="DM93" s="1335"/>
      <c r="DN93" s="1335"/>
      <c r="DO93" s="1335"/>
      <c r="DP93" s="1335"/>
      <c r="DQ93" s="1335"/>
      <c r="DR93" s="1335"/>
      <c r="DS93" s="1335"/>
      <c r="DT93" s="1335"/>
    </row>
    <row r="94" spans="1:124" s="1185" customFormat="1" ht="18" customHeight="1">
      <c r="A94" s="523">
        <f ca="1">IF(E94=YEAR(Retire!$D$12),1,0)</f>
        <v>0</v>
      </c>
      <c r="B94" s="502"/>
      <c r="C94" s="503" t="str">
        <f ca="1">IF(E94=Retire!$D$12,"==&gt;","")</f>
        <v/>
      </c>
      <c r="D94" s="512">
        <f t="shared" si="132"/>
        <v>88</v>
      </c>
      <c r="E94" s="512">
        <f t="shared" ca="1" si="133"/>
        <v>2109</v>
      </c>
      <c r="F94" s="513">
        <f t="shared" ca="1" si="146"/>
        <v>60497623</v>
      </c>
      <c r="G94" s="513"/>
      <c r="H94" s="514">
        <f>Assets!$G$37</f>
        <v>5.5E-2</v>
      </c>
      <c r="I94" s="515">
        <f>Assets!$F$37</f>
        <v>2000</v>
      </c>
      <c r="J94" s="515">
        <f t="shared" si="147"/>
        <v>30154939.363746058</v>
      </c>
      <c r="K94" s="1220"/>
      <c r="L94" s="514">
        <f>Assets!$G$38</f>
        <v>0.05</v>
      </c>
      <c r="M94" s="515">
        <f>Assets!$F$38</f>
        <v>1500</v>
      </c>
      <c r="N94" s="515">
        <f t="shared" si="148"/>
        <v>17753170.791514747</v>
      </c>
      <c r="O94" s="1220"/>
      <c r="P94" s="514">
        <f>Assets!$G$39</f>
        <v>0.06</v>
      </c>
      <c r="Q94" s="516">
        <f>Assets!$F$39</f>
        <v>250</v>
      </c>
      <c r="R94" s="515">
        <f t="shared" si="149"/>
        <v>12589512.852147559</v>
      </c>
      <c r="S94" s="1220"/>
      <c r="T94" s="514">
        <f>Assets!$G$40</f>
        <v>0</v>
      </c>
      <c r="U94" s="517">
        <f>Assets!$F$40</f>
        <v>0</v>
      </c>
      <c r="V94" s="515">
        <f t="shared" si="150"/>
        <v>0</v>
      </c>
      <c r="W94" s="1220"/>
      <c r="X94" s="514">
        <f>Assets!$G$41</f>
        <v>0</v>
      </c>
      <c r="Y94" s="517">
        <f>Assets!$F$41</f>
        <v>0</v>
      </c>
      <c r="Z94" s="515">
        <f t="shared" si="151"/>
        <v>0</v>
      </c>
      <c r="AA94" s="1220"/>
      <c r="AB94" s="514">
        <f>Assets!$G$42</f>
        <v>0</v>
      </c>
      <c r="AC94" s="515">
        <f>Assets!$F$42</f>
        <v>0</v>
      </c>
      <c r="AD94" s="515">
        <f t="shared" si="152"/>
        <v>0</v>
      </c>
      <c r="AE94" s="1220"/>
      <c r="AF94" s="514">
        <f>Assets!$G$43</f>
        <v>0</v>
      </c>
      <c r="AG94" s="515">
        <f>Assets!$F$43</f>
        <v>0</v>
      </c>
      <c r="AH94" s="515">
        <f t="shared" si="153"/>
        <v>0</v>
      </c>
      <c r="AI94" s="1220"/>
      <c r="AJ94" s="514">
        <f>Assets!$G$44</f>
        <v>0</v>
      </c>
      <c r="AK94" s="515">
        <f>Assets!$F$44</f>
        <v>0</v>
      </c>
      <c r="AL94" s="515">
        <f t="shared" si="154"/>
        <v>0</v>
      </c>
      <c r="AM94" s="1220"/>
      <c r="AN94" s="514">
        <f>Assets!$G$45</f>
        <v>0</v>
      </c>
      <c r="AO94" s="515">
        <f>Assets!$F$45</f>
        <v>0</v>
      </c>
      <c r="AP94" s="515">
        <f t="shared" si="155"/>
        <v>0</v>
      </c>
      <c r="AQ94" s="1220"/>
      <c r="AR94" s="514">
        <f>Assets!$G$46</f>
        <v>0</v>
      </c>
      <c r="AS94" s="515">
        <f>Assets!$F$46</f>
        <v>0</v>
      </c>
      <c r="AT94" s="515">
        <f t="shared" si="156"/>
        <v>0</v>
      </c>
      <c r="AU94" s="1220"/>
      <c r="AV94" s="514">
        <f>Assets!$G$47</f>
        <v>0</v>
      </c>
      <c r="AW94" s="515">
        <f>Assets!F$47</f>
        <v>0</v>
      </c>
      <c r="AX94" s="515">
        <f t="shared" si="157"/>
        <v>0</v>
      </c>
      <c r="AY94" s="1220"/>
      <c r="AZ94" s="514">
        <f>Assets!$G$48</f>
        <v>0</v>
      </c>
      <c r="BA94" s="515">
        <f>Assets!$F$48</f>
        <v>0</v>
      </c>
      <c r="BB94" s="515">
        <f t="shared" si="158"/>
        <v>0</v>
      </c>
      <c r="BC94" s="502"/>
      <c r="BD94" s="2005"/>
      <c r="BE94" s="523"/>
      <c r="BF94" s="523"/>
      <c r="BG94" s="1331">
        <f t="shared" si="159"/>
        <v>30154939.363746058</v>
      </c>
      <c r="BH94" s="1331">
        <f t="shared" si="160"/>
        <v>17753170.791514747</v>
      </c>
      <c r="BI94" s="1331">
        <f t="shared" si="161"/>
        <v>12589512.852147559</v>
      </c>
      <c r="BJ94" s="1331">
        <f t="shared" si="162"/>
        <v>0</v>
      </c>
      <c r="BK94" s="1331">
        <f t="shared" si="163"/>
        <v>0</v>
      </c>
      <c r="BL94" s="1331">
        <f t="shared" si="164"/>
        <v>0</v>
      </c>
      <c r="BM94" s="1331">
        <f t="shared" si="165"/>
        <v>0</v>
      </c>
      <c r="BN94" s="1331">
        <f t="shared" si="166"/>
        <v>0</v>
      </c>
      <c r="BO94" s="1331">
        <f t="shared" si="167"/>
        <v>0</v>
      </c>
      <c r="BP94" s="1331">
        <f t="shared" si="168"/>
        <v>0</v>
      </c>
      <c r="BQ94" s="1331">
        <f t="shared" si="169"/>
        <v>0</v>
      </c>
      <c r="BR94" s="1331">
        <f t="shared" si="170"/>
        <v>0</v>
      </c>
      <c r="BS94" s="523"/>
      <c r="BT94" s="523"/>
      <c r="BU94" s="523"/>
      <c r="BV94" s="523"/>
      <c r="BW94" s="1333">
        <f t="shared" ca="1" si="197"/>
        <v>2109</v>
      </c>
      <c r="BX94" s="1331">
        <f t="shared" si="171"/>
        <v>47908110.155260801</v>
      </c>
      <c r="BY94" s="1331">
        <f t="shared" ca="1" si="196"/>
        <v>12589512.852147559</v>
      </c>
      <c r="BZ94" s="1336">
        <f t="shared" si="172"/>
        <v>30154939.363746058</v>
      </c>
      <c r="CA94" s="1336">
        <f t="shared" si="173"/>
        <v>17753170.791514747</v>
      </c>
      <c r="CB94" s="1336">
        <f t="shared" si="174"/>
        <v>0</v>
      </c>
      <c r="CC94" s="1336">
        <f t="shared" si="175"/>
        <v>0</v>
      </c>
      <c r="CD94" s="1336">
        <f t="shared" si="176"/>
        <v>0</v>
      </c>
      <c r="CE94" s="1336">
        <f t="shared" si="177"/>
        <v>0</v>
      </c>
      <c r="CF94" s="1336">
        <f t="shared" si="178"/>
        <v>0</v>
      </c>
      <c r="CG94" s="1336">
        <f t="shared" si="179"/>
        <v>0</v>
      </c>
      <c r="CH94" s="1336">
        <f t="shared" si="180"/>
        <v>0</v>
      </c>
      <c r="CI94" s="1336">
        <f t="shared" si="181"/>
        <v>0</v>
      </c>
      <c r="CJ94" s="1336">
        <f t="shared" si="182"/>
        <v>0</v>
      </c>
      <c r="CK94" s="1336">
        <f t="shared" si="183"/>
        <v>0</v>
      </c>
      <c r="CL94" s="1336"/>
      <c r="CM94" s="1336">
        <f t="shared" si="184"/>
        <v>0</v>
      </c>
      <c r="CN94" s="1336">
        <f t="shared" si="185"/>
        <v>0</v>
      </c>
      <c r="CO94" s="1336">
        <f t="shared" si="186"/>
        <v>12589512.852147559</v>
      </c>
      <c r="CP94" s="1336">
        <f t="shared" si="187"/>
        <v>0</v>
      </c>
      <c r="CQ94" s="1336">
        <f t="shared" si="188"/>
        <v>0</v>
      </c>
      <c r="CR94" s="1336">
        <f t="shared" si="189"/>
        <v>0</v>
      </c>
      <c r="CS94" s="1336">
        <f t="shared" si="190"/>
        <v>0</v>
      </c>
      <c r="CT94" s="1336">
        <f t="shared" si="191"/>
        <v>0</v>
      </c>
      <c r="CU94" s="1336">
        <f t="shared" si="192"/>
        <v>0</v>
      </c>
      <c r="CV94" s="1336">
        <f t="shared" si="193"/>
        <v>0</v>
      </c>
      <c r="CW94" s="1336">
        <f t="shared" si="194"/>
        <v>0</v>
      </c>
      <c r="CX94" s="1336">
        <f t="shared" si="195"/>
        <v>0</v>
      </c>
      <c r="CY94" s="1336"/>
      <c r="CZ94" s="1336"/>
      <c r="DA94" s="1334">
        <f ca="1">Rental!Y124</f>
        <v>0</v>
      </c>
      <c r="DB94" s="1334">
        <f ca="1">Rental!AD124</f>
        <v>0</v>
      </c>
      <c r="DC94" s="1972"/>
      <c r="DD94" s="1761"/>
      <c r="DE94" s="1761"/>
      <c r="DF94" s="1335"/>
      <c r="DG94" s="1335"/>
      <c r="DH94" s="1335"/>
      <c r="DI94" s="1335"/>
      <c r="DJ94" s="1335"/>
      <c r="DK94" s="1335"/>
      <c r="DL94" s="1335"/>
      <c r="DM94" s="1335"/>
      <c r="DN94" s="1335"/>
      <c r="DO94" s="1335"/>
      <c r="DP94" s="1335"/>
      <c r="DQ94" s="1335"/>
      <c r="DR94" s="1335"/>
      <c r="DS94" s="1335"/>
      <c r="DT94" s="1335"/>
    </row>
    <row r="95" spans="1:124" s="1185" customFormat="1" ht="18" customHeight="1">
      <c r="A95" s="523">
        <f ca="1">IF(E95=YEAR(Retire!$D$12),1,0)</f>
        <v>0</v>
      </c>
      <c r="B95" s="502"/>
      <c r="C95" s="503" t="str">
        <f ca="1">IF(E95=Retire!$D$12,"==&gt;","")</f>
        <v/>
      </c>
      <c r="D95" s="504">
        <f t="shared" si="132"/>
        <v>89</v>
      </c>
      <c r="E95" s="504">
        <f t="shared" ca="1" si="133"/>
        <v>2110</v>
      </c>
      <c r="F95" s="505">
        <f t="shared" ca="1" si="146"/>
        <v>63802924</v>
      </c>
      <c r="G95" s="505"/>
      <c r="H95" s="506">
        <f>Assets!$G$37</f>
        <v>5.5E-2</v>
      </c>
      <c r="I95" s="507">
        <f>Assets!$F$37</f>
        <v>2000</v>
      </c>
      <c r="J95" s="507">
        <f t="shared" si="147"/>
        <v>31815461.028752092</v>
      </c>
      <c r="K95" s="1220"/>
      <c r="L95" s="506">
        <f>Assets!$G$38</f>
        <v>0.05</v>
      </c>
      <c r="M95" s="507">
        <f>Assets!$F$38</f>
        <v>1500</v>
      </c>
      <c r="N95" s="507">
        <f t="shared" si="148"/>
        <v>18642329.331090484</v>
      </c>
      <c r="O95" s="1220"/>
      <c r="P95" s="506">
        <f>Assets!$G$39</f>
        <v>0.06</v>
      </c>
      <c r="Q95" s="508">
        <f>Assets!$F$39</f>
        <v>250</v>
      </c>
      <c r="R95" s="507">
        <f t="shared" si="149"/>
        <v>13345133.623276412</v>
      </c>
      <c r="S95" s="1220"/>
      <c r="T95" s="506">
        <f>Assets!$G$40</f>
        <v>0</v>
      </c>
      <c r="U95" s="510">
        <f>Assets!$F$40</f>
        <v>0</v>
      </c>
      <c r="V95" s="507">
        <f t="shared" si="150"/>
        <v>0</v>
      </c>
      <c r="W95" s="1220"/>
      <c r="X95" s="506">
        <f>Assets!$G$41</f>
        <v>0</v>
      </c>
      <c r="Y95" s="510">
        <f>Assets!$F$41</f>
        <v>0</v>
      </c>
      <c r="Z95" s="507">
        <f t="shared" si="151"/>
        <v>0</v>
      </c>
      <c r="AA95" s="1220"/>
      <c r="AB95" s="506">
        <f>Assets!$G$42</f>
        <v>0</v>
      </c>
      <c r="AC95" s="507">
        <f>Assets!$F$42</f>
        <v>0</v>
      </c>
      <c r="AD95" s="507">
        <f t="shared" si="152"/>
        <v>0</v>
      </c>
      <c r="AE95" s="1220"/>
      <c r="AF95" s="506">
        <f>Assets!$G$43</f>
        <v>0</v>
      </c>
      <c r="AG95" s="507">
        <f>Assets!$F$43</f>
        <v>0</v>
      </c>
      <c r="AH95" s="507">
        <f t="shared" si="153"/>
        <v>0</v>
      </c>
      <c r="AI95" s="1220"/>
      <c r="AJ95" s="506">
        <f>Assets!$G$44</f>
        <v>0</v>
      </c>
      <c r="AK95" s="507">
        <f>Assets!$F$44</f>
        <v>0</v>
      </c>
      <c r="AL95" s="507">
        <f t="shared" si="154"/>
        <v>0</v>
      </c>
      <c r="AM95" s="1220"/>
      <c r="AN95" s="506">
        <f>Assets!$G$45</f>
        <v>0</v>
      </c>
      <c r="AO95" s="507">
        <f>Assets!$F$45</f>
        <v>0</v>
      </c>
      <c r="AP95" s="507">
        <f t="shared" si="155"/>
        <v>0</v>
      </c>
      <c r="AQ95" s="1220"/>
      <c r="AR95" s="506">
        <f>Assets!$G$46</f>
        <v>0</v>
      </c>
      <c r="AS95" s="507">
        <f>Assets!$F$46</f>
        <v>0</v>
      </c>
      <c r="AT95" s="507">
        <f t="shared" si="156"/>
        <v>0</v>
      </c>
      <c r="AU95" s="1220"/>
      <c r="AV95" s="506">
        <f>Assets!$G$47</f>
        <v>0</v>
      </c>
      <c r="AW95" s="507">
        <f>Assets!F$47</f>
        <v>0</v>
      </c>
      <c r="AX95" s="507">
        <f t="shared" si="157"/>
        <v>0</v>
      </c>
      <c r="AY95" s="1220"/>
      <c r="AZ95" s="506">
        <f>Assets!$G$48</f>
        <v>0</v>
      </c>
      <c r="BA95" s="507">
        <f>Assets!$F$48</f>
        <v>0</v>
      </c>
      <c r="BB95" s="507">
        <f t="shared" si="158"/>
        <v>0</v>
      </c>
      <c r="BC95" s="502"/>
      <c r="BD95" s="2005"/>
      <c r="BE95" s="523"/>
      <c r="BF95" s="523"/>
      <c r="BG95" s="1331">
        <f t="shared" si="159"/>
        <v>31815461.028752092</v>
      </c>
      <c r="BH95" s="1331">
        <f t="shared" si="160"/>
        <v>18642329.331090484</v>
      </c>
      <c r="BI95" s="1331">
        <f t="shared" si="161"/>
        <v>13345133.623276412</v>
      </c>
      <c r="BJ95" s="1331">
        <f t="shared" si="162"/>
        <v>0</v>
      </c>
      <c r="BK95" s="1331">
        <f t="shared" si="163"/>
        <v>0</v>
      </c>
      <c r="BL95" s="1331">
        <f t="shared" si="164"/>
        <v>0</v>
      </c>
      <c r="BM95" s="1331">
        <f t="shared" si="165"/>
        <v>0</v>
      </c>
      <c r="BN95" s="1331">
        <f t="shared" si="166"/>
        <v>0</v>
      </c>
      <c r="BO95" s="1331">
        <f t="shared" si="167"/>
        <v>0</v>
      </c>
      <c r="BP95" s="1331">
        <f t="shared" si="168"/>
        <v>0</v>
      </c>
      <c r="BQ95" s="1331">
        <f t="shared" si="169"/>
        <v>0</v>
      </c>
      <c r="BR95" s="1331">
        <f t="shared" si="170"/>
        <v>0</v>
      </c>
      <c r="BS95" s="523"/>
      <c r="BT95" s="523"/>
      <c r="BU95" s="523"/>
      <c r="BV95" s="523"/>
      <c r="BW95" s="1333">
        <f t="shared" ca="1" si="197"/>
        <v>2110</v>
      </c>
      <c r="BX95" s="1331">
        <f t="shared" si="171"/>
        <v>50457790.359842576</v>
      </c>
      <c r="BY95" s="1331">
        <f t="shared" ca="1" si="196"/>
        <v>13345133.623276412</v>
      </c>
      <c r="BZ95" s="1336">
        <f t="shared" si="172"/>
        <v>31815461.028752092</v>
      </c>
      <c r="CA95" s="1336">
        <f t="shared" si="173"/>
        <v>18642329.331090484</v>
      </c>
      <c r="CB95" s="1336">
        <f t="shared" si="174"/>
        <v>0</v>
      </c>
      <c r="CC95" s="1336">
        <f t="shared" si="175"/>
        <v>0</v>
      </c>
      <c r="CD95" s="1336">
        <f t="shared" si="176"/>
        <v>0</v>
      </c>
      <c r="CE95" s="1336">
        <f t="shared" si="177"/>
        <v>0</v>
      </c>
      <c r="CF95" s="1336">
        <f t="shared" si="178"/>
        <v>0</v>
      </c>
      <c r="CG95" s="1336">
        <f t="shared" si="179"/>
        <v>0</v>
      </c>
      <c r="CH95" s="1336">
        <f t="shared" si="180"/>
        <v>0</v>
      </c>
      <c r="CI95" s="1336">
        <f t="shared" si="181"/>
        <v>0</v>
      </c>
      <c r="CJ95" s="1336">
        <f t="shared" si="182"/>
        <v>0</v>
      </c>
      <c r="CK95" s="1336">
        <f t="shared" si="183"/>
        <v>0</v>
      </c>
      <c r="CL95" s="1336"/>
      <c r="CM95" s="1336">
        <f t="shared" si="184"/>
        <v>0</v>
      </c>
      <c r="CN95" s="1336">
        <f t="shared" si="185"/>
        <v>0</v>
      </c>
      <c r="CO95" s="1336">
        <f t="shared" si="186"/>
        <v>13345133.623276412</v>
      </c>
      <c r="CP95" s="1336">
        <f t="shared" si="187"/>
        <v>0</v>
      </c>
      <c r="CQ95" s="1336">
        <f t="shared" si="188"/>
        <v>0</v>
      </c>
      <c r="CR95" s="1336">
        <f t="shared" si="189"/>
        <v>0</v>
      </c>
      <c r="CS95" s="1336">
        <f t="shared" si="190"/>
        <v>0</v>
      </c>
      <c r="CT95" s="1336">
        <f t="shared" si="191"/>
        <v>0</v>
      </c>
      <c r="CU95" s="1336">
        <f t="shared" si="192"/>
        <v>0</v>
      </c>
      <c r="CV95" s="1336">
        <f t="shared" si="193"/>
        <v>0</v>
      </c>
      <c r="CW95" s="1336">
        <f t="shared" si="194"/>
        <v>0</v>
      </c>
      <c r="CX95" s="1336">
        <f t="shared" si="195"/>
        <v>0</v>
      </c>
      <c r="CY95" s="1336"/>
      <c r="CZ95" s="1336"/>
      <c r="DA95" s="1334">
        <f ca="1">Rental!Y125</f>
        <v>0</v>
      </c>
      <c r="DB95" s="1334">
        <f ca="1">Rental!AD125</f>
        <v>0</v>
      </c>
      <c r="DC95" s="1972"/>
      <c r="DD95" s="1761"/>
      <c r="DE95" s="1761"/>
      <c r="DF95" s="1335"/>
      <c r="DG95" s="1335"/>
      <c r="DH95" s="1335"/>
      <c r="DI95" s="1335"/>
      <c r="DJ95" s="1335"/>
      <c r="DK95" s="1335"/>
      <c r="DL95" s="1335"/>
      <c r="DM95" s="1335"/>
      <c r="DN95" s="1335"/>
      <c r="DO95" s="1335"/>
      <c r="DP95" s="1335"/>
      <c r="DQ95" s="1335"/>
      <c r="DR95" s="1335"/>
      <c r="DS95" s="1335"/>
      <c r="DT95" s="1335"/>
    </row>
    <row r="96" spans="1:124" s="1185" customFormat="1" ht="18" customHeight="1">
      <c r="A96" s="523">
        <f ca="1">IF(E96=YEAR(Retire!$D$12),1,0)</f>
        <v>0</v>
      </c>
      <c r="B96" s="502"/>
      <c r="C96" s="503" t="str">
        <f ca="1">IF(E96=Retire!$D$12,"==&gt;","")</f>
        <v/>
      </c>
      <c r="D96" s="512">
        <f t="shared" si="132"/>
        <v>90</v>
      </c>
      <c r="E96" s="512">
        <f t="shared" ca="1" si="133"/>
        <v>2111</v>
      </c>
      <c r="F96" s="513">
        <f t="shared" ca="1" si="146"/>
        <v>67289349</v>
      </c>
      <c r="G96" s="513"/>
      <c r="H96" s="514">
        <f>Assets!$G$37</f>
        <v>5.5E-2</v>
      </c>
      <c r="I96" s="515">
        <f>Assets!$F$37</f>
        <v>2000</v>
      </c>
      <c r="J96" s="515">
        <f t="shared" si="147"/>
        <v>33567311.385333456</v>
      </c>
      <c r="K96" s="1220"/>
      <c r="L96" s="514">
        <f>Assets!$G$38</f>
        <v>0.05</v>
      </c>
      <c r="M96" s="515">
        <f>Assets!$F$38</f>
        <v>1500</v>
      </c>
      <c r="N96" s="515">
        <f t="shared" si="148"/>
        <v>19575945.797645006</v>
      </c>
      <c r="O96" s="1220"/>
      <c r="P96" s="514">
        <f>Assets!$G$39</f>
        <v>0.06</v>
      </c>
      <c r="Q96" s="516">
        <f>Assets!$F$39</f>
        <v>250</v>
      </c>
      <c r="R96" s="515">
        <f t="shared" si="149"/>
        <v>14146091.640672997</v>
      </c>
      <c r="S96" s="1220"/>
      <c r="T96" s="514">
        <f>Assets!$G$40</f>
        <v>0</v>
      </c>
      <c r="U96" s="517">
        <f>Assets!$F$40</f>
        <v>0</v>
      </c>
      <c r="V96" s="515">
        <f t="shared" si="150"/>
        <v>0</v>
      </c>
      <c r="W96" s="1220"/>
      <c r="X96" s="514">
        <f>Assets!$G$41</f>
        <v>0</v>
      </c>
      <c r="Y96" s="517">
        <f>Assets!$F$41</f>
        <v>0</v>
      </c>
      <c r="Z96" s="515">
        <f t="shared" si="151"/>
        <v>0</v>
      </c>
      <c r="AA96" s="1220"/>
      <c r="AB96" s="514">
        <f>Assets!$G$42</f>
        <v>0</v>
      </c>
      <c r="AC96" s="515">
        <f>Assets!$F$42</f>
        <v>0</v>
      </c>
      <c r="AD96" s="515">
        <f t="shared" si="152"/>
        <v>0</v>
      </c>
      <c r="AE96" s="1220"/>
      <c r="AF96" s="514">
        <f>Assets!$G$43</f>
        <v>0</v>
      </c>
      <c r="AG96" s="515">
        <f>Assets!$F$43</f>
        <v>0</v>
      </c>
      <c r="AH96" s="515">
        <f t="shared" si="153"/>
        <v>0</v>
      </c>
      <c r="AI96" s="1220"/>
      <c r="AJ96" s="514">
        <f>Assets!$G$44</f>
        <v>0</v>
      </c>
      <c r="AK96" s="515">
        <f>Assets!$F$44</f>
        <v>0</v>
      </c>
      <c r="AL96" s="515">
        <f t="shared" si="154"/>
        <v>0</v>
      </c>
      <c r="AM96" s="1220"/>
      <c r="AN96" s="514">
        <f>Assets!$G$45</f>
        <v>0</v>
      </c>
      <c r="AO96" s="515">
        <f>Assets!$F$45</f>
        <v>0</v>
      </c>
      <c r="AP96" s="515">
        <f t="shared" si="155"/>
        <v>0</v>
      </c>
      <c r="AQ96" s="1220"/>
      <c r="AR96" s="514">
        <f>Assets!$G$46</f>
        <v>0</v>
      </c>
      <c r="AS96" s="515">
        <f>Assets!$F$46</f>
        <v>0</v>
      </c>
      <c r="AT96" s="515">
        <f t="shared" si="156"/>
        <v>0</v>
      </c>
      <c r="AU96" s="1220"/>
      <c r="AV96" s="514">
        <f>Assets!$G$47</f>
        <v>0</v>
      </c>
      <c r="AW96" s="515">
        <f>Assets!F$47</f>
        <v>0</v>
      </c>
      <c r="AX96" s="515">
        <f t="shared" si="157"/>
        <v>0</v>
      </c>
      <c r="AY96" s="1220"/>
      <c r="AZ96" s="514">
        <f>Assets!$G$48</f>
        <v>0</v>
      </c>
      <c r="BA96" s="515">
        <f>Assets!$F$48</f>
        <v>0</v>
      </c>
      <c r="BB96" s="515">
        <f t="shared" si="158"/>
        <v>0</v>
      </c>
      <c r="BC96" s="502"/>
      <c r="BD96" s="2005"/>
      <c r="BE96" s="523"/>
      <c r="BF96" s="523"/>
      <c r="BG96" s="1331">
        <f t="shared" si="159"/>
        <v>33567311.385333456</v>
      </c>
      <c r="BH96" s="1331">
        <f t="shared" si="160"/>
        <v>19575945.797645006</v>
      </c>
      <c r="BI96" s="1331">
        <f t="shared" si="161"/>
        <v>14146091.640672997</v>
      </c>
      <c r="BJ96" s="1331">
        <f t="shared" si="162"/>
        <v>0</v>
      </c>
      <c r="BK96" s="1331">
        <f t="shared" si="163"/>
        <v>0</v>
      </c>
      <c r="BL96" s="1331">
        <f t="shared" si="164"/>
        <v>0</v>
      </c>
      <c r="BM96" s="1331">
        <f t="shared" si="165"/>
        <v>0</v>
      </c>
      <c r="BN96" s="1331">
        <f t="shared" si="166"/>
        <v>0</v>
      </c>
      <c r="BO96" s="1331">
        <f t="shared" si="167"/>
        <v>0</v>
      </c>
      <c r="BP96" s="1331">
        <f t="shared" si="168"/>
        <v>0</v>
      </c>
      <c r="BQ96" s="1331">
        <f t="shared" si="169"/>
        <v>0</v>
      </c>
      <c r="BR96" s="1331">
        <f t="shared" si="170"/>
        <v>0</v>
      </c>
      <c r="BS96" s="523"/>
      <c r="BT96" s="523"/>
      <c r="BU96" s="523"/>
      <c r="BV96" s="523"/>
      <c r="BW96" s="1333">
        <f t="shared" ca="1" si="197"/>
        <v>2111</v>
      </c>
      <c r="BX96" s="1331">
        <f t="shared" si="171"/>
        <v>53143257.182978466</v>
      </c>
      <c r="BY96" s="1331">
        <f t="shared" ca="1" si="196"/>
        <v>14146091.640672997</v>
      </c>
      <c r="BZ96" s="1336">
        <f t="shared" si="172"/>
        <v>33567311.385333456</v>
      </c>
      <c r="CA96" s="1336">
        <f t="shared" si="173"/>
        <v>19575945.797645006</v>
      </c>
      <c r="CB96" s="1336">
        <f t="shared" si="174"/>
        <v>0</v>
      </c>
      <c r="CC96" s="1336">
        <f t="shared" si="175"/>
        <v>0</v>
      </c>
      <c r="CD96" s="1336">
        <f t="shared" si="176"/>
        <v>0</v>
      </c>
      <c r="CE96" s="1336">
        <f t="shared" si="177"/>
        <v>0</v>
      </c>
      <c r="CF96" s="1336">
        <f t="shared" si="178"/>
        <v>0</v>
      </c>
      <c r="CG96" s="1336">
        <f t="shared" si="179"/>
        <v>0</v>
      </c>
      <c r="CH96" s="1336">
        <f t="shared" si="180"/>
        <v>0</v>
      </c>
      <c r="CI96" s="1336">
        <f t="shared" si="181"/>
        <v>0</v>
      </c>
      <c r="CJ96" s="1336">
        <f t="shared" si="182"/>
        <v>0</v>
      </c>
      <c r="CK96" s="1336">
        <f t="shared" si="183"/>
        <v>0</v>
      </c>
      <c r="CL96" s="1336"/>
      <c r="CM96" s="1336">
        <f t="shared" si="184"/>
        <v>0</v>
      </c>
      <c r="CN96" s="1336">
        <f t="shared" si="185"/>
        <v>0</v>
      </c>
      <c r="CO96" s="1336">
        <f t="shared" si="186"/>
        <v>14146091.640672997</v>
      </c>
      <c r="CP96" s="1336">
        <f t="shared" si="187"/>
        <v>0</v>
      </c>
      <c r="CQ96" s="1336">
        <f t="shared" si="188"/>
        <v>0</v>
      </c>
      <c r="CR96" s="1336">
        <f t="shared" si="189"/>
        <v>0</v>
      </c>
      <c r="CS96" s="1336">
        <f t="shared" si="190"/>
        <v>0</v>
      </c>
      <c r="CT96" s="1336">
        <f t="shared" si="191"/>
        <v>0</v>
      </c>
      <c r="CU96" s="1336">
        <f t="shared" si="192"/>
        <v>0</v>
      </c>
      <c r="CV96" s="1336">
        <f t="shared" si="193"/>
        <v>0</v>
      </c>
      <c r="CW96" s="1336">
        <f t="shared" si="194"/>
        <v>0</v>
      </c>
      <c r="CX96" s="1336">
        <f t="shared" si="195"/>
        <v>0</v>
      </c>
      <c r="CY96" s="1336"/>
      <c r="CZ96" s="1336"/>
      <c r="DA96" s="1334">
        <f ca="1">Rental!Y126</f>
        <v>0</v>
      </c>
      <c r="DB96" s="1334">
        <f ca="1">Rental!AD126</f>
        <v>0</v>
      </c>
      <c r="DC96" s="1972"/>
      <c r="DD96" s="1761"/>
      <c r="DE96" s="1761"/>
      <c r="DF96" s="1335"/>
      <c r="DG96" s="1335"/>
      <c r="DH96" s="1335"/>
      <c r="DI96" s="1335"/>
      <c r="DJ96" s="1335"/>
      <c r="DK96" s="1335"/>
      <c r="DL96" s="1335"/>
      <c r="DM96" s="1335"/>
      <c r="DN96" s="1335"/>
      <c r="DO96" s="1335"/>
      <c r="DP96" s="1335"/>
      <c r="DQ96" s="1335"/>
      <c r="DR96" s="1335"/>
      <c r="DS96" s="1335"/>
      <c r="DT96" s="1335"/>
    </row>
    <row r="97" spans="1:124" s="1185" customFormat="1" ht="18" customHeight="1">
      <c r="A97" s="523">
        <f ca="1">IF(E97=YEAR(Retire!$D$12),1,0)</f>
        <v>0</v>
      </c>
      <c r="B97" s="502"/>
      <c r="C97" s="503" t="str">
        <f ca="1">IF(E97=Retire!$D$12,"==&gt;","")</f>
        <v/>
      </c>
      <c r="D97" s="504">
        <f t="shared" si="132"/>
        <v>91</v>
      </c>
      <c r="E97" s="504">
        <f t="shared" ca="1" si="133"/>
        <v>2112</v>
      </c>
      <c r="F97" s="505">
        <f t="shared" ca="1" si="146"/>
        <v>70966864</v>
      </c>
      <c r="G97" s="505"/>
      <c r="H97" s="506">
        <f>Assets!$G$37</f>
        <v>5.5E-2</v>
      </c>
      <c r="I97" s="507">
        <f>Assets!$F$37</f>
        <v>2000</v>
      </c>
      <c r="J97" s="507">
        <f t="shared" si="147"/>
        <v>35415513.511526793</v>
      </c>
      <c r="K97" s="1220"/>
      <c r="L97" s="506">
        <f>Assets!$G$38</f>
        <v>0.05</v>
      </c>
      <c r="M97" s="507">
        <f>Assets!$F$38</f>
        <v>1500</v>
      </c>
      <c r="N97" s="507">
        <f t="shared" si="148"/>
        <v>20556243.087527256</v>
      </c>
      <c r="O97" s="1220"/>
      <c r="P97" s="506">
        <f>Assets!$G$39</f>
        <v>0.06</v>
      </c>
      <c r="Q97" s="508">
        <f>Assets!$F$39</f>
        <v>250</v>
      </c>
      <c r="R97" s="507">
        <f t="shared" si="149"/>
        <v>14995107.139113376</v>
      </c>
      <c r="S97" s="1220"/>
      <c r="T97" s="506">
        <f>Assets!$G$40</f>
        <v>0</v>
      </c>
      <c r="U97" s="510">
        <f>Assets!$F$40</f>
        <v>0</v>
      </c>
      <c r="V97" s="507">
        <f t="shared" si="150"/>
        <v>0</v>
      </c>
      <c r="W97" s="1220"/>
      <c r="X97" s="506">
        <f>Assets!$G$41</f>
        <v>0</v>
      </c>
      <c r="Y97" s="510">
        <f>Assets!$F$41</f>
        <v>0</v>
      </c>
      <c r="Z97" s="507">
        <f t="shared" si="151"/>
        <v>0</v>
      </c>
      <c r="AA97" s="1220"/>
      <c r="AB97" s="506">
        <f>Assets!$G$42</f>
        <v>0</v>
      </c>
      <c r="AC97" s="507">
        <f>Assets!$F$42</f>
        <v>0</v>
      </c>
      <c r="AD97" s="507">
        <f t="shared" si="152"/>
        <v>0</v>
      </c>
      <c r="AE97" s="1220"/>
      <c r="AF97" s="506">
        <f>Assets!$G$43</f>
        <v>0</v>
      </c>
      <c r="AG97" s="507">
        <f>Assets!$F$43</f>
        <v>0</v>
      </c>
      <c r="AH97" s="507">
        <f t="shared" si="153"/>
        <v>0</v>
      </c>
      <c r="AI97" s="1220"/>
      <c r="AJ97" s="506">
        <f>Assets!$G$44</f>
        <v>0</v>
      </c>
      <c r="AK97" s="507">
        <f>Assets!$F$44</f>
        <v>0</v>
      </c>
      <c r="AL97" s="507">
        <f t="shared" si="154"/>
        <v>0</v>
      </c>
      <c r="AM97" s="1220"/>
      <c r="AN97" s="506">
        <f>Assets!$G$45</f>
        <v>0</v>
      </c>
      <c r="AO97" s="507">
        <f>Assets!$F$45</f>
        <v>0</v>
      </c>
      <c r="AP97" s="507">
        <f t="shared" si="155"/>
        <v>0</v>
      </c>
      <c r="AQ97" s="1220"/>
      <c r="AR97" s="506">
        <f>Assets!$G$46</f>
        <v>0</v>
      </c>
      <c r="AS97" s="507">
        <f>Assets!$F$46</f>
        <v>0</v>
      </c>
      <c r="AT97" s="507">
        <f t="shared" si="156"/>
        <v>0</v>
      </c>
      <c r="AU97" s="1220"/>
      <c r="AV97" s="506">
        <f>Assets!$G$47</f>
        <v>0</v>
      </c>
      <c r="AW97" s="507">
        <f>Assets!F$47</f>
        <v>0</v>
      </c>
      <c r="AX97" s="507">
        <f t="shared" si="157"/>
        <v>0</v>
      </c>
      <c r="AY97" s="1220"/>
      <c r="AZ97" s="506">
        <f>Assets!$G$48</f>
        <v>0</v>
      </c>
      <c r="BA97" s="507">
        <f>Assets!$F$48</f>
        <v>0</v>
      </c>
      <c r="BB97" s="507">
        <f t="shared" si="158"/>
        <v>0</v>
      </c>
      <c r="BC97" s="502"/>
      <c r="BD97" s="2005"/>
      <c r="BE97" s="523"/>
      <c r="BF97" s="523"/>
      <c r="BG97" s="1331">
        <f t="shared" si="159"/>
        <v>35415513.511526793</v>
      </c>
      <c r="BH97" s="1331">
        <f t="shared" si="160"/>
        <v>20556243.087527256</v>
      </c>
      <c r="BI97" s="1331">
        <f t="shared" si="161"/>
        <v>14995107.139113376</v>
      </c>
      <c r="BJ97" s="1331">
        <f t="shared" si="162"/>
        <v>0</v>
      </c>
      <c r="BK97" s="1331">
        <f t="shared" si="163"/>
        <v>0</v>
      </c>
      <c r="BL97" s="1331">
        <f t="shared" si="164"/>
        <v>0</v>
      </c>
      <c r="BM97" s="1331">
        <f t="shared" si="165"/>
        <v>0</v>
      </c>
      <c r="BN97" s="1331">
        <f t="shared" si="166"/>
        <v>0</v>
      </c>
      <c r="BO97" s="1331">
        <f t="shared" si="167"/>
        <v>0</v>
      </c>
      <c r="BP97" s="1331">
        <f t="shared" si="168"/>
        <v>0</v>
      </c>
      <c r="BQ97" s="1331">
        <f t="shared" si="169"/>
        <v>0</v>
      </c>
      <c r="BR97" s="1331">
        <f t="shared" si="170"/>
        <v>0</v>
      </c>
      <c r="BS97" s="523"/>
      <c r="BT97" s="523"/>
      <c r="BU97" s="523"/>
      <c r="BV97" s="523"/>
      <c r="BW97" s="1333">
        <f t="shared" ca="1" si="197"/>
        <v>2112</v>
      </c>
      <c r="BX97" s="1331">
        <f t="shared" si="171"/>
        <v>55971756.599054053</v>
      </c>
      <c r="BY97" s="1331">
        <f t="shared" ca="1" si="196"/>
        <v>14995107.139113376</v>
      </c>
      <c r="BZ97" s="1336">
        <f t="shared" si="172"/>
        <v>35415513.511526793</v>
      </c>
      <c r="CA97" s="1336">
        <f t="shared" si="173"/>
        <v>20556243.087527256</v>
      </c>
      <c r="CB97" s="1336">
        <f t="shared" si="174"/>
        <v>0</v>
      </c>
      <c r="CC97" s="1336">
        <f t="shared" si="175"/>
        <v>0</v>
      </c>
      <c r="CD97" s="1336">
        <f t="shared" si="176"/>
        <v>0</v>
      </c>
      <c r="CE97" s="1336">
        <f t="shared" si="177"/>
        <v>0</v>
      </c>
      <c r="CF97" s="1336">
        <f t="shared" si="178"/>
        <v>0</v>
      </c>
      <c r="CG97" s="1336">
        <f t="shared" si="179"/>
        <v>0</v>
      </c>
      <c r="CH97" s="1336">
        <f t="shared" si="180"/>
        <v>0</v>
      </c>
      <c r="CI97" s="1336">
        <f t="shared" si="181"/>
        <v>0</v>
      </c>
      <c r="CJ97" s="1336">
        <f t="shared" si="182"/>
        <v>0</v>
      </c>
      <c r="CK97" s="1336">
        <f t="shared" si="183"/>
        <v>0</v>
      </c>
      <c r="CL97" s="1336"/>
      <c r="CM97" s="1336">
        <f t="shared" si="184"/>
        <v>0</v>
      </c>
      <c r="CN97" s="1336">
        <f t="shared" si="185"/>
        <v>0</v>
      </c>
      <c r="CO97" s="1336">
        <f t="shared" si="186"/>
        <v>14995107.139113376</v>
      </c>
      <c r="CP97" s="1336">
        <f t="shared" si="187"/>
        <v>0</v>
      </c>
      <c r="CQ97" s="1336">
        <f t="shared" si="188"/>
        <v>0</v>
      </c>
      <c r="CR97" s="1336">
        <f t="shared" si="189"/>
        <v>0</v>
      </c>
      <c r="CS97" s="1336">
        <f t="shared" si="190"/>
        <v>0</v>
      </c>
      <c r="CT97" s="1336">
        <f t="shared" si="191"/>
        <v>0</v>
      </c>
      <c r="CU97" s="1336">
        <f t="shared" si="192"/>
        <v>0</v>
      </c>
      <c r="CV97" s="1336">
        <f t="shared" si="193"/>
        <v>0</v>
      </c>
      <c r="CW97" s="1336">
        <f t="shared" si="194"/>
        <v>0</v>
      </c>
      <c r="CX97" s="1336">
        <f t="shared" si="195"/>
        <v>0</v>
      </c>
      <c r="CY97" s="1336"/>
      <c r="CZ97" s="1336"/>
      <c r="DA97" s="1334">
        <f ca="1">Rental!Y127</f>
        <v>0</v>
      </c>
      <c r="DB97" s="1334">
        <f ca="1">Rental!AD127</f>
        <v>0</v>
      </c>
      <c r="DC97" s="1972"/>
      <c r="DD97" s="1761"/>
      <c r="DE97" s="1761"/>
      <c r="DF97" s="1335"/>
      <c r="DG97" s="1335"/>
      <c r="DH97" s="1335"/>
      <c r="DI97" s="1335"/>
      <c r="DJ97" s="1335"/>
      <c r="DK97" s="1335"/>
      <c r="DL97" s="1335"/>
      <c r="DM97" s="1335"/>
      <c r="DN97" s="1335"/>
      <c r="DO97" s="1335"/>
      <c r="DP97" s="1335"/>
      <c r="DQ97" s="1335"/>
      <c r="DR97" s="1335"/>
      <c r="DS97" s="1335"/>
      <c r="DT97" s="1335"/>
    </row>
    <row r="98" spans="1:124" s="1185" customFormat="1" ht="18" customHeight="1">
      <c r="A98" s="523">
        <f ca="1">IF(E98=YEAR(Retire!$D$12),1,0)</f>
        <v>0</v>
      </c>
      <c r="B98" s="502"/>
      <c r="C98" s="503" t="str">
        <f ca="1">IF(E98=Retire!$D$12,"==&gt;","")</f>
        <v/>
      </c>
      <c r="D98" s="512">
        <f t="shared" si="132"/>
        <v>92</v>
      </c>
      <c r="E98" s="512">
        <f t="shared" ca="1" si="133"/>
        <v>2113</v>
      </c>
      <c r="F98" s="513">
        <f t="shared" ca="1" si="146"/>
        <v>74845986</v>
      </c>
      <c r="G98" s="513"/>
      <c r="H98" s="514">
        <f>Assets!$G$37</f>
        <v>5.5E-2</v>
      </c>
      <c r="I98" s="515">
        <f>Assets!$F$37</f>
        <v>2000</v>
      </c>
      <c r="J98" s="515">
        <f t="shared" si="147"/>
        <v>37365366.75466077</v>
      </c>
      <c r="K98" s="1220"/>
      <c r="L98" s="514">
        <f>Assets!$G$38</f>
        <v>0.05</v>
      </c>
      <c r="M98" s="515">
        <f>Assets!$F$38</f>
        <v>1500</v>
      </c>
      <c r="N98" s="515">
        <f t="shared" si="148"/>
        <v>21585555.241903618</v>
      </c>
      <c r="O98" s="1220"/>
      <c r="P98" s="514">
        <f>Assets!$G$39</f>
        <v>0.06</v>
      </c>
      <c r="Q98" s="516">
        <f>Assets!$F$39</f>
        <v>250</v>
      </c>
      <c r="R98" s="515">
        <f t="shared" si="149"/>
        <v>15895063.567460179</v>
      </c>
      <c r="S98" s="1220"/>
      <c r="T98" s="514">
        <f>Assets!$G$40</f>
        <v>0</v>
      </c>
      <c r="U98" s="517">
        <f>Assets!$F$40</f>
        <v>0</v>
      </c>
      <c r="V98" s="515">
        <f t="shared" si="150"/>
        <v>0</v>
      </c>
      <c r="W98" s="1220"/>
      <c r="X98" s="514">
        <f>Assets!$G$41</f>
        <v>0</v>
      </c>
      <c r="Y98" s="517">
        <f>Assets!$F$41</f>
        <v>0</v>
      </c>
      <c r="Z98" s="515">
        <f t="shared" si="151"/>
        <v>0</v>
      </c>
      <c r="AA98" s="1220"/>
      <c r="AB98" s="514">
        <f>Assets!$G$42</f>
        <v>0</v>
      </c>
      <c r="AC98" s="515">
        <f>Assets!$F$42</f>
        <v>0</v>
      </c>
      <c r="AD98" s="515">
        <f t="shared" si="152"/>
        <v>0</v>
      </c>
      <c r="AE98" s="1220"/>
      <c r="AF98" s="514">
        <f>Assets!$G$43</f>
        <v>0</v>
      </c>
      <c r="AG98" s="515">
        <f>Assets!$F$43</f>
        <v>0</v>
      </c>
      <c r="AH98" s="515">
        <f t="shared" si="153"/>
        <v>0</v>
      </c>
      <c r="AI98" s="1220"/>
      <c r="AJ98" s="514">
        <f>Assets!$G$44</f>
        <v>0</v>
      </c>
      <c r="AK98" s="515">
        <f>Assets!$F$44</f>
        <v>0</v>
      </c>
      <c r="AL98" s="515">
        <f t="shared" si="154"/>
        <v>0</v>
      </c>
      <c r="AM98" s="1220"/>
      <c r="AN98" s="514">
        <f>Assets!$G$45</f>
        <v>0</v>
      </c>
      <c r="AO98" s="515">
        <f>Assets!$F$45</f>
        <v>0</v>
      </c>
      <c r="AP98" s="515">
        <f t="shared" si="155"/>
        <v>0</v>
      </c>
      <c r="AQ98" s="1220"/>
      <c r="AR98" s="514">
        <f>Assets!$G$46</f>
        <v>0</v>
      </c>
      <c r="AS98" s="515">
        <f>Assets!$F$46</f>
        <v>0</v>
      </c>
      <c r="AT98" s="515">
        <f t="shared" si="156"/>
        <v>0</v>
      </c>
      <c r="AU98" s="1220"/>
      <c r="AV98" s="514">
        <f>Assets!$G$47</f>
        <v>0</v>
      </c>
      <c r="AW98" s="515">
        <f>Assets!F$47</f>
        <v>0</v>
      </c>
      <c r="AX98" s="515">
        <f t="shared" si="157"/>
        <v>0</v>
      </c>
      <c r="AY98" s="1220"/>
      <c r="AZ98" s="514">
        <f>Assets!$G$48</f>
        <v>0</v>
      </c>
      <c r="BA98" s="515">
        <f>Assets!$F$48</f>
        <v>0</v>
      </c>
      <c r="BB98" s="515">
        <f t="shared" si="158"/>
        <v>0</v>
      </c>
      <c r="BC98" s="502"/>
      <c r="BD98" s="2005"/>
      <c r="BE98" s="523"/>
      <c r="BF98" s="523"/>
      <c r="BG98" s="1331">
        <f t="shared" si="159"/>
        <v>37365366.75466077</v>
      </c>
      <c r="BH98" s="1331">
        <f t="shared" si="160"/>
        <v>21585555.241903618</v>
      </c>
      <c r="BI98" s="1331">
        <f t="shared" si="161"/>
        <v>15895063.567460179</v>
      </c>
      <c r="BJ98" s="1331">
        <f t="shared" si="162"/>
        <v>0</v>
      </c>
      <c r="BK98" s="1331">
        <f t="shared" si="163"/>
        <v>0</v>
      </c>
      <c r="BL98" s="1331">
        <f t="shared" si="164"/>
        <v>0</v>
      </c>
      <c r="BM98" s="1331">
        <f t="shared" si="165"/>
        <v>0</v>
      </c>
      <c r="BN98" s="1331">
        <f t="shared" si="166"/>
        <v>0</v>
      </c>
      <c r="BO98" s="1331">
        <f t="shared" si="167"/>
        <v>0</v>
      </c>
      <c r="BP98" s="1331">
        <f t="shared" si="168"/>
        <v>0</v>
      </c>
      <c r="BQ98" s="1331">
        <f t="shared" si="169"/>
        <v>0</v>
      </c>
      <c r="BR98" s="1331">
        <f t="shared" si="170"/>
        <v>0</v>
      </c>
      <c r="BS98" s="523"/>
      <c r="BT98" s="523"/>
      <c r="BU98" s="523"/>
      <c r="BV98" s="523"/>
      <c r="BW98" s="1333">
        <f t="shared" ca="1" si="197"/>
        <v>2113</v>
      </c>
      <c r="BX98" s="1331">
        <f t="shared" si="171"/>
        <v>58950921.996564388</v>
      </c>
      <c r="BY98" s="1331">
        <f t="shared" ca="1" si="196"/>
        <v>15895063.567460179</v>
      </c>
      <c r="BZ98" s="1336">
        <f t="shared" si="172"/>
        <v>37365366.75466077</v>
      </c>
      <c r="CA98" s="1336">
        <f t="shared" si="173"/>
        <v>21585555.241903618</v>
      </c>
      <c r="CB98" s="1336">
        <f t="shared" si="174"/>
        <v>0</v>
      </c>
      <c r="CC98" s="1336">
        <f t="shared" si="175"/>
        <v>0</v>
      </c>
      <c r="CD98" s="1336">
        <f t="shared" si="176"/>
        <v>0</v>
      </c>
      <c r="CE98" s="1336">
        <f t="shared" si="177"/>
        <v>0</v>
      </c>
      <c r="CF98" s="1336">
        <f t="shared" si="178"/>
        <v>0</v>
      </c>
      <c r="CG98" s="1336">
        <f t="shared" si="179"/>
        <v>0</v>
      </c>
      <c r="CH98" s="1336">
        <f t="shared" si="180"/>
        <v>0</v>
      </c>
      <c r="CI98" s="1336">
        <f t="shared" si="181"/>
        <v>0</v>
      </c>
      <c r="CJ98" s="1336">
        <f t="shared" si="182"/>
        <v>0</v>
      </c>
      <c r="CK98" s="1336">
        <f t="shared" si="183"/>
        <v>0</v>
      </c>
      <c r="CL98" s="1336"/>
      <c r="CM98" s="1336">
        <f t="shared" si="184"/>
        <v>0</v>
      </c>
      <c r="CN98" s="1336">
        <f t="shared" si="185"/>
        <v>0</v>
      </c>
      <c r="CO98" s="1336">
        <f t="shared" si="186"/>
        <v>15895063.567460179</v>
      </c>
      <c r="CP98" s="1336">
        <f t="shared" si="187"/>
        <v>0</v>
      </c>
      <c r="CQ98" s="1336">
        <f t="shared" si="188"/>
        <v>0</v>
      </c>
      <c r="CR98" s="1336">
        <f t="shared" si="189"/>
        <v>0</v>
      </c>
      <c r="CS98" s="1336">
        <f t="shared" si="190"/>
        <v>0</v>
      </c>
      <c r="CT98" s="1336">
        <f t="shared" si="191"/>
        <v>0</v>
      </c>
      <c r="CU98" s="1336">
        <f t="shared" si="192"/>
        <v>0</v>
      </c>
      <c r="CV98" s="1336">
        <f t="shared" si="193"/>
        <v>0</v>
      </c>
      <c r="CW98" s="1336">
        <f t="shared" si="194"/>
        <v>0</v>
      </c>
      <c r="CX98" s="1336">
        <f t="shared" si="195"/>
        <v>0</v>
      </c>
      <c r="CY98" s="1336"/>
      <c r="CZ98" s="1336"/>
      <c r="DA98" s="1334">
        <f ca="1">Rental!Y128</f>
        <v>0</v>
      </c>
      <c r="DB98" s="1334">
        <f ca="1">Rental!AD128</f>
        <v>0</v>
      </c>
      <c r="DC98" s="1972"/>
      <c r="DD98" s="1761"/>
      <c r="DE98" s="1761"/>
      <c r="DF98" s="1335"/>
      <c r="DG98" s="1335"/>
      <c r="DH98" s="1335"/>
      <c r="DI98" s="1335"/>
      <c r="DJ98" s="1335"/>
      <c r="DK98" s="1335"/>
      <c r="DL98" s="1335"/>
      <c r="DM98" s="1335"/>
      <c r="DN98" s="1335"/>
      <c r="DO98" s="1335"/>
      <c r="DP98" s="1335"/>
      <c r="DQ98" s="1335"/>
      <c r="DR98" s="1335"/>
      <c r="DS98" s="1335"/>
      <c r="DT98" s="1335"/>
    </row>
    <row r="99" spans="1:124" s="1185" customFormat="1" ht="18" customHeight="1">
      <c r="A99" s="523">
        <f ca="1">IF(E99=YEAR(Retire!$D$12),1,0)</f>
        <v>0</v>
      </c>
      <c r="B99" s="502"/>
      <c r="C99" s="503" t="str">
        <f ca="1">IF(E99=Retire!$D$12,"==&gt;","")</f>
        <v/>
      </c>
      <c r="D99" s="504">
        <f t="shared" si="132"/>
        <v>93</v>
      </c>
      <c r="E99" s="504">
        <f t="shared" ca="1" si="133"/>
        <v>2114</v>
      </c>
      <c r="F99" s="505">
        <f t="shared" ca="1" si="146"/>
        <v>78937812</v>
      </c>
      <c r="G99" s="505"/>
      <c r="H99" s="506">
        <f>Assets!$G$37</f>
        <v>5.5E-2</v>
      </c>
      <c r="I99" s="507">
        <f>Assets!$F$37</f>
        <v>2000</v>
      </c>
      <c r="J99" s="507">
        <f t="shared" si="147"/>
        <v>39422461.926167116</v>
      </c>
      <c r="K99" s="1220"/>
      <c r="L99" s="506">
        <f>Assets!$G$38</f>
        <v>0.05</v>
      </c>
      <c r="M99" s="507">
        <f>Assets!$F$38</f>
        <v>1500</v>
      </c>
      <c r="N99" s="507">
        <f t="shared" si="148"/>
        <v>22666333.003998797</v>
      </c>
      <c r="O99" s="1220"/>
      <c r="P99" s="506">
        <f>Assets!$G$39</f>
        <v>0.06</v>
      </c>
      <c r="Q99" s="508">
        <f>Assets!$F$39</f>
        <v>250</v>
      </c>
      <c r="R99" s="507">
        <f t="shared" si="149"/>
        <v>16849017.381507792</v>
      </c>
      <c r="S99" s="1220"/>
      <c r="T99" s="506">
        <f>Assets!$G$40</f>
        <v>0</v>
      </c>
      <c r="U99" s="510">
        <f>Assets!$F$40</f>
        <v>0</v>
      </c>
      <c r="V99" s="507">
        <f t="shared" si="150"/>
        <v>0</v>
      </c>
      <c r="W99" s="1220"/>
      <c r="X99" s="506">
        <f>Assets!$G$41</f>
        <v>0</v>
      </c>
      <c r="Y99" s="510">
        <f>Assets!$F$41</f>
        <v>0</v>
      </c>
      <c r="Z99" s="507">
        <f t="shared" si="151"/>
        <v>0</v>
      </c>
      <c r="AA99" s="1220"/>
      <c r="AB99" s="506">
        <f>Assets!$G$42</f>
        <v>0</v>
      </c>
      <c r="AC99" s="507">
        <f>Assets!$F$42</f>
        <v>0</v>
      </c>
      <c r="AD99" s="507">
        <f t="shared" si="152"/>
        <v>0</v>
      </c>
      <c r="AE99" s="1220"/>
      <c r="AF99" s="506">
        <f>Assets!$G$43</f>
        <v>0</v>
      </c>
      <c r="AG99" s="507">
        <f>Assets!$F$43</f>
        <v>0</v>
      </c>
      <c r="AH99" s="507">
        <f t="shared" si="153"/>
        <v>0</v>
      </c>
      <c r="AI99" s="1220"/>
      <c r="AJ99" s="506">
        <f>Assets!$G$44</f>
        <v>0</v>
      </c>
      <c r="AK99" s="507">
        <f>Assets!$F$44</f>
        <v>0</v>
      </c>
      <c r="AL99" s="507">
        <f t="shared" si="154"/>
        <v>0</v>
      </c>
      <c r="AM99" s="1220"/>
      <c r="AN99" s="506">
        <f>Assets!$G$45</f>
        <v>0</v>
      </c>
      <c r="AO99" s="507">
        <f>Assets!$F$45</f>
        <v>0</v>
      </c>
      <c r="AP99" s="507">
        <f t="shared" si="155"/>
        <v>0</v>
      </c>
      <c r="AQ99" s="1220"/>
      <c r="AR99" s="506">
        <f>Assets!$G$46</f>
        <v>0</v>
      </c>
      <c r="AS99" s="507">
        <f>Assets!$F$46</f>
        <v>0</v>
      </c>
      <c r="AT99" s="507">
        <f t="shared" si="156"/>
        <v>0</v>
      </c>
      <c r="AU99" s="1220"/>
      <c r="AV99" s="506">
        <f>Assets!$G$47</f>
        <v>0</v>
      </c>
      <c r="AW99" s="507">
        <f>Assets!F$47</f>
        <v>0</v>
      </c>
      <c r="AX99" s="507">
        <f t="shared" si="157"/>
        <v>0</v>
      </c>
      <c r="AY99" s="1220"/>
      <c r="AZ99" s="506">
        <f>Assets!$G$48</f>
        <v>0</v>
      </c>
      <c r="BA99" s="507">
        <f>Assets!$F$48</f>
        <v>0</v>
      </c>
      <c r="BB99" s="507">
        <f t="shared" si="158"/>
        <v>0</v>
      </c>
      <c r="BC99" s="502"/>
      <c r="BD99" s="2005"/>
      <c r="BE99" s="523"/>
      <c r="BF99" s="523"/>
      <c r="BG99" s="1331">
        <f t="shared" si="159"/>
        <v>39422461.926167116</v>
      </c>
      <c r="BH99" s="1331">
        <f t="shared" si="160"/>
        <v>22666333.003998797</v>
      </c>
      <c r="BI99" s="1331">
        <f t="shared" si="161"/>
        <v>16849017.381507792</v>
      </c>
      <c r="BJ99" s="1331">
        <f t="shared" si="162"/>
        <v>0</v>
      </c>
      <c r="BK99" s="1331">
        <f t="shared" si="163"/>
        <v>0</v>
      </c>
      <c r="BL99" s="1331">
        <f t="shared" si="164"/>
        <v>0</v>
      </c>
      <c r="BM99" s="1331">
        <f t="shared" si="165"/>
        <v>0</v>
      </c>
      <c r="BN99" s="1331">
        <f t="shared" si="166"/>
        <v>0</v>
      </c>
      <c r="BO99" s="1331">
        <f t="shared" si="167"/>
        <v>0</v>
      </c>
      <c r="BP99" s="1331">
        <f t="shared" si="168"/>
        <v>0</v>
      </c>
      <c r="BQ99" s="1331">
        <f t="shared" si="169"/>
        <v>0</v>
      </c>
      <c r="BR99" s="1331">
        <f t="shared" si="170"/>
        <v>0</v>
      </c>
      <c r="BS99" s="523"/>
      <c r="BT99" s="523"/>
      <c r="BU99" s="523"/>
      <c r="BV99" s="523"/>
      <c r="BW99" s="1333">
        <f t="shared" ca="1" si="197"/>
        <v>2114</v>
      </c>
      <c r="BX99" s="1331">
        <f t="shared" si="171"/>
        <v>62088794.930165917</v>
      </c>
      <c r="BY99" s="1331">
        <f t="shared" ca="1" si="196"/>
        <v>16849017.381507792</v>
      </c>
      <c r="BZ99" s="1336">
        <f t="shared" si="172"/>
        <v>39422461.926167116</v>
      </c>
      <c r="CA99" s="1336">
        <f t="shared" si="173"/>
        <v>22666333.003998797</v>
      </c>
      <c r="CB99" s="1336">
        <f t="shared" si="174"/>
        <v>0</v>
      </c>
      <c r="CC99" s="1336">
        <f t="shared" si="175"/>
        <v>0</v>
      </c>
      <c r="CD99" s="1336">
        <f t="shared" si="176"/>
        <v>0</v>
      </c>
      <c r="CE99" s="1336">
        <f t="shared" si="177"/>
        <v>0</v>
      </c>
      <c r="CF99" s="1336">
        <f t="shared" si="178"/>
        <v>0</v>
      </c>
      <c r="CG99" s="1336">
        <f t="shared" si="179"/>
        <v>0</v>
      </c>
      <c r="CH99" s="1336">
        <f t="shared" si="180"/>
        <v>0</v>
      </c>
      <c r="CI99" s="1336">
        <f t="shared" si="181"/>
        <v>0</v>
      </c>
      <c r="CJ99" s="1336">
        <f t="shared" si="182"/>
        <v>0</v>
      </c>
      <c r="CK99" s="1336">
        <f t="shared" si="183"/>
        <v>0</v>
      </c>
      <c r="CL99" s="1336"/>
      <c r="CM99" s="1336">
        <f t="shared" si="184"/>
        <v>0</v>
      </c>
      <c r="CN99" s="1336">
        <f t="shared" si="185"/>
        <v>0</v>
      </c>
      <c r="CO99" s="1336">
        <f t="shared" si="186"/>
        <v>16849017.381507792</v>
      </c>
      <c r="CP99" s="1336">
        <f t="shared" si="187"/>
        <v>0</v>
      </c>
      <c r="CQ99" s="1336">
        <f t="shared" si="188"/>
        <v>0</v>
      </c>
      <c r="CR99" s="1336">
        <f t="shared" si="189"/>
        <v>0</v>
      </c>
      <c r="CS99" s="1336">
        <f t="shared" si="190"/>
        <v>0</v>
      </c>
      <c r="CT99" s="1336">
        <f t="shared" si="191"/>
        <v>0</v>
      </c>
      <c r="CU99" s="1336">
        <f t="shared" si="192"/>
        <v>0</v>
      </c>
      <c r="CV99" s="1336">
        <f t="shared" si="193"/>
        <v>0</v>
      </c>
      <c r="CW99" s="1336">
        <f t="shared" si="194"/>
        <v>0</v>
      </c>
      <c r="CX99" s="1336">
        <f t="shared" si="195"/>
        <v>0</v>
      </c>
      <c r="CY99" s="1336"/>
      <c r="CZ99" s="1336"/>
      <c r="DA99" s="1334">
        <f ca="1">Rental!Y129</f>
        <v>0</v>
      </c>
      <c r="DB99" s="1334">
        <f ca="1">Rental!AD129</f>
        <v>0</v>
      </c>
      <c r="DC99" s="1972"/>
      <c r="DD99" s="1761"/>
      <c r="DE99" s="1761"/>
      <c r="DF99" s="1335"/>
      <c r="DG99" s="1335"/>
      <c r="DH99" s="1335"/>
      <c r="DI99" s="1335"/>
      <c r="DJ99" s="1335"/>
      <c r="DK99" s="1335"/>
      <c r="DL99" s="1335"/>
      <c r="DM99" s="1335"/>
      <c r="DN99" s="1335"/>
      <c r="DO99" s="1335"/>
      <c r="DP99" s="1335"/>
      <c r="DQ99" s="1335"/>
      <c r="DR99" s="1335"/>
      <c r="DS99" s="1335"/>
      <c r="DT99" s="1335"/>
    </row>
    <row r="100" spans="1:124" s="1185" customFormat="1" ht="18" customHeight="1">
      <c r="A100" s="523">
        <f ca="1">IF(E100=YEAR(Retire!$D$12),1,0)</f>
        <v>0</v>
      </c>
      <c r="B100" s="502"/>
      <c r="C100" s="503" t="str">
        <f ca="1">IF(E100=Retire!$D$12,"==&gt;","")</f>
        <v/>
      </c>
      <c r="D100" s="512">
        <f t="shared" si="132"/>
        <v>94</v>
      </c>
      <c r="E100" s="512">
        <f t="shared" ca="1" si="133"/>
        <v>2115</v>
      </c>
      <c r="F100" s="513">
        <f t="shared" ca="1" si="146"/>
        <v>83254055</v>
      </c>
      <c r="G100" s="513"/>
      <c r="H100" s="514">
        <f>Assets!$G$37</f>
        <v>5.5E-2</v>
      </c>
      <c r="I100" s="515">
        <f>Assets!$F$37</f>
        <v>2000</v>
      </c>
      <c r="J100" s="515">
        <f t="shared" si="147"/>
        <v>41592697.332106307</v>
      </c>
      <c r="K100" s="1220"/>
      <c r="L100" s="514">
        <f>Assets!$G$38</f>
        <v>0.05</v>
      </c>
      <c r="M100" s="515">
        <f>Assets!$F$38</f>
        <v>1500</v>
      </c>
      <c r="N100" s="515">
        <f t="shared" si="148"/>
        <v>23801149.654198736</v>
      </c>
      <c r="O100" s="1220"/>
      <c r="P100" s="514">
        <f>Assets!$G$39</f>
        <v>0.06</v>
      </c>
      <c r="Q100" s="516">
        <f>Assets!$F$39</f>
        <v>250</v>
      </c>
      <c r="R100" s="515">
        <f t="shared" si="149"/>
        <v>17860208.424398258</v>
      </c>
      <c r="S100" s="1220"/>
      <c r="T100" s="514">
        <f>Assets!$G$40</f>
        <v>0</v>
      </c>
      <c r="U100" s="517">
        <f>Assets!$F$40</f>
        <v>0</v>
      </c>
      <c r="V100" s="515">
        <f t="shared" si="150"/>
        <v>0</v>
      </c>
      <c r="W100" s="1220"/>
      <c r="X100" s="514">
        <f>Assets!$G$41</f>
        <v>0</v>
      </c>
      <c r="Y100" s="517">
        <f>Assets!$F$41</f>
        <v>0</v>
      </c>
      <c r="Z100" s="515">
        <f t="shared" si="151"/>
        <v>0</v>
      </c>
      <c r="AA100" s="1220"/>
      <c r="AB100" s="514">
        <f>Assets!$G$42</f>
        <v>0</v>
      </c>
      <c r="AC100" s="515">
        <f>Assets!$F$42</f>
        <v>0</v>
      </c>
      <c r="AD100" s="515">
        <f t="shared" si="152"/>
        <v>0</v>
      </c>
      <c r="AE100" s="1220"/>
      <c r="AF100" s="514">
        <f>Assets!$G$43</f>
        <v>0</v>
      </c>
      <c r="AG100" s="515">
        <f>Assets!$F$43</f>
        <v>0</v>
      </c>
      <c r="AH100" s="515">
        <f t="shared" si="153"/>
        <v>0</v>
      </c>
      <c r="AI100" s="1220"/>
      <c r="AJ100" s="514">
        <f>Assets!$G$44</f>
        <v>0</v>
      </c>
      <c r="AK100" s="515">
        <f>Assets!$F$44</f>
        <v>0</v>
      </c>
      <c r="AL100" s="515">
        <f t="shared" si="154"/>
        <v>0</v>
      </c>
      <c r="AM100" s="1220"/>
      <c r="AN100" s="514">
        <f>Assets!$G$45</f>
        <v>0</v>
      </c>
      <c r="AO100" s="515">
        <f>Assets!$F$45</f>
        <v>0</v>
      </c>
      <c r="AP100" s="515">
        <f t="shared" si="155"/>
        <v>0</v>
      </c>
      <c r="AQ100" s="1220"/>
      <c r="AR100" s="514">
        <f>Assets!$G$46</f>
        <v>0</v>
      </c>
      <c r="AS100" s="515">
        <f>Assets!$F$46</f>
        <v>0</v>
      </c>
      <c r="AT100" s="515">
        <f t="shared" si="156"/>
        <v>0</v>
      </c>
      <c r="AU100" s="1220"/>
      <c r="AV100" s="514">
        <f>Assets!$G$47</f>
        <v>0</v>
      </c>
      <c r="AW100" s="515">
        <f>Assets!F$47</f>
        <v>0</v>
      </c>
      <c r="AX100" s="515">
        <f t="shared" si="157"/>
        <v>0</v>
      </c>
      <c r="AY100" s="1220"/>
      <c r="AZ100" s="514">
        <f>Assets!$G$48</f>
        <v>0</v>
      </c>
      <c r="BA100" s="515">
        <f>Assets!$F$48</f>
        <v>0</v>
      </c>
      <c r="BB100" s="515">
        <f t="shared" si="158"/>
        <v>0</v>
      </c>
      <c r="BC100" s="502"/>
      <c r="BD100" s="2005"/>
      <c r="BE100" s="523"/>
      <c r="BF100" s="523"/>
      <c r="BG100" s="1331">
        <f t="shared" si="159"/>
        <v>41592697.332106307</v>
      </c>
      <c r="BH100" s="1331">
        <f t="shared" si="160"/>
        <v>23801149.654198736</v>
      </c>
      <c r="BI100" s="1331">
        <f t="shared" si="161"/>
        <v>17860208.424398258</v>
      </c>
      <c r="BJ100" s="1331">
        <f t="shared" si="162"/>
        <v>0</v>
      </c>
      <c r="BK100" s="1331">
        <f t="shared" si="163"/>
        <v>0</v>
      </c>
      <c r="BL100" s="1331">
        <f t="shared" si="164"/>
        <v>0</v>
      </c>
      <c r="BM100" s="1331">
        <f t="shared" si="165"/>
        <v>0</v>
      </c>
      <c r="BN100" s="1331">
        <f t="shared" si="166"/>
        <v>0</v>
      </c>
      <c r="BO100" s="1331">
        <f t="shared" si="167"/>
        <v>0</v>
      </c>
      <c r="BP100" s="1331">
        <f t="shared" si="168"/>
        <v>0</v>
      </c>
      <c r="BQ100" s="1331">
        <f t="shared" si="169"/>
        <v>0</v>
      </c>
      <c r="BR100" s="1331">
        <f t="shared" si="170"/>
        <v>0</v>
      </c>
      <c r="BS100" s="523"/>
      <c r="BT100" s="523"/>
      <c r="BU100" s="523"/>
      <c r="BV100" s="523"/>
      <c r="BW100" s="1333">
        <f t="shared" ca="1" si="197"/>
        <v>2115</v>
      </c>
      <c r="BX100" s="1331">
        <f t="shared" si="171"/>
        <v>65393846.986305043</v>
      </c>
      <c r="BY100" s="1331">
        <f t="shared" ca="1" si="196"/>
        <v>17860208.424398258</v>
      </c>
      <c r="BZ100" s="1336">
        <f t="shared" si="172"/>
        <v>41592697.332106307</v>
      </c>
      <c r="CA100" s="1336">
        <f t="shared" si="173"/>
        <v>23801149.654198736</v>
      </c>
      <c r="CB100" s="1336">
        <f t="shared" si="174"/>
        <v>0</v>
      </c>
      <c r="CC100" s="1336">
        <f t="shared" si="175"/>
        <v>0</v>
      </c>
      <c r="CD100" s="1336">
        <f t="shared" si="176"/>
        <v>0</v>
      </c>
      <c r="CE100" s="1336">
        <f t="shared" si="177"/>
        <v>0</v>
      </c>
      <c r="CF100" s="1336">
        <f t="shared" si="178"/>
        <v>0</v>
      </c>
      <c r="CG100" s="1336">
        <f t="shared" si="179"/>
        <v>0</v>
      </c>
      <c r="CH100" s="1336">
        <f t="shared" si="180"/>
        <v>0</v>
      </c>
      <c r="CI100" s="1336">
        <f t="shared" si="181"/>
        <v>0</v>
      </c>
      <c r="CJ100" s="1336">
        <f t="shared" si="182"/>
        <v>0</v>
      </c>
      <c r="CK100" s="1336">
        <f t="shared" si="183"/>
        <v>0</v>
      </c>
      <c r="CL100" s="1336"/>
      <c r="CM100" s="1336">
        <f t="shared" si="184"/>
        <v>0</v>
      </c>
      <c r="CN100" s="1336">
        <f t="shared" si="185"/>
        <v>0</v>
      </c>
      <c r="CO100" s="1336">
        <f t="shared" si="186"/>
        <v>17860208.424398258</v>
      </c>
      <c r="CP100" s="1336">
        <f t="shared" si="187"/>
        <v>0</v>
      </c>
      <c r="CQ100" s="1336">
        <f t="shared" si="188"/>
        <v>0</v>
      </c>
      <c r="CR100" s="1336">
        <f t="shared" si="189"/>
        <v>0</v>
      </c>
      <c r="CS100" s="1336">
        <f t="shared" si="190"/>
        <v>0</v>
      </c>
      <c r="CT100" s="1336">
        <f t="shared" si="191"/>
        <v>0</v>
      </c>
      <c r="CU100" s="1336">
        <f t="shared" si="192"/>
        <v>0</v>
      </c>
      <c r="CV100" s="1336">
        <f t="shared" si="193"/>
        <v>0</v>
      </c>
      <c r="CW100" s="1336">
        <f t="shared" si="194"/>
        <v>0</v>
      </c>
      <c r="CX100" s="1336">
        <f t="shared" si="195"/>
        <v>0</v>
      </c>
      <c r="CY100" s="1336"/>
      <c r="CZ100" s="1336"/>
      <c r="DA100" s="1334">
        <f ca="1">Rental!Y130</f>
        <v>0</v>
      </c>
      <c r="DB100" s="1334">
        <f ca="1">Rental!AD130</f>
        <v>0</v>
      </c>
      <c r="DC100" s="1972"/>
      <c r="DD100" s="1761"/>
      <c r="DE100" s="1761"/>
      <c r="DF100" s="1335"/>
      <c r="DG100" s="1335"/>
      <c r="DH100" s="1335"/>
      <c r="DI100" s="1335"/>
      <c r="DJ100" s="1335"/>
      <c r="DK100" s="1335"/>
      <c r="DL100" s="1335"/>
      <c r="DM100" s="1335"/>
      <c r="DN100" s="1335"/>
      <c r="DO100" s="1335"/>
      <c r="DP100" s="1335"/>
      <c r="DQ100" s="1335"/>
      <c r="DR100" s="1335"/>
      <c r="DS100" s="1335"/>
      <c r="DT100" s="1335"/>
    </row>
    <row r="101" spans="1:124" s="1185" customFormat="1" ht="18" customHeight="1">
      <c r="A101" s="523">
        <f ca="1">IF(E101=YEAR(Retire!$D$12),1,0)</f>
        <v>0</v>
      </c>
      <c r="B101" s="502"/>
      <c r="C101" s="503" t="str">
        <f ca="1">IF(E101=Retire!$D$12,"==&gt;","")</f>
        <v/>
      </c>
      <c r="D101" s="504">
        <f t="shared" si="132"/>
        <v>95</v>
      </c>
      <c r="E101" s="504">
        <f t="shared" ca="1" si="133"/>
        <v>2116</v>
      </c>
      <c r="F101" s="505">
        <f t="shared" ca="1" si="146"/>
        <v>87807074</v>
      </c>
      <c r="G101" s="505"/>
      <c r="H101" s="506">
        <f>Assets!$G$37</f>
        <v>5.5E-2</v>
      </c>
      <c r="I101" s="507">
        <f>Assets!$F$37</f>
        <v>2000</v>
      </c>
      <c r="J101" s="507">
        <f t="shared" si="147"/>
        <v>43882295.685372151</v>
      </c>
      <c r="K101" s="1220"/>
      <c r="L101" s="506">
        <f>Assets!$G$38</f>
        <v>0.05</v>
      </c>
      <c r="M101" s="507">
        <f>Assets!$F$38</f>
        <v>1500</v>
      </c>
      <c r="N101" s="507">
        <f t="shared" si="148"/>
        <v>24992707.136908673</v>
      </c>
      <c r="O101" s="1220"/>
      <c r="P101" s="506">
        <f>Assets!$G$39</f>
        <v>0.06</v>
      </c>
      <c r="Q101" s="508">
        <f>Assets!$F$39</f>
        <v>250</v>
      </c>
      <c r="R101" s="507">
        <f t="shared" si="149"/>
        <v>18932070.929862153</v>
      </c>
      <c r="S101" s="1220"/>
      <c r="T101" s="506">
        <f>Assets!$G$40</f>
        <v>0</v>
      </c>
      <c r="U101" s="510">
        <f>Assets!$F$40</f>
        <v>0</v>
      </c>
      <c r="V101" s="507">
        <f t="shared" si="150"/>
        <v>0</v>
      </c>
      <c r="W101" s="1220"/>
      <c r="X101" s="506">
        <f>Assets!$G$41</f>
        <v>0</v>
      </c>
      <c r="Y101" s="510">
        <f>Assets!$F$41</f>
        <v>0</v>
      </c>
      <c r="Z101" s="507">
        <f t="shared" si="151"/>
        <v>0</v>
      </c>
      <c r="AA101" s="1220"/>
      <c r="AB101" s="506">
        <f>Assets!$G$42</f>
        <v>0</v>
      </c>
      <c r="AC101" s="507">
        <f>Assets!$F$42</f>
        <v>0</v>
      </c>
      <c r="AD101" s="507">
        <f t="shared" si="152"/>
        <v>0</v>
      </c>
      <c r="AE101" s="1220"/>
      <c r="AF101" s="506">
        <f>Assets!$G$43</f>
        <v>0</v>
      </c>
      <c r="AG101" s="507">
        <f>Assets!$F$43</f>
        <v>0</v>
      </c>
      <c r="AH101" s="507">
        <f t="shared" si="153"/>
        <v>0</v>
      </c>
      <c r="AI101" s="1220"/>
      <c r="AJ101" s="506">
        <f>Assets!$G$44</f>
        <v>0</v>
      </c>
      <c r="AK101" s="507">
        <f>Assets!$F$44</f>
        <v>0</v>
      </c>
      <c r="AL101" s="507">
        <f t="shared" si="154"/>
        <v>0</v>
      </c>
      <c r="AM101" s="1220"/>
      <c r="AN101" s="506">
        <f>Assets!$G$45</f>
        <v>0</v>
      </c>
      <c r="AO101" s="507">
        <f>Assets!$F$45</f>
        <v>0</v>
      </c>
      <c r="AP101" s="507">
        <f t="shared" si="155"/>
        <v>0</v>
      </c>
      <c r="AQ101" s="1220"/>
      <c r="AR101" s="506">
        <f>Assets!$G$46</f>
        <v>0</v>
      </c>
      <c r="AS101" s="507">
        <f>Assets!$F$46</f>
        <v>0</v>
      </c>
      <c r="AT101" s="507">
        <f t="shared" si="156"/>
        <v>0</v>
      </c>
      <c r="AU101" s="1220"/>
      <c r="AV101" s="506">
        <f>Assets!$G$47</f>
        <v>0</v>
      </c>
      <c r="AW101" s="507">
        <f>Assets!F$47</f>
        <v>0</v>
      </c>
      <c r="AX101" s="507">
        <f t="shared" si="157"/>
        <v>0</v>
      </c>
      <c r="AY101" s="1220"/>
      <c r="AZ101" s="506">
        <f>Assets!$G$48</f>
        <v>0</v>
      </c>
      <c r="BA101" s="507">
        <f>Assets!$F$48</f>
        <v>0</v>
      </c>
      <c r="BB101" s="507">
        <f t="shared" si="158"/>
        <v>0</v>
      </c>
      <c r="BC101" s="502"/>
      <c r="BD101" s="2005"/>
      <c r="BE101" s="523"/>
      <c r="BF101" s="523"/>
      <c r="BG101" s="1331">
        <f t="shared" si="159"/>
        <v>43882295.685372151</v>
      </c>
      <c r="BH101" s="1331">
        <f t="shared" si="160"/>
        <v>24992707.136908673</v>
      </c>
      <c r="BI101" s="1331">
        <f t="shared" si="161"/>
        <v>18932070.929862153</v>
      </c>
      <c r="BJ101" s="1331">
        <f t="shared" si="162"/>
        <v>0</v>
      </c>
      <c r="BK101" s="1331">
        <f t="shared" si="163"/>
        <v>0</v>
      </c>
      <c r="BL101" s="1331">
        <f t="shared" si="164"/>
        <v>0</v>
      </c>
      <c r="BM101" s="1331">
        <f t="shared" si="165"/>
        <v>0</v>
      </c>
      <c r="BN101" s="1331">
        <f t="shared" si="166"/>
        <v>0</v>
      </c>
      <c r="BO101" s="1331">
        <f t="shared" si="167"/>
        <v>0</v>
      </c>
      <c r="BP101" s="1331">
        <f t="shared" si="168"/>
        <v>0</v>
      </c>
      <c r="BQ101" s="1331">
        <f t="shared" si="169"/>
        <v>0</v>
      </c>
      <c r="BR101" s="1331">
        <f t="shared" si="170"/>
        <v>0</v>
      </c>
      <c r="BS101" s="523"/>
      <c r="BT101" s="523"/>
      <c r="BU101" s="523"/>
      <c r="BV101" s="523"/>
      <c r="BW101" s="1333">
        <f t="shared" ca="1" si="197"/>
        <v>2116</v>
      </c>
      <c r="BX101" s="1331">
        <f t="shared" si="171"/>
        <v>68875002.822280824</v>
      </c>
      <c r="BY101" s="1331">
        <f t="shared" ca="1" si="196"/>
        <v>18932070.929862153</v>
      </c>
      <c r="BZ101" s="1336">
        <f t="shared" si="172"/>
        <v>43882295.685372151</v>
      </c>
      <c r="CA101" s="1336">
        <f t="shared" si="173"/>
        <v>24992707.136908673</v>
      </c>
      <c r="CB101" s="1336">
        <f t="shared" si="174"/>
        <v>0</v>
      </c>
      <c r="CC101" s="1336">
        <f t="shared" si="175"/>
        <v>0</v>
      </c>
      <c r="CD101" s="1336">
        <f t="shared" si="176"/>
        <v>0</v>
      </c>
      <c r="CE101" s="1336">
        <f t="shared" si="177"/>
        <v>0</v>
      </c>
      <c r="CF101" s="1336">
        <f t="shared" si="178"/>
        <v>0</v>
      </c>
      <c r="CG101" s="1336">
        <f t="shared" si="179"/>
        <v>0</v>
      </c>
      <c r="CH101" s="1336">
        <f t="shared" si="180"/>
        <v>0</v>
      </c>
      <c r="CI101" s="1336">
        <f t="shared" si="181"/>
        <v>0</v>
      </c>
      <c r="CJ101" s="1336">
        <f t="shared" si="182"/>
        <v>0</v>
      </c>
      <c r="CK101" s="1336">
        <f t="shared" si="183"/>
        <v>0</v>
      </c>
      <c r="CL101" s="1336"/>
      <c r="CM101" s="1336">
        <f t="shared" si="184"/>
        <v>0</v>
      </c>
      <c r="CN101" s="1336">
        <f t="shared" si="185"/>
        <v>0</v>
      </c>
      <c r="CO101" s="1336">
        <f t="shared" si="186"/>
        <v>18932070.929862153</v>
      </c>
      <c r="CP101" s="1336">
        <f t="shared" si="187"/>
        <v>0</v>
      </c>
      <c r="CQ101" s="1336">
        <f t="shared" si="188"/>
        <v>0</v>
      </c>
      <c r="CR101" s="1336">
        <f t="shared" si="189"/>
        <v>0</v>
      </c>
      <c r="CS101" s="1336">
        <f t="shared" si="190"/>
        <v>0</v>
      </c>
      <c r="CT101" s="1336">
        <f t="shared" si="191"/>
        <v>0</v>
      </c>
      <c r="CU101" s="1336">
        <f t="shared" si="192"/>
        <v>0</v>
      </c>
      <c r="CV101" s="1336">
        <f t="shared" si="193"/>
        <v>0</v>
      </c>
      <c r="CW101" s="1336">
        <f t="shared" si="194"/>
        <v>0</v>
      </c>
      <c r="CX101" s="1336">
        <f t="shared" si="195"/>
        <v>0</v>
      </c>
      <c r="CY101" s="1336"/>
      <c r="CZ101" s="1336"/>
      <c r="DA101" s="1334">
        <f ca="1">Rental!Y131</f>
        <v>0</v>
      </c>
      <c r="DB101" s="1334">
        <f ca="1">Rental!AD131</f>
        <v>0</v>
      </c>
      <c r="DC101" s="1972"/>
      <c r="DD101" s="1761"/>
      <c r="DE101" s="1761"/>
      <c r="DF101" s="1335"/>
      <c r="DG101" s="1335"/>
      <c r="DH101" s="1335"/>
      <c r="DI101" s="1335"/>
      <c r="DJ101" s="1335"/>
      <c r="DK101" s="1335"/>
      <c r="DL101" s="1335"/>
      <c r="DM101" s="1335"/>
      <c r="DN101" s="1335"/>
      <c r="DO101" s="1335"/>
      <c r="DP101" s="1335"/>
      <c r="DQ101" s="1335"/>
      <c r="DR101" s="1335"/>
      <c r="DS101" s="1335"/>
      <c r="DT101" s="1335"/>
    </row>
    <row r="102" spans="1:124" s="1185" customFormat="1" ht="18" customHeight="1">
      <c r="A102" s="523">
        <f ca="1">IF(E102=YEAR(Retire!$D$12),1,0)</f>
        <v>0</v>
      </c>
      <c r="B102" s="502"/>
      <c r="C102" s="503" t="str">
        <f ca="1">IF(E102=Retire!$D$12,"==&gt;","")</f>
        <v/>
      </c>
      <c r="D102" s="512">
        <f t="shared" si="132"/>
        <v>96</v>
      </c>
      <c r="E102" s="512">
        <f t="shared" ca="1" si="133"/>
        <v>2117</v>
      </c>
      <c r="F102" s="513">
        <f t="shared" ca="1" si="146"/>
        <v>92609910</v>
      </c>
      <c r="G102" s="513"/>
      <c r="H102" s="514">
        <f>Assets!$G$37</f>
        <v>5.5E-2</v>
      </c>
      <c r="I102" s="515">
        <f>Assets!$F$37</f>
        <v>2000</v>
      </c>
      <c r="J102" s="515">
        <f t="shared" si="147"/>
        <v>46297821.94806762</v>
      </c>
      <c r="K102" s="1220"/>
      <c r="L102" s="514">
        <f>Assets!$G$38</f>
        <v>0.05</v>
      </c>
      <c r="M102" s="515">
        <f>Assets!$F$38</f>
        <v>1500</v>
      </c>
      <c r="N102" s="515">
        <f t="shared" si="148"/>
        <v>26243842.493754108</v>
      </c>
      <c r="O102" s="1220"/>
      <c r="P102" s="514">
        <f>Assets!$G$39</f>
        <v>0.06</v>
      </c>
      <c r="Q102" s="516">
        <f>Assets!$F$39</f>
        <v>250</v>
      </c>
      <c r="R102" s="515">
        <f t="shared" si="149"/>
        <v>20068245.18565388</v>
      </c>
      <c r="S102" s="1220"/>
      <c r="T102" s="514">
        <f>Assets!$G$40</f>
        <v>0</v>
      </c>
      <c r="U102" s="517">
        <f>Assets!$F$40</f>
        <v>0</v>
      </c>
      <c r="V102" s="515">
        <f t="shared" si="150"/>
        <v>0</v>
      </c>
      <c r="W102" s="1220"/>
      <c r="X102" s="514">
        <f>Assets!$G$41</f>
        <v>0</v>
      </c>
      <c r="Y102" s="517">
        <f>Assets!$F$41</f>
        <v>0</v>
      </c>
      <c r="Z102" s="515">
        <f t="shared" si="151"/>
        <v>0</v>
      </c>
      <c r="AA102" s="1220"/>
      <c r="AB102" s="514">
        <f>Assets!$G$42</f>
        <v>0</v>
      </c>
      <c r="AC102" s="515">
        <f>Assets!$F$42</f>
        <v>0</v>
      </c>
      <c r="AD102" s="515">
        <f t="shared" si="152"/>
        <v>0</v>
      </c>
      <c r="AE102" s="1220"/>
      <c r="AF102" s="514">
        <f>Assets!$G$43</f>
        <v>0</v>
      </c>
      <c r="AG102" s="515">
        <f>Assets!$F$43</f>
        <v>0</v>
      </c>
      <c r="AH102" s="515">
        <f t="shared" si="153"/>
        <v>0</v>
      </c>
      <c r="AI102" s="1220"/>
      <c r="AJ102" s="514">
        <f>Assets!$G$44</f>
        <v>0</v>
      </c>
      <c r="AK102" s="515">
        <f>Assets!$F$44</f>
        <v>0</v>
      </c>
      <c r="AL102" s="515">
        <f t="shared" si="154"/>
        <v>0</v>
      </c>
      <c r="AM102" s="1220"/>
      <c r="AN102" s="514">
        <f>Assets!$G$45</f>
        <v>0</v>
      </c>
      <c r="AO102" s="515">
        <f>Assets!$F$45</f>
        <v>0</v>
      </c>
      <c r="AP102" s="515">
        <f t="shared" si="155"/>
        <v>0</v>
      </c>
      <c r="AQ102" s="1220"/>
      <c r="AR102" s="514">
        <f>Assets!$G$46</f>
        <v>0</v>
      </c>
      <c r="AS102" s="515">
        <f>Assets!$F$46</f>
        <v>0</v>
      </c>
      <c r="AT102" s="515">
        <f t="shared" si="156"/>
        <v>0</v>
      </c>
      <c r="AU102" s="1220"/>
      <c r="AV102" s="514">
        <f>Assets!$G$47</f>
        <v>0</v>
      </c>
      <c r="AW102" s="515">
        <f>Assets!F$47</f>
        <v>0</v>
      </c>
      <c r="AX102" s="515">
        <f t="shared" si="157"/>
        <v>0</v>
      </c>
      <c r="AY102" s="1220"/>
      <c r="AZ102" s="514">
        <f>Assets!$G$48</f>
        <v>0</v>
      </c>
      <c r="BA102" s="515">
        <f>Assets!$F$48</f>
        <v>0</v>
      </c>
      <c r="BB102" s="515">
        <f t="shared" si="158"/>
        <v>0</v>
      </c>
      <c r="BC102" s="502"/>
      <c r="BD102" s="2005"/>
      <c r="BE102" s="523"/>
      <c r="BF102" s="523"/>
      <c r="BG102" s="1331">
        <f t="shared" si="159"/>
        <v>46297821.94806762</v>
      </c>
      <c r="BH102" s="1331">
        <f t="shared" si="160"/>
        <v>26243842.493754108</v>
      </c>
      <c r="BI102" s="1331">
        <f t="shared" si="161"/>
        <v>20068245.18565388</v>
      </c>
      <c r="BJ102" s="1331">
        <f t="shared" si="162"/>
        <v>0</v>
      </c>
      <c r="BK102" s="1331">
        <f t="shared" si="163"/>
        <v>0</v>
      </c>
      <c r="BL102" s="1331">
        <f t="shared" si="164"/>
        <v>0</v>
      </c>
      <c r="BM102" s="1331">
        <f t="shared" si="165"/>
        <v>0</v>
      </c>
      <c r="BN102" s="1331">
        <f t="shared" si="166"/>
        <v>0</v>
      </c>
      <c r="BO102" s="1331">
        <f t="shared" si="167"/>
        <v>0</v>
      </c>
      <c r="BP102" s="1331">
        <f t="shared" si="168"/>
        <v>0</v>
      </c>
      <c r="BQ102" s="1331">
        <f t="shared" si="169"/>
        <v>0</v>
      </c>
      <c r="BR102" s="1331">
        <f t="shared" si="170"/>
        <v>0</v>
      </c>
      <c r="BS102" s="523"/>
      <c r="BT102" s="523"/>
      <c r="BU102" s="523"/>
      <c r="BV102" s="523"/>
      <c r="BW102" s="1333">
        <f t="shared" ca="1" si="197"/>
        <v>2117</v>
      </c>
      <c r="BX102" s="1331">
        <f t="shared" si="171"/>
        <v>72541664.441821724</v>
      </c>
      <c r="BY102" s="1331">
        <f t="shared" ca="1" si="196"/>
        <v>20068245.18565388</v>
      </c>
      <c r="BZ102" s="1336">
        <f t="shared" si="172"/>
        <v>46297821.94806762</v>
      </c>
      <c r="CA102" s="1336">
        <f t="shared" si="173"/>
        <v>26243842.493754108</v>
      </c>
      <c r="CB102" s="1336">
        <f t="shared" si="174"/>
        <v>0</v>
      </c>
      <c r="CC102" s="1336">
        <f t="shared" si="175"/>
        <v>0</v>
      </c>
      <c r="CD102" s="1336">
        <f t="shared" si="176"/>
        <v>0</v>
      </c>
      <c r="CE102" s="1336">
        <f t="shared" si="177"/>
        <v>0</v>
      </c>
      <c r="CF102" s="1336">
        <f t="shared" si="178"/>
        <v>0</v>
      </c>
      <c r="CG102" s="1336">
        <f t="shared" si="179"/>
        <v>0</v>
      </c>
      <c r="CH102" s="1336">
        <f t="shared" si="180"/>
        <v>0</v>
      </c>
      <c r="CI102" s="1336">
        <f t="shared" si="181"/>
        <v>0</v>
      </c>
      <c r="CJ102" s="1336">
        <f t="shared" si="182"/>
        <v>0</v>
      </c>
      <c r="CK102" s="1336">
        <f t="shared" si="183"/>
        <v>0</v>
      </c>
      <c r="CL102" s="1336"/>
      <c r="CM102" s="1336">
        <f t="shared" si="184"/>
        <v>0</v>
      </c>
      <c r="CN102" s="1336">
        <f t="shared" si="185"/>
        <v>0</v>
      </c>
      <c r="CO102" s="1336">
        <f t="shared" si="186"/>
        <v>20068245.18565388</v>
      </c>
      <c r="CP102" s="1336">
        <f t="shared" si="187"/>
        <v>0</v>
      </c>
      <c r="CQ102" s="1336">
        <f t="shared" si="188"/>
        <v>0</v>
      </c>
      <c r="CR102" s="1336">
        <f t="shared" si="189"/>
        <v>0</v>
      </c>
      <c r="CS102" s="1336">
        <f t="shared" si="190"/>
        <v>0</v>
      </c>
      <c r="CT102" s="1336">
        <f t="shared" si="191"/>
        <v>0</v>
      </c>
      <c r="CU102" s="1336">
        <f t="shared" si="192"/>
        <v>0</v>
      </c>
      <c r="CV102" s="1336">
        <f t="shared" si="193"/>
        <v>0</v>
      </c>
      <c r="CW102" s="1336">
        <f t="shared" si="194"/>
        <v>0</v>
      </c>
      <c r="CX102" s="1336">
        <f t="shared" si="195"/>
        <v>0</v>
      </c>
      <c r="CY102" s="1336"/>
      <c r="CZ102" s="1336"/>
      <c r="DA102" s="1334">
        <f ca="1">Rental!Y132</f>
        <v>0</v>
      </c>
      <c r="DB102" s="1334">
        <f ca="1">Rental!AD132</f>
        <v>0</v>
      </c>
      <c r="DC102" s="1972"/>
      <c r="DD102" s="1761"/>
      <c r="DE102" s="1761"/>
      <c r="DF102" s="1335"/>
      <c r="DG102" s="1335"/>
      <c r="DH102" s="1335"/>
      <c r="DI102" s="1335"/>
      <c r="DJ102" s="1335"/>
      <c r="DK102" s="1335"/>
      <c r="DL102" s="1335"/>
      <c r="DM102" s="1335"/>
      <c r="DN102" s="1335"/>
      <c r="DO102" s="1335"/>
      <c r="DP102" s="1335"/>
      <c r="DQ102" s="1335"/>
      <c r="DR102" s="1335"/>
      <c r="DS102" s="1335"/>
      <c r="DT102" s="1335"/>
    </row>
    <row r="103" spans="1:124" s="1185" customFormat="1" ht="18" customHeight="1">
      <c r="A103" s="523">
        <f ca="1">IF(E103=YEAR(Retire!$D$12),1,0)</f>
        <v>0</v>
      </c>
      <c r="B103" s="502"/>
      <c r="C103" s="503" t="str">
        <f ca="1">IF(E103=Retire!$D$12,"==&gt;","")</f>
        <v/>
      </c>
      <c r="D103" s="504">
        <f t="shared" si="132"/>
        <v>97</v>
      </c>
      <c r="E103" s="504">
        <f t="shared" ca="1" si="133"/>
        <v>2118</v>
      </c>
      <c r="F103" s="505">
        <f t="shared" ca="1" si="146"/>
        <v>97676327</v>
      </c>
      <c r="G103" s="505"/>
      <c r="H103" s="506">
        <f>Assets!$G$37</f>
        <v>5.5E-2</v>
      </c>
      <c r="I103" s="507">
        <f>Assets!$F$37</f>
        <v>2000</v>
      </c>
      <c r="J103" s="507">
        <f t="shared" si="147"/>
        <v>48846202.155211337</v>
      </c>
      <c r="K103" s="1220"/>
      <c r="L103" s="506">
        <f>Assets!$G$38</f>
        <v>0.05</v>
      </c>
      <c r="M103" s="507">
        <f>Assets!$F$38</f>
        <v>1500</v>
      </c>
      <c r="N103" s="507">
        <f t="shared" si="148"/>
        <v>27557534.618441813</v>
      </c>
      <c r="O103" s="1220"/>
      <c r="P103" s="506">
        <f>Assets!$G$39</f>
        <v>0.06</v>
      </c>
      <c r="Q103" s="508">
        <f>Assets!$F$39</f>
        <v>250</v>
      </c>
      <c r="R103" s="507">
        <f t="shared" si="149"/>
        <v>21272589.896793112</v>
      </c>
      <c r="S103" s="1220"/>
      <c r="T103" s="506">
        <f>Assets!$G$40</f>
        <v>0</v>
      </c>
      <c r="U103" s="510">
        <f>Assets!$F$40</f>
        <v>0</v>
      </c>
      <c r="V103" s="507">
        <f t="shared" si="150"/>
        <v>0</v>
      </c>
      <c r="W103" s="1220"/>
      <c r="X103" s="506">
        <f>Assets!$G$41</f>
        <v>0</v>
      </c>
      <c r="Y103" s="510">
        <f>Assets!$F$41</f>
        <v>0</v>
      </c>
      <c r="Z103" s="507">
        <f t="shared" si="151"/>
        <v>0</v>
      </c>
      <c r="AA103" s="1220"/>
      <c r="AB103" s="506">
        <f>Assets!$G$42</f>
        <v>0</v>
      </c>
      <c r="AC103" s="507">
        <f>Assets!$F$42</f>
        <v>0</v>
      </c>
      <c r="AD103" s="507">
        <f t="shared" si="152"/>
        <v>0</v>
      </c>
      <c r="AE103" s="1220"/>
      <c r="AF103" s="506">
        <f>Assets!$G$43</f>
        <v>0</v>
      </c>
      <c r="AG103" s="507">
        <f>Assets!$F$43</f>
        <v>0</v>
      </c>
      <c r="AH103" s="507">
        <f t="shared" si="153"/>
        <v>0</v>
      </c>
      <c r="AI103" s="1220"/>
      <c r="AJ103" s="506">
        <f>Assets!$G$44</f>
        <v>0</v>
      </c>
      <c r="AK103" s="507">
        <f>Assets!$F$44</f>
        <v>0</v>
      </c>
      <c r="AL103" s="507">
        <f t="shared" si="154"/>
        <v>0</v>
      </c>
      <c r="AM103" s="1220"/>
      <c r="AN103" s="506">
        <f>Assets!$G$45</f>
        <v>0</v>
      </c>
      <c r="AO103" s="507">
        <f>Assets!$F$45</f>
        <v>0</v>
      </c>
      <c r="AP103" s="507">
        <f t="shared" si="155"/>
        <v>0</v>
      </c>
      <c r="AQ103" s="1220"/>
      <c r="AR103" s="506">
        <f>Assets!$G$46</f>
        <v>0</v>
      </c>
      <c r="AS103" s="507">
        <f>Assets!$F$46</f>
        <v>0</v>
      </c>
      <c r="AT103" s="507">
        <f t="shared" si="156"/>
        <v>0</v>
      </c>
      <c r="AU103" s="1220"/>
      <c r="AV103" s="506">
        <f>Assets!$G$47</f>
        <v>0</v>
      </c>
      <c r="AW103" s="507">
        <f>Assets!F$47</f>
        <v>0</v>
      </c>
      <c r="AX103" s="507">
        <f t="shared" si="157"/>
        <v>0</v>
      </c>
      <c r="AY103" s="1220"/>
      <c r="AZ103" s="506">
        <f>Assets!$G$48</f>
        <v>0</v>
      </c>
      <c r="BA103" s="507">
        <f>Assets!$F$48</f>
        <v>0</v>
      </c>
      <c r="BB103" s="507">
        <f t="shared" si="158"/>
        <v>0</v>
      </c>
      <c r="BC103" s="502"/>
      <c r="BD103" s="2005"/>
      <c r="BE103" s="523"/>
      <c r="BF103" s="523"/>
      <c r="BG103" s="1331">
        <f t="shared" si="159"/>
        <v>48846202.155211337</v>
      </c>
      <c r="BH103" s="1331">
        <f t="shared" si="160"/>
        <v>27557534.618441813</v>
      </c>
      <c r="BI103" s="1331">
        <f t="shared" si="161"/>
        <v>21272589.896793112</v>
      </c>
      <c r="BJ103" s="1331">
        <f t="shared" si="162"/>
        <v>0</v>
      </c>
      <c r="BK103" s="1331">
        <f t="shared" si="163"/>
        <v>0</v>
      </c>
      <c r="BL103" s="1331">
        <f t="shared" si="164"/>
        <v>0</v>
      </c>
      <c r="BM103" s="1331">
        <f t="shared" si="165"/>
        <v>0</v>
      </c>
      <c r="BN103" s="1331">
        <f t="shared" si="166"/>
        <v>0</v>
      </c>
      <c r="BO103" s="1331">
        <f t="shared" si="167"/>
        <v>0</v>
      </c>
      <c r="BP103" s="1331">
        <f t="shared" si="168"/>
        <v>0</v>
      </c>
      <c r="BQ103" s="1331">
        <f t="shared" si="169"/>
        <v>0</v>
      </c>
      <c r="BR103" s="1331">
        <f t="shared" si="170"/>
        <v>0</v>
      </c>
      <c r="BS103" s="523"/>
      <c r="BT103" s="523"/>
      <c r="BU103" s="523"/>
      <c r="BV103" s="523"/>
      <c r="BW103" s="1333">
        <f t="shared" ca="1" si="197"/>
        <v>2118</v>
      </c>
      <c r="BX103" s="1331">
        <f t="shared" si="171"/>
        <v>76403736.77365315</v>
      </c>
      <c r="BY103" s="1331">
        <f t="shared" ref="BY103:BY131" ca="1" si="198">SUM(CM103:DB103)</f>
        <v>21272589.896793112</v>
      </c>
      <c r="BZ103" s="1336">
        <f t="shared" si="172"/>
        <v>48846202.155211337</v>
      </c>
      <c r="CA103" s="1336">
        <f t="shared" si="173"/>
        <v>27557534.618441813</v>
      </c>
      <c r="CB103" s="1336">
        <f t="shared" si="174"/>
        <v>0</v>
      </c>
      <c r="CC103" s="1336">
        <f t="shared" si="175"/>
        <v>0</v>
      </c>
      <c r="CD103" s="1336">
        <f t="shared" si="176"/>
        <v>0</v>
      </c>
      <c r="CE103" s="1336">
        <f t="shared" si="177"/>
        <v>0</v>
      </c>
      <c r="CF103" s="1336">
        <f t="shared" si="178"/>
        <v>0</v>
      </c>
      <c r="CG103" s="1336">
        <f t="shared" si="179"/>
        <v>0</v>
      </c>
      <c r="CH103" s="1336">
        <f t="shared" si="180"/>
        <v>0</v>
      </c>
      <c r="CI103" s="1336">
        <f t="shared" si="181"/>
        <v>0</v>
      </c>
      <c r="CJ103" s="1336">
        <f t="shared" si="182"/>
        <v>0</v>
      </c>
      <c r="CK103" s="1336">
        <f t="shared" si="183"/>
        <v>0</v>
      </c>
      <c r="CL103" s="1336"/>
      <c r="CM103" s="1336">
        <f t="shared" si="184"/>
        <v>0</v>
      </c>
      <c r="CN103" s="1336">
        <f t="shared" si="185"/>
        <v>0</v>
      </c>
      <c r="CO103" s="1336">
        <f t="shared" si="186"/>
        <v>21272589.896793112</v>
      </c>
      <c r="CP103" s="1336">
        <f t="shared" si="187"/>
        <v>0</v>
      </c>
      <c r="CQ103" s="1336">
        <f t="shared" si="188"/>
        <v>0</v>
      </c>
      <c r="CR103" s="1336">
        <f t="shared" si="189"/>
        <v>0</v>
      </c>
      <c r="CS103" s="1336">
        <f t="shared" si="190"/>
        <v>0</v>
      </c>
      <c r="CT103" s="1336">
        <f t="shared" si="191"/>
        <v>0</v>
      </c>
      <c r="CU103" s="1336">
        <f t="shared" si="192"/>
        <v>0</v>
      </c>
      <c r="CV103" s="1336">
        <f t="shared" si="193"/>
        <v>0</v>
      </c>
      <c r="CW103" s="1336">
        <f t="shared" si="194"/>
        <v>0</v>
      </c>
      <c r="CX103" s="1336">
        <f t="shared" si="195"/>
        <v>0</v>
      </c>
      <c r="CY103" s="1336"/>
      <c r="CZ103" s="1336"/>
      <c r="DA103" s="1334">
        <f ca="1">Rental!Y133</f>
        <v>0</v>
      </c>
      <c r="DB103" s="1334">
        <f ca="1">Rental!AD133</f>
        <v>0</v>
      </c>
      <c r="DC103" s="1972"/>
      <c r="DD103" s="1761"/>
      <c r="DE103" s="1761"/>
      <c r="DF103" s="1335"/>
      <c r="DG103" s="1335"/>
      <c r="DH103" s="1335"/>
      <c r="DI103" s="1335"/>
      <c r="DJ103" s="1335"/>
      <c r="DK103" s="1335"/>
      <c r="DL103" s="1335"/>
      <c r="DM103" s="1335"/>
      <c r="DN103" s="1335"/>
      <c r="DO103" s="1335"/>
      <c r="DP103" s="1335"/>
      <c r="DQ103" s="1335"/>
      <c r="DR103" s="1335"/>
      <c r="DS103" s="1335"/>
      <c r="DT103" s="1335"/>
    </row>
    <row r="104" spans="1:124" s="1185" customFormat="1" ht="18" customHeight="1">
      <c r="A104" s="523">
        <f ca="1">IF(E104=YEAR(Retire!$D$12),1,0)</f>
        <v>0</v>
      </c>
      <c r="B104" s="502"/>
      <c r="C104" s="503" t="str">
        <f ca="1">IF(E104=Retire!$D$12,"==&gt;","")</f>
        <v/>
      </c>
      <c r="D104" s="512">
        <f t="shared" si="132"/>
        <v>98</v>
      </c>
      <c r="E104" s="512">
        <f t="shared" ca="1" si="133"/>
        <v>2119</v>
      </c>
      <c r="F104" s="513">
        <f t="shared" ca="1" si="146"/>
        <v>103020850</v>
      </c>
      <c r="G104" s="513"/>
      <c r="H104" s="514">
        <f>Assets!$G$37</f>
        <v>5.5E-2</v>
      </c>
      <c r="I104" s="515">
        <f>Assets!$F$37</f>
        <v>2000</v>
      </c>
      <c r="J104" s="515">
        <f t="shared" si="147"/>
        <v>51534743.273747958</v>
      </c>
      <c r="K104" s="1220"/>
      <c r="L104" s="514">
        <f>Assets!$G$38</f>
        <v>0.05</v>
      </c>
      <c r="M104" s="515">
        <f>Assets!$F$38</f>
        <v>1500</v>
      </c>
      <c r="N104" s="515">
        <f t="shared" si="148"/>
        <v>28936911.349363904</v>
      </c>
      <c r="O104" s="1220"/>
      <c r="P104" s="514">
        <f>Assets!$G$39</f>
        <v>0.06</v>
      </c>
      <c r="Q104" s="516">
        <f>Assets!$F$39</f>
        <v>250</v>
      </c>
      <c r="R104" s="515">
        <f t="shared" si="149"/>
        <v>22549195.290600698</v>
      </c>
      <c r="S104" s="1220"/>
      <c r="T104" s="514">
        <f>Assets!$G$40</f>
        <v>0</v>
      </c>
      <c r="U104" s="517">
        <f>Assets!$F$40</f>
        <v>0</v>
      </c>
      <c r="V104" s="515">
        <f t="shared" si="150"/>
        <v>0</v>
      </c>
      <c r="W104" s="1220"/>
      <c r="X104" s="514">
        <f>Assets!$G$41</f>
        <v>0</v>
      </c>
      <c r="Y104" s="517">
        <f>Assets!$F$41</f>
        <v>0</v>
      </c>
      <c r="Z104" s="515">
        <f t="shared" si="151"/>
        <v>0</v>
      </c>
      <c r="AA104" s="1220"/>
      <c r="AB104" s="514">
        <f>Assets!$G$42</f>
        <v>0</v>
      </c>
      <c r="AC104" s="515">
        <f>Assets!$F$42</f>
        <v>0</v>
      </c>
      <c r="AD104" s="515">
        <f t="shared" si="152"/>
        <v>0</v>
      </c>
      <c r="AE104" s="1220"/>
      <c r="AF104" s="514">
        <f>Assets!$G$43</f>
        <v>0</v>
      </c>
      <c r="AG104" s="515">
        <f>Assets!$F$43</f>
        <v>0</v>
      </c>
      <c r="AH104" s="515">
        <f t="shared" si="153"/>
        <v>0</v>
      </c>
      <c r="AI104" s="1220"/>
      <c r="AJ104" s="514">
        <f>Assets!$G$44</f>
        <v>0</v>
      </c>
      <c r="AK104" s="515">
        <f>Assets!$F$44</f>
        <v>0</v>
      </c>
      <c r="AL104" s="515">
        <f t="shared" si="154"/>
        <v>0</v>
      </c>
      <c r="AM104" s="1220"/>
      <c r="AN104" s="514">
        <f>Assets!$G$45</f>
        <v>0</v>
      </c>
      <c r="AO104" s="515">
        <f>Assets!$F$45</f>
        <v>0</v>
      </c>
      <c r="AP104" s="515">
        <f t="shared" si="155"/>
        <v>0</v>
      </c>
      <c r="AQ104" s="1220"/>
      <c r="AR104" s="514">
        <f>Assets!$G$46</f>
        <v>0</v>
      </c>
      <c r="AS104" s="515">
        <f>Assets!$F$46</f>
        <v>0</v>
      </c>
      <c r="AT104" s="515">
        <f t="shared" si="156"/>
        <v>0</v>
      </c>
      <c r="AU104" s="1220"/>
      <c r="AV104" s="514">
        <f>Assets!$G$47</f>
        <v>0</v>
      </c>
      <c r="AW104" s="515">
        <f>Assets!F$47</f>
        <v>0</v>
      </c>
      <c r="AX104" s="515">
        <f t="shared" si="157"/>
        <v>0</v>
      </c>
      <c r="AY104" s="1220"/>
      <c r="AZ104" s="514">
        <f>Assets!$G$48</f>
        <v>0</v>
      </c>
      <c r="BA104" s="515">
        <f>Assets!$F$48</f>
        <v>0</v>
      </c>
      <c r="BB104" s="515">
        <f t="shared" si="158"/>
        <v>0</v>
      </c>
      <c r="BC104" s="502"/>
      <c r="BD104" s="2005"/>
      <c r="BE104" s="523"/>
      <c r="BF104" s="523"/>
      <c r="BG104" s="1331">
        <f t="shared" si="159"/>
        <v>51534743.273747958</v>
      </c>
      <c r="BH104" s="1331">
        <f t="shared" si="160"/>
        <v>28936911.349363904</v>
      </c>
      <c r="BI104" s="1331">
        <f t="shared" si="161"/>
        <v>22549195.290600698</v>
      </c>
      <c r="BJ104" s="1331">
        <f t="shared" si="162"/>
        <v>0</v>
      </c>
      <c r="BK104" s="1331">
        <f t="shared" si="163"/>
        <v>0</v>
      </c>
      <c r="BL104" s="1331">
        <f t="shared" si="164"/>
        <v>0</v>
      </c>
      <c r="BM104" s="1331">
        <f t="shared" si="165"/>
        <v>0</v>
      </c>
      <c r="BN104" s="1331">
        <f t="shared" si="166"/>
        <v>0</v>
      </c>
      <c r="BO104" s="1331">
        <f t="shared" si="167"/>
        <v>0</v>
      </c>
      <c r="BP104" s="1331">
        <f t="shared" si="168"/>
        <v>0</v>
      </c>
      <c r="BQ104" s="1331">
        <f t="shared" si="169"/>
        <v>0</v>
      </c>
      <c r="BR104" s="1331">
        <f t="shared" si="170"/>
        <v>0</v>
      </c>
      <c r="BS104" s="523"/>
      <c r="BT104" s="523"/>
      <c r="BU104" s="523"/>
      <c r="BV104" s="523"/>
      <c r="BW104" s="1333">
        <f t="shared" ca="1" si="197"/>
        <v>2119</v>
      </c>
      <c r="BX104" s="1331">
        <f t="shared" si="171"/>
        <v>80471654.623111859</v>
      </c>
      <c r="BY104" s="1331">
        <f t="shared" ca="1" si="198"/>
        <v>22549195.290600698</v>
      </c>
      <c r="BZ104" s="1336">
        <f t="shared" si="172"/>
        <v>51534743.273747958</v>
      </c>
      <c r="CA104" s="1336">
        <f t="shared" si="173"/>
        <v>28936911.349363904</v>
      </c>
      <c r="CB104" s="1336">
        <f t="shared" si="174"/>
        <v>0</v>
      </c>
      <c r="CC104" s="1336">
        <f t="shared" si="175"/>
        <v>0</v>
      </c>
      <c r="CD104" s="1336">
        <f t="shared" si="176"/>
        <v>0</v>
      </c>
      <c r="CE104" s="1336">
        <f t="shared" si="177"/>
        <v>0</v>
      </c>
      <c r="CF104" s="1336">
        <f t="shared" si="178"/>
        <v>0</v>
      </c>
      <c r="CG104" s="1336">
        <f t="shared" si="179"/>
        <v>0</v>
      </c>
      <c r="CH104" s="1336">
        <f t="shared" si="180"/>
        <v>0</v>
      </c>
      <c r="CI104" s="1336">
        <f t="shared" si="181"/>
        <v>0</v>
      </c>
      <c r="CJ104" s="1336">
        <f t="shared" si="182"/>
        <v>0</v>
      </c>
      <c r="CK104" s="1336">
        <f t="shared" si="183"/>
        <v>0</v>
      </c>
      <c r="CL104" s="1336"/>
      <c r="CM104" s="1336">
        <f t="shared" si="184"/>
        <v>0</v>
      </c>
      <c r="CN104" s="1336">
        <f t="shared" si="185"/>
        <v>0</v>
      </c>
      <c r="CO104" s="1336">
        <f t="shared" si="186"/>
        <v>22549195.290600698</v>
      </c>
      <c r="CP104" s="1336">
        <f t="shared" si="187"/>
        <v>0</v>
      </c>
      <c r="CQ104" s="1336">
        <f t="shared" si="188"/>
        <v>0</v>
      </c>
      <c r="CR104" s="1336">
        <f t="shared" si="189"/>
        <v>0</v>
      </c>
      <c r="CS104" s="1336">
        <f t="shared" si="190"/>
        <v>0</v>
      </c>
      <c r="CT104" s="1336">
        <f t="shared" si="191"/>
        <v>0</v>
      </c>
      <c r="CU104" s="1336">
        <f t="shared" si="192"/>
        <v>0</v>
      </c>
      <c r="CV104" s="1336">
        <f t="shared" si="193"/>
        <v>0</v>
      </c>
      <c r="CW104" s="1336">
        <f t="shared" si="194"/>
        <v>0</v>
      </c>
      <c r="CX104" s="1336">
        <f t="shared" si="195"/>
        <v>0</v>
      </c>
      <c r="CY104" s="1336"/>
      <c r="CZ104" s="1336"/>
      <c r="DA104" s="1334">
        <f ca="1">Rental!Y134</f>
        <v>0</v>
      </c>
      <c r="DB104" s="1334">
        <f ca="1">Rental!AD134</f>
        <v>0</v>
      </c>
      <c r="DC104" s="1972"/>
      <c r="DD104" s="1761"/>
      <c r="DE104" s="1761"/>
      <c r="DF104" s="1335"/>
      <c r="DG104" s="1335"/>
      <c r="DH104" s="1335"/>
      <c r="DI104" s="1335"/>
      <c r="DJ104" s="1335"/>
      <c r="DK104" s="1335"/>
      <c r="DL104" s="1335"/>
      <c r="DM104" s="1335"/>
      <c r="DN104" s="1335"/>
      <c r="DO104" s="1335"/>
      <c r="DP104" s="1335"/>
      <c r="DQ104" s="1335"/>
      <c r="DR104" s="1335"/>
      <c r="DS104" s="1335"/>
      <c r="DT104" s="1335"/>
    </row>
    <row r="105" spans="1:124" s="1185" customFormat="1" ht="18" customHeight="1">
      <c r="A105" s="523">
        <f ca="1">IF(E105=YEAR(Retire!$D$12),1,0)</f>
        <v>0</v>
      </c>
      <c r="B105" s="502"/>
      <c r="C105" s="503" t="str">
        <f ca="1">IF(E105=Retire!$D$12,"==&gt;","")</f>
        <v/>
      </c>
      <c r="D105" s="504">
        <f t="shared" si="132"/>
        <v>99</v>
      </c>
      <c r="E105" s="504">
        <f t="shared" ca="1" si="133"/>
        <v>2120</v>
      </c>
      <c r="F105" s="505">
        <f t="shared" ca="1" si="146"/>
        <v>108658808</v>
      </c>
      <c r="G105" s="505"/>
      <c r="H105" s="506">
        <f>Assets!$G$37</f>
        <v>5.5E-2</v>
      </c>
      <c r="I105" s="507">
        <f>Assets!$F$37</f>
        <v>2000</v>
      </c>
      <c r="J105" s="507">
        <f t="shared" si="147"/>
        <v>54371154.153804094</v>
      </c>
      <c r="K105" s="1220"/>
      <c r="L105" s="506">
        <f>Assets!$G$38</f>
        <v>0.05</v>
      </c>
      <c r="M105" s="507">
        <f>Assets!$F$38</f>
        <v>1500</v>
      </c>
      <c r="N105" s="507">
        <f t="shared" si="148"/>
        <v>30385256.916832101</v>
      </c>
      <c r="O105" s="1220"/>
      <c r="P105" s="506">
        <f>Assets!$G$39</f>
        <v>0.06</v>
      </c>
      <c r="Q105" s="508">
        <f>Assets!$F$39</f>
        <v>250</v>
      </c>
      <c r="R105" s="507">
        <f t="shared" si="149"/>
        <v>23902397.00803674</v>
      </c>
      <c r="S105" s="1220"/>
      <c r="T105" s="506">
        <f>Assets!$G$40</f>
        <v>0</v>
      </c>
      <c r="U105" s="510">
        <f>Assets!$F$40</f>
        <v>0</v>
      </c>
      <c r="V105" s="507">
        <f t="shared" si="150"/>
        <v>0</v>
      </c>
      <c r="W105" s="1220"/>
      <c r="X105" s="506">
        <f>Assets!$G$41</f>
        <v>0</v>
      </c>
      <c r="Y105" s="510">
        <f>Assets!$F$41</f>
        <v>0</v>
      </c>
      <c r="Z105" s="507">
        <f t="shared" si="151"/>
        <v>0</v>
      </c>
      <c r="AA105" s="1220"/>
      <c r="AB105" s="506">
        <f>Assets!$G$42</f>
        <v>0</v>
      </c>
      <c r="AC105" s="507">
        <f>Assets!$F$42</f>
        <v>0</v>
      </c>
      <c r="AD105" s="507">
        <f t="shared" si="152"/>
        <v>0</v>
      </c>
      <c r="AE105" s="1220"/>
      <c r="AF105" s="506">
        <f>Assets!$G$43</f>
        <v>0</v>
      </c>
      <c r="AG105" s="507">
        <f>Assets!$F$43</f>
        <v>0</v>
      </c>
      <c r="AH105" s="507">
        <f t="shared" si="153"/>
        <v>0</v>
      </c>
      <c r="AI105" s="1220"/>
      <c r="AJ105" s="506">
        <f>Assets!$G$44</f>
        <v>0</v>
      </c>
      <c r="AK105" s="507">
        <f>Assets!$F$44</f>
        <v>0</v>
      </c>
      <c r="AL105" s="507">
        <f t="shared" si="154"/>
        <v>0</v>
      </c>
      <c r="AM105" s="1220"/>
      <c r="AN105" s="506">
        <f>Assets!$G$45</f>
        <v>0</v>
      </c>
      <c r="AO105" s="507">
        <f>Assets!$F$45</f>
        <v>0</v>
      </c>
      <c r="AP105" s="507">
        <f t="shared" si="155"/>
        <v>0</v>
      </c>
      <c r="AQ105" s="1220"/>
      <c r="AR105" s="506">
        <f>Assets!$G$46</f>
        <v>0</v>
      </c>
      <c r="AS105" s="507">
        <f>Assets!$F$46</f>
        <v>0</v>
      </c>
      <c r="AT105" s="507">
        <f t="shared" si="156"/>
        <v>0</v>
      </c>
      <c r="AU105" s="1220"/>
      <c r="AV105" s="506">
        <f>Assets!$G$47</f>
        <v>0</v>
      </c>
      <c r="AW105" s="507">
        <f>Assets!F$47</f>
        <v>0</v>
      </c>
      <c r="AX105" s="507">
        <f t="shared" si="157"/>
        <v>0</v>
      </c>
      <c r="AY105" s="1220"/>
      <c r="AZ105" s="506">
        <f>Assets!$G$48</f>
        <v>0</v>
      </c>
      <c r="BA105" s="507">
        <f>Assets!$F$48</f>
        <v>0</v>
      </c>
      <c r="BB105" s="507">
        <f t="shared" si="158"/>
        <v>0</v>
      </c>
      <c r="BC105" s="502"/>
      <c r="BD105" s="2005"/>
      <c r="BE105" s="523"/>
      <c r="BF105" s="523"/>
      <c r="BG105" s="1331">
        <f t="shared" si="159"/>
        <v>54371154.153804094</v>
      </c>
      <c r="BH105" s="1331">
        <f t="shared" si="160"/>
        <v>30385256.916832101</v>
      </c>
      <c r="BI105" s="1331">
        <f t="shared" si="161"/>
        <v>23902397.00803674</v>
      </c>
      <c r="BJ105" s="1331">
        <f t="shared" si="162"/>
        <v>0</v>
      </c>
      <c r="BK105" s="1331">
        <f t="shared" si="163"/>
        <v>0</v>
      </c>
      <c r="BL105" s="1331">
        <f t="shared" si="164"/>
        <v>0</v>
      </c>
      <c r="BM105" s="1331">
        <f t="shared" si="165"/>
        <v>0</v>
      </c>
      <c r="BN105" s="1331">
        <f t="shared" si="166"/>
        <v>0</v>
      </c>
      <c r="BO105" s="1331">
        <f t="shared" si="167"/>
        <v>0</v>
      </c>
      <c r="BP105" s="1331">
        <f t="shared" si="168"/>
        <v>0</v>
      </c>
      <c r="BQ105" s="1331">
        <f t="shared" si="169"/>
        <v>0</v>
      </c>
      <c r="BR105" s="1331">
        <f t="shared" si="170"/>
        <v>0</v>
      </c>
      <c r="BS105" s="523"/>
      <c r="BT105" s="523"/>
      <c r="BU105" s="523"/>
      <c r="BV105" s="523"/>
      <c r="BW105" s="1333">
        <f t="shared" ca="1" si="197"/>
        <v>2120</v>
      </c>
      <c r="BX105" s="1331">
        <f t="shared" si="171"/>
        <v>84756411.070636198</v>
      </c>
      <c r="BY105" s="1331">
        <f t="shared" ca="1" si="198"/>
        <v>23902397.00803674</v>
      </c>
      <c r="BZ105" s="1336">
        <f t="shared" si="172"/>
        <v>54371154.153804094</v>
      </c>
      <c r="CA105" s="1336">
        <f t="shared" si="173"/>
        <v>30385256.916832101</v>
      </c>
      <c r="CB105" s="1336">
        <f t="shared" si="174"/>
        <v>0</v>
      </c>
      <c r="CC105" s="1336">
        <f t="shared" si="175"/>
        <v>0</v>
      </c>
      <c r="CD105" s="1336">
        <f t="shared" si="176"/>
        <v>0</v>
      </c>
      <c r="CE105" s="1336">
        <f t="shared" si="177"/>
        <v>0</v>
      </c>
      <c r="CF105" s="1336">
        <f t="shared" si="178"/>
        <v>0</v>
      </c>
      <c r="CG105" s="1336">
        <f t="shared" si="179"/>
        <v>0</v>
      </c>
      <c r="CH105" s="1336">
        <f t="shared" si="180"/>
        <v>0</v>
      </c>
      <c r="CI105" s="1336">
        <f t="shared" si="181"/>
        <v>0</v>
      </c>
      <c r="CJ105" s="1336">
        <f t="shared" si="182"/>
        <v>0</v>
      </c>
      <c r="CK105" s="1336">
        <f t="shared" si="183"/>
        <v>0</v>
      </c>
      <c r="CL105" s="1336"/>
      <c r="CM105" s="1336">
        <f t="shared" si="184"/>
        <v>0</v>
      </c>
      <c r="CN105" s="1336">
        <f t="shared" si="185"/>
        <v>0</v>
      </c>
      <c r="CO105" s="1336">
        <f t="shared" si="186"/>
        <v>23902397.00803674</v>
      </c>
      <c r="CP105" s="1336">
        <f t="shared" si="187"/>
        <v>0</v>
      </c>
      <c r="CQ105" s="1336">
        <f t="shared" si="188"/>
        <v>0</v>
      </c>
      <c r="CR105" s="1336">
        <f t="shared" si="189"/>
        <v>0</v>
      </c>
      <c r="CS105" s="1336">
        <f t="shared" si="190"/>
        <v>0</v>
      </c>
      <c r="CT105" s="1336">
        <f t="shared" si="191"/>
        <v>0</v>
      </c>
      <c r="CU105" s="1336">
        <f t="shared" si="192"/>
        <v>0</v>
      </c>
      <c r="CV105" s="1336">
        <f t="shared" si="193"/>
        <v>0</v>
      </c>
      <c r="CW105" s="1336">
        <f t="shared" si="194"/>
        <v>0</v>
      </c>
      <c r="CX105" s="1336">
        <f t="shared" si="195"/>
        <v>0</v>
      </c>
      <c r="CY105" s="1336"/>
      <c r="CZ105" s="1336"/>
      <c r="DA105" s="1334">
        <f ca="1">Rental!Y135</f>
        <v>0</v>
      </c>
      <c r="DB105" s="1334">
        <f ca="1">Rental!AD135</f>
        <v>0</v>
      </c>
      <c r="DC105" s="1972"/>
      <c r="DD105" s="1761"/>
      <c r="DE105" s="1761"/>
      <c r="DF105" s="1335"/>
      <c r="DG105" s="1335"/>
      <c r="DH105" s="1335"/>
      <c r="DI105" s="1335"/>
      <c r="DJ105" s="1335"/>
      <c r="DK105" s="1335"/>
      <c r="DL105" s="1335"/>
      <c r="DM105" s="1335"/>
      <c r="DN105" s="1335"/>
      <c r="DO105" s="1335"/>
      <c r="DP105" s="1335"/>
      <c r="DQ105" s="1335"/>
      <c r="DR105" s="1335"/>
      <c r="DS105" s="1335"/>
      <c r="DT105" s="1335"/>
    </row>
    <row r="106" spans="1:124" s="1185" customFormat="1" ht="18" customHeight="1">
      <c r="A106" s="523">
        <f ca="1">IF(E106=YEAR(Retire!$D$12),1,0)</f>
        <v>0</v>
      </c>
      <c r="B106" s="502"/>
      <c r="C106" s="503" t="str">
        <f ca="1">IF(E106=Retire!$D$12,"==&gt;","")</f>
        <v/>
      </c>
      <c r="D106" s="512">
        <f t="shared" si="132"/>
        <v>100</v>
      </c>
      <c r="E106" s="512">
        <f t="shared" ca="1" si="133"/>
        <v>2121</v>
      </c>
      <c r="F106" s="513">
        <f t="shared" ca="1" si="146"/>
        <v>114606378</v>
      </c>
      <c r="G106" s="513"/>
      <c r="H106" s="514">
        <f>Assets!$G$37</f>
        <v>5.5E-2</v>
      </c>
      <c r="I106" s="515">
        <f>Assets!$F$37</f>
        <v>2000</v>
      </c>
      <c r="J106" s="515">
        <f t="shared" si="147"/>
        <v>57363567.632263318</v>
      </c>
      <c r="K106" s="1220"/>
      <c r="L106" s="514">
        <f>Assets!$G$38</f>
        <v>0.05</v>
      </c>
      <c r="M106" s="515">
        <f>Assets!$F$38</f>
        <v>1500</v>
      </c>
      <c r="N106" s="515">
        <f t="shared" si="148"/>
        <v>31906019.762673706</v>
      </c>
      <c r="O106" s="1220"/>
      <c r="P106" s="514">
        <f>Assets!$G$39</f>
        <v>0.06</v>
      </c>
      <c r="Q106" s="516">
        <f>Assets!$F$39</f>
        <v>250</v>
      </c>
      <c r="R106" s="515">
        <f t="shared" si="149"/>
        <v>25336790.828518946</v>
      </c>
      <c r="S106" s="1220"/>
      <c r="T106" s="514">
        <f>Assets!$G$40</f>
        <v>0</v>
      </c>
      <c r="U106" s="517">
        <f>Assets!$F$40</f>
        <v>0</v>
      </c>
      <c r="V106" s="515">
        <f t="shared" si="150"/>
        <v>0</v>
      </c>
      <c r="W106" s="1220"/>
      <c r="X106" s="514">
        <f>Assets!$G$41</f>
        <v>0</v>
      </c>
      <c r="Y106" s="517">
        <f>Assets!$F$41</f>
        <v>0</v>
      </c>
      <c r="Z106" s="515">
        <f t="shared" si="151"/>
        <v>0</v>
      </c>
      <c r="AA106" s="1220"/>
      <c r="AB106" s="514">
        <f>Assets!$G$42</f>
        <v>0</v>
      </c>
      <c r="AC106" s="515">
        <f>Assets!$F$42</f>
        <v>0</v>
      </c>
      <c r="AD106" s="515">
        <f t="shared" si="152"/>
        <v>0</v>
      </c>
      <c r="AE106" s="1220"/>
      <c r="AF106" s="514">
        <f>Assets!$G$43</f>
        <v>0</v>
      </c>
      <c r="AG106" s="515">
        <f>Assets!$F$43</f>
        <v>0</v>
      </c>
      <c r="AH106" s="515">
        <f t="shared" si="153"/>
        <v>0</v>
      </c>
      <c r="AI106" s="1220"/>
      <c r="AJ106" s="514">
        <f>Assets!$G$44</f>
        <v>0</v>
      </c>
      <c r="AK106" s="515">
        <f>Assets!$F$44</f>
        <v>0</v>
      </c>
      <c r="AL106" s="515">
        <f t="shared" si="154"/>
        <v>0</v>
      </c>
      <c r="AM106" s="1220"/>
      <c r="AN106" s="514">
        <f>Assets!$G$45</f>
        <v>0</v>
      </c>
      <c r="AO106" s="515">
        <f>Assets!$F$45</f>
        <v>0</v>
      </c>
      <c r="AP106" s="515">
        <f t="shared" si="155"/>
        <v>0</v>
      </c>
      <c r="AQ106" s="1220"/>
      <c r="AR106" s="514">
        <f>Assets!$G$46</f>
        <v>0</v>
      </c>
      <c r="AS106" s="515">
        <f>Assets!$F$46</f>
        <v>0</v>
      </c>
      <c r="AT106" s="515">
        <f t="shared" si="156"/>
        <v>0</v>
      </c>
      <c r="AU106" s="1220"/>
      <c r="AV106" s="514">
        <f>Assets!$G$47</f>
        <v>0</v>
      </c>
      <c r="AW106" s="515">
        <f>Assets!F$47</f>
        <v>0</v>
      </c>
      <c r="AX106" s="515">
        <f t="shared" si="157"/>
        <v>0</v>
      </c>
      <c r="AY106" s="1220"/>
      <c r="AZ106" s="514">
        <f>Assets!$G$48</f>
        <v>0</v>
      </c>
      <c r="BA106" s="515">
        <f>Assets!$F$48</f>
        <v>0</v>
      </c>
      <c r="BB106" s="515">
        <f t="shared" si="158"/>
        <v>0</v>
      </c>
      <c r="BC106" s="502"/>
      <c r="BD106" s="2005"/>
      <c r="BE106" s="523"/>
      <c r="BF106" s="523"/>
      <c r="BG106" s="1331">
        <f t="shared" si="159"/>
        <v>57363567.632263318</v>
      </c>
      <c r="BH106" s="1331">
        <f t="shared" si="160"/>
        <v>31906019.762673706</v>
      </c>
      <c r="BI106" s="1331">
        <f t="shared" si="161"/>
        <v>25336790.828518946</v>
      </c>
      <c r="BJ106" s="1331">
        <f t="shared" si="162"/>
        <v>0</v>
      </c>
      <c r="BK106" s="1331">
        <f t="shared" si="163"/>
        <v>0</v>
      </c>
      <c r="BL106" s="1331">
        <f t="shared" si="164"/>
        <v>0</v>
      </c>
      <c r="BM106" s="1331">
        <f t="shared" si="165"/>
        <v>0</v>
      </c>
      <c r="BN106" s="1331">
        <f t="shared" si="166"/>
        <v>0</v>
      </c>
      <c r="BO106" s="1331">
        <f t="shared" si="167"/>
        <v>0</v>
      </c>
      <c r="BP106" s="1331">
        <f t="shared" si="168"/>
        <v>0</v>
      </c>
      <c r="BQ106" s="1331">
        <f t="shared" si="169"/>
        <v>0</v>
      </c>
      <c r="BR106" s="1331">
        <f t="shared" si="170"/>
        <v>0</v>
      </c>
      <c r="BS106" s="523"/>
      <c r="BT106" s="523"/>
      <c r="BU106" s="523"/>
      <c r="BV106" s="523"/>
      <c r="BW106" s="1333">
        <f t="shared" ca="1" si="197"/>
        <v>2121</v>
      </c>
      <c r="BX106" s="1331">
        <f t="shared" si="171"/>
        <v>89269587.394937024</v>
      </c>
      <c r="BY106" s="1331">
        <f t="shared" ca="1" si="198"/>
        <v>25336790.828518946</v>
      </c>
      <c r="BZ106" s="1336">
        <f t="shared" si="172"/>
        <v>57363567.632263318</v>
      </c>
      <c r="CA106" s="1336">
        <f t="shared" si="173"/>
        <v>31906019.762673706</v>
      </c>
      <c r="CB106" s="1336">
        <f t="shared" si="174"/>
        <v>0</v>
      </c>
      <c r="CC106" s="1336">
        <f t="shared" si="175"/>
        <v>0</v>
      </c>
      <c r="CD106" s="1336">
        <f t="shared" si="176"/>
        <v>0</v>
      </c>
      <c r="CE106" s="1336">
        <f t="shared" si="177"/>
        <v>0</v>
      </c>
      <c r="CF106" s="1336">
        <f t="shared" si="178"/>
        <v>0</v>
      </c>
      <c r="CG106" s="1336">
        <f t="shared" si="179"/>
        <v>0</v>
      </c>
      <c r="CH106" s="1336">
        <f t="shared" si="180"/>
        <v>0</v>
      </c>
      <c r="CI106" s="1336">
        <f t="shared" si="181"/>
        <v>0</v>
      </c>
      <c r="CJ106" s="1336">
        <f t="shared" si="182"/>
        <v>0</v>
      </c>
      <c r="CK106" s="1336">
        <f t="shared" si="183"/>
        <v>0</v>
      </c>
      <c r="CL106" s="1336"/>
      <c r="CM106" s="1336">
        <f t="shared" si="184"/>
        <v>0</v>
      </c>
      <c r="CN106" s="1336">
        <f t="shared" si="185"/>
        <v>0</v>
      </c>
      <c r="CO106" s="1336">
        <f t="shared" si="186"/>
        <v>25336790.828518946</v>
      </c>
      <c r="CP106" s="1336">
        <f t="shared" si="187"/>
        <v>0</v>
      </c>
      <c r="CQ106" s="1336">
        <f t="shared" si="188"/>
        <v>0</v>
      </c>
      <c r="CR106" s="1336">
        <f t="shared" si="189"/>
        <v>0</v>
      </c>
      <c r="CS106" s="1336">
        <f t="shared" si="190"/>
        <v>0</v>
      </c>
      <c r="CT106" s="1336">
        <f t="shared" si="191"/>
        <v>0</v>
      </c>
      <c r="CU106" s="1336">
        <f t="shared" si="192"/>
        <v>0</v>
      </c>
      <c r="CV106" s="1336">
        <f t="shared" si="193"/>
        <v>0</v>
      </c>
      <c r="CW106" s="1336">
        <f t="shared" si="194"/>
        <v>0</v>
      </c>
      <c r="CX106" s="1336">
        <f t="shared" si="195"/>
        <v>0</v>
      </c>
      <c r="CY106" s="1336"/>
      <c r="CZ106" s="1336"/>
      <c r="DA106" s="1334">
        <f ca="1">Rental!Y136</f>
        <v>0</v>
      </c>
      <c r="DB106" s="1334">
        <f ca="1">Rental!AD136</f>
        <v>0</v>
      </c>
      <c r="DC106" s="1972"/>
      <c r="DD106" s="1761"/>
      <c r="DE106" s="1761"/>
      <c r="DF106" s="1335"/>
      <c r="DG106" s="1335"/>
      <c r="DH106" s="1335"/>
      <c r="DI106" s="1335"/>
      <c r="DJ106" s="1335"/>
      <c r="DK106" s="1335"/>
      <c r="DL106" s="1335"/>
      <c r="DM106" s="1335"/>
      <c r="DN106" s="1335"/>
      <c r="DO106" s="1335"/>
      <c r="DP106" s="1335"/>
      <c r="DQ106" s="1335"/>
      <c r="DR106" s="1335"/>
      <c r="DS106" s="1335"/>
      <c r="DT106" s="1335"/>
    </row>
    <row r="107" spans="1:124" s="1185" customFormat="1" ht="18" customHeight="1">
      <c r="A107" s="523">
        <f ca="1">IF(E107=YEAR(Retire!$D$12),1,0)</f>
        <v>0</v>
      </c>
      <c r="B107" s="502"/>
      <c r="C107" s="503" t="str">
        <f ca="1">IF(E107=Retire!$D$12,"==&gt;","")</f>
        <v/>
      </c>
      <c r="D107" s="504">
        <f t="shared" si="132"/>
        <v>101</v>
      </c>
      <c r="E107" s="504">
        <f t="shared" ca="1" si="133"/>
        <v>2122</v>
      </c>
      <c r="F107" s="505">
        <f t="shared" ca="1" si="146"/>
        <v>120880633</v>
      </c>
      <c r="G107" s="505"/>
      <c r="H107" s="506">
        <f>Assets!$G$37</f>
        <v>5.5E-2</v>
      </c>
      <c r="I107" s="507">
        <f>Assets!$F$37</f>
        <v>2000</v>
      </c>
      <c r="J107" s="507">
        <f t="shared" si="147"/>
        <v>60520563.852037802</v>
      </c>
      <c r="K107" s="1220"/>
      <c r="L107" s="506">
        <f>Assets!$G$38</f>
        <v>0.05</v>
      </c>
      <c r="M107" s="507">
        <f>Assets!$F$38</f>
        <v>1500</v>
      </c>
      <c r="N107" s="507">
        <f t="shared" si="148"/>
        <v>33502820.75080739</v>
      </c>
      <c r="O107" s="1220"/>
      <c r="P107" s="506">
        <f>Assets!$G$39</f>
        <v>0.06</v>
      </c>
      <c r="Q107" s="508">
        <f>Assets!$F$39</f>
        <v>250</v>
      </c>
      <c r="R107" s="507">
        <f t="shared" si="149"/>
        <v>26857248.278230082</v>
      </c>
      <c r="S107" s="1220"/>
      <c r="T107" s="506">
        <f>Assets!$G$40</f>
        <v>0</v>
      </c>
      <c r="U107" s="510">
        <f>Assets!$F$40</f>
        <v>0</v>
      </c>
      <c r="V107" s="507">
        <f t="shared" si="150"/>
        <v>0</v>
      </c>
      <c r="W107" s="1220"/>
      <c r="X107" s="506">
        <f>Assets!$G$41</f>
        <v>0</v>
      </c>
      <c r="Y107" s="510">
        <f>Assets!$F$41</f>
        <v>0</v>
      </c>
      <c r="Z107" s="507">
        <f t="shared" si="151"/>
        <v>0</v>
      </c>
      <c r="AA107" s="1220"/>
      <c r="AB107" s="506">
        <f>Assets!$G$42</f>
        <v>0</v>
      </c>
      <c r="AC107" s="507">
        <f>Assets!$F$42</f>
        <v>0</v>
      </c>
      <c r="AD107" s="507">
        <f t="shared" si="152"/>
        <v>0</v>
      </c>
      <c r="AE107" s="1220"/>
      <c r="AF107" s="506">
        <f>Assets!$G$43</f>
        <v>0</v>
      </c>
      <c r="AG107" s="507">
        <f>Assets!$F$43</f>
        <v>0</v>
      </c>
      <c r="AH107" s="507">
        <f t="shared" si="153"/>
        <v>0</v>
      </c>
      <c r="AI107" s="1220"/>
      <c r="AJ107" s="506">
        <f>Assets!$G$44</f>
        <v>0</v>
      </c>
      <c r="AK107" s="507">
        <f>Assets!$F$44</f>
        <v>0</v>
      </c>
      <c r="AL107" s="507">
        <f t="shared" si="154"/>
        <v>0</v>
      </c>
      <c r="AM107" s="1220"/>
      <c r="AN107" s="506">
        <f>Assets!$G$45</f>
        <v>0</v>
      </c>
      <c r="AO107" s="507">
        <f>Assets!$F$45</f>
        <v>0</v>
      </c>
      <c r="AP107" s="507">
        <f t="shared" si="155"/>
        <v>0</v>
      </c>
      <c r="AQ107" s="1220"/>
      <c r="AR107" s="506">
        <f>Assets!$G$46</f>
        <v>0</v>
      </c>
      <c r="AS107" s="507">
        <f>Assets!$F$46</f>
        <v>0</v>
      </c>
      <c r="AT107" s="507">
        <f t="shared" si="156"/>
        <v>0</v>
      </c>
      <c r="AU107" s="1220"/>
      <c r="AV107" s="506">
        <f>Assets!$G$47</f>
        <v>0</v>
      </c>
      <c r="AW107" s="507">
        <f>Assets!F$47</f>
        <v>0</v>
      </c>
      <c r="AX107" s="507">
        <f t="shared" si="157"/>
        <v>0</v>
      </c>
      <c r="AY107" s="1220"/>
      <c r="AZ107" s="506">
        <f>Assets!$G$48</f>
        <v>0</v>
      </c>
      <c r="BA107" s="507">
        <f>Assets!$F$48</f>
        <v>0</v>
      </c>
      <c r="BB107" s="507">
        <f t="shared" si="158"/>
        <v>0</v>
      </c>
      <c r="BC107" s="502"/>
      <c r="BD107" s="2005"/>
      <c r="BE107" s="523"/>
      <c r="BF107" s="523"/>
      <c r="BG107" s="1331">
        <f t="shared" si="159"/>
        <v>60520563.852037802</v>
      </c>
      <c r="BH107" s="1331">
        <f t="shared" si="160"/>
        <v>33502820.75080739</v>
      </c>
      <c r="BI107" s="1331">
        <f t="shared" si="161"/>
        <v>26857248.278230082</v>
      </c>
      <c r="BJ107" s="1331">
        <f t="shared" si="162"/>
        <v>0</v>
      </c>
      <c r="BK107" s="1331">
        <f t="shared" si="163"/>
        <v>0</v>
      </c>
      <c r="BL107" s="1331">
        <f t="shared" si="164"/>
        <v>0</v>
      </c>
      <c r="BM107" s="1331">
        <f t="shared" si="165"/>
        <v>0</v>
      </c>
      <c r="BN107" s="1331">
        <f t="shared" si="166"/>
        <v>0</v>
      </c>
      <c r="BO107" s="1331">
        <f t="shared" si="167"/>
        <v>0</v>
      </c>
      <c r="BP107" s="1331">
        <f t="shared" si="168"/>
        <v>0</v>
      </c>
      <c r="BQ107" s="1331">
        <f t="shared" si="169"/>
        <v>0</v>
      </c>
      <c r="BR107" s="1331">
        <f t="shared" si="170"/>
        <v>0</v>
      </c>
      <c r="BS107" s="523"/>
      <c r="BT107" s="523"/>
      <c r="BU107" s="523"/>
      <c r="BV107" s="523"/>
      <c r="BW107" s="1333">
        <f t="shared" ca="1" si="197"/>
        <v>2122</v>
      </c>
      <c r="BX107" s="1331">
        <f t="shared" si="171"/>
        <v>94023384.602845192</v>
      </c>
      <c r="BY107" s="1331">
        <f t="shared" ca="1" si="198"/>
        <v>26857248.278230082</v>
      </c>
      <c r="BZ107" s="1336">
        <f t="shared" si="172"/>
        <v>60520563.852037802</v>
      </c>
      <c r="CA107" s="1336">
        <f t="shared" si="173"/>
        <v>33502820.75080739</v>
      </c>
      <c r="CB107" s="1336">
        <f t="shared" si="174"/>
        <v>0</v>
      </c>
      <c r="CC107" s="1336">
        <f t="shared" si="175"/>
        <v>0</v>
      </c>
      <c r="CD107" s="1336">
        <f t="shared" si="176"/>
        <v>0</v>
      </c>
      <c r="CE107" s="1336">
        <f t="shared" si="177"/>
        <v>0</v>
      </c>
      <c r="CF107" s="1336">
        <f t="shared" si="178"/>
        <v>0</v>
      </c>
      <c r="CG107" s="1336">
        <f t="shared" si="179"/>
        <v>0</v>
      </c>
      <c r="CH107" s="1336">
        <f t="shared" si="180"/>
        <v>0</v>
      </c>
      <c r="CI107" s="1336">
        <f t="shared" si="181"/>
        <v>0</v>
      </c>
      <c r="CJ107" s="1336">
        <f t="shared" si="182"/>
        <v>0</v>
      </c>
      <c r="CK107" s="1336">
        <f t="shared" si="183"/>
        <v>0</v>
      </c>
      <c r="CL107" s="1336"/>
      <c r="CM107" s="1336">
        <f t="shared" si="184"/>
        <v>0</v>
      </c>
      <c r="CN107" s="1336">
        <f t="shared" si="185"/>
        <v>0</v>
      </c>
      <c r="CO107" s="1336">
        <f t="shared" si="186"/>
        <v>26857248.278230082</v>
      </c>
      <c r="CP107" s="1336">
        <f t="shared" si="187"/>
        <v>0</v>
      </c>
      <c r="CQ107" s="1336">
        <f t="shared" si="188"/>
        <v>0</v>
      </c>
      <c r="CR107" s="1336">
        <f t="shared" si="189"/>
        <v>0</v>
      </c>
      <c r="CS107" s="1336">
        <f t="shared" si="190"/>
        <v>0</v>
      </c>
      <c r="CT107" s="1336">
        <f t="shared" si="191"/>
        <v>0</v>
      </c>
      <c r="CU107" s="1336">
        <f t="shared" si="192"/>
        <v>0</v>
      </c>
      <c r="CV107" s="1336">
        <f t="shared" si="193"/>
        <v>0</v>
      </c>
      <c r="CW107" s="1336">
        <f t="shared" si="194"/>
        <v>0</v>
      </c>
      <c r="CX107" s="1336">
        <f t="shared" si="195"/>
        <v>0</v>
      </c>
      <c r="CY107" s="1336"/>
      <c r="CZ107" s="1336"/>
      <c r="DA107" s="1334">
        <f ca="1">Rental!Y137</f>
        <v>0</v>
      </c>
      <c r="DB107" s="1334">
        <f ca="1">Rental!AD137</f>
        <v>0</v>
      </c>
      <c r="DC107" s="1972"/>
      <c r="DD107" s="1761"/>
      <c r="DE107" s="1761"/>
      <c r="DF107" s="1335"/>
      <c r="DG107" s="1335"/>
      <c r="DH107" s="1335"/>
      <c r="DI107" s="1335"/>
      <c r="DJ107" s="1335"/>
      <c r="DK107" s="1335"/>
      <c r="DL107" s="1335"/>
      <c r="DM107" s="1335"/>
      <c r="DN107" s="1335"/>
      <c r="DO107" s="1335"/>
      <c r="DP107" s="1335"/>
      <c r="DQ107" s="1335"/>
      <c r="DR107" s="1335"/>
      <c r="DS107" s="1335"/>
      <c r="DT107" s="1335"/>
    </row>
    <row r="108" spans="1:124" s="1185" customFormat="1" ht="18" customHeight="1">
      <c r="A108" s="523">
        <f ca="1">IF(E108=YEAR(Retire!$D$12),1,0)</f>
        <v>0</v>
      </c>
      <c r="B108" s="502"/>
      <c r="C108" s="503" t="str">
        <f ca="1">IF(E108=Retire!$D$12,"==&gt;","")</f>
        <v/>
      </c>
      <c r="D108" s="512">
        <f t="shared" si="132"/>
        <v>102</v>
      </c>
      <c r="E108" s="512">
        <f t="shared" ca="1" si="133"/>
        <v>2123</v>
      </c>
      <c r="F108" s="513">
        <f t="shared" ca="1" si="146"/>
        <v>127499590</v>
      </c>
      <c r="G108" s="513"/>
      <c r="H108" s="514">
        <f>Assets!$G$37</f>
        <v>5.5E-2</v>
      </c>
      <c r="I108" s="515">
        <f>Assets!$F$37</f>
        <v>2000</v>
      </c>
      <c r="J108" s="515">
        <f t="shared" si="147"/>
        <v>63851194.863899879</v>
      </c>
      <c r="K108" s="1220"/>
      <c r="L108" s="514">
        <f>Assets!$G$38</f>
        <v>0.05</v>
      </c>
      <c r="M108" s="515">
        <f>Assets!$F$38</f>
        <v>1500</v>
      </c>
      <c r="N108" s="515">
        <f t="shared" si="148"/>
        <v>35179461.788347758</v>
      </c>
      <c r="O108" s="1220"/>
      <c r="P108" s="514">
        <f>Assets!$G$39</f>
        <v>0.06</v>
      </c>
      <c r="Q108" s="516">
        <f>Assets!$F$39</f>
        <v>250</v>
      </c>
      <c r="R108" s="515">
        <f t="shared" si="149"/>
        <v>28468933.174923886</v>
      </c>
      <c r="S108" s="1220"/>
      <c r="T108" s="514">
        <f>Assets!$G$40</f>
        <v>0</v>
      </c>
      <c r="U108" s="517">
        <f>Assets!$F$40</f>
        <v>0</v>
      </c>
      <c r="V108" s="515">
        <f t="shared" si="150"/>
        <v>0</v>
      </c>
      <c r="W108" s="1220"/>
      <c r="X108" s="514">
        <f>Assets!$G$41</f>
        <v>0</v>
      </c>
      <c r="Y108" s="517">
        <f>Assets!$F$41</f>
        <v>0</v>
      </c>
      <c r="Z108" s="515">
        <f t="shared" si="151"/>
        <v>0</v>
      </c>
      <c r="AA108" s="1220"/>
      <c r="AB108" s="514">
        <f>Assets!$G$42</f>
        <v>0</v>
      </c>
      <c r="AC108" s="515">
        <f>Assets!$F$42</f>
        <v>0</v>
      </c>
      <c r="AD108" s="515">
        <f t="shared" si="152"/>
        <v>0</v>
      </c>
      <c r="AE108" s="1220"/>
      <c r="AF108" s="514">
        <f>Assets!$G$43</f>
        <v>0</v>
      </c>
      <c r="AG108" s="515">
        <f>Assets!$F$43</f>
        <v>0</v>
      </c>
      <c r="AH108" s="515">
        <f t="shared" si="153"/>
        <v>0</v>
      </c>
      <c r="AI108" s="1220"/>
      <c r="AJ108" s="514">
        <f>Assets!$G$44</f>
        <v>0</v>
      </c>
      <c r="AK108" s="515">
        <f>Assets!$F$44</f>
        <v>0</v>
      </c>
      <c r="AL108" s="515">
        <f t="shared" si="154"/>
        <v>0</v>
      </c>
      <c r="AM108" s="1220"/>
      <c r="AN108" s="514">
        <f>Assets!$G$45</f>
        <v>0</v>
      </c>
      <c r="AO108" s="515">
        <f>Assets!$F$45</f>
        <v>0</v>
      </c>
      <c r="AP108" s="515">
        <f t="shared" si="155"/>
        <v>0</v>
      </c>
      <c r="AQ108" s="1220"/>
      <c r="AR108" s="514">
        <f>Assets!$G$46</f>
        <v>0</v>
      </c>
      <c r="AS108" s="515">
        <f>Assets!$F$46</f>
        <v>0</v>
      </c>
      <c r="AT108" s="515">
        <f t="shared" si="156"/>
        <v>0</v>
      </c>
      <c r="AU108" s="1220"/>
      <c r="AV108" s="514">
        <f>Assets!$G$47</f>
        <v>0</v>
      </c>
      <c r="AW108" s="515">
        <f>Assets!F$47</f>
        <v>0</v>
      </c>
      <c r="AX108" s="515">
        <f t="shared" si="157"/>
        <v>0</v>
      </c>
      <c r="AY108" s="1220"/>
      <c r="AZ108" s="514">
        <f>Assets!$G$48</f>
        <v>0</v>
      </c>
      <c r="BA108" s="515">
        <f>Assets!$F$48</f>
        <v>0</v>
      </c>
      <c r="BB108" s="515">
        <f t="shared" si="158"/>
        <v>0</v>
      </c>
      <c r="BC108" s="502"/>
      <c r="BD108" s="2005"/>
      <c r="BE108" s="523"/>
      <c r="BF108" s="523"/>
      <c r="BG108" s="1331">
        <f t="shared" si="159"/>
        <v>63851194.863899879</v>
      </c>
      <c r="BH108" s="1331">
        <f t="shared" si="160"/>
        <v>35179461.788347758</v>
      </c>
      <c r="BI108" s="1331">
        <f t="shared" si="161"/>
        <v>28468933.174923886</v>
      </c>
      <c r="BJ108" s="1331">
        <f t="shared" si="162"/>
        <v>0</v>
      </c>
      <c r="BK108" s="1331">
        <f t="shared" si="163"/>
        <v>0</v>
      </c>
      <c r="BL108" s="1331">
        <f t="shared" si="164"/>
        <v>0</v>
      </c>
      <c r="BM108" s="1331">
        <f t="shared" si="165"/>
        <v>0</v>
      </c>
      <c r="BN108" s="1331">
        <f t="shared" si="166"/>
        <v>0</v>
      </c>
      <c r="BO108" s="1331">
        <f t="shared" si="167"/>
        <v>0</v>
      </c>
      <c r="BP108" s="1331">
        <f t="shared" si="168"/>
        <v>0</v>
      </c>
      <c r="BQ108" s="1331">
        <f t="shared" si="169"/>
        <v>0</v>
      </c>
      <c r="BR108" s="1331">
        <f t="shared" si="170"/>
        <v>0</v>
      </c>
      <c r="BS108" s="523"/>
      <c r="BT108" s="523"/>
      <c r="BU108" s="523"/>
      <c r="BV108" s="523"/>
      <c r="BW108" s="1333">
        <f t="shared" ca="1" si="197"/>
        <v>2123</v>
      </c>
      <c r="BX108" s="1331">
        <f t="shared" si="171"/>
        <v>99030656.652247638</v>
      </c>
      <c r="BY108" s="1331">
        <f t="shared" ca="1" si="198"/>
        <v>28468933.174923886</v>
      </c>
      <c r="BZ108" s="1336">
        <f t="shared" si="172"/>
        <v>63851194.863899879</v>
      </c>
      <c r="CA108" s="1336">
        <f t="shared" si="173"/>
        <v>35179461.788347758</v>
      </c>
      <c r="CB108" s="1336">
        <f t="shared" si="174"/>
        <v>0</v>
      </c>
      <c r="CC108" s="1336">
        <f t="shared" si="175"/>
        <v>0</v>
      </c>
      <c r="CD108" s="1336">
        <f t="shared" si="176"/>
        <v>0</v>
      </c>
      <c r="CE108" s="1336">
        <f t="shared" si="177"/>
        <v>0</v>
      </c>
      <c r="CF108" s="1336">
        <f t="shared" si="178"/>
        <v>0</v>
      </c>
      <c r="CG108" s="1336">
        <f t="shared" si="179"/>
        <v>0</v>
      </c>
      <c r="CH108" s="1336">
        <f t="shared" si="180"/>
        <v>0</v>
      </c>
      <c r="CI108" s="1336">
        <f t="shared" si="181"/>
        <v>0</v>
      </c>
      <c r="CJ108" s="1336">
        <f t="shared" si="182"/>
        <v>0</v>
      </c>
      <c r="CK108" s="1336">
        <f t="shared" si="183"/>
        <v>0</v>
      </c>
      <c r="CL108" s="1336"/>
      <c r="CM108" s="1336">
        <f t="shared" si="184"/>
        <v>0</v>
      </c>
      <c r="CN108" s="1336">
        <f t="shared" si="185"/>
        <v>0</v>
      </c>
      <c r="CO108" s="1336">
        <f t="shared" si="186"/>
        <v>28468933.174923886</v>
      </c>
      <c r="CP108" s="1336">
        <f t="shared" si="187"/>
        <v>0</v>
      </c>
      <c r="CQ108" s="1336">
        <f t="shared" si="188"/>
        <v>0</v>
      </c>
      <c r="CR108" s="1336">
        <f t="shared" si="189"/>
        <v>0</v>
      </c>
      <c r="CS108" s="1336">
        <f t="shared" si="190"/>
        <v>0</v>
      </c>
      <c r="CT108" s="1336">
        <f t="shared" si="191"/>
        <v>0</v>
      </c>
      <c r="CU108" s="1336">
        <f t="shared" si="192"/>
        <v>0</v>
      </c>
      <c r="CV108" s="1336">
        <f t="shared" si="193"/>
        <v>0</v>
      </c>
      <c r="CW108" s="1336">
        <f t="shared" si="194"/>
        <v>0</v>
      </c>
      <c r="CX108" s="1336">
        <f t="shared" si="195"/>
        <v>0</v>
      </c>
      <c r="CY108" s="1336"/>
      <c r="CZ108" s="1336"/>
      <c r="DA108" s="1334">
        <f ca="1">Rental!Y138</f>
        <v>0</v>
      </c>
      <c r="DB108" s="1334">
        <f ca="1">Rental!AD138</f>
        <v>0</v>
      </c>
      <c r="DC108" s="1972"/>
      <c r="DD108" s="1761"/>
      <c r="DE108" s="1761"/>
      <c r="DF108" s="1335"/>
      <c r="DG108" s="1335"/>
      <c r="DH108" s="1335"/>
      <c r="DI108" s="1335"/>
      <c r="DJ108" s="1335"/>
      <c r="DK108" s="1335"/>
      <c r="DL108" s="1335"/>
      <c r="DM108" s="1335"/>
      <c r="DN108" s="1335"/>
      <c r="DO108" s="1335"/>
      <c r="DP108" s="1335"/>
      <c r="DQ108" s="1335"/>
      <c r="DR108" s="1335"/>
      <c r="DS108" s="1335"/>
      <c r="DT108" s="1335"/>
    </row>
    <row r="109" spans="1:124" s="1185" customFormat="1" ht="18" customHeight="1">
      <c r="A109" s="523">
        <f ca="1">IF(E109=YEAR(Retire!$D$12),1,0)</f>
        <v>0</v>
      </c>
      <c r="B109" s="502"/>
      <c r="C109" s="503" t="str">
        <f ca="1">IF(E109=Retire!$D$12,"==&gt;","")</f>
        <v/>
      </c>
      <c r="D109" s="504">
        <f t="shared" si="132"/>
        <v>103</v>
      </c>
      <c r="E109" s="504">
        <f t="shared" ca="1" si="133"/>
        <v>2124</v>
      </c>
      <c r="F109" s="505">
        <f t="shared" ca="1" si="146"/>
        <v>134482265</v>
      </c>
      <c r="G109" s="505"/>
      <c r="H109" s="506">
        <f>Assets!$G$37</f>
        <v>5.5E-2</v>
      </c>
      <c r="I109" s="507">
        <f>Assets!$F$37</f>
        <v>2000</v>
      </c>
      <c r="J109" s="507">
        <f t="shared" si="147"/>
        <v>67365010.581414372</v>
      </c>
      <c r="K109" s="1220"/>
      <c r="L109" s="506">
        <f>Assets!$G$38</f>
        <v>0.05</v>
      </c>
      <c r="M109" s="507">
        <f>Assets!$F$38</f>
        <v>1500</v>
      </c>
      <c r="N109" s="507">
        <f t="shared" si="148"/>
        <v>36939934.877765149</v>
      </c>
      <c r="O109" s="1220"/>
      <c r="P109" s="506">
        <f>Assets!$G$39</f>
        <v>0.06</v>
      </c>
      <c r="Q109" s="508">
        <f>Assets!$F$39</f>
        <v>250</v>
      </c>
      <c r="R109" s="507">
        <f t="shared" si="149"/>
        <v>30177319.165419318</v>
      </c>
      <c r="S109" s="1220"/>
      <c r="T109" s="506">
        <f>Assets!$G$40</f>
        <v>0</v>
      </c>
      <c r="U109" s="510">
        <f>Assets!$F$40</f>
        <v>0</v>
      </c>
      <c r="V109" s="507">
        <f t="shared" si="150"/>
        <v>0</v>
      </c>
      <c r="W109" s="1220"/>
      <c r="X109" s="506">
        <f>Assets!$G$41</f>
        <v>0</v>
      </c>
      <c r="Y109" s="510">
        <f>Assets!$F$41</f>
        <v>0</v>
      </c>
      <c r="Z109" s="507">
        <f t="shared" si="151"/>
        <v>0</v>
      </c>
      <c r="AA109" s="1220"/>
      <c r="AB109" s="506">
        <f>Assets!$G$42</f>
        <v>0</v>
      </c>
      <c r="AC109" s="507">
        <f>Assets!$F$42</f>
        <v>0</v>
      </c>
      <c r="AD109" s="507">
        <f t="shared" si="152"/>
        <v>0</v>
      </c>
      <c r="AE109" s="1220"/>
      <c r="AF109" s="506">
        <f>Assets!$G$43</f>
        <v>0</v>
      </c>
      <c r="AG109" s="507">
        <f>Assets!$F$43</f>
        <v>0</v>
      </c>
      <c r="AH109" s="507">
        <f t="shared" si="153"/>
        <v>0</v>
      </c>
      <c r="AI109" s="1220"/>
      <c r="AJ109" s="506">
        <f>Assets!$G$44</f>
        <v>0</v>
      </c>
      <c r="AK109" s="507">
        <f>Assets!$F$44</f>
        <v>0</v>
      </c>
      <c r="AL109" s="507">
        <f t="shared" si="154"/>
        <v>0</v>
      </c>
      <c r="AM109" s="1220"/>
      <c r="AN109" s="506">
        <f>Assets!$G$45</f>
        <v>0</v>
      </c>
      <c r="AO109" s="507">
        <f>Assets!$F$45</f>
        <v>0</v>
      </c>
      <c r="AP109" s="507">
        <f t="shared" si="155"/>
        <v>0</v>
      </c>
      <c r="AQ109" s="1220"/>
      <c r="AR109" s="506">
        <f>Assets!$G$46</f>
        <v>0</v>
      </c>
      <c r="AS109" s="507">
        <f>Assets!$F$46</f>
        <v>0</v>
      </c>
      <c r="AT109" s="507">
        <f t="shared" si="156"/>
        <v>0</v>
      </c>
      <c r="AU109" s="1220"/>
      <c r="AV109" s="506">
        <f>Assets!$G$47</f>
        <v>0</v>
      </c>
      <c r="AW109" s="507">
        <f>Assets!F$47</f>
        <v>0</v>
      </c>
      <c r="AX109" s="507">
        <f t="shared" si="157"/>
        <v>0</v>
      </c>
      <c r="AY109" s="1220"/>
      <c r="AZ109" s="506">
        <f>Assets!$G$48</f>
        <v>0</v>
      </c>
      <c r="BA109" s="507">
        <f>Assets!$F$48</f>
        <v>0</v>
      </c>
      <c r="BB109" s="507">
        <f t="shared" si="158"/>
        <v>0</v>
      </c>
      <c r="BC109" s="502"/>
      <c r="BD109" s="2005"/>
      <c r="BE109" s="523"/>
      <c r="BF109" s="523"/>
      <c r="BG109" s="1331">
        <f t="shared" si="159"/>
        <v>67365010.581414372</v>
      </c>
      <c r="BH109" s="1331">
        <f t="shared" si="160"/>
        <v>36939934.877765149</v>
      </c>
      <c r="BI109" s="1331">
        <f t="shared" si="161"/>
        <v>30177319.165419318</v>
      </c>
      <c r="BJ109" s="1331">
        <f t="shared" si="162"/>
        <v>0</v>
      </c>
      <c r="BK109" s="1331">
        <f t="shared" si="163"/>
        <v>0</v>
      </c>
      <c r="BL109" s="1331">
        <f t="shared" si="164"/>
        <v>0</v>
      </c>
      <c r="BM109" s="1331">
        <f t="shared" si="165"/>
        <v>0</v>
      </c>
      <c r="BN109" s="1331">
        <f t="shared" si="166"/>
        <v>0</v>
      </c>
      <c r="BO109" s="1331">
        <f t="shared" si="167"/>
        <v>0</v>
      </c>
      <c r="BP109" s="1331">
        <f t="shared" si="168"/>
        <v>0</v>
      </c>
      <c r="BQ109" s="1331">
        <f t="shared" si="169"/>
        <v>0</v>
      </c>
      <c r="BR109" s="1331">
        <f t="shared" si="170"/>
        <v>0</v>
      </c>
      <c r="BS109" s="523"/>
      <c r="BT109" s="523"/>
      <c r="BU109" s="523"/>
      <c r="BV109" s="523"/>
      <c r="BW109" s="1333">
        <f t="shared" ca="1" si="197"/>
        <v>2124</v>
      </c>
      <c r="BX109" s="1331">
        <f t="shared" si="171"/>
        <v>104304945.45917952</v>
      </c>
      <c r="BY109" s="1331">
        <f t="shared" ca="1" si="198"/>
        <v>30177319.165419318</v>
      </c>
      <c r="BZ109" s="1336">
        <f t="shared" si="172"/>
        <v>67365010.581414372</v>
      </c>
      <c r="CA109" s="1336">
        <f t="shared" si="173"/>
        <v>36939934.877765149</v>
      </c>
      <c r="CB109" s="1336">
        <f t="shared" si="174"/>
        <v>0</v>
      </c>
      <c r="CC109" s="1336">
        <f t="shared" si="175"/>
        <v>0</v>
      </c>
      <c r="CD109" s="1336">
        <f t="shared" si="176"/>
        <v>0</v>
      </c>
      <c r="CE109" s="1336">
        <f t="shared" si="177"/>
        <v>0</v>
      </c>
      <c r="CF109" s="1336">
        <f t="shared" si="178"/>
        <v>0</v>
      </c>
      <c r="CG109" s="1336">
        <f t="shared" si="179"/>
        <v>0</v>
      </c>
      <c r="CH109" s="1336">
        <f t="shared" si="180"/>
        <v>0</v>
      </c>
      <c r="CI109" s="1336">
        <f t="shared" si="181"/>
        <v>0</v>
      </c>
      <c r="CJ109" s="1336">
        <f t="shared" si="182"/>
        <v>0</v>
      </c>
      <c r="CK109" s="1336">
        <f t="shared" si="183"/>
        <v>0</v>
      </c>
      <c r="CL109" s="1336"/>
      <c r="CM109" s="1336">
        <f t="shared" si="184"/>
        <v>0</v>
      </c>
      <c r="CN109" s="1336">
        <f t="shared" si="185"/>
        <v>0</v>
      </c>
      <c r="CO109" s="1336">
        <f t="shared" si="186"/>
        <v>30177319.165419318</v>
      </c>
      <c r="CP109" s="1336">
        <f t="shared" si="187"/>
        <v>0</v>
      </c>
      <c r="CQ109" s="1336">
        <f t="shared" si="188"/>
        <v>0</v>
      </c>
      <c r="CR109" s="1336">
        <f t="shared" si="189"/>
        <v>0</v>
      </c>
      <c r="CS109" s="1336">
        <f t="shared" si="190"/>
        <v>0</v>
      </c>
      <c r="CT109" s="1336">
        <f t="shared" si="191"/>
        <v>0</v>
      </c>
      <c r="CU109" s="1336">
        <f t="shared" si="192"/>
        <v>0</v>
      </c>
      <c r="CV109" s="1336">
        <f t="shared" si="193"/>
        <v>0</v>
      </c>
      <c r="CW109" s="1336">
        <f t="shared" si="194"/>
        <v>0</v>
      </c>
      <c r="CX109" s="1336">
        <f t="shared" si="195"/>
        <v>0</v>
      </c>
      <c r="CY109" s="1336"/>
      <c r="CZ109" s="1336"/>
      <c r="DA109" s="1334">
        <f ca="1">Rental!Y139</f>
        <v>0</v>
      </c>
      <c r="DB109" s="1334">
        <f ca="1">Rental!AD139</f>
        <v>0</v>
      </c>
      <c r="DC109" s="1972"/>
      <c r="DD109" s="1761"/>
      <c r="DE109" s="1761"/>
      <c r="DF109" s="1335"/>
      <c r="DG109" s="1335"/>
      <c r="DH109" s="1335"/>
      <c r="DI109" s="1335"/>
      <c r="DJ109" s="1335"/>
      <c r="DK109" s="1335"/>
      <c r="DL109" s="1335"/>
      <c r="DM109" s="1335"/>
      <c r="DN109" s="1335"/>
      <c r="DO109" s="1335"/>
      <c r="DP109" s="1335"/>
      <c r="DQ109" s="1335"/>
      <c r="DR109" s="1335"/>
      <c r="DS109" s="1335"/>
      <c r="DT109" s="1335"/>
    </row>
    <row r="110" spans="1:124" s="1185" customFormat="1" ht="18" customHeight="1">
      <c r="A110" s="523">
        <f ca="1">IF(E110=YEAR(Retire!$D$12),1,0)</f>
        <v>0</v>
      </c>
      <c r="B110" s="502"/>
      <c r="C110" s="503" t="str">
        <f ca="1">IF(E110=Retire!$D$12,"==&gt;","")</f>
        <v/>
      </c>
      <c r="D110" s="512">
        <f t="shared" si="132"/>
        <v>104</v>
      </c>
      <c r="E110" s="512">
        <f t="shared" ca="1" si="133"/>
        <v>2125</v>
      </c>
      <c r="F110" s="513">
        <f t="shared" ca="1" si="146"/>
        <v>141848726</v>
      </c>
      <c r="G110" s="513"/>
      <c r="H110" s="514">
        <f>Assets!$G$37</f>
        <v>5.5E-2</v>
      </c>
      <c r="I110" s="515">
        <f>Assets!$F$37</f>
        <v>2000</v>
      </c>
      <c r="J110" s="515">
        <f t="shared" si="147"/>
        <v>71072086.163392156</v>
      </c>
      <c r="K110" s="1220"/>
      <c r="L110" s="514">
        <f>Assets!$G$38</f>
        <v>0.05</v>
      </c>
      <c r="M110" s="515">
        <f>Assets!$F$38</f>
        <v>1500</v>
      </c>
      <c r="N110" s="515">
        <f t="shared" si="148"/>
        <v>38788431.621653408</v>
      </c>
      <c r="O110" s="1220"/>
      <c r="P110" s="514">
        <f>Assets!$G$39</f>
        <v>0.06</v>
      </c>
      <c r="Q110" s="516">
        <f>Assets!$F$39</f>
        <v>250</v>
      </c>
      <c r="R110" s="515">
        <f t="shared" si="149"/>
        <v>31988208.315344475</v>
      </c>
      <c r="S110" s="1220"/>
      <c r="T110" s="514">
        <f>Assets!$G$40</f>
        <v>0</v>
      </c>
      <c r="U110" s="517">
        <f>Assets!$F$40</f>
        <v>0</v>
      </c>
      <c r="V110" s="515">
        <f t="shared" si="150"/>
        <v>0</v>
      </c>
      <c r="W110" s="1220"/>
      <c r="X110" s="514">
        <f>Assets!$G$41</f>
        <v>0</v>
      </c>
      <c r="Y110" s="517">
        <f>Assets!$F$41</f>
        <v>0</v>
      </c>
      <c r="Z110" s="515">
        <f t="shared" si="151"/>
        <v>0</v>
      </c>
      <c r="AA110" s="1220"/>
      <c r="AB110" s="514">
        <f>Assets!$G$42</f>
        <v>0</v>
      </c>
      <c r="AC110" s="515">
        <f>Assets!$F$42</f>
        <v>0</v>
      </c>
      <c r="AD110" s="515">
        <f t="shared" si="152"/>
        <v>0</v>
      </c>
      <c r="AE110" s="1220"/>
      <c r="AF110" s="514">
        <f>Assets!$G$43</f>
        <v>0</v>
      </c>
      <c r="AG110" s="515">
        <f>Assets!$F$43</f>
        <v>0</v>
      </c>
      <c r="AH110" s="515">
        <f t="shared" si="153"/>
        <v>0</v>
      </c>
      <c r="AI110" s="1220"/>
      <c r="AJ110" s="514">
        <f>Assets!$G$44</f>
        <v>0</v>
      </c>
      <c r="AK110" s="515">
        <f>Assets!$F$44</f>
        <v>0</v>
      </c>
      <c r="AL110" s="515">
        <f t="shared" si="154"/>
        <v>0</v>
      </c>
      <c r="AM110" s="1220"/>
      <c r="AN110" s="514">
        <f>Assets!$G$45</f>
        <v>0</v>
      </c>
      <c r="AO110" s="515">
        <f>Assets!$F$45</f>
        <v>0</v>
      </c>
      <c r="AP110" s="515">
        <f t="shared" si="155"/>
        <v>0</v>
      </c>
      <c r="AQ110" s="1220"/>
      <c r="AR110" s="514">
        <f>Assets!$G$46</f>
        <v>0</v>
      </c>
      <c r="AS110" s="515">
        <f>Assets!$F$46</f>
        <v>0</v>
      </c>
      <c r="AT110" s="515">
        <f t="shared" si="156"/>
        <v>0</v>
      </c>
      <c r="AU110" s="1220"/>
      <c r="AV110" s="514">
        <f>Assets!$G$47</f>
        <v>0</v>
      </c>
      <c r="AW110" s="515">
        <f>Assets!F$47</f>
        <v>0</v>
      </c>
      <c r="AX110" s="515">
        <f t="shared" si="157"/>
        <v>0</v>
      </c>
      <c r="AY110" s="1220"/>
      <c r="AZ110" s="514">
        <f>Assets!$G$48</f>
        <v>0</v>
      </c>
      <c r="BA110" s="515">
        <f>Assets!$F$48</f>
        <v>0</v>
      </c>
      <c r="BB110" s="515">
        <f t="shared" si="158"/>
        <v>0</v>
      </c>
      <c r="BC110" s="502"/>
      <c r="BD110" s="2005"/>
      <c r="BE110" s="523"/>
      <c r="BF110" s="523"/>
      <c r="BG110" s="1331">
        <f t="shared" si="159"/>
        <v>71072086.163392156</v>
      </c>
      <c r="BH110" s="1331">
        <f t="shared" si="160"/>
        <v>38788431.621653408</v>
      </c>
      <c r="BI110" s="1331">
        <f t="shared" si="161"/>
        <v>31988208.315344475</v>
      </c>
      <c r="BJ110" s="1331">
        <f t="shared" si="162"/>
        <v>0</v>
      </c>
      <c r="BK110" s="1331">
        <f t="shared" si="163"/>
        <v>0</v>
      </c>
      <c r="BL110" s="1331">
        <f t="shared" si="164"/>
        <v>0</v>
      </c>
      <c r="BM110" s="1331">
        <f t="shared" si="165"/>
        <v>0</v>
      </c>
      <c r="BN110" s="1331">
        <f t="shared" si="166"/>
        <v>0</v>
      </c>
      <c r="BO110" s="1331">
        <f t="shared" si="167"/>
        <v>0</v>
      </c>
      <c r="BP110" s="1331">
        <f t="shared" si="168"/>
        <v>0</v>
      </c>
      <c r="BQ110" s="1331">
        <f t="shared" si="169"/>
        <v>0</v>
      </c>
      <c r="BR110" s="1331">
        <f t="shared" si="170"/>
        <v>0</v>
      </c>
      <c r="BS110" s="523"/>
      <c r="BT110" s="523"/>
      <c r="BU110" s="523"/>
      <c r="BV110" s="523"/>
      <c r="BW110" s="1333">
        <f t="shared" ca="1" si="197"/>
        <v>2125</v>
      </c>
      <c r="BX110" s="1331">
        <f t="shared" si="171"/>
        <v>109860517.78504556</v>
      </c>
      <c r="BY110" s="1331">
        <f t="shared" ca="1" si="198"/>
        <v>31988208.315344475</v>
      </c>
      <c r="BZ110" s="1336">
        <f t="shared" si="172"/>
        <v>71072086.163392156</v>
      </c>
      <c r="CA110" s="1336">
        <f t="shared" si="173"/>
        <v>38788431.621653408</v>
      </c>
      <c r="CB110" s="1336">
        <f t="shared" si="174"/>
        <v>0</v>
      </c>
      <c r="CC110" s="1336">
        <f t="shared" si="175"/>
        <v>0</v>
      </c>
      <c r="CD110" s="1336">
        <f t="shared" si="176"/>
        <v>0</v>
      </c>
      <c r="CE110" s="1336">
        <f t="shared" si="177"/>
        <v>0</v>
      </c>
      <c r="CF110" s="1336">
        <f t="shared" si="178"/>
        <v>0</v>
      </c>
      <c r="CG110" s="1336">
        <f t="shared" si="179"/>
        <v>0</v>
      </c>
      <c r="CH110" s="1336">
        <f t="shared" si="180"/>
        <v>0</v>
      </c>
      <c r="CI110" s="1336">
        <f t="shared" si="181"/>
        <v>0</v>
      </c>
      <c r="CJ110" s="1336">
        <f t="shared" si="182"/>
        <v>0</v>
      </c>
      <c r="CK110" s="1336">
        <f t="shared" si="183"/>
        <v>0</v>
      </c>
      <c r="CL110" s="1336"/>
      <c r="CM110" s="1336">
        <f t="shared" si="184"/>
        <v>0</v>
      </c>
      <c r="CN110" s="1336">
        <f t="shared" si="185"/>
        <v>0</v>
      </c>
      <c r="CO110" s="1336">
        <f t="shared" si="186"/>
        <v>31988208.315344475</v>
      </c>
      <c r="CP110" s="1336">
        <f t="shared" si="187"/>
        <v>0</v>
      </c>
      <c r="CQ110" s="1336">
        <f t="shared" si="188"/>
        <v>0</v>
      </c>
      <c r="CR110" s="1336">
        <f t="shared" si="189"/>
        <v>0</v>
      </c>
      <c r="CS110" s="1336">
        <f t="shared" si="190"/>
        <v>0</v>
      </c>
      <c r="CT110" s="1336">
        <f t="shared" si="191"/>
        <v>0</v>
      </c>
      <c r="CU110" s="1336">
        <f t="shared" si="192"/>
        <v>0</v>
      </c>
      <c r="CV110" s="1336">
        <f t="shared" si="193"/>
        <v>0</v>
      </c>
      <c r="CW110" s="1336">
        <f t="shared" si="194"/>
        <v>0</v>
      </c>
      <c r="CX110" s="1336">
        <f t="shared" si="195"/>
        <v>0</v>
      </c>
      <c r="CY110" s="1336"/>
      <c r="CZ110" s="1336"/>
      <c r="DA110" s="1334">
        <f ca="1">Rental!Y140</f>
        <v>0</v>
      </c>
      <c r="DB110" s="1334">
        <f ca="1">Rental!AD140</f>
        <v>0</v>
      </c>
      <c r="DC110" s="1972"/>
      <c r="DD110" s="1761"/>
      <c r="DE110" s="1761"/>
      <c r="DF110" s="1335"/>
      <c r="DG110" s="1335"/>
      <c r="DH110" s="1335"/>
      <c r="DI110" s="1335"/>
      <c r="DJ110" s="1335"/>
      <c r="DK110" s="1335"/>
      <c r="DL110" s="1335"/>
      <c r="DM110" s="1335"/>
      <c r="DN110" s="1335"/>
      <c r="DO110" s="1335"/>
      <c r="DP110" s="1335"/>
      <c r="DQ110" s="1335"/>
      <c r="DR110" s="1335"/>
      <c r="DS110" s="1335"/>
      <c r="DT110" s="1335"/>
    </row>
    <row r="111" spans="1:124" s="1185" customFormat="1" ht="18" customHeight="1">
      <c r="A111" s="523">
        <f ca="1">IF(E111=YEAR(Retire!$D$12),1,0)</f>
        <v>0</v>
      </c>
      <c r="B111" s="502"/>
      <c r="C111" s="503" t="str">
        <f ca="1">IF(E111=Retire!$D$12,"==&gt;","")</f>
        <v/>
      </c>
      <c r="D111" s="504">
        <f t="shared" si="132"/>
        <v>105</v>
      </c>
      <c r="E111" s="504">
        <f t="shared" ca="1" si="133"/>
        <v>2126</v>
      </c>
      <c r="F111" s="505">
        <f t="shared" ca="1" si="146"/>
        <v>149620155</v>
      </c>
      <c r="G111" s="505"/>
      <c r="H111" s="506">
        <f>Assets!$G$37</f>
        <v>5.5E-2</v>
      </c>
      <c r="I111" s="507">
        <f>Assets!$F$37</f>
        <v>2000</v>
      </c>
      <c r="J111" s="507">
        <f t="shared" si="147"/>
        <v>74983050.902378723</v>
      </c>
      <c r="K111" s="1220"/>
      <c r="L111" s="506">
        <f>Assets!$G$38</f>
        <v>0.05</v>
      </c>
      <c r="M111" s="507">
        <f>Assets!$F$38</f>
        <v>1500</v>
      </c>
      <c r="N111" s="507">
        <f t="shared" si="148"/>
        <v>40729353.20273608</v>
      </c>
      <c r="O111" s="1220"/>
      <c r="P111" s="506">
        <f>Assets!$G$39</f>
        <v>0.06</v>
      </c>
      <c r="Q111" s="508">
        <f>Assets!$F$39</f>
        <v>250</v>
      </c>
      <c r="R111" s="507">
        <f t="shared" si="149"/>
        <v>33907750.814265147</v>
      </c>
      <c r="S111" s="1220"/>
      <c r="T111" s="506">
        <f>Assets!$G$40</f>
        <v>0</v>
      </c>
      <c r="U111" s="510">
        <f>Assets!$F$40</f>
        <v>0</v>
      </c>
      <c r="V111" s="507">
        <f t="shared" si="150"/>
        <v>0</v>
      </c>
      <c r="W111" s="1220"/>
      <c r="X111" s="506">
        <f>Assets!$G$41</f>
        <v>0</v>
      </c>
      <c r="Y111" s="510">
        <f>Assets!$F$41</f>
        <v>0</v>
      </c>
      <c r="Z111" s="507">
        <f t="shared" si="151"/>
        <v>0</v>
      </c>
      <c r="AA111" s="1220"/>
      <c r="AB111" s="506">
        <f>Assets!$G$42</f>
        <v>0</v>
      </c>
      <c r="AC111" s="507">
        <f>Assets!$F$42</f>
        <v>0</v>
      </c>
      <c r="AD111" s="507">
        <f t="shared" si="152"/>
        <v>0</v>
      </c>
      <c r="AE111" s="1220"/>
      <c r="AF111" s="506">
        <f>Assets!$G$43</f>
        <v>0</v>
      </c>
      <c r="AG111" s="507">
        <f>Assets!$F$43</f>
        <v>0</v>
      </c>
      <c r="AH111" s="507">
        <f t="shared" si="153"/>
        <v>0</v>
      </c>
      <c r="AI111" s="1220"/>
      <c r="AJ111" s="506">
        <f>Assets!$G$44</f>
        <v>0</v>
      </c>
      <c r="AK111" s="507">
        <f>Assets!$F$44</f>
        <v>0</v>
      </c>
      <c r="AL111" s="507">
        <f t="shared" si="154"/>
        <v>0</v>
      </c>
      <c r="AM111" s="1220"/>
      <c r="AN111" s="506">
        <f>Assets!$G$45</f>
        <v>0</v>
      </c>
      <c r="AO111" s="507">
        <f>Assets!$F$45</f>
        <v>0</v>
      </c>
      <c r="AP111" s="507">
        <f t="shared" si="155"/>
        <v>0</v>
      </c>
      <c r="AQ111" s="1220"/>
      <c r="AR111" s="506">
        <f>Assets!$G$46</f>
        <v>0</v>
      </c>
      <c r="AS111" s="507">
        <f>Assets!$F$46</f>
        <v>0</v>
      </c>
      <c r="AT111" s="507">
        <f t="shared" si="156"/>
        <v>0</v>
      </c>
      <c r="AU111" s="1220"/>
      <c r="AV111" s="506">
        <f>Assets!$G$47</f>
        <v>0</v>
      </c>
      <c r="AW111" s="507">
        <f>Assets!F$47</f>
        <v>0</v>
      </c>
      <c r="AX111" s="507">
        <f t="shared" si="157"/>
        <v>0</v>
      </c>
      <c r="AY111" s="1220"/>
      <c r="AZ111" s="506">
        <f>Assets!$G$48</f>
        <v>0</v>
      </c>
      <c r="BA111" s="507">
        <f>Assets!$F$48</f>
        <v>0</v>
      </c>
      <c r="BB111" s="507">
        <f t="shared" si="158"/>
        <v>0</v>
      </c>
      <c r="BC111" s="502"/>
      <c r="BD111" s="2005"/>
      <c r="BE111" s="523"/>
      <c r="BF111" s="523"/>
      <c r="BG111" s="1331">
        <f t="shared" si="159"/>
        <v>74983050.902378723</v>
      </c>
      <c r="BH111" s="1331">
        <f t="shared" si="160"/>
        <v>40729353.20273608</v>
      </c>
      <c r="BI111" s="1331">
        <f t="shared" si="161"/>
        <v>33907750.814265147</v>
      </c>
      <c r="BJ111" s="1331">
        <f t="shared" si="162"/>
        <v>0</v>
      </c>
      <c r="BK111" s="1331">
        <f t="shared" si="163"/>
        <v>0</v>
      </c>
      <c r="BL111" s="1331">
        <f t="shared" si="164"/>
        <v>0</v>
      </c>
      <c r="BM111" s="1331">
        <f t="shared" si="165"/>
        <v>0</v>
      </c>
      <c r="BN111" s="1331">
        <f t="shared" si="166"/>
        <v>0</v>
      </c>
      <c r="BO111" s="1331">
        <f t="shared" si="167"/>
        <v>0</v>
      </c>
      <c r="BP111" s="1331">
        <f t="shared" si="168"/>
        <v>0</v>
      </c>
      <c r="BQ111" s="1331">
        <f t="shared" si="169"/>
        <v>0</v>
      </c>
      <c r="BR111" s="1331">
        <f t="shared" si="170"/>
        <v>0</v>
      </c>
      <c r="BS111" s="523"/>
      <c r="BT111" s="523"/>
      <c r="BU111" s="523"/>
      <c r="BV111" s="523"/>
      <c r="BW111" s="1333">
        <f t="shared" ca="1" si="197"/>
        <v>2126</v>
      </c>
      <c r="BX111" s="1331">
        <f t="shared" si="171"/>
        <v>115712404.1051148</v>
      </c>
      <c r="BY111" s="1331">
        <f t="shared" ca="1" si="198"/>
        <v>33907750.814265147</v>
      </c>
      <c r="BZ111" s="1336">
        <f t="shared" si="172"/>
        <v>74983050.902378723</v>
      </c>
      <c r="CA111" s="1336">
        <f t="shared" si="173"/>
        <v>40729353.20273608</v>
      </c>
      <c r="CB111" s="1336">
        <f t="shared" si="174"/>
        <v>0</v>
      </c>
      <c r="CC111" s="1336">
        <f t="shared" si="175"/>
        <v>0</v>
      </c>
      <c r="CD111" s="1336">
        <f t="shared" si="176"/>
        <v>0</v>
      </c>
      <c r="CE111" s="1336">
        <f t="shared" si="177"/>
        <v>0</v>
      </c>
      <c r="CF111" s="1336">
        <f t="shared" si="178"/>
        <v>0</v>
      </c>
      <c r="CG111" s="1336">
        <f t="shared" si="179"/>
        <v>0</v>
      </c>
      <c r="CH111" s="1336">
        <f t="shared" si="180"/>
        <v>0</v>
      </c>
      <c r="CI111" s="1336">
        <f t="shared" si="181"/>
        <v>0</v>
      </c>
      <c r="CJ111" s="1336">
        <f t="shared" si="182"/>
        <v>0</v>
      </c>
      <c r="CK111" s="1336">
        <f t="shared" si="183"/>
        <v>0</v>
      </c>
      <c r="CL111" s="1336"/>
      <c r="CM111" s="1336">
        <f t="shared" si="184"/>
        <v>0</v>
      </c>
      <c r="CN111" s="1336">
        <f t="shared" si="185"/>
        <v>0</v>
      </c>
      <c r="CO111" s="1336">
        <f t="shared" si="186"/>
        <v>33907750.814265147</v>
      </c>
      <c r="CP111" s="1336">
        <f t="shared" si="187"/>
        <v>0</v>
      </c>
      <c r="CQ111" s="1336">
        <f t="shared" si="188"/>
        <v>0</v>
      </c>
      <c r="CR111" s="1336">
        <f t="shared" si="189"/>
        <v>0</v>
      </c>
      <c r="CS111" s="1336">
        <f t="shared" si="190"/>
        <v>0</v>
      </c>
      <c r="CT111" s="1336">
        <f t="shared" si="191"/>
        <v>0</v>
      </c>
      <c r="CU111" s="1336">
        <f t="shared" si="192"/>
        <v>0</v>
      </c>
      <c r="CV111" s="1336">
        <f t="shared" si="193"/>
        <v>0</v>
      </c>
      <c r="CW111" s="1336">
        <f t="shared" si="194"/>
        <v>0</v>
      </c>
      <c r="CX111" s="1336">
        <f t="shared" si="195"/>
        <v>0</v>
      </c>
      <c r="CY111" s="1336"/>
      <c r="CZ111" s="1336"/>
      <c r="DA111" s="1334">
        <f ca="1">Rental!Y141</f>
        <v>0</v>
      </c>
      <c r="DB111" s="1334">
        <f ca="1">Rental!AD141</f>
        <v>0</v>
      </c>
      <c r="DC111" s="1972"/>
      <c r="DD111" s="1761"/>
      <c r="DE111" s="1761"/>
      <c r="DF111" s="1335"/>
      <c r="DG111" s="1335"/>
      <c r="DH111" s="1335"/>
      <c r="DI111" s="1335"/>
      <c r="DJ111" s="1335"/>
      <c r="DK111" s="1335"/>
      <c r="DL111" s="1335"/>
      <c r="DM111" s="1335"/>
      <c r="DN111" s="1335"/>
      <c r="DO111" s="1335"/>
      <c r="DP111" s="1335"/>
      <c r="DQ111" s="1335"/>
      <c r="DR111" s="1335"/>
      <c r="DS111" s="1335"/>
      <c r="DT111" s="1335"/>
    </row>
    <row r="112" spans="1:124" s="1185" customFormat="1" ht="18" customHeight="1">
      <c r="A112" s="523">
        <f ca="1">IF(E112=YEAR(Retire!$D$12),1,0)</f>
        <v>0</v>
      </c>
      <c r="B112" s="502"/>
      <c r="C112" s="503" t="str">
        <f ca="1">IF(E112=Retire!$D$12,"==&gt;","")</f>
        <v/>
      </c>
      <c r="D112" s="512">
        <f t="shared" si="132"/>
        <v>106</v>
      </c>
      <c r="E112" s="512">
        <f t="shared" ca="1" si="133"/>
        <v>2127</v>
      </c>
      <c r="F112" s="513">
        <f t="shared" ca="1" si="146"/>
        <v>157818905</v>
      </c>
      <c r="G112" s="513"/>
      <c r="H112" s="514">
        <f>Assets!$G$37</f>
        <v>5.5E-2</v>
      </c>
      <c r="I112" s="515">
        <f>Assets!$F$37</f>
        <v>2000</v>
      </c>
      <c r="J112" s="515">
        <f t="shared" si="147"/>
        <v>79109118.702009559</v>
      </c>
      <c r="K112" s="1220"/>
      <c r="L112" s="514">
        <f>Assets!$G$38</f>
        <v>0.05</v>
      </c>
      <c r="M112" s="515">
        <f>Assets!$F$38</f>
        <v>1500</v>
      </c>
      <c r="N112" s="515">
        <f t="shared" si="148"/>
        <v>42767320.862872884</v>
      </c>
      <c r="O112" s="1220"/>
      <c r="P112" s="514">
        <f>Assets!$G$39</f>
        <v>0.06</v>
      </c>
      <c r="Q112" s="516">
        <f>Assets!$F$39</f>
        <v>250</v>
      </c>
      <c r="R112" s="515">
        <f t="shared" si="149"/>
        <v>35942465.863121055</v>
      </c>
      <c r="S112" s="1220"/>
      <c r="T112" s="514">
        <f>Assets!$G$40</f>
        <v>0</v>
      </c>
      <c r="U112" s="517">
        <f>Assets!$F$40</f>
        <v>0</v>
      </c>
      <c r="V112" s="515">
        <f t="shared" si="150"/>
        <v>0</v>
      </c>
      <c r="W112" s="1220"/>
      <c r="X112" s="514">
        <f>Assets!$G$41</f>
        <v>0</v>
      </c>
      <c r="Y112" s="517">
        <f>Assets!$F$41</f>
        <v>0</v>
      </c>
      <c r="Z112" s="515">
        <f t="shared" si="151"/>
        <v>0</v>
      </c>
      <c r="AA112" s="1220"/>
      <c r="AB112" s="514">
        <f>Assets!$G$42</f>
        <v>0</v>
      </c>
      <c r="AC112" s="515">
        <f>Assets!$F$42</f>
        <v>0</v>
      </c>
      <c r="AD112" s="515">
        <f t="shared" si="152"/>
        <v>0</v>
      </c>
      <c r="AE112" s="1220"/>
      <c r="AF112" s="514">
        <f>Assets!$G$43</f>
        <v>0</v>
      </c>
      <c r="AG112" s="515">
        <f>Assets!$F$43</f>
        <v>0</v>
      </c>
      <c r="AH112" s="515">
        <f t="shared" si="153"/>
        <v>0</v>
      </c>
      <c r="AI112" s="1220"/>
      <c r="AJ112" s="514">
        <f>Assets!$G$44</f>
        <v>0</v>
      </c>
      <c r="AK112" s="515">
        <f>Assets!$F$44</f>
        <v>0</v>
      </c>
      <c r="AL112" s="515">
        <f t="shared" si="154"/>
        <v>0</v>
      </c>
      <c r="AM112" s="1220"/>
      <c r="AN112" s="514">
        <f>Assets!$G$45</f>
        <v>0</v>
      </c>
      <c r="AO112" s="515">
        <f>Assets!$F$45</f>
        <v>0</v>
      </c>
      <c r="AP112" s="515">
        <f t="shared" si="155"/>
        <v>0</v>
      </c>
      <c r="AQ112" s="1220"/>
      <c r="AR112" s="514">
        <f>Assets!$G$46</f>
        <v>0</v>
      </c>
      <c r="AS112" s="515">
        <f>Assets!$F$46</f>
        <v>0</v>
      </c>
      <c r="AT112" s="515">
        <f t="shared" si="156"/>
        <v>0</v>
      </c>
      <c r="AU112" s="1220"/>
      <c r="AV112" s="514">
        <f>Assets!$G$47</f>
        <v>0</v>
      </c>
      <c r="AW112" s="515">
        <f>Assets!F$47</f>
        <v>0</v>
      </c>
      <c r="AX112" s="515">
        <f t="shared" si="157"/>
        <v>0</v>
      </c>
      <c r="AY112" s="1220"/>
      <c r="AZ112" s="514">
        <f>Assets!$G$48</f>
        <v>0</v>
      </c>
      <c r="BA112" s="515">
        <f>Assets!$F$48</f>
        <v>0</v>
      </c>
      <c r="BB112" s="515">
        <f t="shared" si="158"/>
        <v>0</v>
      </c>
      <c r="BC112" s="502"/>
      <c r="BD112" s="2005"/>
      <c r="BE112" s="523"/>
      <c r="BF112" s="523"/>
      <c r="BG112" s="1331">
        <f t="shared" si="159"/>
        <v>79109118.702009559</v>
      </c>
      <c r="BH112" s="1331">
        <f t="shared" si="160"/>
        <v>42767320.862872884</v>
      </c>
      <c r="BI112" s="1331">
        <f t="shared" si="161"/>
        <v>35942465.863121055</v>
      </c>
      <c r="BJ112" s="1331">
        <f t="shared" si="162"/>
        <v>0</v>
      </c>
      <c r="BK112" s="1331">
        <f t="shared" si="163"/>
        <v>0</v>
      </c>
      <c r="BL112" s="1331">
        <f t="shared" si="164"/>
        <v>0</v>
      </c>
      <c r="BM112" s="1331">
        <f t="shared" si="165"/>
        <v>0</v>
      </c>
      <c r="BN112" s="1331">
        <f t="shared" si="166"/>
        <v>0</v>
      </c>
      <c r="BO112" s="1331">
        <f t="shared" si="167"/>
        <v>0</v>
      </c>
      <c r="BP112" s="1331">
        <f t="shared" si="168"/>
        <v>0</v>
      </c>
      <c r="BQ112" s="1331">
        <f t="shared" si="169"/>
        <v>0</v>
      </c>
      <c r="BR112" s="1331">
        <f t="shared" si="170"/>
        <v>0</v>
      </c>
      <c r="BS112" s="523"/>
      <c r="BT112" s="523"/>
      <c r="BU112" s="523"/>
      <c r="BV112" s="523"/>
      <c r="BW112" s="1333">
        <f t="shared" ca="1" si="197"/>
        <v>2127</v>
      </c>
      <c r="BX112" s="1331">
        <f t="shared" si="171"/>
        <v>121876439.56488244</v>
      </c>
      <c r="BY112" s="1331">
        <f t="shared" ca="1" si="198"/>
        <v>35942465.863121055</v>
      </c>
      <c r="BZ112" s="1336">
        <f t="shared" si="172"/>
        <v>79109118.702009559</v>
      </c>
      <c r="CA112" s="1336">
        <f t="shared" si="173"/>
        <v>42767320.862872884</v>
      </c>
      <c r="CB112" s="1336">
        <f t="shared" si="174"/>
        <v>0</v>
      </c>
      <c r="CC112" s="1336">
        <f t="shared" si="175"/>
        <v>0</v>
      </c>
      <c r="CD112" s="1336">
        <f t="shared" si="176"/>
        <v>0</v>
      </c>
      <c r="CE112" s="1336">
        <f t="shared" si="177"/>
        <v>0</v>
      </c>
      <c r="CF112" s="1336">
        <f t="shared" si="178"/>
        <v>0</v>
      </c>
      <c r="CG112" s="1336">
        <f t="shared" si="179"/>
        <v>0</v>
      </c>
      <c r="CH112" s="1336">
        <f t="shared" si="180"/>
        <v>0</v>
      </c>
      <c r="CI112" s="1336">
        <f t="shared" si="181"/>
        <v>0</v>
      </c>
      <c r="CJ112" s="1336">
        <f t="shared" si="182"/>
        <v>0</v>
      </c>
      <c r="CK112" s="1336">
        <f t="shared" si="183"/>
        <v>0</v>
      </c>
      <c r="CL112" s="1336"/>
      <c r="CM112" s="1336">
        <f t="shared" si="184"/>
        <v>0</v>
      </c>
      <c r="CN112" s="1336">
        <f t="shared" si="185"/>
        <v>0</v>
      </c>
      <c r="CO112" s="1336">
        <f t="shared" si="186"/>
        <v>35942465.863121055</v>
      </c>
      <c r="CP112" s="1336">
        <f t="shared" si="187"/>
        <v>0</v>
      </c>
      <c r="CQ112" s="1336">
        <f t="shared" si="188"/>
        <v>0</v>
      </c>
      <c r="CR112" s="1336">
        <f t="shared" si="189"/>
        <v>0</v>
      </c>
      <c r="CS112" s="1336">
        <f t="shared" si="190"/>
        <v>0</v>
      </c>
      <c r="CT112" s="1336">
        <f t="shared" si="191"/>
        <v>0</v>
      </c>
      <c r="CU112" s="1336">
        <f t="shared" si="192"/>
        <v>0</v>
      </c>
      <c r="CV112" s="1336">
        <f t="shared" si="193"/>
        <v>0</v>
      </c>
      <c r="CW112" s="1336">
        <f t="shared" si="194"/>
        <v>0</v>
      </c>
      <c r="CX112" s="1336">
        <f t="shared" si="195"/>
        <v>0</v>
      </c>
      <c r="CY112" s="1336"/>
      <c r="CZ112" s="1336"/>
      <c r="DA112" s="1334">
        <f ca="1">Rental!Y142</f>
        <v>0</v>
      </c>
      <c r="DB112" s="1334">
        <f ca="1">Rental!AD142</f>
        <v>0</v>
      </c>
      <c r="DC112" s="1972"/>
      <c r="DD112" s="1761"/>
      <c r="DE112" s="1761"/>
      <c r="DF112" s="1335"/>
      <c r="DG112" s="1335"/>
      <c r="DH112" s="1335"/>
      <c r="DI112" s="1335"/>
      <c r="DJ112" s="1335"/>
      <c r="DK112" s="1335"/>
      <c r="DL112" s="1335"/>
      <c r="DM112" s="1335"/>
      <c r="DN112" s="1335"/>
      <c r="DO112" s="1335"/>
      <c r="DP112" s="1335"/>
      <c r="DQ112" s="1335"/>
      <c r="DR112" s="1335"/>
      <c r="DS112" s="1335"/>
      <c r="DT112" s="1335"/>
    </row>
    <row r="113" spans="1:124" s="1185" customFormat="1" ht="18" customHeight="1">
      <c r="A113" s="523">
        <f ca="1">IF(E113=YEAR(Retire!$D$12),1,0)</f>
        <v>0</v>
      </c>
      <c r="B113" s="502"/>
      <c r="C113" s="503" t="str">
        <f ca="1">IF(E113=Retire!$D$12,"==&gt;","")</f>
        <v/>
      </c>
      <c r="D113" s="504">
        <f t="shared" si="132"/>
        <v>107</v>
      </c>
      <c r="E113" s="504">
        <f t="shared" ca="1" si="133"/>
        <v>2128</v>
      </c>
      <c r="F113" s="505">
        <f t="shared" ca="1" si="146"/>
        <v>166468571</v>
      </c>
      <c r="G113" s="505"/>
      <c r="H113" s="506">
        <f>Assets!$G$37</f>
        <v>5.5E-2</v>
      </c>
      <c r="I113" s="507">
        <f>Assets!$F$37</f>
        <v>2000</v>
      </c>
      <c r="J113" s="507">
        <f t="shared" si="147"/>
        <v>83462120.230620086</v>
      </c>
      <c r="K113" s="1220"/>
      <c r="L113" s="506">
        <f>Assets!$G$38</f>
        <v>0.05</v>
      </c>
      <c r="M113" s="507">
        <f>Assets!$F$38</f>
        <v>1500</v>
      </c>
      <c r="N113" s="507">
        <f t="shared" si="148"/>
        <v>44907186.906016529</v>
      </c>
      <c r="O113" s="1220"/>
      <c r="P113" s="506">
        <f>Assets!$G$39</f>
        <v>0.06</v>
      </c>
      <c r="Q113" s="508">
        <f>Assets!$F$39</f>
        <v>250</v>
      </c>
      <c r="R113" s="507">
        <f t="shared" si="149"/>
        <v>38099263.814908318</v>
      </c>
      <c r="S113" s="1220"/>
      <c r="T113" s="506">
        <f>Assets!$G$40</f>
        <v>0</v>
      </c>
      <c r="U113" s="510">
        <f>Assets!$F$40</f>
        <v>0</v>
      </c>
      <c r="V113" s="507">
        <f t="shared" si="150"/>
        <v>0</v>
      </c>
      <c r="W113" s="1220"/>
      <c r="X113" s="506">
        <f>Assets!$G$41</f>
        <v>0</v>
      </c>
      <c r="Y113" s="510">
        <f>Assets!$F$41</f>
        <v>0</v>
      </c>
      <c r="Z113" s="507">
        <f t="shared" si="151"/>
        <v>0</v>
      </c>
      <c r="AA113" s="1220"/>
      <c r="AB113" s="506">
        <f>Assets!$G$42</f>
        <v>0</v>
      </c>
      <c r="AC113" s="507">
        <f>Assets!$F$42</f>
        <v>0</v>
      </c>
      <c r="AD113" s="507">
        <f t="shared" si="152"/>
        <v>0</v>
      </c>
      <c r="AE113" s="1220"/>
      <c r="AF113" s="506">
        <f>Assets!$G$43</f>
        <v>0</v>
      </c>
      <c r="AG113" s="507">
        <f>Assets!$F$43</f>
        <v>0</v>
      </c>
      <c r="AH113" s="507">
        <f t="shared" si="153"/>
        <v>0</v>
      </c>
      <c r="AI113" s="1220"/>
      <c r="AJ113" s="506">
        <f>Assets!$G$44</f>
        <v>0</v>
      </c>
      <c r="AK113" s="507">
        <f>Assets!$F$44</f>
        <v>0</v>
      </c>
      <c r="AL113" s="507">
        <f t="shared" si="154"/>
        <v>0</v>
      </c>
      <c r="AM113" s="1220"/>
      <c r="AN113" s="506">
        <f>Assets!$G$45</f>
        <v>0</v>
      </c>
      <c r="AO113" s="507">
        <f>Assets!$F$45</f>
        <v>0</v>
      </c>
      <c r="AP113" s="507">
        <f t="shared" si="155"/>
        <v>0</v>
      </c>
      <c r="AQ113" s="1220"/>
      <c r="AR113" s="506">
        <f>Assets!$G$46</f>
        <v>0</v>
      </c>
      <c r="AS113" s="507">
        <f>Assets!$F$46</f>
        <v>0</v>
      </c>
      <c r="AT113" s="507">
        <f t="shared" si="156"/>
        <v>0</v>
      </c>
      <c r="AU113" s="1220"/>
      <c r="AV113" s="506">
        <f>Assets!$G$47</f>
        <v>0</v>
      </c>
      <c r="AW113" s="507">
        <f>Assets!F$47</f>
        <v>0</v>
      </c>
      <c r="AX113" s="507">
        <f t="shared" si="157"/>
        <v>0</v>
      </c>
      <c r="AY113" s="1220"/>
      <c r="AZ113" s="506">
        <f>Assets!$G$48</f>
        <v>0</v>
      </c>
      <c r="BA113" s="507">
        <f>Assets!$F$48</f>
        <v>0</v>
      </c>
      <c r="BB113" s="507">
        <f t="shared" si="158"/>
        <v>0</v>
      </c>
      <c r="BC113" s="502"/>
      <c r="BD113" s="2005"/>
      <c r="BE113" s="523"/>
      <c r="BF113" s="523"/>
      <c r="BG113" s="1331">
        <f t="shared" si="159"/>
        <v>83462120.230620086</v>
      </c>
      <c r="BH113" s="1331">
        <f t="shared" si="160"/>
        <v>44907186.906016529</v>
      </c>
      <c r="BI113" s="1331">
        <f t="shared" si="161"/>
        <v>38099263.814908318</v>
      </c>
      <c r="BJ113" s="1331">
        <f t="shared" si="162"/>
        <v>0</v>
      </c>
      <c r="BK113" s="1331">
        <f t="shared" si="163"/>
        <v>0</v>
      </c>
      <c r="BL113" s="1331">
        <f t="shared" si="164"/>
        <v>0</v>
      </c>
      <c r="BM113" s="1331">
        <f t="shared" si="165"/>
        <v>0</v>
      </c>
      <c r="BN113" s="1331">
        <f t="shared" si="166"/>
        <v>0</v>
      </c>
      <c r="BO113" s="1331">
        <f t="shared" si="167"/>
        <v>0</v>
      </c>
      <c r="BP113" s="1331">
        <f t="shared" si="168"/>
        <v>0</v>
      </c>
      <c r="BQ113" s="1331">
        <f t="shared" si="169"/>
        <v>0</v>
      </c>
      <c r="BR113" s="1331">
        <f t="shared" si="170"/>
        <v>0</v>
      </c>
      <c r="BS113" s="523"/>
      <c r="BT113" s="523"/>
      <c r="BU113" s="523"/>
      <c r="BV113" s="523"/>
      <c r="BW113" s="1333">
        <f t="shared" ca="1" si="197"/>
        <v>2128</v>
      </c>
      <c r="BX113" s="1331">
        <f t="shared" si="171"/>
        <v>128369307.13663661</v>
      </c>
      <c r="BY113" s="1331">
        <f t="shared" ca="1" si="198"/>
        <v>38099263.814908318</v>
      </c>
      <c r="BZ113" s="1336">
        <f t="shared" si="172"/>
        <v>83462120.230620086</v>
      </c>
      <c r="CA113" s="1336">
        <f t="shared" si="173"/>
        <v>44907186.906016529</v>
      </c>
      <c r="CB113" s="1336">
        <f t="shared" si="174"/>
        <v>0</v>
      </c>
      <c r="CC113" s="1336">
        <f t="shared" si="175"/>
        <v>0</v>
      </c>
      <c r="CD113" s="1336">
        <f t="shared" si="176"/>
        <v>0</v>
      </c>
      <c r="CE113" s="1336">
        <f t="shared" si="177"/>
        <v>0</v>
      </c>
      <c r="CF113" s="1336">
        <f t="shared" si="178"/>
        <v>0</v>
      </c>
      <c r="CG113" s="1336">
        <f t="shared" si="179"/>
        <v>0</v>
      </c>
      <c r="CH113" s="1336">
        <f t="shared" si="180"/>
        <v>0</v>
      </c>
      <c r="CI113" s="1336">
        <f t="shared" si="181"/>
        <v>0</v>
      </c>
      <c r="CJ113" s="1336">
        <f t="shared" si="182"/>
        <v>0</v>
      </c>
      <c r="CK113" s="1336">
        <f t="shared" si="183"/>
        <v>0</v>
      </c>
      <c r="CL113" s="1336"/>
      <c r="CM113" s="1336">
        <f t="shared" si="184"/>
        <v>0</v>
      </c>
      <c r="CN113" s="1336">
        <f t="shared" si="185"/>
        <v>0</v>
      </c>
      <c r="CO113" s="1336">
        <f t="shared" si="186"/>
        <v>38099263.814908318</v>
      </c>
      <c r="CP113" s="1336">
        <f t="shared" si="187"/>
        <v>0</v>
      </c>
      <c r="CQ113" s="1336">
        <f t="shared" si="188"/>
        <v>0</v>
      </c>
      <c r="CR113" s="1336">
        <f t="shared" si="189"/>
        <v>0</v>
      </c>
      <c r="CS113" s="1336">
        <f t="shared" si="190"/>
        <v>0</v>
      </c>
      <c r="CT113" s="1336">
        <f t="shared" si="191"/>
        <v>0</v>
      </c>
      <c r="CU113" s="1336">
        <f t="shared" si="192"/>
        <v>0</v>
      </c>
      <c r="CV113" s="1336">
        <f t="shared" si="193"/>
        <v>0</v>
      </c>
      <c r="CW113" s="1336">
        <f t="shared" si="194"/>
        <v>0</v>
      </c>
      <c r="CX113" s="1336">
        <f t="shared" si="195"/>
        <v>0</v>
      </c>
      <c r="CY113" s="1336"/>
      <c r="CZ113" s="1336"/>
      <c r="DA113" s="1334">
        <f ca="1">Rental!Y143</f>
        <v>0</v>
      </c>
      <c r="DB113" s="1334">
        <f ca="1">Rental!AD143</f>
        <v>0</v>
      </c>
      <c r="DC113" s="1972"/>
      <c r="DD113" s="1761"/>
      <c r="DE113" s="1761"/>
      <c r="DF113" s="1335"/>
      <c r="DG113" s="1335"/>
      <c r="DH113" s="1335"/>
      <c r="DI113" s="1335"/>
      <c r="DJ113" s="1335"/>
      <c r="DK113" s="1335"/>
      <c r="DL113" s="1335"/>
      <c r="DM113" s="1335"/>
      <c r="DN113" s="1335"/>
      <c r="DO113" s="1335"/>
      <c r="DP113" s="1335"/>
      <c r="DQ113" s="1335"/>
      <c r="DR113" s="1335"/>
      <c r="DS113" s="1335"/>
      <c r="DT113" s="1335"/>
    </row>
    <row r="114" spans="1:124" s="1185" customFormat="1" ht="18" customHeight="1">
      <c r="A114" s="523">
        <f ca="1">IF(E114=YEAR(Retire!$D$12),1,0)</f>
        <v>0</v>
      </c>
      <c r="B114" s="502"/>
      <c r="C114" s="503" t="str">
        <f ca="1">IF(E114=Retire!$D$12,"==&gt;","")</f>
        <v/>
      </c>
      <c r="D114" s="512">
        <f t="shared" si="132"/>
        <v>108</v>
      </c>
      <c r="E114" s="512">
        <f t="shared" ca="1" si="133"/>
        <v>2129</v>
      </c>
      <c r="F114" s="513">
        <f t="shared" ca="1" si="146"/>
        <v>175594053</v>
      </c>
      <c r="G114" s="513"/>
      <c r="H114" s="514">
        <f>Assets!$G$37</f>
        <v>5.5E-2</v>
      </c>
      <c r="I114" s="515">
        <f>Assets!$F$37</f>
        <v>2000</v>
      </c>
      <c r="J114" s="515">
        <f t="shared" si="147"/>
        <v>88054536.843304187</v>
      </c>
      <c r="K114" s="1220"/>
      <c r="L114" s="514">
        <f>Assets!$G$38</f>
        <v>0.05</v>
      </c>
      <c r="M114" s="515">
        <f>Assets!$F$38</f>
        <v>1500</v>
      </c>
      <c r="N114" s="515">
        <f t="shared" si="148"/>
        <v>47154046.251317352</v>
      </c>
      <c r="O114" s="1220"/>
      <c r="P114" s="514">
        <f>Assets!$G$39</f>
        <v>0.06</v>
      </c>
      <c r="Q114" s="516">
        <f>Assets!$F$39</f>
        <v>250</v>
      </c>
      <c r="R114" s="515">
        <f t="shared" si="149"/>
        <v>40385469.643802814</v>
      </c>
      <c r="S114" s="1220"/>
      <c r="T114" s="514">
        <f>Assets!$G$40</f>
        <v>0</v>
      </c>
      <c r="U114" s="517">
        <f>Assets!$F$40</f>
        <v>0</v>
      </c>
      <c r="V114" s="515">
        <f t="shared" si="150"/>
        <v>0</v>
      </c>
      <c r="W114" s="1220"/>
      <c r="X114" s="514">
        <f>Assets!$G$41</f>
        <v>0</v>
      </c>
      <c r="Y114" s="517">
        <f>Assets!$F$41</f>
        <v>0</v>
      </c>
      <c r="Z114" s="515">
        <f t="shared" si="151"/>
        <v>0</v>
      </c>
      <c r="AA114" s="1220"/>
      <c r="AB114" s="514">
        <f>Assets!$G$42</f>
        <v>0</v>
      </c>
      <c r="AC114" s="515">
        <f>Assets!$F$42</f>
        <v>0</v>
      </c>
      <c r="AD114" s="515">
        <f t="shared" si="152"/>
        <v>0</v>
      </c>
      <c r="AE114" s="1220"/>
      <c r="AF114" s="514">
        <f>Assets!$G$43</f>
        <v>0</v>
      </c>
      <c r="AG114" s="515">
        <f>Assets!$F$43</f>
        <v>0</v>
      </c>
      <c r="AH114" s="515">
        <f t="shared" si="153"/>
        <v>0</v>
      </c>
      <c r="AI114" s="1220"/>
      <c r="AJ114" s="514">
        <f>Assets!$G$44</f>
        <v>0</v>
      </c>
      <c r="AK114" s="515">
        <f>Assets!$F$44</f>
        <v>0</v>
      </c>
      <c r="AL114" s="515">
        <f t="shared" si="154"/>
        <v>0</v>
      </c>
      <c r="AM114" s="1220"/>
      <c r="AN114" s="514">
        <f>Assets!$G$45</f>
        <v>0</v>
      </c>
      <c r="AO114" s="515">
        <f>Assets!$F$45</f>
        <v>0</v>
      </c>
      <c r="AP114" s="515">
        <f t="shared" si="155"/>
        <v>0</v>
      </c>
      <c r="AQ114" s="1220"/>
      <c r="AR114" s="514">
        <f>Assets!$G$46</f>
        <v>0</v>
      </c>
      <c r="AS114" s="515">
        <f>Assets!$F$46</f>
        <v>0</v>
      </c>
      <c r="AT114" s="515">
        <f t="shared" si="156"/>
        <v>0</v>
      </c>
      <c r="AU114" s="1220"/>
      <c r="AV114" s="514">
        <f>Assets!$G$47</f>
        <v>0</v>
      </c>
      <c r="AW114" s="515">
        <f>Assets!F$47</f>
        <v>0</v>
      </c>
      <c r="AX114" s="515">
        <f t="shared" si="157"/>
        <v>0</v>
      </c>
      <c r="AY114" s="1220"/>
      <c r="AZ114" s="514">
        <f>Assets!$G$48</f>
        <v>0</v>
      </c>
      <c r="BA114" s="515">
        <f>Assets!$F$48</f>
        <v>0</v>
      </c>
      <c r="BB114" s="515">
        <f t="shared" si="158"/>
        <v>0</v>
      </c>
      <c r="BC114" s="502"/>
      <c r="BD114" s="2005"/>
      <c r="BE114" s="523"/>
      <c r="BF114" s="523"/>
      <c r="BG114" s="1331">
        <f t="shared" si="159"/>
        <v>88054536.843304187</v>
      </c>
      <c r="BH114" s="1331">
        <f t="shared" si="160"/>
        <v>47154046.251317352</v>
      </c>
      <c r="BI114" s="1331">
        <f t="shared" si="161"/>
        <v>40385469.643802814</v>
      </c>
      <c r="BJ114" s="1331">
        <f t="shared" si="162"/>
        <v>0</v>
      </c>
      <c r="BK114" s="1331">
        <f t="shared" si="163"/>
        <v>0</v>
      </c>
      <c r="BL114" s="1331">
        <f t="shared" si="164"/>
        <v>0</v>
      </c>
      <c r="BM114" s="1331">
        <f t="shared" si="165"/>
        <v>0</v>
      </c>
      <c r="BN114" s="1331">
        <f t="shared" si="166"/>
        <v>0</v>
      </c>
      <c r="BO114" s="1331">
        <f t="shared" si="167"/>
        <v>0</v>
      </c>
      <c r="BP114" s="1331">
        <f t="shared" si="168"/>
        <v>0</v>
      </c>
      <c r="BQ114" s="1331">
        <f t="shared" si="169"/>
        <v>0</v>
      </c>
      <c r="BR114" s="1331">
        <f t="shared" si="170"/>
        <v>0</v>
      </c>
      <c r="BS114" s="523"/>
      <c r="BT114" s="523"/>
      <c r="BU114" s="523"/>
      <c r="BV114" s="523"/>
      <c r="BW114" s="1333">
        <f t="shared" ca="1" si="197"/>
        <v>2129</v>
      </c>
      <c r="BX114" s="1331">
        <f t="shared" si="171"/>
        <v>135208583.09462154</v>
      </c>
      <c r="BY114" s="1331">
        <f t="shared" ca="1" si="198"/>
        <v>40385469.643802814</v>
      </c>
      <c r="BZ114" s="1336">
        <f t="shared" si="172"/>
        <v>88054536.843304187</v>
      </c>
      <c r="CA114" s="1336">
        <f t="shared" si="173"/>
        <v>47154046.251317352</v>
      </c>
      <c r="CB114" s="1336">
        <f t="shared" si="174"/>
        <v>0</v>
      </c>
      <c r="CC114" s="1336">
        <f t="shared" si="175"/>
        <v>0</v>
      </c>
      <c r="CD114" s="1336">
        <f t="shared" si="176"/>
        <v>0</v>
      </c>
      <c r="CE114" s="1336">
        <f t="shared" si="177"/>
        <v>0</v>
      </c>
      <c r="CF114" s="1336">
        <f t="shared" si="178"/>
        <v>0</v>
      </c>
      <c r="CG114" s="1336">
        <f t="shared" si="179"/>
        <v>0</v>
      </c>
      <c r="CH114" s="1336">
        <f t="shared" si="180"/>
        <v>0</v>
      </c>
      <c r="CI114" s="1336">
        <f t="shared" si="181"/>
        <v>0</v>
      </c>
      <c r="CJ114" s="1336">
        <f t="shared" si="182"/>
        <v>0</v>
      </c>
      <c r="CK114" s="1336">
        <f t="shared" si="183"/>
        <v>0</v>
      </c>
      <c r="CL114" s="1336"/>
      <c r="CM114" s="1336">
        <f t="shared" si="184"/>
        <v>0</v>
      </c>
      <c r="CN114" s="1336">
        <f t="shared" si="185"/>
        <v>0</v>
      </c>
      <c r="CO114" s="1336">
        <f t="shared" si="186"/>
        <v>40385469.643802814</v>
      </c>
      <c r="CP114" s="1336">
        <f t="shared" si="187"/>
        <v>0</v>
      </c>
      <c r="CQ114" s="1336">
        <f t="shared" si="188"/>
        <v>0</v>
      </c>
      <c r="CR114" s="1336">
        <f t="shared" si="189"/>
        <v>0</v>
      </c>
      <c r="CS114" s="1336">
        <f t="shared" si="190"/>
        <v>0</v>
      </c>
      <c r="CT114" s="1336">
        <f t="shared" si="191"/>
        <v>0</v>
      </c>
      <c r="CU114" s="1336">
        <f t="shared" si="192"/>
        <v>0</v>
      </c>
      <c r="CV114" s="1336">
        <f t="shared" si="193"/>
        <v>0</v>
      </c>
      <c r="CW114" s="1336">
        <f t="shared" si="194"/>
        <v>0</v>
      </c>
      <c r="CX114" s="1336">
        <f t="shared" si="195"/>
        <v>0</v>
      </c>
      <c r="CY114" s="1336"/>
      <c r="CZ114" s="1336"/>
      <c r="DA114" s="1334">
        <f ca="1">Rental!Y144</f>
        <v>0</v>
      </c>
      <c r="DB114" s="1334">
        <f ca="1">Rental!AD144</f>
        <v>0</v>
      </c>
      <c r="DC114" s="1972"/>
      <c r="DD114" s="1761"/>
      <c r="DE114" s="1761"/>
      <c r="DF114" s="1335"/>
      <c r="DG114" s="1335"/>
      <c r="DH114" s="1335"/>
      <c r="DI114" s="1335"/>
      <c r="DJ114" s="1335"/>
      <c r="DK114" s="1335"/>
      <c r="DL114" s="1335"/>
      <c r="DM114" s="1335"/>
      <c r="DN114" s="1335"/>
      <c r="DO114" s="1335"/>
      <c r="DP114" s="1335"/>
      <c r="DQ114" s="1335"/>
      <c r="DR114" s="1335"/>
      <c r="DS114" s="1335"/>
      <c r="DT114" s="1335"/>
    </row>
    <row r="115" spans="1:124" s="1185" customFormat="1" ht="18" customHeight="1">
      <c r="A115" s="523">
        <f ca="1">IF(E115=YEAR(Retire!$D$12),1,0)</f>
        <v>0</v>
      </c>
      <c r="B115" s="502"/>
      <c r="C115" s="503" t="str">
        <f ca="1">IF(E115=Retire!$D$12,"==&gt;","")</f>
        <v/>
      </c>
      <c r="D115" s="504">
        <f t="shared" si="132"/>
        <v>109</v>
      </c>
      <c r="E115" s="504">
        <f t="shared" ca="1" si="133"/>
        <v>2130</v>
      </c>
      <c r="F115" s="505">
        <f t="shared" ca="1" si="146"/>
        <v>185221633</v>
      </c>
      <c r="G115" s="505"/>
      <c r="H115" s="506">
        <f>Assets!$G$37</f>
        <v>5.5E-2</v>
      </c>
      <c r="I115" s="507">
        <f>Assets!$F$37</f>
        <v>2000</v>
      </c>
      <c r="J115" s="507">
        <f t="shared" si="147"/>
        <v>92899536.369685918</v>
      </c>
      <c r="K115" s="1220"/>
      <c r="L115" s="506">
        <f>Assets!$G$38</f>
        <v>0.05</v>
      </c>
      <c r="M115" s="507">
        <f>Assets!$F$38</f>
        <v>1500</v>
      </c>
      <c r="N115" s="507">
        <f t="shared" si="148"/>
        <v>49513248.563883223</v>
      </c>
      <c r="O115" s="1220"/>
      <c r="P115" s="506">
        <f>Assets!$G$39</f>
        <v>0.06</v>
      </c>
      <c r="Q115" s="508">
        <f>Assets!$F$39</f>
        <v>250</v>
      </c>
      <c r="R115" s="507">
        <f t="shared" si="149"/>
        <v>42808847.822430983</v>
      </c>
      <c r="S115" s="1220"/>
      <c r="T115" s="506">
        <f>Assets!$G$40</f>
        <v>0</v>
      </c>
      <c r="U115" s="510">
        <f>Assets!$F$40</f>
        <v>0</v>
      </c>
      <c r="V115" s="507">
        <f t="shared" si="150"/>
        <v>0</v>
      </c>
      <c r="W115" s="1220"/>
      <c r="X115" s="506">
        <f>Assets!$G$41</f>
        <v>0</v>
      </c>
      <c r="Y115" s="510">
        <f>Assets!$F$41</f>
        <v>0</v>
      </c>
      <c r="Z115" s="507">
        <f t="shared" si="151"/>
        <v>0</v>
      </c>
      <c r="AA115" s="1220"/>
      <c r="AB115" s="506">
        <f>Assets!$G$42</f>
        <v>0</v>
      </c>
      <c r="AC115" s="507">
        <f>Assets!$F$42</f>
        <v>0</v>
      </c>
      <c r="AD115" s="507">
        <f t="shared" si="152"/>
        <v>0</v>
      </c>
      <c r="AE115" s="1220"/>
      <c r="AF115" s="506">
        <f>Assets!$G$43</f>
        <v>0</v>
      </c>
      <c r="AG115" s="507">
        <f>Assets!$F$43</f>
        <v>0</v>
      </c>
      <c r="AH115" s="507">
        <f t="shared" si="153"/>
        <v>0</v>
      </c>
      <c r="AI115" s="1220"/>
      <c r="AJ115" s="506">
        <f>Assets!$G$44</f>
        <v>0</v>
      </c>
      <c r="AK115" s="507">
        <f>Assets!$F$44</f>
        <v>0</v>
      </c>
      <c r="AL115" s="507">
        <f t="shared" si="154"/>
        <v>0</v>
      </c>
      <c r="AM115" s="1220"/>
      <c r="AN115" s="506">
        <f>Assets!$G$45</f>
        <v>0</v>
      </c>
      <c r="AO115" s="507">
        <f>Assets!$F$45</f>
        <v>0</v>
      </c>
      <c r="AP115" s="507">
        <f t="shared" si="155"/>
        <v>0</v>
      </c>
      <c r="AQ115" s="1220"/>
      <c r="AR115" s="506">
        <f>Assets!$G$46</f>
        <v>0</v>
      </c>
      <c r="AS115" s="507">
        <f>Assets!$F$46</f>
        <v>0</v>
      </c>
      <c r="AT115" s="507">
        <f t="shared" si="156"/>
        <v>0</v>
      </c>
      <c r="AU115" s="1220"/>
      <c r="AV115" s="506">
        <f>Assets!$G$47</f>
        <v>0</v>
      </c>
      <c r="AW115" s="507">
        <f>Assets!F$47</f>
        <v>0</v>
      </c>
      <c r="AX115" s="507">
        <f t="shared" si="157"/>
        <v>0</v>
      </c>
      <c r="AY115" s="1220"/>
      <c r="AZ115" s="506">
        <f>Assets!$G$48</f>
        <v>0</v>
      </c>
      <c r="BA115" s="507">
        <f>Assets!$F$48</f>
        <v>0</v>
      </c>
      <c r="BB115" s="507">
        <f t="shared" si="158"/>
        <v>0</v>
      </c>
      <c r="BC115" s="502"/>
      <c r="BD115" s="2005"/>
      <c r="BE115" s="523"/>
      <c r="BF115" s="523"/>
      <c r="BG115" s="1331">
        <f t="shared" si="159"/>
        <v>92899536.369685918</v>
      </c>
      <c r="BH115" s="1331">
        <f t="shared" si="160"/>
        <v>49513248.563883223</v>
      </c>
      <c r="BI115" s="1331">
        <f t="shared" si="161"/>
        <v>42808847.822430983</v>
      </c>
      <c r="BJ115" s="1331">
        <f t="shared" si="162"/>
        <v>0</v>
      </c>
      <c r="BK115" s="1331">
        <f t="shared" si="163"/>
        <v>0</v>
      </c>
      <c r="BL115" s="1331">
        <f t="shared" si="164"/>
        <v>0</v>
      </c>
      <c r="BM115" s="1331">
        <f t="shared" si="165"/>
        <v>0</v>
      </c>
      <c r="BN115" s="1331">
        <f t="shared" si="166"/>
        <v>0</v>
      </c>
      <c r="BO115" s="1331">
        <f t="shared" si="167"/>
        <v>0</v>
      </c>
      <c r="BP115" s="1331">
        <f t="shared" si="168"/>
        <v>0</v>
      </c>
      <c r="BQ115" s="1331">
        <f t="shared" si="169"/>
        <v>0</v>
      </c>
      <c r="BR115" s="1331">
        <f t="shared" si="170"/>
        <v>0</v>
      </c>
      <c r="BS115" s="523"/>
      <c r="BT115" s="523"/>
      <c r="BU115" s="523"/>
      <c r="BV115" s="523"/>
      <c r="BW115" s="1333">
        <f t="shared" ca="1" si="197"/>
        <v>2130</v>
      </c>
      <c r="BX115" s="1331">
        <f t="shared" si="171"/>
        <v>142412784.93356913</v>
      </c>
      <c r="BY115" s="1331">
        <f t="shared" ca="1" si="198"/>
        <v>42808847.822430983</v>
      </c>
      <c r="BZ115" s="1336">
        <f t="shared" si="172"/>
        <v>92899536.369685918</v>
      </c>
      <c r="CA115" s="1336">
        <f t="shared" si="173"/>
        <v>49513248.563883223</v>
      </c>
      <c r="CB115" s="1336">
        <f t="shared" si="174"/>
        <v>0</v>
      </c>
      <c r="CC115" s="1336">
        <f t="shared" si="175"/>
        <v>0</v>
      </c>
      <c r="CD115" s="1336">
        <f t="shared" si="176"/>
        <v>0</v>
      </c>
      <c r="CE115" s="1336">
        <f t="shared" si="177"/>
        <v>0</v>
      </c>
      <c r="CF115" s="1336">
        <f t="shared" si="178"/>
        <v>0</v>
      </c>
      <c r="CG115" s="1336">
        <f t="shared" si="179"/>
        <v>0</v>
      </c>
      <c r="CH115" s="1336">
        <f t="shared" si="180"/>
        <v>0</v>
      </c>
      <c r="CI115" s="1336">
        <f t="shared" si="181"/>
        <v>0</v>
      </c>
      <c r="CJ115" s="1336">
        <f t="shared" si="182"/>
        <v>0</v>
      </c>
      <c r="CK115" s="1336">
        <f t="shared" si="183"/>
        <v>0</v>
      </c>
      <c r="CL115" s="1336"/>
      <c r="CM115" s="1336">
        <f t="shared" si="184"/>
        <v>0</v>
      </c>
      <c r="CN115" s="1336">
        <f t="shared" si="185"/>
        <v>0</v>
      </c>
      <c r="CO115" s="1336">
        <f t="shared" si="186"/>
        <v>42808847.822430983</v>
      </c>
      <c r="CP115" s="1336">
        <f t="shared" si="187"/>
        <v>0</v>
      </c>
      <c r="CQ115" s="1336">
        <f t="shared" si="188"/>
        <v>0</v>
      </c>
      <c r="CR115" s="1336">
        <f t="shared" si="189"/>
        <v>0</v>
      </c>
      <c r="CS115" s="1336">
        <f t="shared" si="190"/>
        <v>0</v>
      </c>
      <c r="CT115" s="1336">
        <f t="shared" si="191"/>
        <v>0</v>
      </c>
      <c r="CU115" s="1336">
        <f t="shared" si="192"/>
        <v>0</v>
      </c>
      <c r="CV115" s="1336">
        <f t="shared" si="193"/>
        <v>0</v>
      </c>
      <c r="CW115" s="1336">
        <f t="shared" si="194"/>
        <v>0</v>
      </c>
      <c r="CX115" s="1336">
        <f t="shared" si="195"/>
        <v>0</v>
      </c>
      <c r="CY115" s="1336"/>
      <c r="CZ115" s="1336"/>
      <c r="DA115" s="1334">
        <f ca="1">Rental!Y145</f>
        <v>0</v>
      </c>
      <c r="DB115" s="1334">
        <f ca="1">Rental!AD145</f>
        <v>0</v>
      </c>
      <c r="DC115" s="1972"/>
      <c r="DD115" s="1761"/>
      <c r="DE115" s="1761"/>
      <c r="DF115" s="1335"/>
      <c r="DG115" s="1335"/>
      <c r="DH115" s="1335"/>
      <c r="DI115" s="1335"/>
      <c r="DJ115" s="1335"/>
      <c r="DK115" s="1335"/>
      <c r="DL115" s="1335"/>
      <c r="DM115" s="1335"/>
      <c r="DN115" s="1335"/>
      <c r="DO115" s="1335"/>
      <c r="DP115" s="1335"/>
      <c r="DQ115" s="1335"/>
      <c r="DR115" s="1335"/>
      <c r="DS115" s="1335"/>
      <c r="DT115" s="1335"/>
    </row>
    <row r="116" spans="1:124" s="1185" customFormat="1" ht="18" customHeight="1">
      <c r="A116" s="523">
        <f ca="1">IF(E116=YEAR(Retire!$D$12),1,0)</f>
        <v>0</v>
      </c>
      <c r="B116" s="502"/>
      <c r="C116" s="503" t="str">
        <f ca="1">IF(E116=Retire!$D$12,"==&gt;","")</f>
        <v/>
      </c>
      <c r="D116" s="512">
        <f t="shared" si="132"/>
        <v>110</v>
      </c>
      <c r="E116" s="512">
        <f t="shared" ca="1" si="133"/>
        <v>2131</v>
      </c>
      <c r="F116" s="513">
        <f t="shared" ca="1" si="146"/>
        <v>195379051</v>
      </c>
      <c r="G116" s="513"/>
      <c r="H116" s="514">
        <f>Assets!$G$37</f>
        <v>5.5E-2</v>
      </c>
      <c r="I116" s="515">
        <f>Assets!$F$37</f>
        <v>2000</v>
      </c>
      <c r="J116" s="515">
        <f t="shared" si="147"/>
        <v>98011010.870018646</v>
      </c>
      <c r="K116" s="1220"/>
      <c r="L116" s="514">
        <f>Assets!$G$38</f>
        <v>0.05</v>
      </c>
      <c r="M116" s="515">
        <f>Assets!$F$38</f>
        <v>1500</v>
      </c>
      <c r="N116" s="515">
        <f t="shared" si="148"/>
        <v>51990410.99207738</v>
      </c>
      <c r="O116" s="1220"/>
      <c r="P116" s="514">
        <f>Assets!$G$39</f>
        <v>0.06</v>
      </c>
      <c r="Q116" s="516">
        <f>Assets!$F$39</f>
        <v>250</v>
      </c>
      <c r="R116" s="515">
        <f t="shared" si="149"/>
        <v>45377628.691776842</v>
      </c>
      <c r="S116" s="1220"/>
      <c r="T116" s="514">
        <f>Assets!$G$40</f>
        <v>0</v>
      </c>
      <c r="U116" s="517">
        <f>Assets!$F$40</f>
        <v>0</v>
      </c>
      <c r="V116" s="515">
        <f t="shared" si="150"/>
        <v>0</v>
      </c>
      <c r="W116" s="1220"/>
      <c r="X116" s="514">
        <f>Assets!$G$41</f>
        <v>0</v>
      </c>
      <c r="Y116" s="517">
        <f>Assets!$F$41</f>
        <v>0</v>
      </c>
      <c r="Z116" s="515">
        <f t="shared" si="151"/>
        <v>0</v>
      </c>
      <c r="AA116" s="1220"/>
      <c r="AB116" s="514">
        <f>Assets!$G$42</f>
        <v>0</v>
      </c>
      <c r="AC116" s="515">
        <f>Assets!$F$42</f>
        <v>0</v>
      </c>
      <c r="AD116" s="515">
        <f t="shared" si="152"/>
        <v>0</v>
      </c>
      <c r="AE116" s="1220"/>
      <c r="AF116" s="514">
        <f>Assets!$G$43</f>
        <v>0</v>
      </c>
      <c r="AG116" s="515">
        <f>Assets!$F$43</f>
        <v>0</v>
      </c>
      <c r="AH116" s="515">
        <f t="shared" si="153"/>
        <v>0</v>
      </c>
      <c r="AI116" s="1220"/>
      <c r="AJ116" s="514">
        <f>Assets!$G$44</f>
        <v>0</v>
      </c>
      <c r="AK116" s="515">
        <f>Assets!$F$44</f>
        <v>0</v>
      </c>
      <c r="AL116" s="515">
        <f t="shared" si="154"/>
        <v>0</v>
      </c>
      <c r="AM116" s="1220"/>
      <c r="AN116" s="514">
        <f>Assets!$G$45</f>
        <v>0</v>
      </c>
      <c r="AO116" s="515">
        <f>Assets!$F$45</f>
        <v>0</v>
      </c>
      <c r="AP116" s="515">
        <f t="shared" si="155"/>
        <v>0</v>
      </c>
      <c r="AQ116" s="1220"/>
      <c r="AR116" s="514">
        <f>Assets!$G$46</f>
        <v>0</v>
      </c>
      <c r="AS116" s="515">
        <f>Assets!$F$46</f>
        <v>0</v>
      </c>
      <c r="AT116" s="515">
        <f t="shared" si="156"/>
        <v>0</v>
      </c>
      <c r="AU116" s="1220"/>
      <c r="AV116" s="514">
        <f>Assets!$G$47</f>
        <v>0</v>
      </c>
      <c r="AW116" s="515">
        <f>Assets!F$47</f>
        <v>0</v>
      </c>
      <c r="AX116" s="515">
        <f t="shared" si="157"/>
        <v>0</v>
      </c>
      <c r="AY116" s="1220"/>
      <c r="AZ116" s="514">
        <f>Assets!$G$48</f>
        <v>0</v>
      </c>
      <c r="BA116" s="515">
        <f>Assets!$F$48</f>
        <v>0</v>
      </c>
      <c r="BB116" s="515">
        <f t="shared" si="158"/>
        <v>0</v>
      </c>
      <c r="BC116" s="502"/>
      <c r="BD116" s="2005"/>
      <c r="BE116" s="523"/>
      <c r="BF116" s="523"/>
      <c r="BG116" s="1331">
        <f t="shared" si="159"/>
        <v>98011010.870018646</v>
      </c>
      <c r="BH116" s="1331">
        <f t="shared" si="160"/>
        <v>51990410.99207738</v>
      </c>
      <c r="BI116" s="1331">
        <f t="shared" si="161"/>
        <v>45377628.691776842</v>
      </c>
      <c r="BJ116" s="1331">
        <f t="shared" si="162"/>
        <v>0</v>
      </c>
      <c r="BK116" s="1331">
        <f t="shared" si="163"/>
        <v>0</v>
      </c>
      <c r="BL116" s="1331">
        <f t="shared" si="164"/>
        <v>0</v>
      </c>
      <c r="BM116" s="1331">
        <f t="shared" si="165"/>
        <v>0</v>
      </c>
      <c r="BN116" s="1331">
        <f t="shared" si="166"/>
        <v>0</v>
      </c>
      <c r="BO116" s="1331">
        <f t="shared" si="167"/>
        <v>0</v>
      </c>
      <c r="BP116" s="1331">
        <f t="shared" si="168"/>
        <v>0</v>
      </c>
      <c r="BQ116" s="1331">
        <f t="shared" si="169"/>
        <v>0</v>
      </c>
      <c r="BR116" s="1331">
        <f t="shared" si="170"/>
        <v>0</v>
      </c>
      <c r="BS116" s="523"/>
      <c r="BT116" s="523"/>
      <c r="BU116" s="523"/>
      <c r="BV116" s="523"/>
      <c r="BW116" s="1333">
        <f t="shared" ca="1" si="197"/>
        <v>2131</v>
      </c>
      <c r="BX116" s="1331">
        <f t="shared" si="171"/>
        <v>150001421.86209601</v>
      </c>
      <c r="BY116" s="1331">
        <f t="shared" ca="1" si="198"/>
        <v>45377628.691776842</v>
      </c>
      <c r="BZ116" s="1336">
        <f t="shared" si="172"/>
        <v>98011010.870018646</v>
      </c>
      <c r="CA116" s="1336">
        <f t="shared" si="173"/>
        <v>51990410.99207738</v>
      </c>
      <c r="CB116" s="1336">
        <f t="shared" si="174"/>
        <v>0</v>
      </c>
      <c r="CC116" s="1336">
        <f t="shared" si="175"/>
        <v>0</v>
      </c>
      <c r="CD116" s="1336">
        <f t="shared" si="176"/>
        <v>0</v>
      </c>
      <c r="CE116" s="1336">
        <f t="shared" si="177"/>
        <v>0</v>
      </c>
      <c r="CF116" s="1336">
        <f t="shared" si="178"/>
        <v>0</v>
      </c>
      <c r="CG116" s="1336">
        <f t="shared" si="179"/>
        <v>0</v>
      </c>
      <c r="CH116" s="1336">
        <f t="shared" si="180"/>
        <v>0</v>
      </c>
      <c r="CI116" s="1336">
        <f t="shared" si="181"/>
        <v>0</v>
      </c>
      <c r="CJ116" s="1336">
        <f t="shared" si="182"/>
        <v>0</v>
      </c>
      <c r="CK116" s="1336">
        <f t="shared" si="183"/>
        <v>0</v>
      </c>
      <c r="CL116" s="1336"/>
      <c r="CM116" s="1336">
        <f t="shared" si="184"/>
        <v>0</v>
      </c>
      <c r="CN116" s="1336">
        <f t="shared" si="185"/>
        <v>0</v>
      </c>
      <c r="CO116" s="1336">
        <f t="shared" si="186"/>
        <v>45377628.691776842</v>
      </c>
      <c r="CP116" s="1336">
        <f t="shared" si="187"/>
        <v>0</v>
      </c>
      <c r="CQ116" s="1336">
        <f t="shared" si="188"/>
        <v>0</v>
      </c>
      <c r="CR116" s="1336">
        <f t="shared" si="189"/>
        <v>0</v>
      </c>
      <c r="CS116" s="1336">
        <f t="shared" si="190"/>
        <v>0</v>
      </c>
      <c r="CT116" s="1336">
        <f t="shared" si="191"/>
        <v>0</v>
      </c>
      <c r="CU116" s="1336">
        <f t="shared" si="192"/>
        <v>0</v>
      </c>
      <c r="CV116" s="1336">
        <f t="shared" si="193"/>
        <v>0</v>
      </c>
      <c r="CW116" s="1336">
        <f t="shared" si="194"/>
        <v>0</v>
      </c>
      <c r="CX116" s="1336">
        <f t="shared" si="195"/>
        <v>0</v>
      </c>
      <c r="CY116" s="1336"/>
      <c r="CZ116" s="1336"/>
      <c r="DA116" s="1334">
        <f ca="1">Rental!Y146</f>
        <v>0</v>
      </c>
      <c r="DB116" s="1334">
        <f ca="1">Rental!AD146</f>
        <v>0</v>
      </c>
      <c r="DC116" s="1972"/>
      <c r="DD116" s="1761"/>
      <c r="DE116" s="1761"/>
      <c r="DF116" s="1335"/>
      <c r="DG116" s="1335"/>
      <c r="DH116" s="1335"/>
      <c r="DI116" s="1335"/>
      <c r="DJ116" s="1335"/>
      <c r="DK116" s="1335"/>
      <c r="DL116" s="1335"/>
      <c r="DM116" s="1335"/>
      <c r="DN116" s="1335"/>
      <c r="DO116" s="1335"/>
      <c r="DP116" s="1335"/>
      <c r="DQ116" s="1335"/>
      <c r="DR116" s="1335"/>
      <c r="DS116" s="1335"/>
      <c r="DT116" s="1335"/>
    </row>
    <row r="117" spans="1:124" s="1185" customFormat="1" ht="18" customHeight="1">
      <c r="A117" s="523">
        <f ca="1">IF(E117=YEAR(Retire!$D$12),1,0)</f>
        <v>0</v>
      </c>
      <c r="B117" s="502"/>
      <c r="C117" s="503" t="str">
        <f ca="1">IF(E117=Retire!$D$12,"==&gt;","")</f>
        <v/>
      </c>
      <c r="D117" s="504">
        <f t="shared" si="132"/>
        <v>111</v>
      </c>
      <c r="E117" s="504">
        <f t="shared" ca="1" si="133"/>
        <v>2132</v>
      </c>
      <c r="F117" s="505">
        <f t="shared" ref="F117:F131" ca="1" si="199">ROUND(BX117+BY117,0)</f>
        <v>206095584</v>
      </c>
      <c r="G117" s="505"/>
      <c r="H117" s="506">
        <f>Assets!$G$37</f>
        <v>5.5E-2</v>
      </c>
      <c r="I117" s="507">
        <f>Assets!$F$37</f>
        <v>2000</v>
      </c>
      <c r="J117" s="507">
        <f t="shared" ref="J117:J131" si="200">SUM((J116*H116)+J116+I116)</f>
        <v>103403616.46786967</v>
      </c>
      <c r="K117" s="1220"/>
      <c r="L117" s="506">
        <f>Assets!$G$38</f>
        <v>0.05</v>
      </c>
      <c r="M117" s="507">
        <f>Assets!$F$38</f>
        <v>1500</v>
      </c>
      <c r="N117" s="507">
        <f t="shared" ref="N117:N131" si="201">SUM((N116*L116)+N116+M116)</f>
        <v>54591431.541681252</v>
      </c>
      <c r="O117" s="1220"/>
      <c r="P117" s="506">
        <f>Assets!$G$39</f>
        <v>0.06</v>
      </c>
      <c r="Q117" s="508">
        <f>Assets!$F$39</f>
        <v>250</v>
      </c>
      <c r="R117" s="507">
        <f t="shared" ref="R117:R131" si="202">SUM((R116*P116)+R116+Q116)</f>
        <v>48100536.413283452</v>
      </c>
      <c r="S117" s="1220"/>
      <c r="T117" s="506">
        <f>Assets!$G$40</f>
        <v>0</v>
      </c>
      <c r="U117" s="510">
        <f>Assets!$F$40</f>
        <v>0</v>
      </c>
      <c r="V117" s="507">
        <f t="shared" ref="V117:V131" si="203">SUM((V116*T116)+V116+U116)</f>
        <v>0</v>
      </c>
      <c r="W117" s="1220"/>
      <c r="X117" s="506">
        <f>Assets!$G$41</f>
        <v>0</v>
      </c>
      <c r="Y117" s="510">
        <f>Assets!$F$41</f>
        <v>0</v>
      </c>
      <c r="Z117" s="507">
        <f t="shared" ref="Z117:Z131" si="204">SUM((Z116*X116)+Z116+Y116)</f>
        <v>0</v>
      </c>
      <c r="AA117" s="1220"/>
      <c r="AB117" s="506">
        <f>Assets!$G$42</f>
        <v>0</v>
      </c>
      <c r="AC117" s="507">
        <f>Assets!$F$42</f>
        <v>0</v>
      </c>
      <c r="AD117" s="507">
        <f t="shared" ref="AD117:AD131" si="205">SUM((AD116*AB116)+AD116+AC116)</f>
        <v>0</v>
      </c>
      <c r="AE117" s="1220"/>
      <c r="AF117" s="506">
        <f>Assets!$G$43</f>
        <v>0</v>
      </c>
      <c r="AG117" s="507">
        <f>Assets!$F$43</f>
        <v>0</v>
      </c>
      <c r="AH117" s="507">
        <f t="shared" ref="AH117:AH131" si="206">SUM((AH116*AF116)+AH116+AG116)</f>
        <v>0</v>
      </c>
      <c r="AI117" s="1220"/>
      <c r="AJ117" s="506">
        <f>Assets!$G$44</f>
        <v>0</v>
      </c>
      <c r="AK117" s="507">
        <f>Assets!$F$44</f>
        <v>0</v>
      </c>
      <c r="AL117" s="507">
        <f t="shared" ref="AL117:AL131" si="207">SUM((AL116*AJ116)+AL116+AK116)</f>
        <v>0</v>
      </c>
      <c r="AM117" s="1220"/>
      <c r="AN117" s="506">
        <f>Assets!$G$45</f>
        <v>0</v>
      </c>
      <c r="AO117" s="507">
        <f>Assets!$F$45</f>
        <v>0</v>
      </c>
      <c r="AP117" s="507">
        <f t="shared" ref="AP117:AP131" si="208">SUM((AP116*AN116)+AP116+AO116)</f>
        <v>0</v>
      </c>
      <c r="AQ117" s="1220"/>
      <c r="AR117" s="506">
        <f>Assets!$G$46</f>
        <v>0</v>
      </c>
      <c r="AS117" s="507">
        <f>Assets!$F$46</f>
        <v>0</v>
      </c>
      <c r="AT117" s="507">
        <f t="shared" ref="AT117:AT131" si="209">SUM((AT116*AR116)+AT116+AS116)</f>
        <v>0</v>
      </c>
      <c r="AU117" s="1220"/>
      <c r="AV117" s="506">
        <f>Assets!$G$47</f>
        <v>0</v>
      </c>
      <c r="AW117" s="507">
        <f>Assets!F$47</f>
        <v>0</v>
      </c>
      <c r="AX117" s="507">
        <f t="shared" ref="AX117:AX131" si="210">SUM((AX116*AV116)+AX116+AW116)</f>
        <v>0</v>
      </c>
      <c r="AY117" s="1220"/>
      <c r="AZ117" s="506">
        <f>Assets!$G$48</f>
        <v>0</v>
      </c>
      <c r="BA117" s="507">
        <f>Assets!$F$48</f>
        <v>0</v>
      </c>
      <c r="BB117" s="507">
        <f t="shared" ref="BB117:BB131" si="211">SUM((BB116*AZ116)+BB116+BA116)</f>
        <v>0</v>
      </c>
      <c r="BC117" s="502"/>
      <c r="BD117" s="2005"/>
      <c r="BE117" s="523"/>
      <c r="BF117" s="523"/>
      <c r="BG117" s="1331">
        <f t="shared" ref="BG117:BG131" si="212">IF($H$6&lt;&gt;"",J117,0)</f>
        <v>103403616.46786967</v>
      </c>
      <c r="BH117" s="1331">
        <f t="shared" ref="BH117:BH131" si="213">IF($L$6&lt;&gt;"",N117,0)</f>
        <v>54591431.541681252</v>
      </c>
      <c r="BI117" s="1331">
        <f t="shared" ref="BI117:BI131" si="214">IF($P$6&lt;&gt;"",R117,0)</f>
        <v>48100536.413283452</v>
      </c>
      <c r="BJ117" s="1331">
        <f t="shared" ref="BJ117:BJ131" si="215">IF($T$6&lt;&gt;"",V117,0)</f>
        <v>0</v>
      </c>
      <c r="BK117" s="1331">
        <f t="shared" ref="BK117:BK131" si="216">IF($X$6&lt;&gt;"",Z117,0)</f>
        <v>0</v>
      </c>
      <c r="BL117" s="1331">
        <f t="shared" ref="BL117:BL131" si="217">IF($AB$6&lt;&gt;"",AD117,0)</f>
        <v>0</v>
      </c>
      <c r="BM117" s="1331">
        <f t="shared" ref="BM117:BM131" si="218">IF($AF$6&lt;&gt;"",AH117,0)</f>
        <v>0</v>
      </c>
      <c r="BN117" s="1331">
        <f t="shared" ref="BN117:BN131" si="219">IF($AJ$6&lt;&gt;"",AL117,0)</f>
        <v>0</v>
      </c>
      <c r="BO117" s="1331">
        <f t="shared" ref="BO117:BO131" si="220">IF($AN$6&lt;&gt;"",AP117,0)</f>
        <v>0</v>
      </c>
      <c r="BP117" s="1331">
        <f t="shared" ref="BP117:BP131" si="221">IF($AR$6&lt;&gt;"",AT117,0)</f>
        <v>0</v>
      </c>
      <c r="BQ117" s="1331">
        <f t="shared" ref="BQ117:BQ131" si="222">IF($AV$6&lt;&gt;"",AX117,0)</f>
        <v>0</v>
      </c>
      <c r="BR117" s="1331">
        <f t="shared" ref="BR117:BR131" si="223">IF($AZ$6&lt;&gt;"",BB117,0)</f>
        <v>0</v>
      </c>
      <c r="BS117" s="523"/>
      <c r="BT117" s="523"/>
      <c r="BU117" s="523"/>
      <c r="BV117" s="523"/>
      <c r="BW117" s="1333">
        <f t="shared" ca="1" si="197"/>
        <v>2132</v>
      </c>
      <c r="BX117" s="1331">
        <f t="shared" ref="BX117:BX131" si="224">SUM(BZ117:CK117)</f>
        <v>157995048.00955093</v>
      </c>
      <c r="BY117" s="1331">
        <f t="shared" ca="1" si="198"/>
        <v>48100536.413283452</v>
      </c>
      <c r="BZ117" s="1336">
        <f t="shared" ref="BZ117:BZ131" si="225">IF($H$5="Before tax",J117,0)</f>
        <v>103403616.46786967</v>
      </c>
      <c r="CA117" s="1336">
        <f t="shared" ref="CA117:CA131" si="226">IF($L$5="Before tax",N117,0)</f>
        <v>54591431.541681252</v>
      </c>
      <c r="CB117" s="1336">
        <f t="shared" ref="CB117:CB131" si="227">IF($P$5="Before tax",R117,0)</f>
        <v>0</v>
      </c>
      <c r="CC117" s="1336">
        <f t="shared" ref="CC117:CC131" si="228">IF($T$5="Before tax",V117,0)</f>
        <v>0</v>
      </c>
      <c r="CD117" s="1336">
        <f t="shared" ref="CD117:CD131" si="229">IF($X$5="Before tax",Z117,0)</f>
        <v>0</v>
      </c>
      <c r="CE117" s="1336">
        <f t="shared" ref="CE117:CE131" si="230">IF($AB$5="Before tax",AD117,0)</f>
        <v>0</v>
      </c>
      <c r="CF117" s="1336">
        <f t="shared" ref="CF117:CF131" si="231">IF($AF$5="Before tax",AH117,0)</f>
        <v>0</v>
      </c>
      <c r="CG117" s="1336">
        <f t="shared" ref="CG117:CG131" si="232">IF($AJ$5="Before tax",AL117,0)</f>
        <v>0</v>
      </c>
      <c r="CH117" s="1336">
        <f t="shared" ref="CH117:CH131" si="233">IF($AN$5="Before tax",AP117,0)</f>
        <v>0</v>
      </c>
      <c r="CI117" s="1336">
        <f t="shared" ref="CI117:CI131" si="234">IF($AR$5="Before tax",AT117,0)</f>
        <v>0</v>
      </c>
      <c r="CJ117" s="1336">
        <f t="shared" ref="CJ117:CJ131" si="235">IF($AV$5="Before tax",AX117,0)</f>
        <v>0</v>
      </c>
      <c r="CK117" s="1336">
        <f t="shared" ref="CK117:CK131" si="236">IF($AZ$5="Before tax",BB117,0)</f>
        <v>0</v>
      </c>
      <c r="CL117" s="1336"/>
      <c r="CM117" s="1336">
        <f t="shared" ref="CM117:CM131" si="237">IF($H$5="After tax",J117,0)</f>
        <v>0</v>
      </c>
      <c r="CN117" s="1336">
        <f t="shared" ref="CN117:CN131" si="238">IF($L$5="After tax",N117,0)</f>
        <v>0</v>
      </c>
      <c r="CO117" s="1336">
        <f t="shared" ref="CO117:CO131" si="239">IF($P$5="After tax",R117,0)</f>
        <v>48100536.413283452</v>
      </c>
      <c r="CP117" s="1336">
        <f t="shared" ref="CP117:CP131" si="240">IF($T$5="After tax",V117,0)</f>
        <v>0</v>
      </c>
      <c r="CQ117" s="1336">
        <f t="shared" ref="CQ117:CQ131" si="241">IF($X$5="After tax",Z117,0)</f>
        <v>0</v>
      </c>
      <c r="CR117" s="1336">
        <f t="shared" ref="CR117:CR131" si="242">IF($AB$5="After tax",AD117,0)</f>
        <v>0</v>
      </c>
      <c r="CS117" s="1336">
        <f t="shared" ref="CS117:CS131" si="243">IF($AF$5="After tax",AH117,0)</f>
        <v>0</v>
      </c>
      <c r="CT117" s="1336">
        <f t="shared" ref="CT117:CT131" si="244">IF($AJ$5="After tax",AL117,0)</f>
        <v>0</v>
      </c>
      <c r="CU117" s="1336">
        <f t="shared" ref="CU117:CU131" si="245">IF($AN$5="After tax",AP117,0)</f>
        <v>0</v>
      </c>
      <c r="CV117" s="1336">
        <f t="shared" ref="CV117:CV131" si="246">IF($AR$5="After tax",AT117,0)</f>
        <v>0</v>
      </c>
      <c r="CW117" s="1336">
        <f t="shared" ref="CW117:CW131" si="247">IF($AV$5="After tax",AX117,0)</f>
        <v>0</v>
      </c>
      <c r="CX117" s="1336">
        <f t="shared" ref="CX117:CX131" si="248">IF($AZ$5="After tax",BB117,0)</f>
        <v>0</v>
      </c>
      <c r="CY117" s="1336"/>
      <c r="CZ117" s="1336"/>
      <c r="DA117" s="1334">
        <f ca="1">Rental!Y147</f>
        <v>0</v>
      </c>
      <c r="DB117" s="1334">
        <f ca="1">Rental!AD147</f>
        <v>0</v>
      </c>
      <c r="DC117" s="1972"/>
      <c r="DD117" s="1761"/>
      <c r="DE117" s="1761"/>
      <c r="DF117" s="1335"/>
      <c r="DG117" s="1335"/>
      <c r="DH117" s="1335"/>
      <c r="DI117" s="1335"/>
      <c r="DJ117" s="1335"/>
      <c r="DK117" s="1335"/>
      <c r="DL117" s="1335"/>
      <c r="DM117" s="1335"/>
      <c r="DN117" s="1335"/>
      <c r="DO117" s="1335"/>
      <c r="DP117" s="1335"/>
      <c r="DQ117" s="1335"/>
      <c r="DR117" s="1335"/>
      <c r="DS117" s="1335"/>
      <c r="DT117" s="1335"/>
    </row>
    <row r="118" spans="1:124" s="1185" customFormat="1" ht="18" customHeight="1">
      <c r="A118" s="523">
        <f ca="1">IF(E118=YEAR(Retire!$D$12),1,0)</f>
        <v>0</v>
      </c>
      <c r="B118" s="502"/>
      <c r="C118" s="503" t="str">
        <f ca="1">IF(E118=Retire!$D$12,"==&gt;","")</f>
        <v/>
      </c>
      <c r="D118" s="512">
        <f t="shared" si="132"/>
        <v>112</v>
      </c>
      <c r="E118" s="512">
        <f t="shared" ca="1" si="133"/>
        <v>2133</v>
      </c>
      <c r="F118" s="513">
        <f t="shared" ca="1" si="199"/>
        <v>217402137</v>
      </c>
      <c r="G118" s="513"/>
      <c r="H118" s="514">
        <f>Assets!$G$37</f>
        <v>5.5E-2</v>
      </c>
      <c r="I118" s="515">
        <f>Assets!$F$37</f>
        <v>2000</v>
      </c>
      <c r="J118" s="515">
        <f t="shared" si="200"/>
        <v>109092815.37360249</v>
      </c>
      <c r="K118" s="1220"/>
      <c r="L118" s="514">
        <f>Assets!$G$38</f>
        <v>0.05</v>
      </c>
      <c r="M118" s="515">
        <f>Assets!$F$38</f>
        <v>1500</v>
      </c>
      <c r="N118" s="515">
        <f t="shared" si="201"/>
        <v>57322503.118765317</v>
      </c>
      <c r="O118" s="1220"/>
      <c r="P118" s="514">
        <f>Assets!$G$39</f>
        <v>0.06</v>
      </c>
      <c r="Q118" s="516">
        <f>Assets!$F$39</f>
        <v>250</v>
      </c>
      <c r="R118" s="515">
        <f t="shared" si="202"/>
        <v>50986818.598080456</v>
      </c>
      <c r="S118" s="1220"/>
      <c r="T118" s="514">
        <f>Assets!$G$40</f>
        <v>0</v>
      </c>
      <c r="U118" s="517">
        <f>Assets!$F$40</f>
        <v>0</v>
      </c>
      <c r="V118" s="515">
        <f t="shared" si="203"/>
        <v>0</v>
      </c>
      <c r="W118" s="1220"/>
      <c r="X118" s="514">
        <f>Assets!$G$41</f>
        <v>0</v>
      </c>
      <c r="Y118" s="517">
        <f>Assets!$F$41</f>
        <v>0</v>
      </c>
      <c r="Z118" s="515">
        <f t="shared" si="204"/>
        <v>0</v>
      </c>
      <c r="AA118" s="1220"/>
      <c r="AB118" s="514">
        <f>Assets!$G$42</f>
        <v>0</v>
      </c>
      <c r="AC118" s="515">
        <f>Assets!$F$42</f>
        <v>0</v>
      </c>
      <c r="AD118" s="515">
        <f t="shared" si="205"/>
        <v>0</v>
      </c>
      <c r="AE118" s="1220"/>
      <c r="AF118" s="514">
        <f>Assets!$G$43</f>
        <v>0</v>
      </c>
      <c r="AG118" s="515">
        <f>Assets!$F$43</f>
        <v>0</v>
      </c>
      <c r="AH118" s="515">
        <f t="shared" si="206"/>
        <v>0</v>
      </c>
      <c r="AI118" s="1220"/>
      <c r="AJ118" s="514">
        <f>Assets!$G$44</f>
        <v>0</v>
      </c>
      <c r="AK118" s="515">
        <f>Assets!$F$44</f>
        <v>0</v>
      </c>
      <c r="AL118" s="515">
        <f t="shared" si="207"/>
        <v>0</v>
      </c>
      <c r="AM118" s="1220"/>
      <c r="AN118" s="514">
        <f>Assets!$G$45</f>
        <v>0</v>
      </c>
      <c r="AO118" s="515">
        <f>Assets!$F$45</f>
        <v>0</v>
      </c>
      <c r="AP118" s="515">
        <f t="shared" si="208"/>
        <v>0</v>
      </c>
      <c r="AQ118" s="1220"/>
      <c r="AR118" s="514">
        <f>Assets!$G$46</f>
        <v>0</v>
      </c>
      <c r="AS118" s="515">
        <f>Assets!$F$46</f>
        <v>0</v>
      </c>
      <c r="AT118" s="515">
        <f t="shared" si="209"/>
        <v>0</v>
      </c>
      <c r="AU118" s="1220"/>
      <c r="AV118" s="514">
        <f>Assets!$G$47</f>
        <v>0</v>
      </c>
      <c r="AW118" s="515">
        <f>Assets!F$47</f>
        <v>0</v>
      </c>
      <c r="AX118" s="515">
        <f t="shared" si="210"/>
        <v>0</v>
      </c>
      <c r="AY118" s="1220"/>
      <c r="AZ118" s="514">
        <f>Assets!$G$48</f>
        <v>0</v>
      </c>
      <c r="BA118" s="515">
        <f>Assets!$F$48</f>
        <v>0</v>
      </c>
      <c r="BB118" s="515">
        <f t="shared" si="211"/>
        <v>0</v>
      </c>
      <c r="BC118" s="502"/>
      <c r="BD118" s="2005"/>
      <c r="BE118" s="523"/>
      <c r="BF118" s="523"/>
      <c r="BG118" s="1331">
        <f t="shared" si="212"/>
        <v>109092815.37360249</v>
      </c>
      <c r="BH118" s="1331">
        <f t="shared" si="213"/>
        <v>57322503.118765317</v>
      </c>
      <c r="BI118" s="1331">
        <f t="shared" si="214"/>
        <v>50986818.598080456</v>
      </c>
      <c r="BJ118" s="1331">
        <f t="shared" si="215"/>
        <v>0</v>
      </c>
      <c r="BK118" s="1331">
        <f t="shared" si="216"/>
        <v>0</v>
      </c>
      <c r="BL118" s="1331">
        <f t="shared" si="217"/>
        <v>0</v>
      </c>
      <c r="BM118" s="1331">
        <f t="shared" si="218"/>
        <v>0</v>
      </c>
      <c r="BN118" s="1331">
        <f t="shared" si="219"/>
        <v>0</v>
      </c>
      <c r="BO118" s="1331">
        <f t="shared" si="220"/>
        <v>0</v>
      </c>
      <c r="BP118" s="1331">
        <f t="shared" si="221"/>
        <v>0</v>
      </c>
      <c r="BQ118" s="1331">
        <f t="shared" si="222"/>
        <v>0</v>
      </c>
      <c r="BR118" s="1331">
        <f t="shared" si="223"/>
        <v>0</v>
      </c>
      <c r="BS118" s="523"/>
      <c r="BT118" s="523"/>
      <c r="BU118" s="523"/>
      <c r="BV118" s="523"/>
      <c r="BW118" s="1333">
        <f t="shared" ca="1" si="197"/>
        <v>2133</v>
      </c>
      <c r="BX118" s="1331">
        <f t="shared" si="224"/>
        <v>166415318.4923678</v>
      </c>
      <c r="BY118" s="1331">
        <f t="shared" ca="1" si="198"/>
        <v>50986818.598080456</v>
      </c>
      <c r="BZ118" s="1336">
        <f t="shared" si="225"/>
        <v>109092815.37360249</v>
      </c>
      <c r="CA118" s="1336">
        <f t="shared" si="226"/>
        <v>57322503.118765317</v>
      </c>
      <c r="CB118" s="1336">
        <f t="shared" si="227"/>
        <v>0</v>
      </c>
      <c r="CC118" s="1336">
        <f t="shared" si="228"/>
        <v>0</v>
      </c>
      <c r="CD118" s="1336">
        <f t="shared" si="229"/>
        <v>0</v>
      </c>
      <c r="CE118" s="1336">
        <f t="shared" si="230"/>
        <v>0</v>
      </c>
      <c r="CF118" s="1336">
        <f t="shared" si="231"/>
        <v>0</v>
      </c>
      <c r="CG118" s="1336">
        <f t="shared" si="232"/>
        <v>0</v>
      </c>
      <c r="CH118" s="1336">
        <f t="shared" si="233"/>
        <v>0</v>
      </c>
      <c r="CI118" s="1336">
        <f t="shared" si="234"/>
        <v>0</v>
      </c>
      <c r="CJ118" s="1336">
        <f t="shared" si="235"/>
        <v>0</v>
      </c>
      <c r="CK118" s="1336">
        <f t="shared" si="236"/>
        <v>0</v>
      </c>
      <c r="CL118" s="1336"/>
      <c r="CM118" s="1336">
        <f t="shared" si="237"/>
        <v>0</v>
      </c>
      <c r="CN118" s="1336">
        <f t="shared" si="238"/>
        <v>0</v>
      </c>
      <c r="CO118" s="1336">
        <f t="shared" si="239"/>
        <v>50986818.598080456</v>
      </c>
      <c r="CP118" s="1336">
        <f t="shared" si="240"/>
        <v>0</v>
      </c>
      <c r="CQ118" s="1336">
        <f t="shared" si="241"/>
        <v>0</v>
      </c>
      <c r="CR118" s="1336">
        <f t="shared" si="242"/>
        <v>0</v>
      </c>
      <c r="CS118" s="1336">
        <f t="shared" si="243"/>
        <v>0</v>
      </c>
      <c r="CT118" s="1336">
        <f t="shared" si="244"/>
        <v>0</v>
      </c>
      <c r="CU118" s="1336">
        <f t="shared" si="245"/>
        <v>0</v>
      </c>
      <c r="CV118" s="1336">
        <f t="shared" si="246"/>
        <v>0</v>
      </c>
      <c r="CW118" s="1336">
        <f t="shared" si="247"/>
        <v>0</v>
      </c>
      <c r="CX118" s="1336">
        <f t="shared" si="248"/>
        <v>0</v>
      </c>
      <c r="CY118" s="1336"/>
      <c r="CZ118" s="1336"/>
      <c r="DA118" s="1334">
        <f ca="1">Rental!Y148</f>
        <v>0</v>
      </c>
      <c r="DB118" s="1334">
        <f ca="1">Rental!AD148</f>
        <v>0</v>
      </c>
      <c r="DC118" s="1972"/>
      <c r="DD118" s="1761"/>
      <c r="DE118" s="1761"/>
      <c r="DF118" s="1335"/>
      <c r="DG118" s="1335"/>
      <c r="DH118" s="1335"/>
      <c r="DI118" s="1335"/>
      <c r="DJ118" s="1335"/>
      <c r="DK118" s="1335"/>
      <c r="DL118" s="1335"/>
      <c r="DM118" s="1335"/>
      <c r="DN118" s="1335"/>
      <c r="DO118" s="1335"/>
      <c r="DP118" s="1335"/>
      <c r="DQ118" s="1335"/>
      <c r="DR118" s="1335"/>
      <c r="DS118" s="1335"/>
      <c r="DT118" s="1335"/>
    </row>
    <row r="119" spans="1:124" s="1185" customFormat="1" ht="18" customHeight="1">
      <c r="A119" s="523">
        <f ca="1">IF(E119=YEAR(Retire!$D$12),1,0)</f>
        <v>0</v>
      </c>
      <c r="B119" s="502"/>
      <c r="C119" s="503" t="str">
        <f ca="1">IF(E119=Retire!$D$12,"==&gt;","")</f>
        <v/>
      </c>
      <c r="D119" s="504">
        <f t="shared" si="132"/>
        <v>113</v>
      </c>
      <c r="E119" s="504">
        <f t="shared" ca="1" si="133"/>
        <v>2134</v>
      </c>
      <c r="F119" s="505">
        <f t="shared" ca="1" si="199"/>
        <v>229331326</v>
      </c>
      <c r="G119" s="505"/>
      <c r="H119" s="506">
        <f>Assets!$G$37</f>
        <v>5.5E-2</v>
      </c>
      <c r="I119" s="507">
        <f>Assets!$F$37</f>
        <v>2000</v>
      </c>
      <c r="J119" s="507">
        <f t="shared" si="200"/>
        <v>115094920.21915063</v>
      </c>
      <c r="K119" s="1220"/>
      <c r="L119" s="506">
        <f>Assets!$G$38</f>
        <v>0.05</v>
      </c>
      <c r="M119" s="507">
        <f>Assets!$F$38</f>
        <v>1500</v>
      </c>
      <c r="N119" s="507">
        <f t="shared" si="201"/>
        <v>60190128.274703585</v>
      </c>
      <c r="O119" s="1220"/>
      <c r="P119" s="506">
        <f>Assets!$G$39</f>
        <v>0.06</v>
      </c>
      <c r="Q119" s="508">
        <f>Assets!$F$39</f>
        <v>250</v>
      </c>
      <c r="R119" s="507">
        <f t="shared" si="202"/>
        <v>54046277.713965282</v>
      </c>
      <c r="S119" s="1220"/>
      <c r="T119" s="506">
        <f>Assets!$G$40</f>
        <v>0</v>
      </c>
      <c r="U119" s="510">
        <f>Assets!$F$40</f>
        <v>0</v>
      </c>
      <c r="V119" s="507">
        <f t="shared" si="203"/>
        <v>0</v>
      </c>
      <c r="W119" s="1220"/>
      <c r="X119" s="506">
        <f>Assets!$G$41</f>
        <v>0</v>
      </c>
      <c r="Y119" s="510">
        <f>Assets!$F$41</f>
        <v>0</v>
      </c>
      <c r="Z119" s="507">
        <f t="shared" si="204"/>
        <v>0</v>
      </c>
      <c r="AA119" s="1220"/>
      <c r="AB119" s="506">
        <f>Assets!$G$42</f>
        <v>0</v>
      </c>
      <c r="AC119" s="507">
        <f>Assets!$F$42</f>
        <v>0</v>
      </c>
      <c r="AD119" s="507">
        <f t="shared" si="205"/>
        <v>0</v>
      </c>
      <c r="AE119" s="1220"/>
      <c r="AF119" s="506">
        <f>Assets!$G$43</f>
        <v>0</v>
      </c>
      <c r="AG119" s="507">
        <f>Assets!$F$43</f>
        <v>0</v>
      </c>
      <c r="AH119" s="507">
        <f t="shared" si="206"/>
        <v>0</v>
      </c>
      <c r="AI119" s="1220"/>
      <c r="AJ119" s="506">
        <f>Assets!$G$44</f>
        <v>0</v>
      </c>
      <c r="AK119" s="507">
        <f>Assets!$F$44</f>
        <v>0</v>
      </c>
      <c r="AL119" s="507">
        <f t="shared" si="207"/>
        <v>0</v>
      </c>
      <c r="AM119" s="1220"/>
      <c r="AN119" s="506">
        <f>Assets!$G$45</f>
        <v>0</v>
      </c>
      <c r="AO119" s="507">
        <f>Assets!$F$45</f>
        <v>0</v>
      </c>
      <c r="AP119" s="507">
        <f t="shared" si="208"/>
        <v>0</v>
      </c>
      <c r="AQ119" s="1220"/>
      <c r="AR119" s="506">
        <f>Assets!$G$46</f>
        <v>0</v>
      </c>
      <c r="AS119" s="507">
        <f>Assets!$F$46</f>
        <v>0</v>
      </c>
      <c r="AT119" s="507">
        <f t="shared" si="209"/>
        <v>0</v>
      </c>
      <c r="AU119" s="1220"/>
      <c r="AV119" s="506">
        <f>Assets!$G$47</f>
        <v>0</v>
      </c>
      <c r="AW119" s="507">
        <f>Assets!F$47</f>
        <v>0</v>
      </c>
      <c r="AX119" s="507">
        <f t="shared" si="210"/>
        <v>0</v>
      </c>
      <c r="AY119" s="1220"/>
      <c r="AZ119" s="506">
        <f>Assets!$G$48</f>
        <v>0</v>
      </c>
      <c r="BA119" s="507">
        <f>Assets!$F$48</f>
        <v>0</v>
      </c>
      <c r="BB119" s="507">
        <f t="shared" si="211"/>
        <v>0</v>
      </c>
      <c r="BC119" s="502"/>
      <c r="BD119" s="2005"/>
      <c r="BE119" s="523"/>
      <c r="BF119" s="523"/>
      <c r="BG119" s="1331">
        <f t="shared" si="212"/>
        <v>115094920.21915063</v>
      </c>
      <c r="BH119" s="1331">
        <f t="shared" si="213"/>
        <v>60190128.274703585</v>
      </c>
      <c r="BI119" s="1331">
        <f t="shared" si="214"/>
        <v>54046277.713965282</v>
      </c>
      <c r="BJ119" s="1331">
        <f t="shared" si="215"/>
        <v>0</v>
      </c>
      <c r="BK119" s="1331">
        <f t="shared" si="216"/>
        <v>0</v>
      </c>
      <c r="BL119" s="1331">
        <f t="shared" si="217"/>
        <v>0</v>
      </c>
      <c r="BM119" s="1331">
        <f t="shared" si="218"/>
        <v>0</v>
      </c>
      <c r="BN119" s="1331">
        <f t="shared" si="219"/>
        <v>0</v>
      </c>
      <c r="BO119" s="1331">
        <f t="shared" si="220"/>
        <v>0</v>
      </c>
      <c r="BP119" s="1331">
        <f t="shared" si="221"/>
        <v>0</v>
      </c>
      <c r="BQ119" s="1331">
        <f t="shared" si="222"/>
        <v>0</v>
      </c>
      <c r="BR119" s="1331">
        <f t="shared" si="223"/>
        <v>0</v>
      </c>
      <c r="BS119" s="523"/>
      <c r="BT119" s="523"/>
      <c r="BU119" s="523"/>
      <c r="BV119" s="523"/>
      <c r="BW119" s="1333">
        <f t="shared" ca="1" si="197"/>
        <v>2134</v>
      </c>
      <c r="BX119" s="1331">
        <f t="shared" si="224"/>
        <v>175285048.49385422</v>
      </c>
      <c r="BY119" s="1331">
        <f t="shared" ca="1" si="198"/>
        <v>54046277.713965282</v>
      </c>
      <c r="BZ119" s="1336">
        <f t="shared" si="225"/>
        <v>115094920.21915063</v>
      </c>
      <c r="CA119" s="1336">
        <f t="shared" si="226"/>
        <v>60190128.274703585</v>
      </c>
      <c r="CB119" s="1336">
        <f t="shared" si="227"/>
        <v>0</v>
      </c>
      <c r="CC119" s="1336">
        <f t="shared" si="228"/>
        <v>0</v>
      </c>
      <c r="CD119" s="1336">
        <f t="shared" si="229"/>
        <v>0</v>
      </c>
      <c r="CE119" s="1336">
        <f t="shared" si="230"/>
        <v>0</v>
      </c>
      <c r="CF119" s="1336">
        <f t="shared" si="231"/>
        <v>0</v>
      </c>
      <c r="CG119" s="1336">
        <f t="shared" si="232"/>
        <v>0</v>
      </c>
      <c r="CH119" s="1336">
        <f t="shared" si="233"/>
        <v>0</v>
      </c>
      <c r="CI119" s="1336">
        <f t="shared" si="234"/>
        <v>0</v>
      </c>
      <c r="CJ119" s="1336">
        <f t="shared" si="235"/>
        <v>0</v>
      </c>
      <c r="CK119" s="1336">
        <f t="shared" si="236"/>
        <v>0</v>
      </c>
      <c r="CL119" s="1336"/>
      <c r="CM119" s="1336">
        <f t="shared" si="237"/>
        <v>0</v>
      </c>
      <c r="CN119" s="1336">
        <f t="shared" si="238"/>
        <v>0</v>
      </c>
      <c r="CO119" s="1336">
        <f t="shared" si="239"/>
        <v>54046277.713965282</v>
      </c>
      <c r="CP119" s="1336">
        <f t="shared" si="240"/>
        <v>0</v>
      </c>
      <c r="CQ119" s="1336">
        <f t="shared" si="241"/>
        <v>0</v>
      </c>
      <c r="CR119" s="1336">
        <f t="shared" si="242"/>
        <v>0</v>
      </c>
      <c r="CS119" s="1336">
        <f t="shared" si="243"/>
        <v>0</v>
      </c>
      <c r="CT119" s="1336">
        <f t="shared" si="244"/>
        <v>0</v>
      </c>
      <c r="CU119" s="1336">
        <f t="shared" si="245"/>
        <v>0</v>
      </c>
      <c r="CV119" s="1336">
        <f t="shared" si="246"/>
        <v>0</v>
      </c>
      <c r="CW119" s="1336">
        <f t="shared" si="247"/>
        <v>0</v>
      </c>
      <c r="CX119" s="1336">
        <f t="shared" si="248"/>
        <v>0</v>
      </c>
      <c r="CY119" s="1336"/>
      <c r="CZ119" s="1336"/>
      <c r="DA119" s="1334">
        <f ca="1">Rental!Y149</f>
        <v>0</v>
      </c>
      <c r="DB119" s="1334">
        <f ca="1">Rental!AD149</f>
        <v>0</v>
      </c>
      <c r="DC119" s="1972"/>
      <c r="DD119" s="1761"/>
      <c r="DE119" s="1761"/>
      <c r="DF119" s="1335"/>
      <c r="DG119" s="1335"/>
      <c r="DH119" s="1335"/>
      <c r="DI119" s="1335"/>
      <c r="DJ119" s="1335"/>
      <c r="DK119" s="1335"/>
      <c r="DL119" s="1335"/>
      <c r="DM119" s="1335"/>
      <c r="DN119" s="1335"/>
      <c r="DO119" s="1335"/>
      <c r="DP119" s="1335"/>
      <c r="DQ119" s="1335"/>
      <c r="DR119" s="1335"/>
      <c r="DS119" s="1335"/>
      <c r="DT119" s="1335"/>
    </row>
    <row r="120" spans="1:124" s="1185" customFormat="1" ht="18" customHeight="1">
      <c r="A120" s="523">
        <f ca="1">IF(E120=YEAR(Retire!$D$12),1,0)</f>
        <v>0</v>
      </c>
      <c r="B120" s="502"/>
      <c r="C120" s="503" t="str">
        <f ca="1">IF(E120=Retire!$D$12,"==&gt;","")</f>
        <v/>
      </c>
      <c r="D120" s="512">
        <f t="shared" si="132"/>
        <v>114</v>
      </c>
      <c r="E120" s="512">
        <f t="shared" ca="1" si="133"/>
        <v>2135</v>
      </c>
      <c r="F120" s="513">
        <f t="shared" ca="1" si="199"/>
        <v>241917580</v>
      </c>
      <c r="G120" s="513"/>
      <c r="H120" s="514">
        <f>Assets!$G$37</f>
        <v>5.5E-2</v>
      </c>
      <c r="I120" s="515">
        <f>Assets!$F$37</f>
        <v>2000</v>
      </c>
      <c r="J120" s="515">
        <f t="shared" si="200"/>
        <v>121427140.83120392</v>
      </c>
      <c r="K120" s="1220"/>
      <c r="L120" s="514">
        <f>Assets!$G$38</f>
        <v>0.05</v>
      </c>
      <c r="M120" s="515">
        <f>Assets!$F$38</f>
        <v>1500</v>
      </c>
      <c r="N120" s="515">
        <f t="shared" si="201"/>
        <v>63201134.688438766</v>
      </c>
      <c r="O120" s="1220"/>
      <c r="P120" s="514">
        <f>Assets!$G$39</f>
        <v>0.06</v>
      </c>
      <c r="Q120" s="516">
        <f>Assets!$F$39</f>
        <v>250</v>
      </c>
      <c r="R120" s="515">
        <f t="shared" si="202"/>
        <v>57289304.376803197</v>
      </c>
      <c r="S120" s="1220"/>
      <c r="T120" s="514">
        <f>Assets!$G$40</f>
        <v>0</v>
      </c>
      <c r="U120" s="517">
        <f>Assets!$F$40</f>
        <v>0</v>
      </c>
      <c r="V120" s="515">
        <f t="shared" si="203"/>
        <v>0</v>
      </c>
      <c r="W120" s="1220"/>
      <c r="X120" s="514">
        <f>Assets!$G$41</f>
        <v>0</v>
      </c>
      <c r="Y120" s="517">
        <f>Assets!$F$41</f>
        <v>0</v>
      </c>
      <c r="Z120" s="515">
        <f t="shared" si="204"/>
        <v>0</v>
      </c>
      <c r="AA120" s="1220"/>
      <c r="AB120" s="514">
        <f>Assets!$G$42</f>
        <v>0</v>
      </c>
      <c r="AC120" s="515">
        <f>Assets!$F$42</f>
        <v>0</v>
      </c>
      <c r="AD120" s="515">
        <f t="shared" si="205"/>
        <v>0</v>
      </c>
      <c r="AE120" s="1220"/>
      <c r="AF120" s="514">
        <f>Assets!$G$43</f>
        <v>0</v>
      </c>
      <c r="AG120" s="515">
        <f>Assets!$F$43</f>
        <v>0</v>
      </c>
      <c r="AH120" s="515">
        <f t="shared" si="206"/>
        <v>0</v>
      </c>
      <c r="AI120" s="1220"/>
      <c r="AJ120" s="514">
        <f>Assets!$G$44</f>
        <v>0</v>
      </c>
      <c r="AK120" s="515">
        <f>Assets!$F$44</f>
        <v>0</v>
      </c>
      <c r="AL120" s="515">
        <f t="shared" si="207"/>
        <v>0</v>
      </c>
      <c r="AM120" s="1220"/>
      <c r="AN120" s="514">
        <f>Assets!$G$45</f>
        <v>0</v>
      </c>
      <c r="AO120" s="515">
        <f>Assets!$F$45</f>
        <v>0</v>
      </c>
      <c r="AP120" s="515">
        <f t="shared" si="208"/>
        <v>0</v>
      </c>
      <c r="AQ120" s="1220"/>
      <c r="AR120" s="514">
        <f>Assets!$G$46</f>
        <v>0</v>
      </c>
      <c r="AS120" s="515">
        <f>Assets!$F$46</f>
        <v>0</v>
      </c>
      <c r="AT120" s="515">
        <f t="shared" si="209"/>
        <v>0</v>
      </c>
      <c r="AU120" s="1220"/>
      <c r="AV120" s="514">
        <f>Assets!$G$47</f>
        <v>0</v>
      </c>
      <c r="AW120" s="515">
        <f>Assets!F$47</f>
        <v>0</v>
      </c>
      <c r="AX120" s="515">
        <f t="shared" si="210"/>
        <v>0</v>
      </c>
      <c r="AY120" s="1220"/>
      <c r="AZ120" s="514">
        <f>Assets!$G$48</f>
        <v>0</v>
      </c>
      <c r="BA120" s="515">
        <f>Assets!$F$48</f>
        <v>0</v>
      </c>
      <c r="BB120" s="515">
        <f t="shared" si="211"/>
        <v>0</v>
      </c>
      <c r="BC120" s="502"/>
      <c r="BD120" s="2005"/>
      <c r="BE120" s="523"/>
      <c r="BF120" s="523"/>
      <c r="BG120" s="1331">
        <f t="shared" si="212"/>
        <v>121427140.83120392</v>
      </c>
      <c r="BH120" s="1331">
        <f t="shared" si="213"/>
        <v>63201134.688438766</v>
      </c>
      <c r="BI120" s="1331">
        <f t="shared" si="214"/>
        <v>57289304.376803197</v>
      </c>
      <c r="BJ120" s="1331">
        <f t="shared" si="215"/>
        <v>0</v>
      </c>
      <c r="BK120" s="1331">
        <f t="shared" si="216"/>
        <v>0</v>
      </c>
      <c r="BL120" s="1331">
        <f t="shared" si="217"/>
        <v>0</v>
      </c>
      <c r="BM120" s="1331">
        <f t="shared" si="218"/>
        <v>0</v>
      </c>
      <c r="BN120" s="1331">
        <f t="shared" si="219"/>
        <v>0</v>
      </c>
      <c r="BO120" s="1331">
        <f t="shared" si="220"/>
        <v>0</v>
      </c>
      <c r="BP120" s="1331">
        <f t="shared" si="221"/>
        <v>0</v>
      </c>
      <c r="BQ120" s="1331">
        <f t="shared" si="222"/>
        <v>0</v>
      </c>
      <c r="BR120" s="1331">
        <f t="shared" si="223"/>
        <v>0</v>
      </c>
      <c r="BS120" s="523"/>
      <c r="BT120" s="523"/>
      <c r="BU120" s="523"/>
      <c r="BV120" s="523"/>
      <c r="BW120" s="1333">
        <f t="shared" ca="1" si="197"/>
        <v>2135</v>
      </c>
      <c r="BX120" s="1331">
        <f t="shared" si="224"/>
        <v>184628275.51964268</v>
      </c>
      <c r="BY120" s="1331">
        <f t="shared" ca="1" si="198"/>
        <v>57289304.376803197</v>
      </c>
      <c r="BZ120" s="1336">
        <f t="shared" si="225"/>
        <v>121427140.83120392</v>
      </c>
      <c r="CA120" s="1336">
        <f t="shared" si="226"/>
        <v>63201134.688438766</v>
      </c>
      <c r="CB120" s="1336">
        <f t="shared" si="227"/>
        <v>0</v>
      </c>
      <c r="CC120" s="1336">
        <f t="shared" si="228"/>
        <v>0</v>
      </c>
      <c r="CD120" s="1336">
        <f t="shared" si="229"/>
        <v>0</v>
      </c>
      <c r="CE120" s="1336">
        <f t="shared" si="230"/>
        <v>0</v>
      </c>
      <c r="CF120" s="1336">
        <f t="shared" si="231"/>
        <v>0</v>
      </c>
      <c r="CG120" s="1336">
        <f t="shared" si="232"/>
        <v>0</v>
      </c>
      <c r="CH120" s="1336">
        <f t="shared" si="233"/>
        <v>0</v>
      </c>
      <c r="CI120" s="1336">
        <f t="shared" si="234"/>
        <v>0</v>
      </c>
      <c r="CJ120" s="1336">
        <f t="shared" si="235"/>
        <v>0</v>
      </c>
      <c r="CK120" s="1336">
        <f t="shared" si="236"/>
        <v>0</v>
      </c>
      <c r="CL120" s="1336"/>
      <c r="CM120" s="1336">
        <f t="shared" si="237"/>
        <v>0</v>
      </c>
      <c r="CN120" s="1336">
        <f t="shared" si="238"/>
        <v>0</v>
      </c>
      <c r="CO120" s="1336">
        <f t="shared" si="239"/>
        <v>57289304.376803197</v>
      </c>
      <c r="CP120" s="1336">
        <f t="shared" si="240"/>
        <v>0</v>
      </c>
      <c r="CQ120" s="1336">
        <f t="shared" si="241"/>
        <v>0</v>
      </c>
      <c r="CR120" s="1336">
        <f t="shared" si="242"/>
        <v>0</v>
      </c>
      <c r="CS120" s="1336">
        <f t="shared" si="243"/>
        <v>0</v>
      </c>
      <c r="CT120" s="1336">
        <f t="shared" si="244"/>
        <v>0</v>
      </c>
      <c r="CU120" s="1336">
        <f t="shared" si="245"/>
        <v>0</v>
      </c>
      <c r="CV120" s="1336">
        <f t="shared" si="246"/>
        <v>0</v>
      </c>
      <c r="CW120" s="1336">
        <f t="shared" si="247"/>
        <v>0</v>
      </c>
      <c r="CX120" s="1336">
        <f t="shared" si="248"/>
        <v>0</v>
      </c>
      <c r="CY120" s="1336"/>
      <c r="CZ120" s="1336"/>
      <c r="DA120" s="1334">
        <f ca="1">Rental!Y150</f>
        <v>0</v>
      </c>
      <c r="DB120" s="1334">
        <f ca="1">Rental!AD150</f>
        <v>0</v>
      </c>
      <c r="DC120" s="1972"/>
      <c r="DD120" s="1761"/>
      <c r="DE120" s="1761"/>
      <c r="DF120" s="1335"/>
      <c r="DG120" s="1335"/>
      <c r="DH120" s="1335"/>
      <c r="DI120" s="1335"/>
      <c r="DJ120" s="1335"/>
      <c r="DK120" s="1335"/>
      <c r="DL120" s="1335"/>
      <c r="DM120" s="1335"/>
      <c r="DN120" s="1335"/>
      <c r="DO120" s="1335"/>
      <c r="DP120" s="1335"/>
      <c r="DQ120" s="1335"/>
      <c r="DR120" s="1335"/>
      <c r="DS120" s="1335"/>
      <c r="DT120" s="1335"/>
    </row>
    <row r="121" spans="1:124" s="1185" customFormat="1" ht="18" customHeight="1">
      <c r="A121" s="523">
        <f ca="1">IF(E121=YEAR(Retire!$D$12),1,0)</f>
        <v>0</v>
      </c>
      <c r="B121" s="502"/>
      <c r="C121" s="503" t="str">
        <f ca="1">IF(E121=Retire!$D$12,"==&gt;","")</f>
        <v/>
      </c>
      <c r="D121" s="504">
        <f t="shared" si="132"/>
        <v>115</v>
      </c>
      <c r="E121" s="504">
        <f t="shared" ca="1" si="133"/>
        <v>2136</v>
      </c>
      <c r="F121" s="505">
        <f t="shared" ca="1" si="199"/>
        <v>255197238</v>
      </c>
      <c r="G121" s="505"/>
      <c r="H121" s="506">
        <f>Assets!$G$37</f>
        <v>5.5E-2</v>
      </c>
      <c r="I121" s="507">
        <f>Assets!$F$37</f>
        <v>2000</v>
      </c>
      <c r="J121" s="507">
        <f t="shared" si="200"/>
        <v>128107633.57692014</v>
      </c>
      <c r="K121" s="1220"/>
      <c r="L121" s="506">
        <f>Assets!$G$38</f>
        <v>0.05</v>
      </c>
      <c r="M121" s="507">
        <f>Assets!$F$38</f>
        <v>1500</v>
      </c>
      <c r="N121" s="507">
        <f t="shared" si="201"/>
        <v>66362691.422860704</v>
      </c>
      <c r="O121" s="1220"/>
      <c r="P121" s="506">
        <f>Assets!$G$39</f>
        <v>0.06</v>
      </c>
      <c r="Q121" s="508">
        <f>Assets!$F$39</f>
        <v>250</v>
      </c>
      <c r="R121" s="507">
        <f t="shared" si="202"/>
        <v>60726912.63941139</v>
      </c>
      <c r="S121" s="1220"/>
      <c r="T121" s="506">
        <f>Assets!$G$40</f>
        <v>0</v>
      </c>
      <c r="U121" s="510">
        <f>Assets!$F$40</f>
        <v>0</v>
      </c>
      <c r="V121" s="507">
        <f t="shared" si="203"/>
        <v>0</v>
      </c>
      <c r="W121" s="1220"/>
      <c r="X121" s="506">
        <f>Assets!$G$41</f>
        <v>0</v>
      </c>
      <c r="Y121" s="510">
        <f>Assets!$F$41</f>
        <v>0</v>
      </c>
      <c r="Z121" s="507">
        <f t="shared" si="204"/>
        <v>0</v>
      </c>
      <c r="AA121" s="1220"/>
      <c r="AB121" s="506">
        <f>Assets!$G$42</f>
        <v>0</v>
      </c>
      <c r="AC121" s="507">
        <f>Assets!$F$42</f>
        <v>0</v>
      </c>
      <c r="AD121" s="507">
        <f t="shared" si="205"/>
        <v>0</v>
      </c>
      <c r="AE121" s="1220"/>
      <c r="AF121" s="506">
        <f>Assets!$G$43</f>
        <v>0</v>
      </c>
      <c r="AG121" s="507">
        <f>Assets!$F$43</f>
        <v>0</v>
      </c>
      <c r="AH121" s="507">
        <f t="shared" si="206"/>
        <v>0</v>
      </c>
      <c r="AI121" s="1220"/>
      <c r="AJ121" s="506">
        <f>Assets!$G$44</f>
        <v>0</v>
      </c>
      <c r="AK121" s="507">
        <f>Assets!$F$44</f>
        <v>0</v>
      </c>
      <c r="AL121" s="507">
        <f t="shared" si="207"/>
        <v>0</v>
      </c>
      <c r="AM121" s="1220"/>
      <c r="AN121" s="506">
        <f>Assets!$G$45</f>
        <v>0</v>
      </c>
      <c r="AO121" s="507">
        <f>Assets!$F$45</f>
        <v>0</v>
      </c>
      <c r="AP121" s="507">
        <f t="shared" si="208"/>
        <v>0</v>
      </c>
      <c r="AQ121" s="1220"/>
      <c r="AR121" s="506">
        <f>Assets!$G$46</f>
        <v>0</v>
      </c>
      <c r="AS121" s="507">
        <f>Assets!$F$46</f>
        <v>0</v>
      </c>
      <c r="AT121" s="507">
        <f t="shared" si="209"/>
        <v>0</v>
      </c>
      <c r="AU121" s="1220"/>
      <c r="AV121" s="506">
        <f>Assets!$G$47</f>
        <v>0</v>
      </c>
      <c r="AW121" s="507">
        <f>Assets!F$47</f>
        <v>0</v>
      </c>
      <c r="AX121" s="507">
        <f t="shared" si="210"/>
        <v>0</v>
      </c>
      <c r="AY121" s="1220"/>
      <c r="AZ121" s="506">
        <f>Assets!$G$48</f>
        <v>0</v>
      </c>
      <c r="BA121" s="507">
        <f>Assets!$F$48</f>
        <v>0</v>
      </c>
      <c r="BB121" s="507">
        <f t="shared" si="211"/>
        <v>0</v>
      </c>
      <c r="BC121" s="502"/>
      <c r="BD121" s="2005"/>
      <c r="BE121" s="523"/>
      <c r="BF121" s="523"/>
      <c r="BG121" s="1331">
        <f t="shared" si="212"/>
        <v>128107633.57692014</v>
      </c>
      <c r="BH121" s="1331">
        <f t="shared" si="213"/>
        <v>66362691.422860704</v>
      </c>
      <c r="BI121" s="1331">
        <f t="shared" si="214"/>
        <v>60726912.63941139</v>
      </c>
      <c r="BJ121" s="1331">
        <f t="shared" si="215"/>
        <v>0</v>
      </c>
      <c r="BK121" s="1331">
        <f t="shared" si="216"/>
        <v>0</v>
      </c>
      <c r="BL121" s="1331">
        <f t="shared" si="217"/>
        <v>0</v>
      </c>
      <c r="BM121" s="1331">
        <f t="shared" si="218"/>
        <v>0</v>
      </c>
      <c r="BN121" s="1331">
        <f t="shared" si="219"/>
        <v>0</v>
      </c>
      <c r="BO121" s="1331">
        <f t="shared" si="220"/>
        <v>0</v>
      </c>
      <c r="BP121" s="1331">
        <f t="shared" si="221"/>
        <v>0</v>
      </c>
      <c r="BQ121" s="1331">
        <f t="shared" si="222"/>
        <v>0</v>
      </c>
      <c r="BR121" s="1331">
        <f t="shared" si="223"/>
        <v>0</v>
      </c>
      <c r="BS121" s="523"/>
      <c r="BT121" s="523"/>
      <c r="BU121" s="523"/>
      <c r="BV121" s="523"/>
      <c r="BW121" s="1333">
        <f t="shared" ca="1" si="197"/>
        <v>2136</v>
      </c>
      <c r="BX121" s="1331">
        <f t="shared" si="224"/>
        <v>194470324.99978083</v>
      </c>
      <c r="BY121" s="1331">
        <f t="shared" ca="1" si="198"/>
        <v>60726912.63941139</v>
      </c>
      <c r="BZ121" s="1336">
        <f t="shared" si="225"/>
        <v>128107633.57692014</v>
      </c>
      <c r="CA121" s="1336">
        <f t="shared" si="226"/>
        <v>66362691.422860704</v>
      </c>
      <c r="CB121" s="1336">
        <f t="shared" si="227"/>
        <v>0</v>
      </c>
      <c r="CC121" s="1336">
        <f t="shared" si="228"/>
        <v>0</v>
      </c>
      <c r="CD121" s="1336">
        <f t="shared" si="229"/>
        <v>0</v>
      </c>
      <c r="CE121" s="1336">
        <f t="shared" si="230"/>
        <v>0</v>
      </c>
      <c r="CF121" s="1336">
        <f t="shared" si="231"/>
        <v>0</v>
      </c>
      <c r="CG121" s="1336">
        <f t="shared" si="232"/>
        <v>0</v>
      </c>
      <c r="CH121" s="1336">
        <f t="shared" si="233"/>
        <v>0</v>
      </c>
      <c r="CI121" s="1336">
        <f t="shared" si="234"/>
        <v>0</v>
      </c>
      <c r="CJ121" s="1336">
        <f t="shared" si="235"/>
        <v>0</v>
      </c>
      <c r="CK121" s="1336">
        <f t="shared" si="236"/>
        <v>0</v>
      </c>
      <c r="CL121" s="1336"/>
      <c r="CM121" s="1336">
        <f t="shared" si="237"/>
        <v>0</v>
      </c>
      <c r="CN121" s="1336">
        <f t="shared" si="238"/>
        <v>0</v>
      </c>
      <c r="CO121" s="1336">
        <f t="shared" si="239"/>
        <v>60726912.63941139</v>
      </c>
      <c r="CP121" s="1336">
        <f t="shared" si="240"/>
        <v>0</v>
      </c>
      <c r="CQ121" s="1336">
        <f t="shared" si="241"/>
        <v>0</v>
      </c>
      <c r="CR121" s="1336">
        <f t="shared" si="242"/>
        <v>0</v>
      </c>
      <c r="CS121" s="1336">
        <f t="shared" si="243"/>
        <v>0</v>
      </c>
      <c r="CT121" s="1336">
        <f t="shared" si="244"/>
        <v>0</v>
      </c>
      <c r="CU121" s="1336">
        <f t="shared" si="245"/>
        <v>0</v>
      </c>
      <c r="CV121" s="1336">
        <f t="shared" si="246"/>
        <v>0</v>
      </c>
      <c r="CW121" s="1336">
        <f t="shared" si="247"/>
        <v>0</v>
      </c>
      <c r="CX121" s="1336">
        <f t="shared" si="248"/>
        <v>0</v>
      </c>
      <c r="CY121" s="1336"/>
      <c r="CZ121" s="1336"/>
      <c r="DA121" s="1334">
        <f ca="1">Rental!Y151</f>
        <v>0</v>
      </c>
      <c r="DB121" s="1334">
        <f ca="1">Rental!AD151</f>
        <v>0</v>
      </c>
      <c r="DC121" s="1972"/>
      <c r="DD121" s="1761"/>
      <c r="DE121" s="1761"/>
      <c r="DF121" s="1335"/>
      <c r="DG121" s="1335"/>
      <c r="DH121" s="1335"/>
      <c r="DI121" s="1335"/>
      <c r="DJ121" s="1335"/>
      <c r="DK121" s="1335"/>
      <c r="DL121" s="1335"/>
      <c r="DM121" s="1335"/>
      <c r="DN121" s="1335"/>
      <c r="DO121" s="1335"/>
      <c r="DP121" s="1335"/>
      <c r="DQ121" s="1335"/>
      <c r="DR121" s="1335"/>
      <c r="DS121" s="1335"/>
      <c r="DT121" s="1335"/>
    </row>
    <row r="122" spans="1:124" s="1185" customFormat="1" ht="18" customHeight="1">
      <c r="A122" s="523">
        <f ca="1">IF(E122=YEAR(Retire!$D$12),1,0)</f>
        <v>0</v>
      </c>
      <c r="B122" s="502"/>
      <c r="C122" s="503" t="str">
        <f ca="1">IF(E122=Retire!$D$12,"==&gt;","")</f>
        <v/>
      </c>
      <c r="D122" s="512">
        <f t="shared" si="132"/>
        <v>116</v>
      </c>
      <c r="E122" s="512">
        <f t="shared" ca="1" si="133"/>
        <v>2137</v>
      </c>
      <c r="F122" s="513">
        <f t="shared" ca="1" si="199"/>
        <v>269208657</v>
      </c>
      <c r="G122" s="513"/>
      <c r="H122" s="514">
        <f>Assets!$G$37</f>
        <v>5.5E-2</v>
      </c>
      <c r="I122" s="515">
        <f>Assets!$F$37</f>
        <v>2000</v>
      </c>
      <c r="J122" s="515">
        <f t="shared" si="200"/>
        <v>135155553.42365074</v>
      </c>
      <c r="K122" s="1220"/>
      <c r="L122" s="514">
        <f>Assets!$G$38</f>
        <v>0.05</v>
      </c>
      <c r="M122" s="515">
        <f>Assets!$F$38</f>
        <v>1500</v>
      </c>
      <c r="N122" s="515">
        <f t="shared" si="201"/>
        <v>69682325.994003743</v>
      </c>
      <c r="O122" s="1220"/>
      <c r="P122" s="514">
        <f>Assets!$G$39</f>
        <v>0.06</v>
      </c>
      <c r="Q122" s="516">
        <f>Assets!$F$39</f>
        <v>250</v>
      </c>
      <c r="R122" s="515">
        <f t="shared" si="202"/>
        <v>64370777.397776075</v>
      </c>
      <c r="S122" s="1220"/>
      <c r="T122" s="514">
        <f>Assets!$G$40</f>
        <v>0</v>
      </c>
      <c r="U122" s="517">
        <f>Assets!$F$40</f>
        <v>0</v>
      </c>
      <c r="V122" s="515">
        <f t="shared" si="203"/>
        <v>0</v>
      </c>
      <c r="W122" s="1220"/>
      <c r="X122" s="514">
        <f>Assets!$G$41</f>
        <v>0</v>
      </c>
      <c r="Y122" s="517">
        <f>Assets!$F$41</f>
        <v>0</v>
      </c>
      <c r="Z122" s="515">
        <f t="shared" si="204"/>
        <v>0</v>
      </c>
      <c r="AA122" s="1220"/>
      <c r="AB122" s="514">
        <f>Assets!$G$42</f>
        <v>0</v>
      </c>
      <c r="AC122" s="515">
        <f>Assets!$F$42</f>
        <v>0</v>
      </c>
      <c r="AD122" s="515">
        <f t="shared" si="205"/>
        <v>0</v>
      </c>
      <c r="AE122" s="1220"/>
      <c r="AF122" s="514">
        <f>Assets!$G$43</f>
        <v>0</v>
      </c>
      <c r="AG122" s="515">
        <f>Assets!$F$43</f>
        <v>0</v>
      </c>
      <c r="AH122" s="515">
        <f t="shared" si="206"/>
        <v>0</v>
      </c>
      <c r="AI122" s="1220"/>
      <c r="AJ122" s="514">
        <f>Assets!$G$44</f>
        <v>0</v>
      </c>
      <c r="AK122" s="515">
        <f>Assets!$F$44</f>
        <v>0</v>
      </c>
      <c r="AL122" s="515">
        <f t="shared" si="207"/>
        <v>0</v>
      </c>
      <c r="AM122" s="1220"/>
      <c r="AN122" s="514">
        <f>Assets!$G$45</f>
        <v>0</v>
      </c>
      <c r="AO122" s="515">
        <f>Assets!$F$45</f>
        <v>0</v>
      </c>
      <c r="AP122" s="515">
        <f t="shared" si="208"/>
        <v>0</v>
      </c>
      <c r="AQ122" s="1220"/>
      <c r="AR122" s="514">
        <f>Assets!$G$46</f>
        <v>0</v>
      </c>
      <c r="AS122" s="515">
        <f>Assets!$F$46</f>
        <v>0</v>
      </c>
      <c r="AT122" s="515">
        <f t="shared" si="209"/>
        <v>0</v>
      </c>
      <c r="AU122" s="1220"/>
      <c r="AV122" s="514">
        <f>Assets!$G$47</f>
        <v>0</v>
      </c>
      <c r="AW122" s="515">
        <f>Assets!F$47</f>
        <v>0</v>
      </c>
      <c r="AX122" s="515">
        <f t="shared" si="210"/>
        <v>0</v>
      </c>
      <c r="AY122" s="1220"/>
      <c r="AZ122" s="514">
        <f>Assets!$G$48</f>
        <v>0</v>
      </c>
      <c r="BA122" s="515">
        <f>Assets!$F$48</f>
        <v>0</v>
      </c>
      <c r="BB122" s="515">
        <f t="shared" si="211"/>
        <v>0</v>
      </c>
      <c r="BC122" s="502"/>
      <c r="BD122" s="2005"/>
      <c r="BE122" s="523"/>
      <c r="BF122" s="523"/>
      <c r="BG122" s="1331">
        <f t="shared" si="212"/>
        <v>135155553.42365074</v>
      </c>
      <c r="BH122" s="1331">
        <f t="shared" si="213"/>
        <v>69682325.994003743</v>
      </c>
      <c r="BI122" s="1331">
        <f t="shared" si="214"/>
        <v>64370777.397776075</v>
      </c>
      <c r="BJ122" s="1331">
        <f t="shared" si="215"/>
        <v>0</v>
      </c>
      <c r="BK122" s="1331">
        <f t="shared" si="216"/>
        <v>0</v>
      </c>
      <c r="BL122" s="1331">
        <f t="shared" si="217"/>
        <v>0</v>
      </c>
      <c r="BM122" s="1331">
        <f t="shared" si="218"/>
        <v>0</v>
      </c>
      <c r="BN122" s="1331">
        <f t="shared" si="219"/>
        <v>0</v>
      </c>
      <c r="BO122" s="1331">
        <f t="shared" si="220"/>
        <v>0</v>
      </c>
      <c r="BP122" s="1331">
        <f t="shared" si="221"/>
        <v>0</v>
      </c>
      <c r="BQ122" s="1331">
        <f t="shared" si="222"/>
        <v>0</v>
      </c>
      <c r="BR122" s="1331">
        <f t="shared" si="223"/>
        <v>0</v>
      </c>
      <c r="BS122" s="523"/>
      <c r="BT122" s="523"/>
      <c r="BU122" s="523"/>
      <c r="BV122" s="523"/>
      <c r="BW122" s="1333">
        <f t="shared" ca="1" si="197"/>
        <v>2137</v>
      </c>
      <c r="BX122" s="1331">
        <f t="shared" si="224"/>
        <v>204837879.41765448</v>
      </c>
      <c r="BY122" s="1331">
        <f t="shared" ca="1" si="198"/>
        <v>64370777.397776075</v>
      </c>
      <c r="BZ122" s="1336">
        <f t="shared" si="225"/>
        <v>135155553.42365074</v>
      </c>
      <c r="CA122" s="1336">
        <f t="shared" si="226"/>
        <v>69682325.994003743</v>
      </c>
      <c r="CB122" s="1336">
        <f t="shared" si="227"/>
        <v>0</v>
      </c>
      <c r="CC122" s="1336">
        <f t="shared" si="228"/>
        <v>0</v>
      </c>
      <c r="CD122" s="1336">
        <f t="shared" si="229"/>
        <v>0</v>
      </c>
      <c r="CE122" s="1336">
        <f t="shared" si="230"/>
        <v>0</v>
      </c>
      <c r="CF122" s="1336">
        <f t="shared" si="231"/>
        <v>0</v>
      </c>
      <c r="CG122" s="1336">
        <f t="shared" si="232"/>
        <v>0</v>
      </c>
      <c r="CH122" s="1336">
        <f t="shared" si="233"/>
        <v>0</v>
      </c>
      <c r="CI122" s="1336">
        <f t="shared" si="234"/>
        <v>0</v>
      </c>
      <c r="CJ122" s="1336">
        <f t="shared" si="235"/>
        <v>0</v>
      </c>
      <c r="CK122" s="1336">
        <f t="shared" si="236"/>
        <v>0</v>
      </c>
      <c r="CL122" s="1336"/>
      <c r="CM122" s="1336">
        <f t="shared" si="237"/>
        <v>0</v>
      </c>
      <c r="CN122" s="1336">
        <f t="shared" si="238"/>
        <v>0</v>
      </c>
      <c r="CO122" s="1336">
        <f t="shared" si="239"/>
        <v>64370777.397776075</v>
      </c>
      <c r="CP122" s="1336">
        <f t="shared" si="240"/>
        <v>0</v>
      </c>
      <c r="CQ122" s="1336">
        <f t="shared" si="241"/>
        <v>0</v>
      </c>
      <c r="CR122" s="1336">
        <f t="shared" si="242"/>
        <v>0</v>
      </c>
      <c r="CS122" s="1336">
        <f t="shared" si="243"/>
        <v>0</v>
      </c>
      <c r="CT122" s="1336">
        <f t="shared" si="244"/>
        <v>0</v>
      </c>
      <c r="CU122" s="1336">
        <f t="shared" si="245"/>
        <v>0</v>
      </c>
      <c r="CV122" s="1336">
        <f t="shared" si="246"/>
        <v>0</v>
      </c>
      <c r="CW122" s="1336">
        <f t="shared" si="247"/>
        <v>0</v>
      </c>
      <c r="CX122" s="1336">
        <f t="shared" si="248"/>
        <v>0</v>
      </c>
      <c r="CY122" s="1336"/>
      <c r="CZ122" s="1336"/>
      <c r="DA122" s="1334">
        <f ca="1">Rental!Y152</f>
        <v>0</v>
      </c>
      <c r="DB122" s="1334">
        <f ca="1">Rental!AD152</f>
        <v>0</v>
      </c>
      <c r="DC122" s="1972"/>
      <c r="DD122" s="1761"/>
      <c r="DE122" s="1761"/>
      <c r="DF122" s="1335"/>
      <c r="DG122" s="1335"/>
      <c r="DH122" s="1335"/>
      <c r="DI122" s="1335"/>
      <c r="DJ122" s="1335"/>
      <c r="DK122" s="1335"/>
      <c r="DL122" s="1335"/>
      <c r="DM122" s="1335"/>
      <c r="DN122" s="1335"/>
      <c r="DO122" s="1335"/>
      <c r="DP122" s="1335"/>
      <c r="DQ122" s="1335"/>
      <c r="DR122" s="1335"/>
      <c r="DS122" s="1335"/>
      <c r="DT122" s="1335"/>
    </row>
    <row r="123" spans="1:124" s="1185" customFormat="1" ht="18" customHeight="1">
      <c r="A123" s="523">
        <f ca="1">IF(E123=YEAR(Retire!$D$12),1,0)</f>
        <v>0</v>
      </c>
      <c r="B123" s="502"/>
      <c r="C123" s="503" t="str">
        <f ca="1">IF(E123=Retire!$D$12,"==&gt;","")</f>
        <v/>
      </c>
      <c r="D123" s="504">
        <f t="shared" ref="D123:D131" si="249">SUM(D122+1)</f>
        <v>117</v>
      </c>
      <c r="E123" s="504">
        <f t="shared" ref="E123:E131" ca="1" si="250">E122+1</f>
        <v>2138</v>
      </c>
      <c r="F123" s="505">
        <f t="shared" ca="1" si="199"/>
        <v>283992325</v>
      </c>
      <c r="G123" s="505"/>
      <c r="H123" s="506">
        <f>Assets!$G$37</f>
        <v>5.5E-2</v>
      </c>
      <c r="I123" s="507">
        <f>Assets!$F$37</f>
        <v>2000</v>
      </c>
      <c r="J123" s="507">
        <f t="shared" si="200"/>
        <v>142591108.86195153</v>
      </c>
      <c r="K123" s="1220"/>
      <c r="L123" s="506">
        <f>Assets!$G$38</f>
        <v>0.05</v>
      </c>
      <c r="M123" s="507">
        <f>Assets!$F$38</f>
        <v>1500</v>
      </c>
      <c r="N123" s="507">
        <f t="shared" si="201"/>
        <v>73167942.293703929</v>
      </c>
      <c r="O123" s="1220"/>
      <c r="P123" s="506">
        <f>Assets!$G$39</f>
        <v>0.06</v>
      </c>
      <c r="Q123" s="508">
        <f>Assets!$F$39</f>
        <v>250</v>
      </c>
      <c r="R123" s="507">
        <f t="shared" si="202"/>
        <v>68233274.041642636</v>
      </c>
      <c r="S123" s="1220"/>
      <c r="T123" s="506">
        <f>Assets!$G$40</f>
        <v>0</v>
      </c>
      <c r="U123" s="510">
        <f>Assets!$F$40</f>
        <v>0</v>
      </c>
      <c r="V123" s="507">
        <f t="shared" si="203"/>
        <v>0</v>
      </c>
      <c r="W123" s="1220"/>
      <c r="X123" s="506">
        <f>Assets!$G$41</f>
        <v>0</v>
      </c>
      <c r="Y123" s="510">
        <f>Assets!$F$41</f>
        <v>0</v>
      </c>
      <c r="Z123" s="507">
        <f t="shared" si="204"/>
        <v>0</v>
      </c>
      <c r="AA123" s="1220"/>
      <c r="AB123" s="506">
        <f>Assets!$G$42</f>
        <v>0</v>
      </c>
      <c r="AC123" s="507">
        <f>Assets!$F$42</f>
        <v>0</v>
      </c>
      <c r="AD123" s="507">
        <f t="shared" si="205"/>
        <v>0</v>
      </c>
      <c r="AE123" s="1220"/>
      <c r="AF123" s="506">
        <f>Assets!$G$43</f>
        <v>0</v>
      </c>
      <c r="AG123" s="507">
        <f>Assets!$F$43</f>
        <v>0</v>
      </c>
      <c r="AH123" s="507">
        <f t="shared" si="206"/>
        <v>0</v>
      </c>
      <c r="AI123" s="1220"/>
      <c r="AJ123" s="506">
        <f>Assets!$G$44</f>
        <v>0</v>
      </c>
      <c r="AK123" s="507">
        <f>Assets!$F$44</f>
        <v>0</v>
      </c>
      <c r="AL123" s="507">
        <f t="shared" si="207"/>
        <v>0</v>
      </c>
      <c r="AM123" s="1220"/>
      <c r="AN123" s="506">
        <f>Assets!$G$45</f>
        <v>0</v>
      </c>
      <c r="AO123" s="507">
        <f>Assets!$F$45</f>
        <v>0</v>
      </c>
      <c r="AP123" s="507">
        <f t="shared" si="208"/>
        <v>0</v>
      </c>
      <c r="AQ123" s="1220"/>
      <c r="AR123" s="506">
        <f>Assets!$G$46</f>
        <v>0</v>
      </c>
      <c r="AS123" s="507">
        <f>Assets!$F$46</f>
        <v>0</v>
      </c>
      <c r="AT123" s="507">
        <f t="shared" si="209"/>
        <v>0</v>
      </c>
      <c r="AU123" s="1220"/>
      <c r="AV123" s="506">
        <f>Assets!$G$47</f>
        <v>0</v>
      </c>
      <c r="AW123" s="507">
        <f>Assets!F$47</f>
        <v>0</v>
      </c>
      <c r="AX123" s="507">
        <f t="shared" si="210"/>
        <v>0</v>
      </c>
      <c r="AY123" s="1220"/>
      <c r="AZ123" s="506">
        <f>Assets!$G$48</f>
        <v>0</v>
      </c>
      <c r="BA123" s="507">
        <f>Assets!$F$48</f>
        <v>0</v>
      </c>
      <c r="BB123" s="507">
        <f t="shared" si="211"/>
        <v>0</v>
      </c>
      <c r="BC123" s="502"/>
      <c r="BD123" s="2005"/>
      <c r="BE123" s="523"/>
      <c r="BF123" s="523"/>
      <c r="BG123" s="1331">
        <f t="shared" si="212"/>
        <v>142591108.86195153</v>
      </c>
      <c r="BH123" s="1331">
        <f t="shared" si="213"/>
        <v>73167942.293703929</v>
      </c>
      <c r="BI123" s="1331">
        <f t="shared" si="214"/>
        <v>68233274.041642636</v>
      </c>
      <c r="BJ123" s="1331">
        <f t="shared" si="215"/>
        <v>0</v>
      </c>
      <c r="BK123" s="1331">
        <f t="shared" si="216"/>
        <v>0</v>
      </c>
      <c r="BL123" s="1331">
        <f t="shared" si="217"/>
        <v>0</v>
      </c>
      <c r="BM123" s="1331">
        <f t="shared" si="218"/>
        <v>0</v>
      </c>
      <c r="BN123" s="1331">
        <f t="shared" si="219"/>
        <v>0</v>
      </c>
      <c r="BO123" s="1331">
        <f t="shared" si="220"/>
        <v>0</v>
      </c>
      <c r="BP123" s="1331">
        <f t="shared" si="221"/>
        <v>0</v>
      </c>
      <c r="BQ123" s="1331">
        <f t="shared" si="222"/>
        <v>0</v>
      </c>
      <c r="BR123" s="1331">
        <f t="shared" si="223"/>
        <v>0</v>
      </c>
      <c r="BS123" s="523"/>
      <c r="BT123" s="523"/>
      <c r="BU123" s="523"/>
      <c r="BV123" s="523"/>
      <c r="BW123" s="1333">
        <f t="shared" ca="1" si="197"/>
        <v>2138</v>
      </c>
      <c r="BX123" s="1331">
        <f t="shared" si="224"/>
        <v>215759051.15565544</v>
      </c>
      <c r="BY123" s="1331">
        <f t="shared" ca="1" si="198"/>
        <v>68233274.041642636</v>
      </c>
      <c r="BZ123" s="1336">
        <f t="shared" si="225"/>
        <v>142591108.86195153</v>
      </c>
      <c r="CA123" s="1336">
        <f t="shared" si="226"/>
        <v>73167942.293703929</v>
      </c>
      <c r="CB123" s="1336">
        <f t="shared" si="227"/>
        <v>0</v>
      </c>
      <c r="CC123" s="1336">
        <f t="shared" si="228"/>
        <v>0</v>
      </c>
      <c r="CD123" s="1336">
        <f t="shared" si="229"/>
        <v>0</v>
      </c>
      <c r="CE123" s="1336">
        <f t="shared" si="230"/>
        <v>0</v>
      </c>
      <c r="CF123" s="1336">
        <f t="shared" si="231"/>
        <v>0</v>
      </c>
      <c r="CG123" s="1336">
        <f t="shared" si="232"/>
        <v>0</v>
      </c>
      <c r="CH123" s="1336">
        <f t="shared" si="233"/>
        <v>0</v>
      </c>
      <c r="CI123" s="1336">
        <f t="shared" si="234"/>
        <v>0</v>
      </c>
      <c r="CJ123" s="1336">
        <f t="shared" si="235"/>
        <v>0</v>
      </c>
      <c r="CK123" s="1336">
        <f t="shared" si="236"/>
        <v>0</v>
      </c>
      <c r="CL123" s="1336"/>
      <c r="CM123" s="1336">
        <f t="shared" si="237"/>
        <v>0</v>
      </c>
      <c r="CN123" s="1336">
        <f t="shared" si="238"/>
        <v>0</v>
      </c>
      <c r="CO123" s="1336">
        <f t="shared" si="239"/>
        <v>68233274.041642636</v>
      </c>
      <c r="CP123" s="1336">
        <f t="shared" si="240"/>
        <v>0</v>
      </c>
      <c r="CQ123" s="1336">
        <f t="shared" si="241"/>
        <v>0</v>
      </c>
      <c r="CR123" s="1336">
        <f t="shared" si="242"/>
        <v>0</v>
      </c>
      <c r="CS123" s="1336">
        <f t="shared" si="243"/>
        <v>0</v>
      </c>
      <c r="CT123" s="1336">
        <f t="shared" si="244"/>
        <v>0</v>
      </c>
      <c r="CU123" s="1336">
        <f t="shared" si="245"/>
        <v>0</v>
      </c>
      <c r="CV123" s="1336">
        <f t="shared" si="246"/>
        <v>0</v>
      </c>
      <c r="CW123" s="1336">
        <f t="shared" si="247"/>
        <v>0</v>
      </c>
      <c r="CX123" s="1336">
        <f t="shared" si="248"/>
        <v>0</v>
      </c>
      <c r="CY123" s="1336"/>
      <c r="CZ123" s="1336"/>
      <c r="DA123" s="1334">
        <f ca="1">Rental!Y153</f>
        <v>0</v>
      </c>
      <c r="DB123" s="1334">
        <f ca="1">Rental!AD153</f>
        <v>0</v>
      </c>
      <c r="DC123" s="1972"/>
      <c r="DD123" s="1761"/>
      <c r="DE123" s="1761"/>
      <c r="DF123" s="1335"/>
      <c r="DG123" s="1335"/>
      <c r="DH123" s="1335"/>
      <c r="DI123" s="1335"/>
      <c r="DJ123" s="1335"/>
      <c r="DK123" s="1335"/>
      <c r="DL123" s="1335"/>
      <c r="DM123" s="1335"/>
      <c r="DN123" s="1335"/>
      <c r="DO123" s="1335"/>
      <c r="DP123" s="1335"/>
      <c r="DQ123" s="1335"/>
      <c r="DR123" s="1335"/>
      <c r="DS123" s="1335"/>
      <c r="DT123" s="1335"/>
    </row>
    <row r="124" spans="1:124" s="1185" customFormat="1" ht="18" customHeight="1">
      <c r="A124" s="523">
        <f ca="1">IF(E124=YEAR(Retire!$D$12),1,0)</f>
        <v>0</v>
      </c>
      <c r="B124" s="502"/>
      <c r="C124" s="503" t="str">
        <f ca="1">IF(E124=Retire!$D$12,"==&gt;","")</f>
        <v/>
      </c>
      <c r="D124" s="512">
        <f t="shared" si="249"/>
        <v>118</v>
      </c>
      <c r="E124" s="512">
        <f t="shared" ca="1" si="250"/>
        <v>2139</v>
      </c>
      <c r="F124" s="513">
        <f t="shared" ca="1" si="199"/>
        <v>299590980</v>
      </c>
      <c r="G124" s="513"/>
      <c r="H124" s="514">
        <f>Assets!$G$37</f>
        <v>5.5E-2</v>
      </c>
      <c r="I124" s="515">
        <f>Assets!$F$37</f>
        <v>2000</v>
      </c>
      <c r="J124" s="515">
        <f t="shared" si="200"/>
        <v>150435619.84935886</v>
      </c>
      <c r="K124" s="1220"/>
      <c r="L124" s="514">
        <f>Assets!$G$38</f>
        <v>0.05</v>
      </c>
      <c r="M124" s="515">
        <f>Assets!$F$38</f>
        <v>1500</v>
      </c>
      <c r="N124" s="515">
        <f t="shared" si="201"/>
        <v>76827839.408389121</v>
      </c>
      <c r="O124" s="1220"/>
      <c r="P124" s="514">
        <f>Assets!$G$39</f>
        <v>0.06</v>
      </c>
      <c r="Q124" s="516">
        <f>Assets!$F$39</f>
        <v>250</v>
      </c>
      <c r="R124" s="515">
        <f t="shared" si="202"/>
        <v>72327520.484141201</v>
      </c>
      <c r="S124" s="1220"/>
      <c r="T124" s="514">
        <f>Assets!$G$40</f>
        <v>0</v>
      </c>
      <c r="U124" s="517">
        <f>Assets!$F$40</f>
        <v>0</v>
      </c>
      <c r="V124" s="515">
        <f t="shared" si="203"/>
        <v>0</v>
      </c>
      <c r="W124" s="1220"/>
      <c r="X124" s="514">
        <f>Assets!$G$41</f>
        <v>0</v>
      </c>
      <c r="Y124" s="517">
        <f>Assets!$F$41</f>
        <v>0</v>
      </c>
      <c r="Z124" s="515">
        <f t="shared" si="204"/>
        <v>0</v>
      </c>
      <c r="AA124" s="1220"/>
      <c r="AB124" s="514">
        <f>Assets!$G$42</f>
        <v>0</v>
      </c>
      <c r="AC124" s="515">
        <f>Assets!$F$42</f>
        <v>0</v>
      </c>
      <c r="AD124" s="515">
        <f t="shared" si="205"/>
        <v>0</v>
      </c>
      <c r="AE124" s="1220"/>
      <c r="AF124" s="514">
        <f>Assets!$G$43</f>
        <v>0</v>
      </c>
      <c r="AG124" s="515">
        <f>Assets!$F$43</f>
        <v>0</v>
      </c>
      <c r="AH124" s="515">
        <f t="shared" si="206"/>
        <v>0</v>
      </c>
      <c r="AI124" s="1220"/>
      <c r="AJ124" s="514">
        <f>Assets!$G$44</f>
        <v>0</v>
      </c>
      <c r="AK124" s="515">
        <f>Assets!$F$44</f>
        <v>0</v>
      </c>
      <c r="AL124" s="515">
        <f t="shared" si="207"/>
        <v>0</v>
      </c>
      <c r="AM124" s="1220"/>
      <c r="AN124" s="514">
        <f>Assets!$G$45</f>
        <v>0</v>
      </c>
      <c r="AO124" s="515">
        <f>Assets!$F$45</f>
        <v>0</v>
      </c>
      <c r="AP124" s="515">
        <f t="shared" si="208"/>
        <v>0</v>
      </c>
      <c r="AQ124" s="1220"/>
      <c r="AR124" s="514">
        <f>Assets!$G$46</f>
        <v>0</v>
      </c>
      <c r="AS124" s="515">
        <f>Assets!$F$46</f>
        <v>0</v>
      </c>
      <c r="AT124" s="515">
        <f t="shared" si="209"/>
        <v>0</v>
      </c>
      <c r="AU124" s="1220"/>
      <c r="AV124" s="514">
        <f>Assets!$G$47</f>
        <v>0</v>
      </c>
      <c r="AW124" s="515">
        <f>Assets!F$47</f>
        <v>0</v>
      </c>
      <c r="AX124" s="515">
        <f t="shared" si="210"/>
        <v>0</v>
      </c>
      <c r="AY124" s="1220"/>
      <c r="AZ124" s="514">
        <f>Assets!$G$48</f>
        <v>0</v>
      </c>
      <c r="BA124" s="515">
        <f>Assets!$F$48</f>
        <v>0</v>
      </c>
      <c r="BB124" s="515">
        <f t="shared" si="211"/>
        <v>0</v>
      </c>
      <c r="BC124" s="502"/>
      <c r="BD124" s="2005"/>
      <c r="BE124" s="523"/>
      <c r="BF124" s="523"/>
      <c r="BG124" s="1331">
        <f t="shared" si="212"/>
        <v>150435619.84935886</v>
      </c>
      <c r="BH124" s="1331">
        <f t="shared" si="213"/>
        <v>76827839.408389121</v>
      </c>
      <c r="BI124" s="1331">
        <f t="shared" si="214"/>
        <v>72327520.484141201</v>
      </c>
      <c r="BJ124" s="1331">
        <f t="shared" si="215"/>
        <v>0</v>
      </c>
      <c r="BK124" s="1331">
        <f t="shared" si="216"/>
        <v>0</v>
      </c>
      <c r="BL124" s="1331">
        <f t="shared" si="217"/>
        <v>0</v>
      </c>
      <c r="BM124" s="1331">
        <f t="shared" si="218"/>
        <v>0</v>
      </c>
      <c r="BN124" s="1331">
        <f t="shared" si="219"/>
        <v>0</v>
      </c>
      <c r="BO124" s="1331">
        <f t="shared" si="220"/>
        <v>0</v>
      </c>
      <c r="BP124" s="1331">
        <f t="shared" si="221"/>
        <v>0</v>
      </c>
      <c r="BQ124" s="1331">
        <f t="shared" si="222"/>
        <v>0</v>
      </c>
      <c r="BR124" s="1331">
        <f t="shared" si="223"/>
        <v>0</v>
      </c>
      <c r="BS124" s="523"/>
      <c r="BT124" s="523"/>
      <c r="BU124" s="523"/>
      <c r="BV124" s="523"/>
      <c r="BW124" s="1333">
        <f t="shared" ca="1" si="197"/>
        <v>2139</v>
      </c>
      <c r="BX124" s="1331">
        <f t="shared" si="224"/>
        <v>227263459.25774798</v>
      </c>
      <c r="BY124" s="1331">
        <f t="shared" ca="1" si="198"/>
        <v>72327520.484141201</v>
      </c>
      <c r="BZ124" s="1336">
        <f t="shared" si="225"/>
        <v>150435619.84935886</v>
      </c>
      <c r="CA124" s="1336">
        <f t="shared" si="226"/>
        <v>76827839.408389121</v>
      </c>
      <c r="CB124" s="1336">
        <f t="shared" si="227"/>
        <v>0</v>
      </c>
      <c r="CC124" s="1336">
        <f t="shared" si="228"/>
        <v>0</v>
      </c>
      <c r="CD124" s="1336">
        <f t="shared" si="229"/>
        <v>0</v>
      </c>
      <c r="CE124" s="1336">
        <f t="shared" si="230"/>
        <v>0</v>
      </c>
      <c r="CF124" s="1336">
        <f t="shared" si="231"/>
        <v>0</v>
      </c>
      <c r="CG124" s="1336">
        <f t="shared" si="232"/>
        <v>0</v>
      </c>
      <c r="CH124" s="1336">
        <f t="shared" si="233"/>
        <v>0</v>
      </c>
      <c r="CI124" s="1336">
        <f t="shared" si="234"/>
        <v>0</v>
      </c>
      <c r="CJ124" s="1336">
        <f t="shared" si="235"/>
        <v>0</v>
      </c>
      <c r="CK124" s="1336">
        <f t="shared" si="236"/>
        <v>0</v>
      </c>
      <c r="CL124" s="1336"/>
      <c r="CM124" s="1336">
        <f t="shared" si="237"/>
        <v>0</v>
      </c>
      <c r="CN124" s="1336">
        <f t="shared" si="238"/>
        <v>0</v>
      </c>
      <c r="CO124" s="1336">
        <f t="shared" si="239"/>
        <v>72327520.484141201</v>
      </c>
      <c r="CP124" s="1336">
        <f t="shared" si="240"/>
        <v>0</v>
      </c>
      <c r="CQ124" s="1336">
        <f t="shared" si="241"/>
        <v>0</v>
      </c>
      <c r="CR124" s="1336">
        <f t="shared" si="242"/>
        <v>0</v>
      </c>
      <c r="CS124" s="1336">
        <f t="shared" si="243"/>
        <v>0</v>
      </c>
      <c r="CT124" s="1336">
        <f t="shared" si="244"/>
        <v>0</v>
      </c>
      <c r="CU124" s="1336">
        <f t="shared" si="245"/>
        <v>0</v>
      </c>
      <c r="CV124" s="1336">
        <f t="shared" si="246"/>
        <v>0</v>
      </c>
      <c r="CW124" s="1336">
        <f t="shared" si="247"/>
        <v>0</v>
      </c>
      <c r="CX124" s="1336">
        <f t="shared" si="248"/>
        <v>0</v>
      </c>
      <c r="CY124" s="1336"/>
      <c r="CZ124" s="1336"/>
      <c r="DA124" s="1334">
        <f ca="1">Rental!Y154</f>
        <v>0</v>
      </c>
      <c r="DB124" s="1334">
        <f ca="1">Rental!AD154</f>
        <v>0</v>
      </c>
      <c r="DC124" s="1972"/>
      <c r="DD124" s="1761"/>
      <c r="DE124" s="1761"/>
      <c r="DF124" s="1335"/>
      <c r="DG124" s="1335"/>
      <c r="DH124" s="1335"/>
      <c r="DI124" s="1335"/>
      <c r="DJ124" s="1335"/>
      <c r="DK124" s="1335"/>
      <c r="DL124" s="1335"/>
      <c r="DM124" s="1335"/>
      <c r="DN124" s="1335"/>
      <c r="DO124" s="1335"/>
      <c r="DP124" s="1335"/>
      <c r="DQ124" s="1335"/>
      <c r="DR124" s="1335"/>
      <c r="DS124" s="1335"/>
      <c r="DT124" s="1335"/>
    </row>
    <row r="125" spans="1:124" s="1185" customFormat="1" ht="18" customHeight="1">
      <c r="A125" s="523">
        <f ca="1">IF(E125=YEAR(Retire!$D$12),1,0)</f>
        <v>0</v>
      </c>
      <c r="B125" s="502"/>
      <c r="C125" s="503" t="str">
        <f ca="1">IF(E125=Retire!$D$12,"==&gt;","")</f>
        <v/>
      </c>
      <c r="D125" s="504">
        <f t="shared" si="249"/>
        <v>119</v>
      </c>
      <c r="E125" s="504">
        <f t="shared" ca="1" si="250"/>
        <v>2140</v>
      </c>
      <c r="F125" s="505">
        <f t="shared" ca="1" si="199"/>
        <v>316049732</v>
      </c>
      <c r="G125" s="505"/>
      <c r="H125" s="506">
        <f>Assets!$G$37</f>
        <v>5.5E-2</v>
      </c>
      <c r="I125" s="507">
        <f>Assets!$F$37</f>
        <v>2000</v>
      </c>
      <c r="J125" s="507">
        <f t="shared" si="200"/>
        <v>158711578.9410736</v>
      </c>
      <c r="K125" s="1220"/>
      <c r="L125" s="506">
        <f>Assets!$G$38</f>
        <v>0.05</v>
      </c>
      <c r="M125" s="507">
        <f>Assets!$F$38</f>
        <v>1500</v>
      </c>
      <c r="N125" s="507">
        <f t="shared" si="201"/>
        <v>80670731.378808573</v>
      </c>
      <c r="O125" s="1220"/>
      <c r="P125" s="506">
        <f>Assets!$G$39</f>
        <v>0.06</v>
      </c>
      <c r="Q125" s="508">
        <f>Assets!$F$39</f>
        <v>250</v>
      </c>
      <c r="R125" s="507">
        <f t="shared" si="202"/>
        <v>76667421.713189676</v>
      </c>
      <c r="S125" s="1220"/>
      <c r="T125" s="506">
        <f>Assets!$G$40</f>
        <v>0</v>
      </c>
      <c r="U125" s="510">
        <f>Assets!$F$40</f>
        <v>0</v>
      </c>
      <c r="V125" s="507">
        <f t="shared" si="203"/>
        <v>0</v>
      </c>
      <c r="W125" s="1220"/>
      <c r="X125" s="506">
        <f>Assets!$G$41</f>
        <v>0</v>
      </c>
      <c r="Y125" s="510">
        <f>Assets!$F$41</f>
        <v>0</v>
      </c>
      <c r="Z125" s="507">
        <f t="shared" si="204"/>
        <v>0</v>
      </c>
      <c r="AA125" s="1220"/>
      <c r="AB125" s="506">
        <f>Assets!$G$42</f>
        <v>0</v>
      </c>
      <c r="AC125" s="507">
        <f>Assets!$F$42</f>
        <v>0</v>
      </c>
      <c r="AD125" s="507">
        <f t="shared" si="205"/>
        <v>0</v>
      </c>
      <c r="AE125" s="1220"/>
      <c r="AF125" s="506">
        <f>Assets!$G$43</f>
        <v>0</v>
      </c>
      <c r="AG125" s="507">
        <f>Assets!$F$43</f>
        <v>0</v>
      </c>
      <c r="AH125" s="507">
        <f t="shared" si="206"/>
        <v>0</v>
      </c>
      <c r="AI125" s="1220"/>
      <c r="AJ125" s="506">
        <f>Assets!$G$44</f>
        <v>0</v>
      </c>
      <c r="AK125" s="507">
        <f>Assets!$F$44</f>
        <v>0</v>
      </c>
      <c r="AL125" s="507">
        <f t="shared" si="207"/>
        <v>0</v>
      </c>
      <c r="AM125" s="1220"/>
      <c r="AN125" s="506">
        <f>Assets!$G$45</f>
        <v>0</v>
      </c>
      <c r="AO125" s="507">
        <f>Assets!$F$45</f>
        <v>0</v>
      </c>
      <c r="AP125" s="507">
        <f t="shared" si="208"/>
        <v>0</v>
      </c>
      <c r="AQ125" s="1220"/>
      <c r="AR125" s="506">
        <f>Assets!$G$46</f>
        <v>0</v>
      </c>
      <c r="AS125" s="507">
        <f>Assets!$F$46</f>
        <v>0</v>
      </c>
      <c r="AT125" s="507">
        <f t="shared" si="209"/>
        <v>0</v>
      </c>
      <c r="AU125" s="1220"/>
      <c r="AV125" s="506">
        <f>Assets!$G$47</f>
        <v>0</v>
      </c>
      <c r="AW125" s="507">
        <f>Assets!F$47</f>
        <v>0</v>
      </c>
      <c r="AX125" s="507">
        <f t="shared" si="210"/>
        <v>0</v>
      </c>
      <c r="AY125" s="1220"/>
      <c r="AZ125" s="506">
        <f>Assets!$G$48</f>
        <v>0</v>
      </c>
      <c r="BA125" s="507">
        <f>Assets!$F$48</f>
        <v>0</v>
      </c>
      <c r="BB125" s="507">
        <f t="shared" si="211"/>
        <v>0</v>
      </c>
      <c r="BC125" s="502"/>
      <c r="BD125" s="2005"/>
      <c r="BE125" s="523"/>
      <c r="BF125" s="523"/>
      <c r="BG125" s="1331">
        <f t="shared" si="212"/>
        <v>158711578.9410736</v>
      </c>
      <c r="BH125" s="1331">
        <f t="shared" si="213"/>
        <v>80670731.378808573</v>
      </c>
      <c r="BI125" s="1331">
        <f t="shared" si="214"/>
        <v>76667421.713189676</v>
      </c>
      <c r="BJ125" s="1331">
        <f t="shared" si="215"/>
        <v>0</v>
      </c>
      <c r="BK125" s="1331">
        <f t="shared" si="216"/>
        <v>0</v>
      </c>
      <c r="BL125" s="1331">
        <f t="shared" si="217"/>
        <v>0</v>
      </c>
      <c r="BM125" s="1331">
        <f t="shared" si="218"/>
        <v>0</v>
      </c>
      <c r="BN125" s="1331">
        <f t="shared" si="219"/>
        <v>0</v>
      </c>
      <c r="BO125" s="1331">
        <f t="shared" si="220"/>
        <v>0</v>
      </c>
      <c r="BP125" s="1331">
        <f t="shared" si="221"/>
        <v>0</v>
      </c>
      <c r="BQ125" s="1331">
        <f t="shared" si="222"/>
        <v>0</v>
      </c>
      <c r="BR125" s="1331">
        <f t="shared" si="223"/>
        <v>0</v>
      </c>
      <c r="BS125" s="523"/>
      <c r="BT125" s="523"/>
      <c r="BU125" s="523"/>
      <c r="BV125" s="523"/>
      <c r="BW125" s="1333">
        <f t="shared" ca="1" si="197"/>
        <v>2140</v>
      </c>
      <c r="BX125" s="1331">
        <f t="shared" si="224"/>
        <v>239382310.31988215</v>
      </c>
      <c r="BY125" s="1331">
        <f t="shared" ca="1" si="198"/>
        <v>76667421.713189676</v>
      </c>
      <c r="BZ125" s="1336">
        <f t="shared" si="225"/>
        <v>158711578.9410736</v>
      </c>
      <c r="CA125" s="1336">
        <f t="shared" si="226"/>
        <v>80670731.378808573</v>
      </c>
      <c r="CB125" s="1336">
        <f t="shared" si="227"/>
        <v>0</v>
      </c>
      <c r="CC125" s="1336">
        <f t="shared" si="228"/>
        <v>0</v>
      </c>
      <c r="CD125" s="1336">
        <f t="shared" si="229"/>
        <v>0</v>
      </c>
      <c r="CE125" s="1336">
        <f t="shared" si="230"/>
        <v>0</v>
      </c>
      <c r="CF125" s="1336">
        <f t="shared" si="231"/>
        <v>0</v>
      </c>
      <c r="CG125" s="1336">
        <f t="shared" si="232"/>
        <v>0</v>
      </c>
      <c r="CH125" s="1336">
        <f t="shared" si="233"/>
        <v>0</v>
      </c>
      <c r="CI125" s="1336">
        <f t="shared" si="234"/>
        <v>0</v>
      </c>
      <c r="CJ125" s="1336">
        <f t="shared" si="235"/>
        <v>0</v>
      </c>
      <c r="CK125" s="1336">
        <f t="shared" si="236"/>
        <v>0</v>
      </c>
      <c r="CL125" s="1336"/>
      <c r="CM125" s="1336">
        <f t="shared" si="237"/>
        <v>0</v>
      </c>
      <c r="CN125" s="1336">
        <f t="shared" si="238"/>
        <v>0</v>
      </c>
      <c r="CO125" s="1336">
        <f t="shared" si="239"/>
        <v>76667421.713189676</v>
      </c>
      <c r="CP125" s="1336">
        <f t="shared" si="240"/>
        <v>0</v>
      </c>
      <c r="CQ125" s="1336">
        <f t="shared" si="241"/>
        <v>0</v>
      </c>
      <c r="CR125" s="1336">
        <f t="shared" si="242"/>
        <v>0</v>
      </c>
      <c r="CS125" s="1336">
        <f t="shared" si="243"/>
        <v>0</v>
      </c>
      <c r="CT125" s="1336">
        <f t="shared" si="244"/>
        <v>0</v>
      </c>
      <c r="CU125" s="1336">
        <f t="shared" si="245"/>
        <v>0</v>
      </c>
      <c r="CV125" s="1336">
        <f t="shared" si="246"/>
        <v>0</v>
      </c>
      <c r="CW125" s="1336">
        <f t="shared" si="247"/>
        <v>0</v>
      </c>
      <c r="CX125" s="1336">
        <f t="shared" si="248"/>
        <v>0</v>
      </c>
      <c r="CY125" s="1336"/>
      <c r="CZ125" s="1336"/>
      <c r="DA125" s="1334">
        <f ca="1">Rental!Y155</f>
        <v>0</v>
      </c>
      <c r="DB125" s="1334">
        <f ca="1">Rental!AD155</f>
        <v>0</v>
      </c>
      <c r="DC125" s="1972"/>
      <c r="DD125" s="1761"/>
      <c r="DE125" s="1761"/>
      <c r="DF125" s="1335"/>
      <c r="DG125" s="1335"/>
      <c r="DH125" s="1335"/>
      <c r="DI125" s="1335"/>
      <c r="DJ125" s="1335"/>
      <c r="DK125" s="1335"/>
      <c r="DL125" s="1335"/>
      <c r="DM125" s="1335"/>
      <c r="DN125" s="1335"/>
      <c r="DO125" s="1335"/>
      <c r="DP125" s="1335"/>
      <c r="DQ125" s="1335"/>
      <c r="DR125" s="1335"/>
      <c r="DS125" s="1335"/>
      <c r="DT125" s="1335"/>
    </row>
    <row r="126" spans="1:124" s="1185" customFormat="1" ht="18" customHeight="1">
      <c r="A126" s="523">
        <f ca="1">IF(E126=YEAR(Retire!$D$12),1,0)</f>
        <v>0</v>
      </c>
      <c r="B126" s="502"/>
      <c r="C126" s="503" t="str">
        <f ca="1">IF(E126=Retire!$D$12,"==&gt;","")</f>
        <v/>
      </c>
      <c r="D126" s="512">
        <f t="shared" si="249"/>
        <v>120</v>
      </c>
      <c r="E126" s="512">
        <f t="shared" ca="1" si="250"/>
        <v>2141</v>
      </c>
      <c r="F126" s="513">
        <f t="shared" ca="1" si="199"/>
        <v>333416201</v>
      </c>
      <c r="G126" s="513"/>
      <c r="H126" s="514">
        <f>Assets!$G$37</f>
        <v>5.5E-2</v>
      </c>
      <c r="I126" s="515">
        <f>Assets!$F$37</f>
        <v>2000</v>
      </c>
      <c r="J126" s="515">
        <f t="shared" si="200"/>
        <v>167442715.78283265</v>
      </c>
      <c r="K126" s="1220"/>
      <c r="L126" s="514">
        <f>Assets!$G$38</f>
        <v>0.05</v>
      </c>
      <c r="M126" s="515">
        <f>Assets!$F$38</f>
        <v>1500</v>
      </c>
      <c r="N126" s="515">
        <f t="shared" si="201"/>
        <v>84705767.947749004</v>
      </c>
      <c r="O126" s="1220"/>
      <c r="P126" s="514">
        <f>Assets!$G$39</f>
        <v>0.06</v>
      </c>
      <c r="Q126" s="516">
        <f>Assets!$F$39</f>
        <v>250</v>
      </c>
      <c r="R126" s="515">
        <f t="shared" si="202"/>
        <v>81267717.015981063</v>
      </c>
      <c r="S126" s="1220"/>
      <c r="T126" s="514">
        <f>Assets!$G$40</f>
        <v>0</v>
      </c>
      <c r="U126" s="517">
        <f>Assets!$F$40</f>
        <v>0</v>
      </c>
      <c r="V126" s="515">
        <f t="shared" si="203"/>
        <v>0</v>
      </c>
      <c r="W126" s="1220"/>
      <c r="X126" s="514">
        <f>Assets!$G$41</f>
        <v>0</v>
      </c>
      <c r="Y126" s="517">
        <f>Assets!$F$41</f>
        <v>0</v>
      </c>
      <c r="Z126" s="515">
        <f t="shared" si="204"/>
        <v>0</v>
      </c>
      <c r="AA126" s="1220"/>
      <c r="AB126" s="514">
        <f>Assets!$G$42</f>
        <v>0</v>
      </c>
      <c r="AC126" s="515">
        <f>Assets!$F$42</f>
        <v>0</v>
      </c>
      <c r="AD126" s="515">
        <f t="shared" si="205"/>
        <v>0</v>
      </c>
      <c r="AE126" s="1220"/>
      <c r="AF126" s="514">
        <f>Assets!$G$43</f>
        <v>0</v>
      </c>
      <c r="AG126" s="515">
        <f>Assets!$F$43</f>
        <v>0</v>
      </c>
      <c r="AH126" s="515">
        <f t="shared" si="206"/>
        <v>0</v>
      </c>
      <c r="AI126" s="1220"/>
      <c r="AJ126" s="514">
        <f>Assets!$G$44</f>
        <v>0</v>
      </c>
      <c r="AK126" s="515">
        <f>Assets!$F$44</f>
        <v>0</v>
      </c>
      <c r="AL126" s="515">
        <f t="shared" si="207"/>
        <v>0</v>
      </c>
      <c r="AM126" s="1220"/>
      <c r="AN126" s="514">
        <f>Assets!$G$45</f>
        <v>0</v>
      </c>
      <c r="AO126" s="515">
        <f>Assets!$F$45</f>
        <v>0</v>
      </c>
      <c r="AP126" s="515">
        <f t="shared" si="208"/>
        <v>0</v>
      </c>
      <c r="AQ126" s="1220"/>
      <c r="AR126" s="514">
        <f>Assets!$G$46</f>
        <v>0</v>
      </c>
      <c r="AS126" s="515">
        <f>Assets!$F$46</f>
        <v>0</v>
      </c>
      <c r="AT126" s="515">
        <f t="shared" si="209"/>
        <v>0</v>
      </c>
      <c r="AU126" s="1220"/>
      <c r="AV126" s="514">
        <f>Assets!$G$47</f>
        <v>0</v>
      </c>
      <c r="AW126" s="515">
        <f>Assets!F$47</f>
        <v>0</v>
      </c>
      <c r="AX126" s="515">
        <f t="shared" si="210"/>
        <v>0</v>
      </c>
      <c r="AY126" s="1220"/>
      <c r="AZ126" s="514">
        <f>Assets!$G$48</f>
        <v>0</v>
      </c>
      <c r="BA126" s="515">
        <f>Assets!$F$48</f>
        <v>0</v>
      </c>
      <c r="BB126" s="515">
        <f t="shared" si="211"/>
        <v>0</v>
      </c>
      <c r="BC126" s="502"/>
      <c r="BD126" s="2005"/>
      <c r="BE126" s="523"/>
      <c r="BF126" s="523"/>
      <c r="BG126" s="1331">
        <f t="shared" si="212"/>
        <v>167442715.78283265</v>
      </c>
      <c r="BH126" s="1331">
        <f t="shared" si="213"/>
        <v>84705767.947749004</v>
      </c>
      <c r="BI126" s="1331">
        <f t="shared" si="214"/>
        <v>81267717.015981063</v>
      </c>
      <c r="BJ126" s="1331">
        <f t="shared" si="215"/>
        <v>0</v>
      </c>
      <c r="BK126" s="1331">
        <f t="shared" si="216"/>
        <v>0</v>
      </c>
      <c r="BL126" s="1331">
        <f t="shared" si="217"/>
        <v>0</v>
      </c>
      <c r="BM126" s="1331">
        <f t="shared" si="218"/>
        <v>0</v>
      </c>
      <c r="BN126" s="1331">
        <f t="shared" si="219"/>
        <v>0</v>
      </c>
      <c r="BO126" s="1331">
        <f t="shared" si="220"/>
        <v>0</v>
      </c>
      <c r="BP126" s="1331">
        <f t="shared" si="221"/>
        <v>0</v>
      </c>
      <c r="BQ126" s="1331">
        <f t="shared" si="222"/>
        <v>0</v>
      </c>
      <c r="BR126" s="1331">
        <f t="shared" si="223"/>
        <v>0</v>
      </c>
      <c r="BS126" s="523"/>
      <c r="BT126" s="523"/>
      <c r="BU126" s="523"/>
      <c r="BV126" s="523"/>
      <c r="BW126" s="1333">
        <f t="shared" ca="1" si="197"/>
        <v>2141</v>
      </c>
      <c r="BX126" s="1331">
        <f t="shared" si="224"/>
        <v>252148483.73058164</v>
      </c>
      <c r="BY126" s="1331">
        <f t="shared" ca="1" si="198"/>
        <v>81267717.015981063</v>
      </c>
      <c r="BZ126" s="1336">
        <f t="shared" si="225"/>
        <v>167442715.78283265</v>
      </c>
      <c r="CA126" s="1336">
        <f t="shared" si="226"/>
        <v>84705767.947749004</v>
      </c>
      <c r="CB126" s="1336">
        <f t="shared" si="227"/>
        <v>0</v>
      </c>
      <c r="CC126" s="1336">
        <f t="shared" si="228"/>
        <v>0</v>
      </c>
      <c r="CD126" s="1336">
        <f t="shared" si="229"/>
        <v>0</v>
      </c>
      <c r="CE126" s="1336">
        <f t="shared" si="230"/>
        <v>0</v>
      </c>
      <c r="CF126" s="1336">
        <f t="shared" si="231"/>
        <v>0</v>
      </c>
      <c r="CG126" s="1336">
        <f t="shared" si="232"/>
        <v>0</v>
      </c>
      <c r="CH126" s="1336">
        <f t="shared" si="233"/>
        <v>0</v>
      </c>
      <c r="CI126" s="1336">
        <f t="shared" si="234"/>
        <v>0</v>
      </c>
      <c r="CJ126" s="1336">
        <f t="shared" si="235"/>
        <v>0</v>
      </c>
      <c r="CK126" s="1336">
        <f t="shared" si="236"/>
        <v>0</v>
      </c>
      <c r="CL126" s="1336"/>
      <c r="CM126" s="1336">
        <f t="shared" si="237"/>
        <v>0</v>
      </c>
      <c r="CN126" s="1336">
        <f t="shared" si="238"/>
        <v>0</v>
      </c>
      <c r="CO126" s="1336">
        <f t="shared" si="239"/>
        <v>81267717.015981063</v>
      </c>
      <c r="CP126" s="1336">
        <f t="shared" si="240"/>
        <v>0</v>
      </c>
      <c r="CQ126" s="1336">
        <f t="shared" si="241"/>
        <v>0</v>
      </c>
      <c r="CR126" s="1336">
        <f t="shared" si="242"/>
        <v>0</v>
      </c>
      <c r="CS126" s="1336">
        <f t="shared" si="243"/>
        <v>0</v>
      </c>
      <c r="CT126" s="1336">
        <f t="shared" si="244"/>
        <v>0</v>
      </c>
      <c r="CU126" s="1336">
        <f t="shared" si="245"/>
        <v>0</v>
      </c>
      <c r="CV126" s="1336">
        <f t="shared" si="246"/>
        <v>0</v>
      </c>
      <c r="CW126" s="1336">
        <f t="shared" si="247"/>
        <v>0</v>
      </c>
      <c r="CX126" s="1336">
        <f t="shared" si="248"/>
        <v>0</v>
      </c>
      <c r="CY126" s="1336"/>
      <c r="CZ126" s="1336"/>
      <c r="DA126" s="1334">
        <f ca="1">Rental!Y156</f>
        <v>0</v>
      </c>
      <c r="DB126" s="1334">
        <f ca="1">Rental!AD156</f>
        <v>0</v>
      </c>
      <c r="DC126" s="1972"/>
      <c r="DD126" s="1761"/>
      <c r="DE126" s="1761"/>
      <c r="DF126" s="1335"/>
      <c r="DG126" s="1335"/>
      <c r="DH126" s="1335"/>
      <c r="DI126" s="1335"/>
      <c r="DJ126" s="1335"/>
      <c r="DK126" s="1335"/>
      <c r="DL126" s="1335"/>
      <c r="DM126" s="1335"/>
      <c r="DN126" s="1335"/>
      <c r="DO126" s="1335"/>
      <c r="DP126" s="1335"/>
      <c r="DQ126" s="1335"/>
      <c r="DR126" s="1335"/>
      <c r="DS126" s="1335"/>
      <c r="DT126" s="1335"/>
    </row>
    <row r="127" spans="1:124" s="1185" customFormat="1" ht="18" customHeight="1">
      <c r="A127" s="523">
        <f ca="1">IF(E127=YEAR(Retire!$D$12),1,0)</f>
        <v>0</v>
      </c>
      <c r="B127" s="502"/>
      <c r="C127" s="503" t="str">
        <f ca="1">IF(E127=Retire!$D$12,"==&gt;","")</f>
        <v/>
      </c>
      <c r="D127" s="504">
        <f t="shared" si="249"/>
        <v>121</v>
      </c>
      <c r="E127" s="504">
        <f t="shared" ca="1" si="250"/>
        <v>2142</v>
      </c>
      <c r="F127" s="505">
        <f t="shared" ca="1" si="199"/>
        <v>351740652</v>
      </c>
      <c r="G127" s="505"/>
      <c r="H127" s="506">
        <f>Assets!$G$37</f>
        <v>5.5E-2</v>
      </c>
      <c r="I127" s="507">
        <f>Assets!$F$37</f>
        <v>2000</v>
      </c>
      <c r="J127" s="507">
        <f t="shared" si="200"/>
        <v>176654065.15088844</v>
      </c>
      <c r="K127" s="1220"/>
      <c r="L127" s="506">
        <f>Assets!$G$38</f>
        <v>0.05</v>
      </c>
      <c r="M127" s="507">
        <f>Assets!$F$38</f>
        <v>1500</v>
      </c>
      <c r="N127" s="507">
        <f t="shared" si="201"/>
        <v>88942556.345136449</v>
      </c>
      <c r="O127" s="1220"/>
      <c r="P127" s="506">
        <f>Assets!$G$39</f>
        <v>0.06</v>
      </c>
      <c r="Q127" s="508">
        <f>Assets!$F$39</f>
        <v>250</v>
      </c>
      <c r="R127" s="507">
        <f t="shared" si="202"/>
        <v>86144030.036939919</v>
      </c>
      <c r="S127" s="1220"/>
      <c r="T127" s="506">
        <f>Assets!$G$40</f>
        <v>0</v>
      </c>
      <c r="U127" s="510">
        <f>Assets!$F$40</f>
        <v>0</v>
      </c>
      <c r="V127" s="507">
        <f t="shared" si="203"/>
        <v>0</v>
      </c>
      <c r="W127" s="1220"/>
      <c r="X127" s="506">
        <f>Assets!$G$41</f>
        <v>0</v>
      </c>
      <c r="Y127" s="510">
        <f>Assets!$F$41</f>
        <v>0</v>
      </c>
      <c r="Z127" s="507">
        <f t="shared" si="204"/>
        <v>0</v>
      </c>
      <c r="AA127" s="1220"/>
      <c r="AB127" s="506">
        <f>Assets!$G$42</f>
        <v>0</v>
      </c>
      <c r="AC127" s="507">
        <f>Assets!$F$42</f>
        <v>0</v>
      </c>
      <c r="AD127" s="507">
        <f t="shared" si="205"/>
        <v>0</v>
      </c>
      <c r="AE127" s="1220"/>
      <c r="AF127" s="506">
        <f>Assets!$G$43</f>
        <v>0</v>
      </c>
      <c r="AG127" s="507">
        <f>Assets!$F$43</f>
        <v>0</v>
      </c>
      <c r="AH127" s="507">
        <f t="shared" si="206"/>
        <v>0</v>
      </c>
      <c r="AI127" s="1220"/>
      <c r="AJ127" s="506">
        <f>Assets!$G$44</f>
        <v>0</v>
      </c>
      <c r="AK127" s="507">
        <f>Assets!$F$44</f>
        <v>0</v>
      </c>
      <c r="AL127" s="507">
        <f t="shared" si="207"/>
        <v>0</v>
      </c>
      <c r="AM127" s="1220"/>
      <c r="AN127" s="506">
        <f>Assets!$G$45</f>
        <v>0</v>
      </c>
      <c r="AO127" s="507">
        <f>Assets!$F$45</f>
        <v>0</v>
      </c>
      <c r="AP127" s="507">
        <f t="shared" si="208"/>
        <v>0</v>
      </c>
      <c r="AQ127" s="1220"/>
      <c r="AR127" s="506">
        <f>Assets!$G$46</f>
        <v>0</v>
      </c>
      <c r="AS127" s="507">
        <f>Assets!$F$46</f>
        <v>0</v>
      </c>
      <c r="AT127" s="507">
        <f t="shared" si="209"/>
        <v>0</v>
      </c>
      <c r="AU127" s="1220"/>
      <c r="AV127" s="506">
        <f>Assets!$G$47</f>
        <v>0</v>
      </c>
      <c r="AW127" s="507">
        <f>Assets!F$47</f>
        <v>0</v>
      </c>
      <c r="AX127" s="507">
        <f t="shared" si="210"/>
        <v>0</v>
      </c>
      <c r="AY127" s="1220"/>
      <c r="AZ127" s="506">
        <f>Assets!$G$48</f>
        <v>0</v>
      </c>
      <c r="BA127" s="507">
        <f>Assets!$F$48</f>
        <v>0</v>
      </c>
      <c r="BB127" s="507">
        <f t="shared" si="211"/>
        <v>0</v>
      </c>
      <c r="BC127" s="502"/>
      <c r="BD127" s="2005"/>
      <c r="BE127" s="523"/>
      <c r="BF127" s="523"/>
      <c r="BG127" s="1331">
        <f t="shared" si="212"/>
        <v>176654065.15088844</v>
      </c>
      <c r="BH127" s="1331">
        <f t="shared" si="213"/>
        <v>88942556.345136449</v>
      </c>
      <c r="BI127" s="1331">
        <f t="shared" si="214"/>
        <v>86144030.036939919</v>
      </c>
      <c r="BJ127" s="1331">
        <f t="shared" si="215"/>
        <v>0</v>
      </c>
      <c r="BK127" s="1331">
        <f t="shared" si="216"/>
        <v>0</v>
      </c>
      <c r="BL127" s="1331">
        <f t="shared" si="217"/>
        <v>0</v>
      </c>
      <c r="BM127" s="1331">
        <f t="shared" si="218"/>
        <v>0</v>
      </c>
      <c r="BN127" s="1331">
        <f t="shared" si="219"/>
        <v>0</v>
      </c>
      <c r="BO127" s="1331">
        <f t="shared" si="220"/>
        <v>0</v>
      </c>
      <c r="BP127" s="1331">
        <f t="shared" si="221"/>
        <v>0</v>
      </c>
      <c r="BQ127" s="1331">
        <f t="shared" si="222"/>
        <v>0</v>
      </c>
      <c r="BR127" s="1331">
        <f t="shared" si="223"/>
        <v>0</v>
      </c>
      <c r="BS127" s="523"/>
      <c r="BT127" s="523"/>
      <c r="BU127" s="523"/>
      <c r="BV127" s="523"/>
      <c r="BW127" s="1333">
        <f t="shared" ca="1" si="197"/>
        <v>2142</v>
      </c>
      <c r="BX127" s="1331">
        <f t="shared" si="224"/>
        <v>265596621.49602491</v>
      </c>
      <c r="BY127" s="1331">
        <f t="shared" ca="1" si="198"/>
        <v>86144030.036939919</v>
      </c>
      <c r="BZ127" s="1336">
        <f t="shared" si="225"/>
        <v>176654065.15088844</v>
      </c>
      <c r="CA127" s="1336">
        <f t="shared" si="226"/>
        <v>88942556.345136449</v>
      </c>
      <c r="CB127" s="1336">
        <f t="shared" si="227"/>
        <v>0</v>
      </c>
      <c r="CC127" s="1336">
        <f t="shared" si="228"/>
        <v>0</v>
      </c>
      <c r="CD127" s="1336">
        <f t="shared" si="229"/>
        <v>0</v>
      </c>
      <c r="CE127" s="1336">
        <f t="shared" si="230"/>
        <v>0</v>
      </c>
      <c r="CF127" s="1336">
        <f t="shared" si="231"/>
        <v>0</v>
      </c>
      <c r="CG127" s="1336">
        <f t="shared" si="232"/>
        <v>0</v>
      </c>
      <c r="CH127" s="1336">
        <f t="shared" si="233"/>
        <v>0</v>
      </c>
      <c r="CI127" s="1336">
        <f t="shared" si="234"/>
        <v>0</v>
      </c>
      <c r="CJ127" s="1336">
        <f t="shared" si="235"/>
        <v>0</v>
      </c>
      <c r="CK127" s="1336">
        <f t="shared" si="236"/>
        <v>0</v>
      </c>
      <c r="CL127" s="1336"/>
      <c r="CM127" s="1336">
        <f t="shared" si="237"/>
        <v>0</v>
      </c>
      <c r="CN127" s="1336">
        <f t="shared" si="238"/>
        <v>0</v>
      </c>
      <c r="CO127" s="1336">
        <f t="shared" si="239"/>
        <v>86144030.036939919</v>
      </c>
      <c r="CP127" s="1336">
        <f t="shared" si="240"/>
        <v>0</v>
      </c>
      <c r="CQ127" s="1336">
        <f t="shared" si="241"/>
        <v>0</v>
      </c>
      <c r="CR127" s="1336">
        <f t="shared" si="242"/>
        <v>0</v>
      </c>
      <c r="CS127" s="1336">
        <f t="shared" si="243"/>
        <v>0</v>
      </c>
      <c r="CT127" s="1336">
        <f t="shared" si="244"/>
        <v>0</v>
      </c>
      <c r="CU127" s="1336">
        <f t="shared" si="245"/>
        <v>0</v>
      </c>
      <c r="CV127" s="1336">
        <f t="shared" si="246"/>
        <v>0</v>
      </c>
      <c r="CW127" s="1336">
        <f t="shared" si="247"/>
        <v>0</v>
      </c>
      <c r="CX127" s="1336">
        <f t="shared" si="248"/>
        <v>0</v>
      </c>
      <c r="CY127" s="1336"/>
      <c r="CZ127" s="1336"/>
      <c r="DA127" s="1334">
        <f ca="1">Rental!Y157</f>
        <v>0</v>
      </c>
      <c r="DB127" s="1334">
        <f ca="1">Rental!AD157</f>
        <v>0</v>
      </c>
      <c r="DC127" s="1972"/>
      <c r="DD127" s="1761"/>
      <c r="DE127" s="1761"/>
      <c r="DF127" s="1335"/>
      <c r="DG127" s="1335"/>
      <c r="DH127" s="1335"/>
      <c r="DI127" s="1335"/>
      <c r="DJ127" s="1335"/>
      <c r="DK127" s="1335"/>
      <c r="DL127" s="1335"/>
      <c r="DM127" s="1335"/>
      <c r="DN127" s="1335"/>
      <c r="DO127" s="1335"/>
      <c r="DP127" s="1335"/>
      <c r="DQ127" s="1335"/>
      <c r="DR127" s="1335"/>
      <c r="DS127" s="1335"/>
      <c r="DT127" s="1335"/>
    </row>
    <row r="128" spans="1:124" s="1185" customFormat="1" ht="18" customHeight="1">
      <c r="A128" s="523">
        <f ca="1">IF(E128=YEAR(Retire!$D$12),1,0)</f>
        <v>0</v>
      </c>
      <c r="B128" s="502"/>
      <c r="C128" s="503" t="str">
        <f ca="1">IF(E128=Retire!$D$12,"==&gt;","")</f>
        <v/>
      </c>
      <c r="D128" s="512">
        <f t="shared" si="249"/>
        <v>122</v>
      </c>
      <c r="E128" s="512">
        <f t="shared" ca="1" si="250"/>
        <v>2143</v>
      </c>
      <c r="F128" s="513">
        <f t="shared" ca="1" si="199"/>
        <v>371076145</v>
      </c>
      <c r="G128" s="513"/>
      <c r="H128" s="514">
        <f>Assets!$G$37</f>
        <v>5.5E-2</v>
      </c>
      <c r="I128" s="515">
        <f>Assets!$F$37</f>
        <v>2000</v>
      </c>
      <c r="J128" s="515">
        <f t="shared" si="200"/>
        <v>186372038.7341873</v>
      </c>
      <c r="K128" s="1220"/>
      <c r="L128" s="514">
        <f>Assets!$G$38</f>
        <v>0.05</v>
      </c>
      <c r="M128" s="515">
        <f>Assets!$F$38</f>
        <v>1500</v>
      </c>
      <c r="N128" s="515">
        <f t="shared" si="201"/>
        <v>93391184.162393272</v>
      </c>
      <c r="O128" s="1220"/>
      <c r="P128" s="514">
        <f>Assets!$G$39</f>
        <v>0.06</v>
      </c>
      <c r="Q128" s="516">
        <f>Assets!$F$39</f>
        <v>250</v>
      </c>
      <c r="R128" s="515">
        <f t="shared" si="202"/>
        <v>91312921.839156315</v>
      </c>
      <c r="S128" s="1220"/>
      <c r="T128" s="514">
        <f>Assets!$G$40</f>
        <v>0</v>
      </c>
      <c r="U128" s="517">
        <f>Assets!$F$40</f>
        <v>0</v>
      </c>
      <c r="V128" s="515">
        <f t="shared" si="203"/>
        <v>0</v>
      </c>
      <c r="W128" s="1220"/>
      <c r="X128" s="514">
        <f>Assets!$G$41</f>
        <v>0</v>
      </c>
      <c r="Y128" s="517">
        <f>Assets!$F$41</f>
        <v>0</v>
      </c>
      <c r="Z128" s="515">
        <f t="shared" si="204"/>
        <v>0</v>
      </c>
      <c r="AA128" s="1220"/>
      <c r="AB128" s="514">
        <f>Assets!$G$42</f>
        <v>0</v>
      </c>
      <c r="AC128" s="515">
        <f>Assets!$F$42</f>
        <v>0</v>
      </c>
      <c r="AD128" s="515">
        <f t="shared" si="205"/>
        <v>0</v>
      </c>
      <c r="AE128" s="1220"/>
      <c r="AF128" s="514">
        <f>Assets!$G$43</f>
        <v>0</v>
      </c>
      <c r="AG128" s="515">
        <f>Assets!$F$43</f>
        <v>0</v>
      </c>
      <c r="AH128" s="515">
        <f t="shared" si="206"/>
        <v>0</v>
      </c>
      <c r="AI128" s="1220"/>
      <c r="AJ128" s="514">
        <f>Assets!$G$44</f>
        <v>0</v>
      </c>
      <c r="AK128" s="515">
        <f>Assets!$F$44</f>
        <v>0</v>
      </c>
      <c r="AL128" s="515">
        <f t="shared" si="207"/>
        <v>0</v>
      </c>
      <c r="AM128" s="1220"/>
      <c r="AN128" s="514">
        <f>Assets!$G$45</f>
        <v>0</v>
      </c>
      <c r="AO128" s="515">
        <f>Assets!$F$45</f>
        <v>0</v>
      </c>
      <c r="AP128" s="515">
        <f t="shared" si="208"/>
        <v>0</v>
      </c>
      <c r="AQ128" s="1220"/>
      <c r="AR128" s="514">
        <f>Assets!$G$46</f>
        <v>0</v>
      </c>
      <c r="AS128" s="515">
        <f>Assets!$F$46</f>
        <v>0</v>
      </c>
      <c r="AT128" s="515">
        <f t="shared" si="209"/>
        <v>0</v>
      </c>
      <c r="AU128" s="1220"/>
      <c r="AV128" s="514">
        <f>Assets!$G$47</f>
        <v>0</v>
      </c>
      <c r="AW128" s="515">
        <f>Assets!F$47</f>
        <v>0</v>
      </c>
      <c r="AX128" s="515">
        <f t="shared" si="210"/>
        <v>0</v>
      </c>
      <c r="AY128" s="1220"/>
      <c r="AZ128" s="514">
        <f>Assets!$G$48</f>
        <v>0</v>
      </c>
      <c r="BA128" s="515">
        <f>Assets!$F$48</f>
        <v>0</v>
      </c>
      <c r="BB128" s="515">
        <f t="shared" si="211"/>
        <v>0</v>
      </c>
      <c r="BC128" s="502"/>
      <c r="BD128" s="2005"/>
      <c r="BE128" s="523"/>
      <c r="BF128" s="523"/>
      <c r="BG128" s="1331">
        <f t="shared" si="212"/>
        <v>186372038.7341873</v>
      </c>
      <c r="BH128" s="1331">
        <f t="shared" si="213"/>
        <v>93391184.162393272</v>
      </c>
      <c r="BI128" s="1331">
        <f t="shared" si="214"/>
        <v>91312921.839156315</v>
      </c>
      <c r="BJ128" s="1331">
        <f t="shared" si="215"/>
        <v>0</v>
      </c>
      <c r="BK128" s="1331">
        <f t="shared" si="216"/>
        <v>0</v>
      </c>
      <c r="BL128" s="1331">
        <f t="shared" si="217"/>
        <v>0</v>
      </c>
      <c r="BM128" s="1331">
        <f t="shared" si="218"/>
        <v>0</v>
      </c>
      <c r="BN128" s="1331">
        <f t="shared" si="219"/>
        <v>0</v>
      </c>
      <c r="BO128" s="1331">
        <f t="shared" si="220"/>
        <v>0</v>
      </c>
      <c r="BP128" s="1331">
        <f t="shared" si="221"/>
        <v>0</v>
      </c>
      <c r="BQ128" s="1331">
        <f t="shared" si="222"/>
        <v>0</v>
      </c>
      <c r="BR128" s="1331">
        <f t="shared" si="223"/>
        <v>0</v>
      </c>
      <c r="BS128" s="523"/>
      <c r="BT128" s="523"/>
      <c r="BU128" s="523"/>
      <c r="BV128" s="523"/>
      <c r="BW128" s="1333">
        <f t="shared" ca="1" si="197"/>
        <v>2143</v>
      </c>
      <c r="BX128" s="1331">
        <f t="shared" si="224"/>
        <v>279763222.89658058</v>
      </c>
      <c r="BY128" s="1331">
        <f t="shared" ca="1" si="198"/>
        <v>91312921.839156315</v>
      </c>
      <c r="BZ128" s="1336">
        <f t="shared" si="225"/>
        <v>186372038.7341873</v>
      </c>
      <c r="CA128" s="1336">
        <f t="shared" si="226"/>
        <v>93391184.162393272</v>
      </c>
      <c r="CB128" s="1336">
        <f t="shared" si="227"/>
        <v>0</v>
      </c>
      <c r="CC128" s="1336">
        <f t="shared" si="228"/>
        <v>0</v>
      </c>
      <c r="CD128" s="1336">
        <f t="shared" si="229"/>
        <v>0</v>
      </c>
      <c r="CE128" s="1336">
        <f t="shared" si="230"/>
        <v>0</v>
      </c>
      <c r="CF128" s="1336">
        <f t="shared" si="231"/>
        <v>0</v>
      </c>
      <c r="CG128" s="1336">
        <f t="shared" si="232"/>
        <v>0</v>
      </c>
      <c r="CH128" s="1336">
        <f t="shared" si="233"/>
        <v>0</v>
      </c>
      <c r="CI128" s="1336">
        <f t="shared" si="234"/>
        <v>0</v>
      </c>
      <c r="CJ128" s="1336">
        <f t="shared" si="235"/>
        <v>0</v>
      </c>
      <c r="CK128" s="1336">
        <f t="shared" si="236"/>
        <v>0</v>
      </c>
      <c r="CL128" s="1336"/>
      <c r="CM128" s="1336">
        <f t="shared" si="237"/>
        <v>0</v>
      </c>
      <c r="CN128" s="1336">
        <f t="shared" si="238"/>
        <v>0</v>
      </c>
      <c r="CO128" s="1336">
        <f t="shared" si="239"/>
        <v>91312921.839156315</v>
      </c>
      <c r="CP128" s="1336">
        <f t="shared" si="240"/>
        <v>0</v>
      </c>
      <c r="CQ128" s="1336">
        <f t="shared" si="241"/>
        <v>0</v>
      </c>
      <c r="CR128" s="1336">
        <f t="shared" si="242"/>
        <v>0</v>
      </c>
      <c r="CS128" s="1336">
        <f t="shared" si="243"/>
        <v>0</v>
      </c>
      <c r="CT128" s="1336">
        <f t="shared" si="244"/>
        <v>0</v>
      </c>
      <c r="CU128" s="1336">
        <f t="shared" si="245"/>
        <v>0</v>
      </c>
      <c r="CV128" s="1336">
        <f t="shared" si="246"/>
        <v>0</v>
      </c>
      <c r="CW128" s="1336">
        <f t="shared" si="247"/>
        <v>0</v>
      </c>
      <c r="CX128" s="1336">
        <f t="shared" si="248"/>
        <v>0</v>
      </c>
      <c r="CY128" s="1336"/>
      <c r="CZ128" s="1336"/>
      <c r="DA128" s="1334">
        <f ca="1">Rental!Y158</f>
        <v>0</v>
      </c>
      <c r="DB128" s="1334">
        <f ca="1">Rental!AD158</f>
        <v>0</v>
      </c>
      <c r="DC128" s="1972"/>
      <c r="DD128" s="1761"/>
      <c r="DE128" s="1761"/>
      <c r="DF128" s="1335"/>
      <c r="DG128" s="1335"/>
      <c r="DH128" s="1335"/>
      <c r="DI128" s="1335"/>
      <c r="DJ128" s="1335"/>
      <c r="DK128" s="1335"/>
      <c r="DL128" s="1335"/>
      <c r="DM128" s="1335"/>
      <c r="DN128" s="1335"/>
      <c r="DO128" s="1335"/>
      <c r="DP128" s="1335"/>
      <c r="DQ128" s="1335"/>
      <c r="DR128" s="1335"/>
      <c r="DS128" s="1335"/>
      <c r="DT128" s="1335"/>
    </row>
    <row r="129" spans="1:124" s="1185" customFormat="1" ht="18" customHeight="1">
      <c r="A129" s="523">
        <f ca="1">IF(E129=YEAR(Retire!$D$12),1,0)</f>
        <v>0</v>
      </c>
      <c r="B129" s="502"/>
      <c r="C129" s="503" t="str">
        <f ca="1">IF(E129=Retire!$D$12,"==&gt;","")</f>
        <v/>
      </c>
      <c r="D129" s="504">
        <f t="shared" si="249"/>
        <v>123</v>
      </c>
      <c r="E129" s="504">
        <f t="shared" ca="1" si="250"/>
        <v>2144</v>
      </c>
      <c r="F129" s="505">
        <f t="shared" ca="1" si="199"/>
        <v>391478691</v>
      </c>
      <c r="G129" s="505"/>
      <c r="H129" s="506">
        <f>Assets!$G$37</f>
        <v>5.5E-2</v>
      </c>
      <c r="I129" s="507">
        <f>Assets!$F$37</f>
        <v>2000</v>
      </c>
      <c r="J129" s="507">
        <f t="shared" si="200"/>
        <v>196624500.86456761</v>
      </c>
      <c r="K129" s="1220"/>
      <c r="L129" s="506">
        <f>Assets!$G$38</f>
        <v>0.05</v>
      </c>
      <c r="M129" s="507">
        <f>Assets!$F$38</f>
        <v>1500</v>
      </c>
      <c r="N129" s="507">
        <f t="shared" si="201"/>
        <v>98062243.370512933</v>
      </c>
      <c r="O129" s="1220"/>
      <c r="P129" s="506">
        <f>Assets!$G$39</f>
        <v>0.06</v>
      </c>
      <c r="Q129" s="508">
        <f>Assets!$F$39</f>
        <v>250</v>
      </c>
      <c r="R129" s="507">
        <f t="shared" si="202"/>
        <v>96791947.14950569</v>
      </c>
      <c r="S129" s="1220"/>
      <c r="T129" s="506">
        <f>Assets!$G$40</f>
        <v>0</v>
      </c>
      <c r="U129" s="510">
        <f>Assets!$F$40</f>
        <v>0</v>
      </c>
      <c r="V129" s="507">
        <f t="shared" si="203"/>
        <v>0</v>
      </c>
      <c r="W129" s="1220"/>
      <c r="X129" s="506">
        <f>Assets!$G$41</f>
        <v>0</v>
      </c>
      <c r="Y129" s="510">
        <f>Assets!$F$41</f>
        <v>0</v>
      </c>
      <c r="Z129" s="507">
        <f t="shared" si="204"/>
        <v>0</v>
      </c>
      <c r="AA129" s="1220"/>
      <c r="AB129" s="506">
        <f>Assets!$G$42</f>
        <v>0</v>
      </c>
      <c r="AC129" s="507">
        <f>Assets!$F$42</f>
        <v>0</v>
      </c>
      <c r="AD129" s="507">
        <f t="shared" si="205"/>
        <v>0</v>
      </c>
      <c r="AE129" s="1220"/>
      <c r="AF129" s="506">
        <f>Assets!$G$43</f>
        <v>0</v>
      </c>
      <c r="AG129" s="507">
        <f>Assets!$F$43</f>
        <v>0</v>
      </c>
      <c r="AH129" s="507">
        <f t="shared" si="206"/>
        <v>0</v>
      </c>
      <c r="AI129" s="1220"/>
      <c r="AJ129" s="506">
        <f>Assets!$G$44</f>
        <v>0</v>
      </c>
      <c r="AK129" s="507">
        <f>Assets!$F$44</f>
        <v>0</v>
      </c>
      <c r="AL129" s="507">
        <f t="shared" si="207"/>
        <v>0</v>
      </c>
      <c r="AM129" s="1220"/>
      <c r="AN129" s="506">
        <f>Assets!$G$45</f>
        <v>0</v>
      </c>
      <c r="AO129" s="507">
        <f>Assets!$F$45</f>
        <v>0</v>
      </c>
      <c r="AP129" s="507">
        <f t="shared" si="208"/>
        <v>0</v>
      </c>
      <c r="AQ129" s="1220"/>
      <c r="AR129" s="506">
        <f>Assets!$G$46</f>
        <v>0</v>
      </c>
      <c r="AS129" s="507">
        <f>Assets!$F$46</f>
        <v>0</v>
      </c>
      <c r="AT129" s="507">
        <f t="shared" si="209"/>
        <v>0</v>
      </c>
      <c r="AU129" s="1220"/>
      <c r="AV129" s="506">
        <f>Assets!$G$47</f>
        <v>0</v>
      </c>
      <c r="AW129" s="507">
        <f>Assets!F$47</f>
        <v>0</v>
      </c>
      <c r="AX129" s="507">
        <f t="shared" si="210"/>
        <v>0</v>
      </c>
      <c r="AY129" s="1220"/>
      <c r="AZ129" s="506">
        <f>Assets!$G$48</f>
        <v>0</v>
      </c>
      <c r="BA129" s="507">
        <f>Assets!$F$48</f>
        <v>0</v>
      </c>
      <c r="BB129" s="507">
        <f t="shared" si="211"/>
        <v>0</v>
      </c>
      <c r="BC129" s="502"/>
      <c r="BD129" s="2005"/>
      <c r="BE129" s="523"/>
      <c r="BF129" s="523"/>
      <c r="BG129" s="1331">
        <f t="shared" si="212"/>
        <v>196624500.86456761</v>
      </c>
      <c r="BH129" s="1331">
        <f t="shared" si="213"/>
        <v>98062243.370512933</v>
      </c>
      <c r="BI129" s="1331">
        <f t="shared" si="214"/>
        <v>96791947.14950569</v>
      </c>
      <c r="BJ129" s="1331">
        <f t="shared" si="215"/>
        <v>0</v>
      </c>
      <c r="BK129" s="1331">
        <f t="shared" si="216"/>
        <v>0</v>
      </c>
      <c r="BL129" s="1331">
        <f t="shared" si="217"/>
        <v>0</v>
      </c>
      <c r="BM129" s="1331">
        <f t="shared" si="218"/>
        <v>0</v>
      </c>
      <c r="BN129" s="1331">
        <f t="shared" si="219"/>
        <v>0</v>
      </c>
      <c r="BO129" s="1331">
        <f t="shared" si="220"/>
        <v>0</v>
      </c>
      <c r="BP129" s="1331">
        <f t="shared" si="221"/>
        <v>0</v>
      </c>
      <c r="BQ129" s="1331">
        <f t="shared" si="222"/>
        <v>0</v>
      </c>
      <c r="BR129" s="1331">
        <f t="shared" si="223"/>
        <v>0</v>
      </c>
      <c r="BS129" s="523"/>
      <c r="BT129" s="523"/>
      <c r="BU129" s="523"/>
      <c r="BV129" s="523"/>
      <c r="BW129" s="1333">
        <f t="shared" ca="1" si="197"/>
        <v>2144</v>
      </c>
      <c r="BX129" s="1331">
        <f t="shared" si="224"/>
        <v>294686744.23508054</v>
      </c>
      <c r="BY129" s="1331">
        <f t="shared" ca="1" si="198"/>
        <v>96791947.14950569</v>
      </c>
      <c r="BZ129" s="1336">
        <f t="shared" si="225"/>
        <v>196624500.86456761</v>
      </c>
      <c r="CA129" s="1336">
        <f t="shared" si="226"/>
        <v>98062243.370512933</v>
      </c>
      <c r="CB129" s="1336">
        <f t="shared" si="227"/>
        <v>0</v>
      </c>
      <c r="CC129" s="1336">
        <f t="shared" si="228"/>
        <v>0</v>
      </c>
      <c r="CD129" s="1336">
        <f t="shared" si="229"/>
        <v>0</v>
      </c>
      <c r="CE129" s="1336">
        <f t="shared" si="230"/>
        <v>0</v>
      </c>
      <c r="CF129" s="1336">
        <f t="shared" si="231"/>
        <v>0</v>
      </c>
      <c r="CG129" s="1336">
        <f t="shared" si="232"/>
        <v>0</v>
      </c>
      <c r="CH129" s="1336">
        <f t="shared" si="233"/>
        <v>0</v>
      </c>
      <c r="CI129" s="1336">
        <f t="shared" si="234"/>
        <v>0</v>
      </c>
      <c r="CJ129" s="1336">
        <f t="shared" si="235"/>
        <v>0</v>
      </c>
      <c r="CK129" s="1336">
        <f t="shared" si="236"/>
        <v>0</v>
      </c>
      <c r="CL129" s="1336"/>
      <c r="CM129" s="1336">
        <f t="shared" si="237"/>
        <v>0</v>
      </c>
      <c r="CN129" s="1336">
        <f t="shared" si="238"/>
        <v>0</v>
      </c>
      <c r="CO129" s="1336">
        <f t="shared" si="239"/>
        <v>96791947.14950569</v>
      </c>
      <c r="CP129" s="1336">
        <f t="shared" si="240"/>
        <v>0</v>
      </c>
      <c r="CQ129" s="1336">
        <f t="shared" si="241"/>
        <v>0</v>
      </c>
      <c r="CR129" s="1336">
        <f t="shared" si="242"/>
        <v>0</v>
      </c>
      <c r="CS129" s="1336">
        <f t="shared" si="243"/>
        <v>0</v>
      </c>
      <c r="CT129" s="1336">
        <f t="shared" si="244"/>
        <v>0</v>
      </c>
      <c r="CU129" s="1336">
        <f t="shared" si="245"/>
        <v>0</v>
      </c>
      <c r="CV129" s="1336">
        <f t="shared" si="246"/>
        <v>0</v>
      </c>
      <c r="CW129" s="1336">
        <f t="shared" si="247"/>
        <v>0</v>
      </c>
      <c r="CX129" s="1336">
        <f t="shared" si="248"/>
        <v>0</v>
      </c>
      <c r="CY129" s="1336"/>
      <c r="CZ129" s="1336"/>
      <c r="DA129" s="1334">
        <f ca="1">Rental!Y159</f>
        <v>0</v>
      </c>
      <c r="DB129" s="1334">
        <f ca="1">Rental!AD159</f>
        <v>0</v>
      </c>
      <c r="DC129" s="1972"/>
      <c r="DD129" s="1761"/>
      <c r="DE129" s="1761"/>
      <c r="DF129" s="1335"/>
      <c r="DG129" s="1335"/>
      <c r="DH129" s="1335"/>
      <c r="DI129" s="1335"/>
      <c r="DJ129" s="1335"/>
      <c r="DK129" s="1335"/>
      <c r="DL129" s="1335"/>
      <c r="DM129" s="1335"/>
      <c r="DN129" s="1335"/>
      <c r="DO129" s="1335"/>
      <c r="DP129" s="1335"/>
      <c r="DQ129" s="1335"/>
      <c r="DR129" s="1335"/>
      <c r="DS129" s="1335"/>
      <c r="DT129" s="1335"/>
    </row>
    <row r="130" spans="1:124" s="1185" customFormat="1" ht="18" customHeight="1">
      <c r="A130" s="523">
        <f ca="1">IF(E130=YEAR(Retire!$D$12),1,0)</f>
        <v>0</v>
      </c>
      <c r="B130" s="502"/>
      <c r="C130" s="503" t="str">
        <f ca="1">IF(E130=Retire!$D$12,"==&gt;","")</f>
        <v/>
      </c>
      <c r="D130" s="512">
        <f t="shared" si="249"/>
        <v>124</v>
      </c>
      <c r="E130" s="512">
        <f t="shared" ca="1" si="250"/>
        <v>2145</v>
      </c>
      <c r="F130" s="513">
        <f t="shared" ca="1" si="199"/>
        <v>413007418</v>
      </c>
      <c r="G130" s="513"/>
      <c r="H130" s="514">
        <f>Assets!$G$37</f>
        <v>5.5E-2</v>
      </c>
      <c r="I130" s="515">
        <f>Assets!$F$37</f>
        <v>2000</v>
      </c>
      <c r="J130" s="515">
        <f t="shared" si="200"/>
        <v>207440848.41211882</v>
      </c>
      <c r="K130" s="1220"/>
      <c r="L130" s="514">
        <f>Assets!$G$38</f>
        <v>0.05</v>
      </c>
      <c r="M130" s="515">
        <f>Assets!$F$38</f>
        <v>1500</v>
      </c>
      <c r="N130" s="515">
        <f t="shared" si="201"/>
        <v>102966855.53903858</v>
      </c>
      <c r="O130" s="1220"/>
      <c r="P130" s="514">
        <f>Assets!$G$39</f>
        <v>0.06</v>
      </c>
      <c r="Q130" s="516">
        <f>Assets!$F$39</f>
        <v>250</v>
      </c>
      <c r="R130" s="515">
        <f t="shared" si="202"/>
        <v>102599713.97847603</v>
      </c>
      <c r="S130" s="1220"/>
      <c r="T130" s="514">
        <f>Assets!$G$40</f>
        <v>0</v>
      </c>
      <c r="U130" s="517">
        <f>Assets!$F$40</f>
        <v>0</v>
      </c>
      <c r="V130" s="515">
        <f t="shared" si="203"/>
        <v>0</v>
      </c>
      <c r="W130" s="1220"/>
      <c r="X130" s="514">
        <f>Assets!$G$41</f>
        <v>0</v>
      </c>
      <c r="Y130" s="517">
        <f>Assets!$F$41</f>
        <v>0</v>
      </c>
      <c r="Z130" s="515">
        <f t="shared" si="204"/>
        <v>0</v>
      </c>
      <c r="AA130" s="1220"/>
      <c r="AB130" s="514">
        <f>Assets!$G$42</f>
        <v>0</v>
      </c>
      <c r="AC130" s="515">
        <f>Assets!$F$42</f>
        <v>0</v>
      </c>
      <c r="AD130" s="515">
        <f t="shared" si="205"/>
        <v>0</v>
      </c>
      <c r="AE130" s="1220"/>
      <c r="AF130" s="514">
        <f>Assets!$G$43</f>
        <v>0</v>
      </c>
      <c r="AG130" s="515">
        <f>Assets!$F$43</f>
        <v>0</v>
      </c>
      <c r="AH130" s="515">
        <f t="shared" si="206"/>
        <v>0</v>
      </c>
      <c r="AI130" s="1220"/>
      <c r="AJ130" s="514">
        <f>Assets!$G$44</f>
        <v>0</v>
      </c>
      <c r="AK130" s="515">
        <f>Assets!$F$44</f>
        <v>0</v>
      </c>
      <c r="AL130" s="515">
        <f t="shared" si="207"/>
        <v>0</v>
      </c>
      <c r="AM130" s="1220"/>
      <c r="AN130" s="514">
        <f>Assets!$G$45</f>
        <v>0</v>
      </c>
      <c r="AO130" s="515">
        <f>Assets!$F$45</f>
        <v>0</v>
      </c>
      <c r="AP130" s="515">
        <f t="shared" si="208"/>
        <v>0</v>
      </c>
      <c r="AQ130" s="1220"/>
      <c r="AR130" s="514">
        <f>Assets!$G$46</f>
        <v>0</v>
      </c>
      <c r="AS130" s="515">
        <f>Assets!$F$46</f>
        <v>0</v>
      </c>
      <c r="AT130" s="515">
        <f t="shared" si="209"/>
        <v>0</v>
      </c>
      <c r="AU130" s="1220"/>
      <c r="AV130" s="514">
        <f>Assets!$G$47</f>
        <v>0</v>
      </c>
      <c r="AW130" s="515">
        <f>Assets!F$47</f>
        <v>0</v>
      </c>
      <c r="AX130" s="515">
        <f t="shared" si="210"/>
        <v>0</v>
      </c>
      <c r="AY130" s="1220"/>
      <c r="AZ130" s="514">
        <f>Assets!$G$48</f>
        <v>0</v>
      </c>
      <c r="BA130" s="515">
        <f>Assets!$F$48</f>
        <v>0</v>
      </c>
      <c r="BB130" s="515">
        <f t="shared" si="211"/>
        <v>0</v>
      </c>
      <c r="BC130" s="502"/>
      <c r="BD130" s="2005"/>
      <c r="BE130" s="523"/>
      <c r="BF130" s="523"/>
      <c r="BG130" s="1331">
        <f t="shared" si="212"/>
        <v>207440848.41211882</v>
      </c>
      <c r="BH130" s="1331">
        <f t="shared" si="213"/>
        <v>102966855.53903858</v>
      </c>
      <c r="BI130" s="1331">
        <f t="shared" si="214"/>
        <v>102599713.97847603</v>
      </c>
      <c r="BJ130" s="1331">
        <f t="shared" si="215"/>
        <v>0</v>
      </c>
      <c r="BK130" s="1331">
        <f t="shared" si="216"/>
        <v>0</v>
      </c>
      <c r="BL130" s="1331">
        <f t="shared" si="217"/>
        <v>0</v>
      </c>
      <c r="BM130" s="1331">
        <f t="shared" si="218"/>
        <v>0</v>
      </c>
      <c r="BN130" s="1331">
        <f t="shared" si="219"/>
        <v>0</v>
      </c>
      <c r="BO130" s="1331">
        <f t="shared" si="220"/>
        <v>0</v>
      </c>
      <c r="BP130" s="1331">
        <f t="shared" si="221"/>
        <v>0</v>
      </c>
      <c r="BQ130" s="1331">
        <f t="shared" si="222"/>
        <v>0</v>
      </c>
      <c r="BR130" s="1331">
        <f t="shared" si="223"/>
        <v>0</v>
      </c>
      <c r="BS130" s="523"/>
      <c r="BT130" s="523"/>
      <c r="BU130" s="523"/>
      <c r="BV130" s="523"/>
      <c r="BW130" s="1333">
        <f t="shared" ca="1" si="197"/>
        <v>2145</v>
      </c>
      <c r="BX130" s="1331">
        <f t="shared" si="224"/>
        <v>310407703.95115739</v>
      </c>
      <c r="BY130" s="1331">
        <f t="shared" ca="1" si="198"/>
        <v>102599713.97847603</v>
      </c>
      <c r="BZ130" s="1336">
        <f t="shared" si="225"/>
        <v>207440848.41211882</v>
      </c>
      <c r="CA130" s="1336">
        <f t="shared" si="226"/>
        <v>102966855.53903858</v>
      </c>
      <c r="CB130" s="1336">
        <f t="shared" si="227"/>
        <v>0</v>
      </c>
      <c r="CC130" s="1336">
        <f t="shared" si="228"/>
        <v>0</v>
      </c>
      <c r="CD130" s="1336">
        <f t="shared" si="229"/>
        <v>0</v>
      </c>
      <c r="CE130" s="1336">
        <f t="shared" si="230"/>
        <v>0</v>
      </c>
      <c r="CF130" s="1336">
        <f t="shared" si="231"/>
        <v>0</v>
      </c>
      <c r="CG130" s="1336">
        <f t="shared" si="232"/>
        <v>0</v>
      </c>
      <c r="CH130" s="1336">
        <f t="shared" si="233"/>
        <v>0</v>
      </c>
      <c r="CI130" s="1336">
        <f t="shared" si="234"/>
        <v>0</v>
      </c>
      <c r="CJ130" s="1336">
        <f t="shared" si="235"/>
        <v>0</v>
      </c>
      <c r="CK130" s="1336">
        <f t="shared" si="236"/>
        <v>0</v>
      </c>
      <c r="CL130" s="1336"/>
      <c r="CM130" s="1336">
        <f t="shared" si="237"/>
        <v>0</v>
      </c>
      <c r="CN130" s="1336">
        <f t="shared" si="238"/>
        <v>0</v>
      </c>
      <c r="CO130" s="1336">
        <f t="shared" si="239"/>
        <v>102599713.97847603</v>
      </c>
      <c r="CP130" s="1336">
        <f t="shared" si="240"/>
        <v>0</v>
      </c>
      <c r="CQ130" s="1336">
        <f t="shared" si="241"/>
        <v>0</v>
      </c>
      <c r="CR130" s="1336">
        <f t="shared" si="242"/>
        <v>0</v>
      </c>
      <c r="CS130" s="1336">
        <f t="shared" si="243"/>
        <v>0</v>
      </c>
      <c r="CT130" s="1336">
        <f t="shared" si="244"/>
        <v>0</v>
      </c>
      <c r="CU130" s="1336">
        <f t="shared" si="245"/>
        <v>0</v>
      </c>
      <c r="CV130" s="1336">
        <f t="shared" si="246"/>
        <v>0</v>
      </c>
      <c r="CW130" s="1336">
        <f t="shared" si="247"/>
        <v>0</v>
      </c>
      <c r="CX130" s="1336">
        <f t="shared" si="248"/>
        <v>0</v>
      </c>
      <c r="CY130" s="1336"/>
      <c r="CZ130" s="1336"/>
      <c r="DA130" s="1334">
        <f ca="1">Rental!Y160</f>
        <v>0</v>
      </c>
      <c r="DB130" s="1334">
        <f ca="1">Rental!AD160</f>
        <v>0</v>
      </c>
      <c r="DC130" s="1972"/>
      <c r="DD130" s="1761"/>
      <c r="DE130" s="1761"/>
      <c r="DF130" s="1335"/>
      <c r="DG130" s="1335"/>
      <c r="DH130" s="1335"/>
      <c r="DI130" s="1335"/>
      <c r="DJ130" s="1335"/>
      <c r="DK130" s="1335"/>
      <c r="DL130" s="1335"/>
      <c r="DM130" s="1335"/>
      <c r="DN130" s="1335"/>
      <c r="DO130" s="1335"/>
      <c r="DP130" s="1335"/>
      <c r="DQ130" s="1335"/>
      <c r="DR130" s="1335"/>
      <c r="DS130" s="1335"/>
      <c r="DT130" s="1335"/>
    </row>
    <row r="131" spans="1:124" s="1185" customFormat="1" ht="18" customHeight="1">
      <c r="A131" s="523">
        <f ca="1">IF(E131=YEAR(Retire!$D$12),1,0)</f>
        <v>0</v>
      </c>
      <c r="B131" s="502"/>
      <c r="C131" s="503" t="str">
        <f ca="1">IF(E131=Retire!$D$12,"==&gt;","")</f>
        <v/>
      </c>
      <c r="D131" s="504">
        <f t="shared" si="249"/>
        <v>125</v>
      </c>
      <c r="E131" s="504">
        <f t="shared" ca="1" si="250"/>
        <v>2146</v>
      </c>
      <c r="F131" s="505">
        <f t="shared" ca="1" si="199"/>
        <v>435724740</v>
      </c>
      <c r="G131" s="505"/>
      <c r="H131" s="506">
        <f>Assets!$G$37</f>
        <v>5.5E-2</v>
      </c>
      <c r="I131" s="507">
        <f>Assets!$F$37</f>
        <v>2000</v>
      </c>
      <c r="J131" s="507">
        <f t="shared" si="200"/>
        <v>218852095.07478535</v>
      </c>
      <c r="K131" s="1220"/>
      <c r="L131" s="506">
        <f>Assets!$G$38</f>
        <v>0.05</v>
      </c>
      <c r="M131" s="507">
        <f>Assets!$F$38</f>
        <v>1500</v>
      </c>
      <c r="N131" s="507">
        <f t="shared" si="201"/>
        <v>108116698.31599051</v>
      </c>
      <c r="O131" s="1220"/>
      <c r="P131" s="506">
        <f>Assets!$G$39</f>
        <v>0.06</v>
      </c>
      <c r="Q131" s="508">
        <f>Assets!$F$39</f>
        <v>250</v>
      </c>
      <c r="R131" s="507">
        <f t="shared" si="202"/>
        <v>108755946.8171846</v>
      </c>
      <c r="S131" s="1220"/>
      <c r="T131" s="506">
        <f>Assets!$G$40</f>
        <v>0</v>
      </c>
      <c r="U131" s="510">
        <f>Assets!$F$40</f>
        <v>0</v>
      </c>
      <c r="V131" s="507">
        <f t="shared" si="203"/>
        <v>0</v>
      </c>
      <c r="W131" s="1220"/>
      <c r="X131" s="506">
        <f>Assets!$G$41</f>
        <v>0</v>
      </c>
      <c r="Y131" s="510">
        <f>Assets!$F$41</f>
        <v>0</v>
      </c>
      <c r="Z131" s="507">
        <f t="shared" si="204"/>
        <v>0</v>
      </c>
      <c r="AA131" s="1220"/>
      <c r="AB131" s="506">
        <f>Assets!$G$42</f>
        <v>0</v>
      </c>
      <c r="AC131" s="507">
        <f>Assets!$F$42</f>
        <v>0</v>
      </c>
      <c r="AD131" s="507">
        <f t="shared" si="205"/>
        <v>0</v>
      </c>
      <c r="AE131" s="1220"/>
      <c r="AF131" s="506">
        <f>Assets!$G$43</f>
        <v>0</v>
      </c>
      <c r="AG131" s="507">
        <f>Assets!$F$43</f>
        <v>0</v>
      </c>
      <c r="AH131" s="507">
        <f t="shared" si="206"/>
        <v>0</v>
      </c>
      <c r="AI131" s="1220"/>
      <c r="AJ131" s="506">
        <f>Assets!$G$44</f>
        <v>0</v>
      </c>
      <c r="AK131" s="507">
        <f>Assets!$F$44</f>
        <v>0</v>
      </c>
      <c r="AL131" s="507">
        <f t="shared" si="207"/>
        <v>0</v>
      </c>
      <c r="AM131" s="1220"/>
      <c r="AN131" s="506">
        <f>Assets!$G$45</f>
        <v>0</v>
      </c>
      <c r="AO131" s="507">
        <f>Assets!$F$45</f>
        <v>0</v>
      </c>
      <c r="AP131" s="507">
        <f t="shared" si="208"/>
        <v>0</v>
      </c>
      <c r="AQ131" s="1220"/>
      <c r="AR131" s="506">
        <f>Assets!$G$46</f>
        <v>0</v>
      </c>
      <c r="AS131" s="507">
        <f>Assets!$F$46</f>
        <v>0</v>
      </c>
      <c r="AT131" s="507">
        <f t="shared" si="209"/>
        <v>0</v>
      </c>
      <c r="AU131" s="1220"/>
      <c r="AV131" s="506">
        <f>Assets!$G$47</f>
        <v>0</v>
      </c>
      <c r="AW131" s="507">
        <f>Assets!F$47</f>
        <v>0</v>
      </c>
      <c r="AX131" s="507">
        <f t="shared" si="210"/>
        <v>0</v>
      </c>
      <c r="AY131" s="1220"/>
      <c r="AZ131" s="506">
        <f>Assets!$G$48</f>
        <v>0</v>
      </c>
      <c r="BA131" s="507">
        <f>Assets!$F$48</f>
        <v>0</v>
      </c>
      <c r="BB131" s="507">
        <f t="shared" si="211"/>
        <v>0</v>
      </c>
      <c r="BC131" s="502"/>
      <c r="BD131" s="2005"/>
      <c r="BE131" s="523"/>
      <c r="BF131" s="523"/>
      <c r="BG131" s="1331">
        <f t="shared" si="212"/>
        <v>218852095.07478535</v>
      </c>
      <c r="BH131" s="1331">
        <f t="shared" si="213"/>
        <v>108116698.31599051</v>
      </c>
      <c r="BI131" s="1331">
        <f t="shared" si="214"/>
        <v>108755946.8171846</v>
      </c>
      <c r="BJ131" s="1331">
        <f t="shared" si="215"/>
        <v>0</v>
      </c>
      <c r="BK131" s="1331">
        <f t="shared" si="216"/>
        <v>0</v>
      </c>
      <c r="BL131" s="1331">
        <f t="shared" si="217"/>
        <v>0</v>
      </c>
      <c r="BM131" s="1331">
        <f t="shared" si="218"/>
        <v>0</v>
      </c>
      <c r="BN131" s="1331">
        <f t="shared" si="219"/>
        <v>0</v>
      </c>
      <c r="BO131" s="1331">
        <f t="shared" si="220"/>
        <v>0</v>
      </c>
      <c r="BP131" s="1331">
        <f t="shared" si="221"/>
        <v>0</v>
      </c>
      <c r="BQ131" s="1331">
        <f t="shared" si="222"/>
        <v>0</v>
      </c>
      <c r="BR131" s="1331">
        <f t="shared" si="223"/>
        <v>0</v>
      </c>
      <c r="BS131" s="523"/>
      <c r="BT131" s="523"/>
      <c r="BU131" s="523"/>
      <c r="BV131" s="523"/>
      <c r="BW131" s="1333">
        <f t="shared" ca="1" si="197"/>
        <v>2146</v>
      </c>
      <c r="BX131" s="1331">
        <f t="shared" si="224"/>
        <v>326968793.39077586</v>
      </c>
      <c r="BY131" s="1331">
        <f t="shared" ca="1" si="198"/>
        <v>108755946.8171846</v>
      </c>
      <c r="BZ131" s="1336">
        <f t="shared" si="225"/>
        <v>218852095.07478535</v>
      </c>
      <c r="CA131" s="1336">
        <f t="shared" si="226"/>
        <v>108116698.31599051</v>
      </c>
      <c r="CB131" s="1336">
        <f t="shared" si="227"/>
        <v>0</v>
      </c>
      <c r="CC131" s="1336">
        <f t="shared" si="228"/>
        <v>0</v>
      </c>
      <c r="CD131" s="1336">
        <f t="shared" si="229"/>
        <v>0</v>
      </c>
      <c r="CE131" s="1336">
        <f t="shared" si="230"/>
        <v>0</v>
      </c>
      <c r="CF131" s="1336">
        <f t="shared" si="231"/>
        <v>0</v>
      </c>
      <c r="CG131" s="1336">
        <f t="shared" si="232"/>
        <v>0</v>
      </c>
      <c r="CH131" s="1336">
        <f t="shared" si="233"/>
        <v>0</v>
      </c>
      <c r="CI131" s="1336">
        <f t="shared" si="234"/>
        <v>0</v>
      </c>
      <c r="CJ131" s="1336">
        <f t="shared" si="235"/>
        <v>0</v>
      </c>
      <c r="CK131" s="1336">
        <f t="shared" si="236"/>
        <v>0</v>
      </c>
      <c r="CL131" s="1336"/>
      <c r="CM131" s="1336">
        <f t="shared" si="237"/>
        <v>0</v>
      </c>
      <c r="CN131" s="1336">
        <f t="shared" si="238"/>
        <v>0</v>
      </c>
      <c r="CO131" s="1336">
        <f t="shared" si="239"/>
        <v>108755946.8171846</v>
      </c>
      <c r="CP131" s="1336">
        <f t="shared" si="240"/>
        <v>0</v>
      </c>
      <c r="CQ131" s="1336">
        <f t="shared" si="241"/>
        <v>0</v>
      </c>
      <c r="CR131" s="1336">
        <f t="shared" si="242"/>
        <v>0</v>
      </c>
      <c r="CS131" s="1336">
        <f t="shared" si="243"/>
        <v>0</v>
      </c>
      <c r="CT131" s="1336">
        <f t="shared" si="244"/>
        <v>0</v>
      </c>
      <c r="CU131" s="1336">
        <f t="shared" si="245"/>
        <v>0</v>
      </c>
      <c r="CV131" s="1336">
        <f t="shared" si="246"/>
        <v>0</v>
      </c>
      <c r="CW131" s="1336">
        <f t="shared" si="247"/>
        <v>0</v>
      </c>
      <c r="CX131" s="1336">
        <f t="shared" si="248"/>
        <v>0</v>
      </c>
      <c r="CY131" s="1336"/>
      <c r="CZ131" s="1336"/>
      <c r="DA131" s="1334">
        <f ca="1">Rental!Y161</f>
        <v>0</v>
      </c>
      <c r="DB131" s="1334">
        <f ca="1">Rental!AD161</f>
        <v>0</v>
      </c>
      <c r="DC131" s="1972"/>
      <c r="DD131" s="1761"/>
      <c r="DE131" s="1761"/>
      <c r="DF131" s="1335"/>
      <c r="DG131" s="1335"/>
      <c r="DH131" s="1335"/>
      <c r="DI131" s="1335"/>
      <c r="DJ131" s="1335"/>
      <c r="DK131" s="1335"/>
      <c r="DL131" s="1335"/>
      <c r="DM131" s="1335"/>
      <c r="DN131" s="1335"/>
      <c r="DO131" s="1335"/>
      <c r="DP131" s="1335"/>
      <c r="DQ131" s="1335"/>
      <c r="DR131" s="1335"/>
      <c r="DS131" s="1335"/>
      <c r="DT131" s="1335"/>
    </row>
    <row r="132" spans="1:124" s="1185" customFormat="1" ht="18" customHeight="1">
      <c r="A132" s="523"/>
      <c r="B132" s="502"/>
      <c r="C132" s="503"/>
      <c r="D132" s="504"/>
      <c r="E132" s="504"/>
      <c r="F132" s="505"/>
      <c r="G132" s="505"/>
      <c r="H132" s="506"/>
      <c r="I132" s="507"/>
      <c r="J132" s="507"/>
      <c r="K132" s="1220"/>
      <c r="L132" s="506"/>
      <c r="M132" s="507"/>
      <c r="N132" s="507"/>
      <c r="O132" s="1220"/>
      <c r="P132" s="506"/>
      <c r="Q132" s="508"/>
      <c r="R132" s="507"/>
      <c r="S132" s="1220"/>
      <c r="T132" s="506"/>
      <c r="U132" s="510"/>
      <c r="V132" s="507"/>
      <c r="W132" s="1220"/>
      <c r="X132" s="506"/>
      <c r="Y132" s="510"/>
      <c r="Z132" s="507"/>
      <c r="AA132" s="1220"/>
      <c r="AB132" s="506"/>
      <c r="AC132" s="507"/>
      <c r="AD132" s="507"/>
      <c r="AE132" s="1220"/>
      <c r="AF132" s="506"/>
      <c r="AG132" s="507"/>
      <c r="AH132" s="507"/>
      <c r="AI132" s="1220"/>
      <c r="AJ132" s="506"/>
      <c r="AK132" s="507"/>
      <c r="AL132" s="507"/>
      <c r="AM132" s="1220"/>
      <c r="AN132" s="506"/>
      <c r="AO132" s="507"/>
      <c r="AP132" s="507"/>
      <c r="AQ132" s="1220"/>
      <c r="AR132" s="506"/>
      <c r="AS132" s="507"/>
      <c r="AT132" s="507"/>
      <c r="AU132" s="1220"/>
      <c r="AV132" s="506"/>
      <c r="AW132" s="507"/>
      <c r="AX132" s="507"/>
      <c r="AY132" s="1220"/>
      <c r="AZ132" s="506"/>
      <c r="BA132" s="507"/>
      <c r="BB132" s="507"/>
      <c r="BC132" s="502"/>
      <c r="BD132" s="2005"/>
      <c r="BE132" s="523"/>
      <c r="BF132" s="523"/>
      <c r="BG132" s="1331"/>
      <c r="BH132" s="1331"/>
      <c r="BI132" s="1331"/>
      <c r="BJ132" s="1331"/>
      <c r="BK132" s="1331"/>
      <c r="BL132" s="1331"/>
      <c r="BM132" s="1331"/>
      <c r="BN132" s="1331"/>
      <c r="BO132" s="1331"/>
      <c r="BP132" s="1331"/>
      <c r="BQ132" s="1331"/>
      <c r="BR132" s="1331"/>
      <c r="BS132" s="523"/>
      <c r="BT132" s="523"/>
      <c r="BU132" s="523"/>
      <c r="BV132" s="523"/>
      <c r="BW132" s="1331"/>
      <c r="BX132" s="1331"/>
      <c r="BY132" s="1331"/>
      <c r="BZ132" s="1336"/>
      <c r="CA132" s="1336"/>
      <c r="CB132" s="1336"/>
      <c r="CC132" s="1336"/>
      <c r="CD132" s="1336"/>
      <c r="CE132" s="1336"/>
      <c r="CF132" s="1336"/>
      <c r="CG132" s="1336"/>
      <c r="CH132" s="1336"/>
      <c r="CI132" s="1336"/>
      <c r="CJ132" s="1336"/>
      <c r="CK132" s="1336"/>
      <c r="CL132" s="1336"/>
      <c r="CM132" s="1336"/>
      <c r="CN132" s="1336"/>
      <c r="CO132" s="1336"/>
      <c r="CP132" s="1336"/>
      <c r="CQ132" s="1336"/>
      <c r="CR132" s="1336"/>
      <c r="CS132" s="1336"/>
      <c r="CT132" s="1336"/>
      <c r="CU132" s="1336"/>
      <c r="CV132" s="1336"/>
      <c r="CW132" s="1336"/>
      <c r="CX132" s="1336"/>
      <c r="CY132" s="1336"/>
      <c r="CZ132" s="1336"/>
      <c r="DA132" s="1336"/>
      <c r="DB132" s="1336"/>
      <c r="DC132" s="1972"/>
      <c r="DD132" s="1761"/>
      <c r="DE132" s="1761"/>
      <c r="DF132" s="1335"/>
      <c r="DG132" s="1335"/>
      <c r="DH132" s="1335"/>
      <c r="DI132" s="1335"/>
      <c r="DJ132" s="1335"/>
      <c r="DK132" s="1335"/>
      <c r="DL132" s="1335"/>
      <c r="DM132" s="1335"/>
      <c r="DN132" s="1335"/>
      <c r="DO132" s="1335"/>
      <c r="DP132" s="1335"/>
      <c r="DQ132" s="1335"/>
      <c r="DR132" s="1335"/>
      <c r="DS132" s="1335"/>
      <c r="DT132" s="1335"/>
    </row>
    <row r="133" spans="1:124">
      <c r="D133" s="64"/>
      <c r="E133" s="64"/>
      <c r="F133" s="64"/>
    </row>
    <row r="134" spans="1:124" ht="43" customHeight="1">
      <c r="A134" s="197">
        <f ca="1">SUM(A7:A67)</f>
        <v>0</v>
      </c>
      <c r="B134" s="1217"/>
      <c r="C134" s="2273"/>
      <c r="D134" s="2273"/>
      <c r="E134" s="2273"/>
      <c r="F134" s="2273"/>
      <c r="BG134" s="1308">
        <v>0</v>
      </c>
      <c r="BH134" s="2272" t="s">
        <v>537</v>
      </c>
      <c r="BI134" s="1337"/>
      <c r="BJ134" s="1337"/>
      <c r="BK134" s="1337"/>
      <c r="BL134" s="1337"/>
      <c r="BM134" s="1337"/>
      <c r="BN134" s="1337"/>
      <c r="BO134" s="1337"/>
      <c r="BP134" s="1337"/>
      <c r="BQ134" s="1337"/>
      <c r="BR134" s="1337"/>
      <c r="BS134" s="495"/>
    </row>
    <row r="135" spans="1:124" ht="60" customHeight="1">
      <c r="D135" s="64"/>
      <c r="E135" s="64"/>
      <c r="F135" s="64"/>
      <c r="BG135" s="417" t="s">
        <v>535</v>
      </c>
      <c r="BH135" s="2272"/>
      <c r="BI135" s="1443"/>
      <c r="BJ135" s="849"/>
      <c r="BK135" s="1966"/>
      <c r="BL135" s="1966"/>
      <c r="BM135" s="1966"/>
      <c r="BN135" s="1966"/>
      <c r="BO135" s="1966"/>
      <c r="BP135" s="1966"/>
      <c r="BQ135" s="1966"/>
      <c r="BR135" s="1966"/>
    </row>
    <row r="136" spans="1:124" ht="42" customHeight="1">
      <c r="C136" s="495">
        <f ca="1">(MATCH("==&gt;",C7:C131,0))+6</f>
        <v>19</v>
      </c>
      <c r="D136" s="2274" t="s">
        <v>536</v>
      </c>
      <c r="E136" s="2274"/>
      <c r="F136" s="2274"/>
      <c r="BG136" s="1313"/>
      <c r="BH136" s="1313"/>
      <c r="BI136" s="1313"/>
      <c r="BJ136" s="1314"/>
    </row>
    <row r="137" spans="1:124">
      <c r="C137" s="498"/>
      <c r="D137" s="498"/>
      <c r="E137" s="498"/>
      <c r="F137" s="498"/>
      <c r="BG137" s="1313"/>
      <c r="BH137" s="1313"/>
      <c r="BI137" s="1313"/>
      <c r="BJ137" s="1314"/>
    </row>
    <row r="138" spans="1:124">
      <c r="C138" s="498"/>
      <c r="D138" s="498"/>
      <c r="E138" s="498"/>
      <c r="F138" s="498"/>
      <c r="BG138" s="1313"/>
      <c r="BH138" s="1313"/>
      <c r="BI138" s="1313"/>
      <c r="BJ138" s="1314"/>
    </row>
    <row r="139" spans="1:124">
      <c r="C139" s="498"/>
      <c r="D139" s="498"/>
      <c r="E139" s="498"/>
      <c r="F139" s="498"/>
      <c r="BG139" s="1313"/>
      <c r="BH139" s="1313"/>
      <c r="BI139" s="1313"/>
      <c r="BJ139" s="1314"/>
    </row>
    <row r="140" spans="1:124">
      <c r="C140" s="499"/>
      <c r="D140" s="499"/>
      <c r="E140" s="499"/>
      <c r="F140" s="499"/>
      <c r="BG140" s="1313"/>
      <c r="BH140" s="1313"/>
      <c r="BI140" s="1313"/>
      <c r="BJ140" s="1314"/>
    </row>
    <row r="141" spans="1:124">
      <c r="BG141" s="1313"/>
      <c r="BH141" s="1313"/>
      <c r="BI141" s="1313"/>
      <c r="BJ141" s="1314"/>
    </row>
    <row r="142" spans="1:124">
      <c r="BG142" s="1313"/>
      <c r="BH142" s="1313"/>
      <c r="BI142" s="1313"/>
      <c r="BJ142" s="1314"/>
    </row>
    <row r="143" spans="1:124">
      <c r="BG143" s="1313"/>
      <c r="BH143" s="1313"/>
      <c r="BI143" s="1313"/>
      <c r="BJ143" s="1314"/>
    </row>
    <row r="144" spans="1:124">
      <c r="BG144" s="1313"/>
      <c r="BH144" s="1313"/>
      <c r="BI144" s="1313"/>
      <c r="BJ144" s="1314"/>
    </row>
    <row r="145" spans="59:62">
      <c r="BG145" s="1313"/>
      <c r="BH145" s="1313"/>
      <c r="BI145" s="1313"/>
      <c r="BJ145" s="1314"/>
    </row>
    <row r="146" spans="59:62">
      <c r="BG146" s="1313"/>
      <c r="BH146" s="1313"/>
      <c r="BI146" s="1313"/>
      <c r="BJ146" s="1314"/>
    </row>
    <row r="147" spans="59:62">
      <c r="BG147" s="1313"/>
      <c r="BH147" s="1313"/>
      <c r="BI147" s="1313"/>
      <c r="BJ147" s="1314"/>
    </row>
    <row r="148" spans="59:62">
      <c r="BG148" s="1313"/>
      <c r="BH148" s="1313"/>
      <c r="BI148" s="1313"/>
      <c r="BJ148" s="1314"/>
    </row>
    <row r="149" spans="59:62">
      <c r="BG149" s="1313"/>
      <c r="BH149" s="1313"/>
      <c r="BI149" s="1313"/>
      <c r="BJ149" s="1314"/>
    </row>
    <row r="150" spans="59:62">
      <c r="BG150" s="1313"/>
      <c r="BH150" s="1313"/>
      <c r="BI150" s="1313"/>
      <c r="BJ150" s="1314"/>
    </row>
    <row r="151" spans="59:62">
      <c r="BG151" s="1313"/>
      <c r="BH151" s="1313"/>
      <c r="BI151" s="1313"/>
      <c r="BJ151" s="1314"/>
    </row>
    <row r="152" spans="59:62">
      <c r="BG152" s="1313"/>
      <c r="BH152" s="1313"/>
      <c r="BI152" s="1313"/>
      <c r="BJ152" s="1314"/>
    </row>
    <row r="153" spans="59:62">
      <c r="BG153" s="1313"/>
      <c r="BH153" s="1313"/>
      <c r="BI153" s="1313"/>
      <c r="BJ153" s="1314"/>
    </row>
    <row r="154" spans="59:62">
      <c r="BG154" s="1313"/>
      <c r="BH154" s="1313"/>
      <c r="BI154" s="1313"/>
      <c r="BJ154" s="1314"/>
    </row>
    <row r="155" spans="59:62">
      <c r="BG155" s="1313"/>
      <c r="BH155" s="1313"/>
      <c r="BI155" s="1313"/>
      <c r="BJ155" s="1314"/>
    </row>
    <row r="156" spans="59:62">
      <c r="BG156" s="1313"/>
      <c r="BH156" s="1314"/>
      <c r="BI156" s="1314"/>
      <c r="BJ156" s="1314"/>
    </row>
  </sheetData>
  <sheetProtection algorithmName="SHA-512" hashValue="V/W7UIP/+tx9gryfps028oMxSrkGcMxyQg5fyEGGDokBkX/rT+xqw0Whrtzai522nTfoStMDFo5AbNbfiba8mA==" saltValue="DkFBXyTH0P3m3Q577U7ptA==" spinCount="100000" sheet="1" objects="1" scenarios="1" formatCells="0" formatColumns="0" formatRows="0" selectLockedCells="1"/>
  <mergeCells count="20">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 ref="BZ6:CK6"/>
    <mergeCell ref="CM6:CX6"/>
    <mergeCell ref="BH134:BH135"/>
    <mergeCell ref="C134:F134"/>
    <mergeCell ref="D136:F136"/>
  </mergeCells>
  <conditionalFormatting sqref="F7:G132">
    <cfRule type="expression" dxfId="11" priority="7">
      <formula>#REF!&gt;""</formula>
    </cfRule>
  </conditionalFormatting>
  <conditionalFormatting sqref="F8:G132">
    <cfRule type="expression" dxfId="10" priority="6">
      <formula>#REF!&gt;""</formula>
    </cfRule>
  </conditionalFormatting>
  <conditionalFormatting sqref="F32:G46">
    <cfRule type="expression" dxfId="9" priority="5">
      <formula>#REF!&gt;""</formula>
    </cfRule>
  </conditionalFormatting>
  <conditionalFormatting sqref="F47:G132">
    <cfRule type="expression" dxfId="8"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389"/>
  <sheetViews>
    <sheetView showRowColHeaders="0" zoomScale="125" zoomScaleNormal="125" workbookViewId="0">
      <pane ySplit="6" topLeftCell="A8" activePane="bottomLeft" state="frozen"/>
      <selection pane="bottomLeft" activeCell="C15" sqref="C15"/>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hidden="1" customWidth="1"/>
    <col min="14" max="14" width="10.7109375" style="4" hidden="1" customWidth="1"/>
    <col min="15" max="15" width="10.7109375" style="4" customWidth="1"/>
    <col min="16" max="16" width="17.7109375" style="4" hidden="1" customWidth="1"/>
    <col min="17" max="18" width="10.7109375" style="4" hidden="1" customWidth="1"/>
    <col min="19" max="55" width="0" style="4" hidden="1" customWidth="1"/>
    <col min="56" max="16384" width="10.7109375" style="4"/>
  </cols>
  <sheetData>
    <row r="1" spans="1:21" ht="7" customHeight="1">
      <c r="A1" s="19"/>
      <c r="B1" s="19"/>
      <c r="C1" s="19"/>
      <c r="D1" s="20"/>
      <c r="E1" s="21"/>
      <c r="F1" s="20"/>
      <c r="G1" s="21"/>
      <c r="H1" s="21"/>
      <c r="I1" s="21"/>
      <c r="J1" s="21"/>
      <c r="K1" s="21"/>
      <c r="L1" s="21"/>
    </row>
    <row r="2" spans="1:21" ht="40" customHeight="1">
      <c r="A2" s="7"/>
      <c r="C2" s="23" t="s">
        <v>415</v>
      </c>
      <c r="F2" s="5"/>
    </row>
    <row r="3" spans="1:21" ht="40" customHeight="1">
      <c r="A3" s="454" t="s">
        <v>1310</v>
      </c>
      <c r="C3" s="2346" t="s">
        <v>1273</v>
      </c>
      <c r="D3" s="2346"/>
      <c r="E3" s="2346"/>
      <c r="F3" s="2346"/>
      <c r="G3" s="2346"/>
      <c r="H3" s="2346"/>
      <c r="I3" s="36"/>
    </row>
    <row r="4" spans="1:21" s="3" customFormat="1" ht="16" customHeight="1">
      <c r="J4" s="6"/>
      <c r="P4" s="6"/>
    </row>
    <row r="5" spans="1:21">
      <c r="A5" s="454"/>
      <c r="P5" s="11"/>
    </row>
    <row r="6" spans="1:21" ht="15" customHeight="1">
      <c r="A6" s="199"/>
      <c r="P6" s="11"/>
    </row>
    <row r="7" spans="1:21">
      <c r="I7" s="2"/>
      <c r="P7" s="11"/>
    </row>
    <row r="8" spans="1:21" ht="20" customHeight="1">
      <c r="C8" s="2348" t="s">
        <v>1286</v>
      </c>
      <c r="D8" s="2348"/>
      <c r="E8" s="2348"/>
      <c r="F8" s="2348"/>
      <c r="G8" s="2348"/>
      <c r="H8" s="2348"/>
      <c r="I8" s="2348"/>
      <c r="M8" s="411"/>
      <c r="N8" s="411"/>
      <c r="O8" s="411"/>
      <c r="P8" s="1778"/>
      <c r="Q8" s="411"/>
      <c r="R8" s="411"/>
      <c r="S8" s="411"/>
      <c r="T8" s="411"/>
      <c r="U8" s="1779"/>
    </row>
    <row r="9" spans="1:21" ht="46" customHeight="1">
      <c r="C9" s="2347" t="s">
        <v>2484</v>
      </c>
      <c r="D9" s="2337"/>
      <c r="E9" s="2337"/>
      <c r="F9" s="2337"/>
      <c r="G9" s="2337"/>
      <c r="H9" s="2337"/>
      <c r="I9" s="2337"/>
      <c r="M9" s="411"/>
      <c r="N9" s="411"/>
      <c r="O9" s="411"/>
      <c r="P9" s="1778"/>
      <c r="Q9" s="411"/>
      <c r="R9" s="411"/>
      <c r="S9" s="411"/>
      <c r="T9" s="411"/>
      <c r="U9" s="1779"/>
    </row>
    <row r="10" spans="1:21">
      <c r="C10" s="322"/>
      <c r="D10" s="322"/>
      <c r="E10" s="322" t="s">
        <v>44</v>
      </c>
      <c r="F10" s="322" t="s">
        <v>67</v>
      </c>
      <c r="G10" s="322" t="s">
        <v>1285</v>
      </c>
      <c r="H10" s="322" t="s">
        <v>1</v>
      </c>
      <c r="I10" s="322" t="s">
        <v>44</v>
      </c>
      <c r="M10" s="411"/>
      <c r="N10" s="411"/>
      <c r="O10" s="411"/>
      <c r="P10" s="411"/>
      <c r="Q10" s="411"/>
      <c r="R10" s="411"/>
      <c r="S10" s="411"/>
      <c r="T10" s="411"/>
      <c r="U10" s="1779"/>
    </row>
    <row r="11" spans="1:21">
      <c r="C11" s="322" t="s">
        <v>9</v>
      </c>
      <c r="D11" s="323" t="s">
        <v>10</v>
      </c>
      <c r="E11" s="322" t="s">
        <v>249</v>
      </c>
      <c r="F11" s="322" t="s">
        <v>1272</v>
      </c>
      <c r="G11" s="322" t="s">
        <v>395</v>
      </c>
      <c r="H11" s="322" t="s">
        <v>10</v>
      </c>
      <c r="I11" s="322" t="s">
        <v>10</v>
      </c>
      <c r="K11" s="37"/>
      <c r="M11" s="411"/>
      <c r="N11" s="411"/>
      <c r="O11" s="411"/>
      <c r="P11" s="411"/>
      <c r="Q11" s="411"/>
      <c r="R11" s="411"/>
      <c r="S11" s="411"/>
      <c r="T11" s="411"/>
      <c r="U11" s="1779"/>
    </row>
    <row r="12" spans="1:21" ht="4" customHeight="1">
      <c r="C12" s="12"/>
      <c r="D12" s="6"/>
      <c r="E12" s="12"/>
      <c r="F12" s="12"/>
      <c r="H12" s="12"/>
      <c r="I12" s="12"/>
      <c r="M12" s="411"/>
      <c r="N12" s="411"/>
      <c r="O12" s="411"/>
      <c r="P12" s="411"/>
      <c r="Q12" s="411"/>
      <c r="R12" s="411"/>
      <c r="S12" s="411"/>
      <c r="T12" s="411"/>
      <c r="U12" s="1779"/>
    </row>
    <row r="13" spans="1:21">
      <c r="C13" s="2582" t="s">
        <v>3</v>
      </c>
      <c r="D13" s="345">
        <v>2500</v>
      </c>
      <c r="E13" s="1610">
        <v>1</v>
      </c>
      <c r="F13" s="346" t="s">
        <v>42</v>
      </c>
      <c r="G13" s="347" t="s">
        <v>395</v>
      </c>
      <c r="H13" s="348">
        <f t="shared" ref="H13:H23" si="0">IF(ISNUMBER(I13),I13/12,"")</f>
        <v>208.33333333333334</v>
      </c>
      <c r="I13" s="44">
        <f t="shared" ref="I13:I23" si="1">IF(ISNUMBER(D13),IF(E13&gt;0,E13*D13,""),"")</f>
        <v>2500</v>
      </c>
      <c r="M13" s="411"/>
      <c r="N13" s="1783">
        <f>SUM(D13:D22)</f>
        <v>7200</v>
      </c>
      <c r="O13" s="411"/>
      <c r="P13" s="411"/>
      <c r="Q13" s="411"/>
      <c r="R13" s="411"/>
      <c r="S13" s="411"/>
      <c r="T13" s="411"/>
      <c r="U13" s="1779"/>
    </row>
    <row r="14" spans="1:21">
      <c r="C14" s="2558" t="s">
        <v>11</v>
      </c>
      <c r="D14" s="46">
        <v>3500</v>
      </c>
      <c r="E14" s="1611">
        <v>1</v>
      </c>
      <c r="F14" s="2061" t="s">
        <v>42</v>
      </c>
      <c r="G14" s="235" t="s">
        <v>395</v>
      </c>
      <c r="H14" s="40">
        <f t="shared" si="0"/>
        <v>291.66666666666669</v>
      </c>
      <c r="I14" s="41">
        <f t="shared" si="1"/>
        <v>3500</v>
      </c>
      <c r="M14" s="411"/>
      <c r="N14" s="1783">
        <f>SUM(E13:E23)</f>
        <v>42</v>
      </c>
      <c r="O14" s="411"/>
      <c r="P14" s="411"/>
      <c r="Q14" s="411"/>
      <c r="R14" s="411"/>
      <c r="S14" s="411"/>
      <c r="T14" s="411"/>
      <c r="U14" s="1779"/>
    </row>
    <row r="15" spans="1:21">
      <c r="C15" s="2557" t="s">
        <v>27</v>
      </c>
      <c r="D15" s="47">
        <v>1000</v>
      </c>
      <c r="E15" s="1612">
        <v>1</v>
      </c>
      <c r="F15" s="28" t="s">
        <v>42</v>
      </c>
      <c r="G15" s="236" t="s">
        <v>395</v>
      </c>
      <c r="H15" s="38">
        <f t="shared" si="0"/>
        <v>83.333333333333329</v>
      </c>
      <c r="I15" s="39">
        <f t="shared" si="1"/>
        <v>1000</v>
      </c>
      <c r="M15" s="411"/>
      <c r="N15" s="1783">
        <f>I43</f>
        <v>2050</v>
      </c>
      <c r="O15" s="411"/>
      <c r="P15" s="411"/>
      <c r="Q15" s="411"/>
      <c r="R15" s="411"/>
      <c r="S15" s="411"/>
      <c r="T15" s="411"/>
      <c r="U15" s="1779"/>
    </row>
    <row r="16" spans="1:21">
      <c r="C16" s="2558" t="s">
        <v>4</v>
      </c>
      <c r="D16" s="46">
        <v>100</v>
      </c>
      <c r="E16" s="1611">
        <v>26</v>
      </c>
      <c r="F16" s="2555" t="s">
        <v>43</v>
      </c>
      <c r="G16" s="235" t="s">
        <v>402</v>
      </c>
      <c r="H16" s="40">
        <f t="shared" si="0"/>
        <v>216.66666666666666</v>
      </c>
      <c r="I16" s="41">
        <f t="shared" si="1"/>
        <v>2600</v>
      </c>
      <c r="M16" s="411"/>
      <c r="N16" s="1783">
        <f>I53</f>
        <v>7.0000000000000007E-2</v>
      </c>
      <c r="O16" s="411"/>
      <c r="P16" s="411"/>
      <c r="Q16" s="411"/>
      <c r="R16" s="411"/>
      <c r="S16" s="411"/>
      <c r="T16" s="411"/>
      <c r="U16" s="1779"/>
    </row>
    <row r="17" spans="2:21">
      <c r="C17" s="2557" t="s">
        <v>1277</v>
      </c>
      <c r="D17" s="47">
        <v>100</v>
      </c>
      <c r="E17" s="1612">
        <v>1</v>
      </c>
      <c r="F17" s="28" t="s">
        <v>42</v>
      </c>
      <c r="G17" s="236" t="s">
        <v>395</v>
      </c>
      <c r="H17" s="38">
        <f t="shared" si="0"/>
        <v>8.3333333333333339</v>
      </c>
      <c r="I17" s="39">
        <f t="shared" si="1"/>
        <v>100</v>
      </c>
      <c r="M17" s="411"/>
      <c r="N17" s="1783">
        <f>SUM(I60:I61)</f>
        <v>415000</v>
      </c>
      <c r="O17" s="411"/>
      <c r="P17" s="411"/>
      <c r="Q17" s="411"/>
      <c r="R17" s="411"/>
      <c r="S17" s="411"/>
      <c r="T17" s="411"/>
      <c r="U17" s="1779"/>
    </row>
    <row r="18" spans="2:21">
      <c r="C18" s="2558" t="s">
        <v>36</v>
      </c>
      <c r="D18" s="46">
        <v>0</v>
      </c>
      <c r="E18" s="1611">
        <v>0</v>
      </c>
      <c r="F18" s="2555" t="s">
        <v>43</v>
      </c>
      <c r="G18" s="235" t="s">
        <v>402</v>
      </c>
      <c r="H18" s="40" t="str">
        <f t="shared" si="0"/>
        <v/>
      </c>
      <c r="I18" s="41" t="str">
        <f t="shared" si="1"/>
        <v/>
      </c>
      <c r="M18" s="411"/>
      <c r="N18" s="1783">
        <f>I65</f>
        <v>0.15</v>
      </c>
      <c r="O18" s="411"/>
      <c r="P18" s="411"/>
      <c r="Q18" s="411"/>
      <c r="R18" s="411"/>
      <c r="S18" s="411"/>
      <c r="T18" s="411"/>
      <c r="U18" s="1779"/>
    </row>
    <row r="19" spans="2:21">
      <c r="C19" s="2557" t="s">
        <v>37</v>
      </c>
      <c r="D19" s="47">
        <v>0</v>
      </c>
      <c r="E19" s="1612">
        <v>0</v>
      </c>
      <c r="F19" s="2581" t="s">
        <v>43</v>
      </c>
      <c r="G19" s="236" t="s">
        <v>402</v>
      </c>
      <c r="H19" s="38" t="str">
        <f t="shared" si="0"/>
        <v/>
      </c>
      <c r="I19" s="39" t="str">
        <f t="shared" si="1"/>
        <v/>
      </c>
      <c r="M19" s="411"/>
      <c r="N19" s="1783">
        <f>I74</f>
        <v>4200</v>
      </c>
      <c r="O19" s="411"/>
      <c r="P19" s="411"/>
      <c r="Q19" s="411"/>
      <c r="R19" s="411"/>
      <c r="S19" s="411"/>
      <c r="T19" s="411"/>
      <c r="U19" s="1779"/>
    </row>
    <row r="20" spans="2:21">
      <c r="C20" s="24" t="s">
        <v>275</v>
      </c>
      <c r="D20" s="46">
        <v>0</v>
      </c>
      <c r="E20" s="1611">
        <v>0</v>
      </c>
      <c r="F20" s="2555" t="s">
        <v>43</v>
      </c>
      <c r="G20" s="235" t="s">
        <v>402</v>
      </c>
      <c r="H20" s="40" t="str">
        <f t="shared" si="0"/>
        <v/>
      </c>
      <c r="I20" s="41" t="str">
        <f t="shared" si="1"/>
        <v/>
      </c>
      <c r="M20" s="411"/>
      <c r="N20" s="1783"/>
      <c r="O20" s="411"/>
      <c r="P20" s="411"/>
      <c r="Q20" s="411"/>
      <c r="R20" s="411"/>
      <c r="S20" s="411"/>
      <c r="T20" s="411"/>
      <c r="U20" s="1779"/>
    </row>
    <row r="21" spans="2:21">
      <c r="C21" s="13" t="s">
        <v>275</v>
      </c>
      <c r="D21" s="47">
        <v>0</v>
      </c>
      <c r="E21" s="1612">
        <v>0</v>
      </c>
      <c r="F21" s="2581" t="s">
        <v>43</v>
      </c>
      <c r="G21" s="236" t="s">
        <v>402</v>
      </c>
      <c r="H21" s="38" t="str">
        <f t="shared" si="0"/>
        <v/>
      </c>
      <c r="I21" s="39" t="str">
        <f t="shared" si="1"/>
        <v/>
      </c>
      <c r="M21" s="411"/>
      <c r="N21" s="1783"/>
      <c r="O21" s="411"/>
      <c r="P21" s="411"/>
      <c r="Q21" s="411"/>
      <c r="R21" s="411"/>
      <c r="S21" s="411"/>
      <c r="T21" s="411"/>
      <c r="U21" s="1779"/>
    </row>
    <row r="22" spans="2:21">
      <c r="C22" s="24" t="s">
        <v>275</v>
      </c>
      <c r="D22" s="46">
        <v>0</v>
      </c>
      <c r="E22" s="1611">
        <v>0</v>
      </c>
      <c r="F22" s="2555" t="s">
        <v>43</v>
      </c>
      <c r="G22" s="235" t="s">
        <v>402</v>
      </c>
      <c r="H22" s="40" t="str">
        <f t="shared" si="0"/>
        <v/>
      </c>
      <c r="I22" s="41" t="str">
        <f t="shared" si="1"/>
        <v/>
      </c>
      <c r="K22" s="8"/>
      <c r="M22" s="411"/>
      <c r="N22" s="1783"/>
      <c r="O22" s="411"/>
      <c r="P22" s="411"/>
      <c r="Q22" s="411"/>
      <c r="R22" s="411"/>
      <c r="S22" s="411"/>
      <c r="T22" s="411"/>
      <c r="U22" s="1779"/>
    </row>
    <row r="23" spans="2:21">
      <c r="B23" s="25"/>
      <c r="C23" s="340" t="s">
        <v>2281</v>
      </c>
      <c r="D23" s="244">
        <f>I32</f>
        <v>1300</v>
      </c>
      <c r="E23" s="341">
        <f>I33</f>
        <v>12</v>
      </c>
      <c r="F23" s="341" t="s">
        <v>43</v>
      </c>
      <c r="G23" s="342" t="s">
        <v>395</v>
      </c>
      <c r="H23" s="343">
        <f t="shared" si="0"/>
        <v>1300</v>
      </c>
      <c r="I23" s="344">
        <f t="shared" si="1"/>
        <v>15600</v>
      </c>
      <c r="K23" s="8"/>
      <c r="M23" s="411"/>
      <c r="N23" s="1783"/>
      <c r="O23" s="411"/>
      <c r="P23" s="411"/>
      <c r="Q23" s="411"/>
      <c r="R23" s="411"/>
      <c r="S23" s="411"/>
      <c r="T23" s="411"/>
      <c r="U23" s="1779"/>
    </row>
    <row r="24" spans="2:21">
      <c r="C24" s="43"/>
      <c r="D24" s="43"/>
      <c r="E24" s="43"/>
      <c r="F24" s="43"/>
      <c r="G24" s="42" t="s">
        <v>1274</v>
      </c>
      <c r="H24" s="44">
        <f>SUM(H13:H23)</f>
        <v>2108.3333333333335</v>
      </c>
      <c r="I24" s="45">
        <f>SUM(I13:I23)</f>
        <v>25300</v>
      </c>
      <c r="K24" s="8"/>
      <c r="L24" s="9"/>
      <c r="M24" s="451"/>
      <c r="N24" s="1783">
        <f>SUM(N13:N19)</f>
        <v>428492.22000000003</v>
      </c>
      <c r="O24" s="411"/>
      <c r="P24" s="1778"/>
      <c r="Q24" s="411"/>
      <c r="R24" s="411"/>
      <c r="S24" s="411"/>
      <c r="T24" s="411"/>
      <c r="U24" s="1779"/>
    </row>
    <row r="25" spans="2:21">
      <c r="C25" s="12"/>
      <c r="D25" s="12"/>
      <c r="E25" s="12"/>
      <c r="F25" s="12"/>
      <c r="G25" s="12"/>
      <c r="H25" s="12"/>
      <c r="K25" s="8"/>
      <c r="L25" s="9"/>
      <c r="M25" s="1781"/>
      <c r="N25" s="1779"/>
      <c r="O25" s="1779"/>
      <c r="P25" s="1780"/>
      <c r="Q25" s="1779"/>
      <c r="R25" s="1779"/>
      <c r="S25" s="1779"/>
      <c r="T25" s="1779"/>
      <c r="U25" s="1779"/>
    </row>
    <row r="26" spans="2:21">
      <c r="C26" s="12"/>
      <c r="D26" s="12"/>
      <c r="E26" s="12"/>
      <c r="F26" s="12"/>
      <c r="G26" s="12"/>
      <c r="H26" s="12"/>
      <c r="K26" s="8"/>
      <c r="L26" s="9"/>
      <c r="M26" s="1781"/>
      <c r="N26" s="1779"/>
      <c r="O26" s="1779"/>
      <c r="P26" s="1780"/>
      <c r="Q26" s="1779"/>
      <c r="R26" s="1779"/>
      <c r="S26" s="1779"/>
      <c r="T26" s="1779"/>
      <c r="U26" s="1779"/>
    </row>
    <row r="27" spans="2:21">
      <c r="H27" s="10"/>
      <c r="I27" s="10"/>
      <c r="J27" s="18"/>
      <c r="K27" s="8"/>
      <c r="L27" s="9"/>
      <c r="M27" s="1781"/>
      <c r="N27" s="1781"/>
      <c r="O27" s="1779"/>
      <c r="P27" s="1780"/>
      <c r="Q27" s="1779"/>
      <c r="R27" s="1779"/>
      <c r="S27" s="1779"/>
      <c r="T27" s="1779"/>
      <c r="U27" s="1779"/>
    </row>
    <row r="28" spans="2:21" ht="20" customHeight="1">
      <c r="C28" s="2351" t="s">
        <v>1281</v>
      </c>
      <c r="D28" s="2351"/>
      <c r="E28" s="2351"/>
      <c r="F28" s="2351"/>
      <c r="G28" s="2351"/>
      <c r="H28" s="2351"/>
      <c r="I28" s="35"/>
      <c r="M28" s="1779"/>
      <c r="N28" s="1779"/>
      <c r="O28" s="1779"/>
      <c r="P28" s="1780"/>
      <c r="Q28" s="1779"/>
      <c r="R28" s="1779"/>
      <c r="S28" s="1779"/>
      <c r="T28" s="1779"/>
      <c r="U28" s="1779"/>
    </row>
    <row r="29" spans="2:21" ht="24" hidden="1" customHeight="1">
      <c r="C29" s="2347" t="s">
        <v>2486</v>
      </c>
      <c r="D29" s="2337"/>
      <c r="E29" s="2337"/>
      <c r="F29" s="2337"/>
      <c r="G29" s="2337"/>
      <c r="H29" s="2337"/>
      <c r="I29" s="2337"/>
      <c r="M29" s="1779"/>
      <c r="N29" s="1779"/>
      <c r="O29" s="1779"/>
      <c r="P29" s="1780"/>
      <c r="Q29" s="1779"/>
      <c r="R29" s="1779"/>
      <c r="S29" s="1779"/>
      <c r="T29" s="1779"/>
      <c r="U29" s="1779"/>
    </row>
    <row r="30" spans="2:21" hidden="1">
      <c r="C30" s="2335" t="s">
        <v>1373</v>
      </c>
      <c r="D30" s="2335"/>
      <c r="E30" s="2335"/>
      <c r="F30" s="2335"/>
      <c r="G30" s="2335"/>
      <c r="H30" s="294"/>
      <c r="I30" s="323" t="s">
        <v>219</v>
      </c>
      <c r="J30" s="18"/>
      <c r="K30" s="10"/>
      <c r="L30" s="10"/>
      <c r="M30" s="1781"/>
      <c r="N30" s="1781"/>
      <c r="O30" s="1779"/>
      <c r="P30" s="1779"/>
      <c r="Q30" s="1779"/>
      <c r="R30" s="1779"/>
      <c r="S30" s="1779"/>
      <c r="T30" s="1779"/>
      <c r="U30" s="1779"/>
    </row>
    <row r="31" spans="2:21" ht="5" hidden="1" customHeight="1">
      <c r="C31" s="2349"/>
      <c r="D31" s="2349"/>
      <c r="E31" s="2349"/>
      <c r="F31" s="2349"/>
      <c r="G31" s="2349"/>
      <c r="H31" s="2349"/>
      <c r="I31" s="10"/>
      <c r="J31" s="18"/>
      <c r="K31" s="10"/>
      <c r="L31" s="10"/>
      <c r="M31" s="1781"/>
      <c r="N31" s="1781"/>
      <c r="O31" s="1779"/>
      <c r="P31" s="1779"/>
      <c r="Q31" s="1779"/>
      <c r="R31" s="1779"/>
      <c r="S31" s="1779"/>
      <c r="T31" s="1779"/>
      <c r="U31" s="1779"/>
    </row>
    <row r="32" spans="2:21" hidden="1">
      <c r="C32" s="2352" t="s">
        <v>1275</v>
      </c>
      <c r="D32" s="2352"/>
      <c r="E32" s="2352"/>
      <c r="F32" s="2352"/>
      <c r="G32" s="2352"/>
      <c r="H32" s="43"/>
      <c r="I32" s="324">
        <f>Assets!F21</f>
        <v>1300</v>
      </c>
      <c r="J32" s="18"/>
      <c r="K32" s="10"/>
      <c r="L32" s="10"/>
      <c r="M32" s="1781"/>
      <c r="N32" s="1781"/>
      <c r="O32" s="1779"/>
      <c r="P32" s="1779"/>
      <c r="Q32" s="1779"/>
      <c r="R32" s="1779"/>
      <c r="S32" s="1779"/>
      <c r="T32" s="1779"/>
      <c r="U32" s="1779"/>
    </row>
    <row r="33" spans="3:21" hidden="1">
      <c r="C33" s="2358" t="s">
        <v>1276</v>
      </c>
      <c r="D33" s="2358"/>
      <c r="E33" s="2358"/>
      <c r="F33" s="2358"/>
      <c r="G33" s="2358"/>
      <c r="H33" s="27"/>
      <c r="I33" s="1131">
        <f>Assets!G21</f>
        <v>12</v>
      </c>
      <c r="J33" s="18"/>
      <c r="K33" s="10"/>
      <c r="L33" s="10"/>
      <c r="M33" s="1781"/>
      <c r="N33" s="1781"/>
      <c r="O33" s="1779"/>
      <c r="P33" s="1779"/>
      <c r="Q33" s="1779"/>
      <c r="R33" s="1779"/>
      <c r="S33" s="1779"/>
      <c r="T33" s="1779"/>
      <c r="U33" s="1779"/>
    </row>
    <row r="34" spans="3:21" hidden="1">
      <c r="C34" s="2350" t="s">
        <v>2475</v>
      </c>
      <c r="D34" s="2350"/>
      <c r="E34" s="2350"/>
      <c r="F34" s="2350"/>
      <c r="G34" s="2350"/>
      <c r="I34" s="321">
        <f>Assets!E21</f>
        <v>450000</v>
      </c>
      <c r="J34" s="18"/>
      <c r="K34" s="10"/>
      <c r="L34" s="10"/>
      <c r="M34" s="1781"/>
      <c r="N34" s="1781"/>
      <c r="O34" s="1779"/>
      <c r="P34" s="1779"/>
      <c r="Q34" s="1779"/>
      <c r="R34" s="1779"/>
      <c r="S34" s="1779"/>
      <c r="T34" s="1779"/>
      <c r="U34" s="1779"/>
    </row>
    <row r="35" spans="3:21" hidden="1">
      <c r="C35" s="2358" t="s">
        <v>2476</v>
      </c>
      <c r="D35" s="2358"/>
      <c r="E35" s="2358"/>
      <c r="F35" s="2358"/>
      <c r="G35" s="2358"/>
      <c r="H35" s="27"/>
      <c r="I35" s="325">
        <f>Assets!H21</f>
        <v>1.8499999999999999E-2</v>
      </c>
      <c r="J35" s="18"/>
      <c r="K35" s="10"/>
      <c r="L35" s="10"/>
      <c r="M35" s="1781"/>
      <c r="N35" s="1781"/>
      <c r="O35" s="1779"/>
      <c r="P35" s="1779"/>
      <c r="Q35" s="1779"/>
      <c r="R35" s="1779"/>
      <c r="S35" s="1779"/>
      <c r="T35" s="1779"/>
      <c r="U35" s="1779"/>
    </row>
    <row r="36" spans="3:21" hidden="1">
      <c r="C36" s="326"/>
      <c r="D36" s="326"/>
      <c r="E36" s="326"/>
      <c r="F36" s="1057"/>
      <c r="G36" s="1057"/>
      <c r="H36" s="1058"/>
      <c r="I36" s="327"/>
      <c r="J36" s="18"/>
      <c r="K36" s="10"/>
      <c r="L36" s="10"/>
      <c r="M36" s="1781"/>
      <c r="N36" s="1781"/>
      <c r="O36" s="1779"/>
      <c r="P36" s="1779"/>
      <c r="Q36" s="1779"/>
      <c r="R36" s="1779"/>
      <c r="S36" s="1779"/>
      <c r="T36" s="1779"/>
      <c r="U36" s="1779"/>
    </row>
    <row r="37" spans="3:21" hidden="1">
      <c r="F37" s="10"/>
      <c r="G37" s="10"/>
      <c r="H37" s="10"/>
      <c r="I37" s="10"/>
      <c r="J37" s="18"/>
      <c r="K37" s="10"/>
      <c r="L37" s="10"/>
      <c r="M37" s="1781"/>
      <c r="N37" s="1781"/>
      <c r="O37" s="1779"/>
      <c r="P37" s="1779"/>
      <c r="Q37" s="1779"/>
      <c r="R37" s="1779"/>
      <c r="S37" s="1779"/>
      <c r="T37" s="1779"/>
      <c r="U37" s="1779"/>
    </row>
    <row r="38" spans="3:21">
      <c r="C38" s="15"/>
      <c r="D38" s="15"/>
      <c r="E38" s="15"/>
      <c r="F38" s="1059"/>
      <c r="G38" s="10"/>
      <c r="H38" s="1060"/>
      <c r="I38" s="10"/>
      <c r="J38" s="18"/>
      <c r="K38" s="10"/>
      <c r="L38" s="10"/>
      <c r="M38" s="1781"/>
      <c r="N38" s="1781"/>
      <c r="O38" s="1779"/>
      <c r="P38" s="1779"/>
      <c r="Q38" s="1779"/>
      <c r="R38" s="1779"/>
      <c r="S38" s="1779"/>
      <c r="T38" s="1779"/>
      <c r="U38" s="1779"/>
    </row>
    <row r="39" spans="3:21" ht="20" customHeight="1">
      <c r="C39" s="2351" t="s">
        <v>1278</v>
      </c>
      <c r="D39" s="2351"/>
      <c r="E39" s="2351"/>
      <c r="F39" s="2351"/>
      <c r="G39" s="2351"/>
      <c r="H39" s="2351"/>
      <c r="I39" s="35"/>
      <c r="P39" s="11"/>
    </row>
    <row r="40" spans="3:21" ht="20" hidden="1" customHeight="1">
      <c r="C40" s="2359" t="s">
        <v>2428</v>
      </c>
      <c r="D40" s="2357"/>
      <c r="E40" s="2357"/>
      <c r="F40" s="2357"/>
      <c r="G40" s="2357"/>
      <c r="H40" s="2357"/>
      <c r="I40" s="35"/>
      <c r="P40" s="11"/>
    </row>
    <row r="41" spans="3:21" hidden="1">
      <c r="C41" s="2335" t="s">
        <v>9</v>
      </c>
      <c r="D41" s="2335"/>
      <c r="E41" s="2335"/>
      <c r="F41" s="2335"/>
      <c r="G41" s="2335"/>
      <c r="H41" s="29"/>
      <c r="I41" s="323" t="s">
        <v>219</v>
      </c>
      <c r="J41" s="18"/>
      <c r="K41" s="10"/>
      <c r="L41" s="10"/>
      <c r="M41" s="10"/>
      <c r="N41" s="10"/>
    </row>
    <row r="42" spans="3:21" ht="6" hidden="1" customHeight="1">
      <c r="C42" s="6"/>
      <c r="D42" s="6"/>
      <c r="E42" s="6"/>
      <c r="F42" s="6"/>
      <c r="G42" s="6"/>
      <c r="I42" s="6"/>
      <c r="J42" s="18"/>
      <c r="K42" s="10"/>
      <c r="L42" s="10"/>
      <c r="M42" s="10"/>
      <c r="N42" s="10"/>
    </row>
    <row r="43" spans="3:21" hidden="1">
      <c r="C43" s="2327" t="s">
        <v>1288</v>
      </c>
      <c r="D43" s="2327"/>
      <c r="E43" s="2327"/>
      <c r="F43" s="2327"/>
      <c r="G43" s="2327"/>
      <c r="H43" s="2328"/>
      <c r="I43" s="1586">
        <v>2050</v>
      </c>
      <c r="J43" s="18"/>
      <c r="K43" s="10"/>
      <c r="L43" s="10"/>
      <c r="M43" s="10"/>
      <c r="N43" s="10"/>
    </row>
    <row r="44" spans="3:21" hidden="1">
      <c r="C44" s="2329" t="str">
        <f ca="1">IF(I43 &gt; "", IF(I43&gt;YEAR(TODAY()),"Estimated value of home in "&amp;I43,"Current value of home"), "Current value")</f>
        <v>Current value</v>
      </c>
      <c r="D44" s="2329"/>
      <c r="E44" s="2329"/>
      <c r="F44" s="2329"/>
      <c r="G44" s="2329"/>
      <c r="H44" s="2330"/>
      <c r="I44" s="330">
        <f>I34</f>
        <v>450000</v>
      </c>
      <c r="J44" s="18"/>
      <c r="K44" s="10"/>
      <c r="L44" s="10"/>
      <c r="M44" s="10"/>
      <c r="N44" s="10"/>
    </row>
    <row r="45" spans="3:21" hidden="1">
      <c r="C45" s="2331" t="s">
        <v>1283</v>
      </c>
      <c r="D45" s="2331"/>
      <c r="E45" s="2331"/>
      <c r="F45" s="2331"/>
      <c r="G45" s="2331"/>
      <c r="H45" s="2332"/>
      <c r="I45" s="331">
        <f ca="1">IF(I43&gt;0,LOOKUP(I43-1,E81:E120,H81:H120),I34)</f>
        <v>738176.83760804846</v>
      </c>
      <c r="J45" s="18"/>
      <c r="K45" s="10"/>
      <c r="L45" s="10"/>
      <c r="M45" s="10"/>
      <c r="N45" s="10"/>
    </row>
    <row r="46" spans="3:21" hidden="1">
      <c r="C46" s="2329" t="s">
        <v>2477</v>
      </c>
      <c r="D46" s="2329"/>
      <c r="E46" s="2329"/>
      <c r="F46" s="2329"/>
      <c r="G46" s="2329"/>
      <c r="H46" s="2330"/>
      <c r="I46" s="1061">
        <v>0</v>
      </c>
      <c r="J46" s="18"/>
      <c r="K46" s="10"/>
      <c r="L46" s="10"/>
      <c r="M46" s="10"/>
      <c r="N46" s="10"/>
    </row>
    <row r="47" spans="3:21" hidden="1">
      <c r="C47" s="1745" t="s">
        <v>2491</v>
      </c>
      <c r="D47" s="1745"/>
      <c r="E47" s="1745"/>
      <c r="F47" s="1745"/>
      <c r="G47" s="1745"/>
      <c r="H47" s="1746"/>
      <c r="I47" s="1796">
        <v>0</v>
      </c>
      <c r="J47" s="18"/>
      <c r="K47" s="10"/>
      <c r="L47" s="10"/>
      <c r="M47" s="10"/>
      <c r="N47" s="10"/>
    </row>
    <row r="48" spans="3:21" hidden="1">
      <c r="C48" s="2333" t="s">
        <v>1289</v>
      </c>
      <c r="D48" s="2333"/>
      <c r="E48" s="2333"/>
      <c r="F48" s="2333"/>
      <c r="G48" s="2333"/>
      <c r="H48" s="2334"/>
      <c r="I48" s="339">
        <f ca="1">I45-(I67+I54+I46+I47)</f>
        <v>706676.83760804846</v>
      </c>
      <c r="J48" s="18"/>
      <c r="K48" s="10"/>
      <c r="L48" s="10"/>
      <c r="M48" s="10"/>
      <c r="N48" s="10"/>
    </row>
    <row r="49" spans="3:16" hidden="1">
      <c r="C49" s="2339" t="s">
        <v>1280</v>
      </c>
      <c r="D49" s="2339"/>
      <c r="E49" s="2339"/>
      <c r="F49" s="2339"/>
      <c r="G49" s="2339"/>
      <c r="H49" s="2339"/>
      <c r="I49" s="35"/>
      <c r="J49" s="18"/>
      <c r="K49" s="10"/>
      <c r="L49" s="10"/>
      <c r="M49" s="10"/>
      <c r="N49" s="10"/>
    </row>
    <row r="50" spans="3:16" ht="19" hidden="1" customHeight="1">
      <c r="C50" s="2356" t="s">
        <v>2429</v>
      </c>
      <c r="D50" s="2357"/>
      <c r="E50" s="2357"/>
      <c r="F50" s="2357"/>
      <c r="G50" s="2357"/>
      <c r="H50" s="2357"/>
      <c r="I50" s="35"/>
      <c r="J50" s="18"/>
      <c r="K50" s="10"/>
      <c r="L50" s="10"/>
      <c r="M50" s="10"/>
      <c r="N50" s="10"/>
    </row>
    <row r="51" spans="3:16" hidden="1">
      <c r="C51" s="2335" t="s">
        <v>9</v>
      </c>
      <c r="D51" s="2335"/>
      <c r="E51" s="2335"/>
      <c r="F51" s="2335"/>
      <c r="G51" s="2335"/>
      <c r="H51" s="2335"/>
      <c r="I51" s="323" t="s">
        <v>219</v>
      </c>
      <c r="J51" s="18"/>
      <c r="K51" s="10"/>
      <c r="L51" s="10"/>
      <c r="M51" s="10"/>
      <c r="N51" s="10"/>
    </row>
    <row r="52" spans="3:16" ht="5" hidden="1" customHeight="1">
      <c r="C52" s="6"/>
      <c r="D52" s="6"/>
      <c r="E52" s="6"/>
      <c r="F52" s="6"/>
      <c r="G52" s="6"/>
      <c r="I52" s="6"/>
      <c r="J52" s="18"/>
      <c r="K52" s="10"/>
      <c r="L52" s="10"/>
      <c r="M52" s="10"/>
      <c r="N52" s="10"/>
    </row>
    <row r="53" spans="3:16" hidden="1">
      <c r="C53" s="2327" t="s">
        <v>408</v>
      </c>
      <c r="D53" s="2327"/>
      <c r="E53" s="2327"/>
      <c r="F53" s="2327"/>
      <c r="G53" s="2327"/>
      <c r="H53" s="2328"/>
      <c r="I53" s="1598">
        <v>7.0000000000000007E-2</v>
      </c>
      <c r="J53" s="18"/>
      <c r="K53" s="10"/>
      <c r="L53" s="10"/>
      <c r="M53" s="10"/>
      <c r="N53" s="10"/>
    </row>
    <row r="54" spans="3:16" hidden="1">
      <c r="C54" s="2333" t="s">
        <v>2430</v>
      </c>
      <c r="D54" s="2333"/>
      <c r="E54" s="2333"/>
      <c r="F54" s="2333"/>
      <c r="G54" s="2333"/>
      <c r="H54" s="2334"/>
      <c r="I54" s="339">
        <f>(I44*I53)*1</f>
        <v>31500.000000000004</v>
      </c>
      <c r="J54" s="18"/>
      <c r="K54" s="10"/>
      <c r="L54" s="10"/>
      <c r="M54" s="10"/>
      <c r="N54" s="10"/>
    </row>
    <row r="55" spans="3:16" ht="16" hidden="1" customHeight="1">
      <c r="C55" s="34"/>
      <c r="D55" s="34"/>
      <c r="E55" s="34"/>
      <c r="F55" s="34"/>
      <c r="G55" s="17"/>
      <c r="H55" s="1062"/>
      <c r="I55" s="10"/>
      <c r="J55" s="18"/>
      <c r="K55" s="10"/>
      <c r="L55" s="10"/>
      <c r="M55" s="10"/>
      <c r="N55" s="10"/>
    </row>
    <row r="56" spans="3:16" ht="20" hidden="1" customHeight="1">
      <c r="C56" s="2338" t="s">
        <v>2431</v>
      </c>
      <c r="D56" s="2339"/>
      <c r="E56" s="2339"/>
      <c r="F56" s="2339"/>
      <c r="G56" s="2339"/>
      <c r="H56" s="2339"/>
      <c r="I56" s="35"/>
      <c r="P56" s="11"/>
    </row>
    <row r="57" spans="3:16" ht="85" hidden="1" customHeight="1">
      <c r="C57" s="2336" t="s">
        <v>2432</v>
      </c>
      <c r="D57" s="2337"/>
      <c r="E57" s="2337"/>
      <c r="F57" s="2337"/>
      <c r="G57" s="2337"/>
      <c r="H57" s="2337"/>
      <c r="I57" s="2337"/>
      <c r="P57" s="11"/>
    </row>
    <row r="58" spans="3:16" hidden="1">
      <c r="C58" s="2335" t="s">
        <v>9</v>
      </c>
      <c r="D58" s="2335"/>
      <c r="E58" s="2335"/>
      <c r="F58" s="2335"/>
      <c r="G58" s="2335"/>
      <c r="H58" s="2335"/>
      <c r="I58" s="323" t="s">
        <v>219</v>
      </c>
      <c r="J58" s="18"/>
      <c r="K58" s="10"/>
      <c r="L58" s="10"/>
      <c r="M58" s="10"/>
      <c r="N58" s="10"/>
    </row>
    <row r="59" spans="3:16" ht="5" hidden="1" customHeight="1">
      <c r="C59" s="6"/>
      <c r="D59" s="6"/>
      <c r="E59" s="6"/>
      <c r="F59" s="6"/>
      <c r="G59" s="6"/>
      <c r="I59" s="6"/>
      <c r="J59" s="18"/>
      <c r="K59" s="10"/>
      <c r="L59" s="10"/>
      <c r="M59" s="10"/>
      <c r="N59" s="10"/>
    </row>
    <row r="60" spans="3:16" hidden="1">
      <c r="C60" s="2327" t="s">
        <v>1282</v>
      </c>
      <c r="D60" s="2327"/>
      <c r="E60" s="2327"/>
      <c r="F60" s="2327"/>
      <c r="G60" s="2327"/>
      <c r="H60" s="2345"/>
      <c r="I60" s="338">
        <v>350000</v>
      </c>
      <c r="J60" s="18"/>
      <c r="K60" s="10"/>
      <c r="L60" s="10"/>
      <c r="M60" s="10"/>
      <c r="N60" s="10"/>
    </row>
    <row r="61" spans="3:16" hidden="1">
      <c r="C61" s="2343" t="s">
        <v>2433</v>
      </c>
      <c r="D61" s="2343"/>
      <c r="E61" s="2343"/>
      <c r="F61" s="2343"/>
      <c r="G61" s="2343"/>
      <c r="H61" s="2344"/>
      <c r="I61" s="1063">
        <v>65000</v>
      </c>
      <c r="J61" s="18"/>
      <c r="K61" s="10"/>
      <c r="L61" s="10"/>
      <c r="M61" s="10"/>
      <c r="N61" s="10"/>
    </row>
    <row r="62" spans="3:16" hidden="1">
      <c r="C62" s="2341" t="str">
        <f>IF(Individuals!E15="","Single exclusion value used","Married exclusion value used")</f>
        <v>Married exclusion value used</v>
      </c>
      <c r="D62" s="2341"/>
      <c r="E62" s="2341"/>
      <c r="F62" s="2341"/>
      <c r="G62" s="2341"/>
      <c r="H62" s="2342"/>
      <c r="I62" s="332">
        <f>IF(Individuals!E15="",250000,500000)</f>
        <v>500000</v>
      </c>
      <c r="J62" s="22"/>
    </row>
    <row r="63" spans="3:16" hidden="1">
      <c r="C63" s="2333" t="s">
        <v>1374</v>
      </c>
      <c r="D63" s="2333"/>
      <c r="E63" s="2333"/>
      <c r="F63" s="2333"/>
      <c r="G63" s="2333"/>
      <c r="H63" s="2362"/>
      <c r="I63" s="337">
        <f>SUM(I60:I62)</f>
        <v>915000</v>
      </c>
      <c r="J63" s="22"/>
    </row>
    <row r="64" spans="3:16" hidden="1">
      <c r="C64" s="328"/>
      <c r="D64" s="328"/>
      <c r="E64" s="328"/>
      <c r="F64" s="328"/>
      <c r="G64" s="328"/>
      <c r="H64" s="329"/>
      <c r="I64" s="333"/>
      <c r="J64" s="22"/>
    </row>
    <row r="65" spans="3:14" hidden="1">
      <c r="C65" s="2363" t="s">
        <v>409</v>
      </c>
      <c r="D65" s="2363"/>
      <c r="E65" s="2363"/>
      <c r="F65" s="2363"/>
      <c r="G65" s="2363"/>
      <c r="H65" s="2364"/>
      <c r="I65" s="1599">
        <v>0.15</v>
      </c>
      <c r="J65" s="14"/>
      <c r="K65" s="10"/>
      <c r="L65" s="10"/>
      <c r="M65" s="10"/>
      <c r="N65" s="10"/>
    </row>
    <row r="66" spans="3:14" hidden="1">
      <c r="C66" s="2341" t="s">
        <v>1284</v>
      </c>
      <c r="D66" s="2341"/>
      <c r="E66" s="2341"/>
      <c r="F66" s="2341"/>
      <c r="G66" s="2341"/>
      <c r="H66" s="2342"/>
      <c r="I66" s="334">
        <f ca="1">IF(I45&gt;I63, I45-I63, 0)</f>
        <v>0</v>
      </c>
      <c r="J66" s="33"/>
      <c r="K66" s="10"/>
      <c r="L66" s="10"/>
      <c r="M66" s="10"/>
      <c r="N66" s="10"/>
    </row>
    <row r="67" spans="3:14" hidden="1">
      <c r="C67" s="2333" t="s">
        <v>2434</v>
      </c>
      <c r="D67" s="2333"/>
      <c r="E67" s="2333"/>
      <c r="F67" s="2333"/>
      <c r="G67" s="2333"/>
      <c r="H67" s="2362"/>
      <c r="I67" s="336">
        <f ca="1">IF(I66&gt;0,I66*I65,0)</f>
        <v>0</v>
      </c>
      <c r="J67" s="18"/>
      <c r="K67" s="10"/>
      <c r="L67" s="10"/>
      <c r="M67" s="10"/>
      <c r="N67" s="10"/>
    </row>
    <row r="68" spans="3:14" hidden="1"/>
    <row r="69" spans="3:14" hidden="1">
      <c r="C69" s="2340"/>
      <c r="D69" s="2340"/>
      <c r="E69" s="2340"/>
      <c r="F69" s="2340"/>
      <c r="G69" s="2340"/>
    </row>
    <row r="71" spans="3:14" ht="20" customHeight="1">
      <c r="C71" s="2365" t="s">
        <v>2280</v>
      </c>
      <c r="D71" s="2365"/>
      <c r="E71" s="2365"/>
      <c r="F71" s="2365"/>
      <c r="G71" s="2365"/>
      <c r="H71" s="2365"/>
      <c r="I71" s="35"/>
    </row>
    <row r="72" spans="3:14" ht="28" hidden="1" customHeight="1">
      <c r="C72" s="2347" t="s">
        <v>2485</v>
      </c>
      <c r="D72" s="2337"/>
      <c r="E72" s="2337"/>
      <c r="F72" s="2337"/>
      <c r="G72" s="2337"/>
      <c r="H72" s="2337"/>
      <c r="I72" s="2337"/>
    </row>
    <row r="73" spans="3:14" ht="4" hidden="1" customHeight="1">
      <c r="C73" s="3"/>
      <c r="D73" s="3"/>
      <c r="E73" s="3"/>
      <c r="F73" s="3"/>
      <c r="G73" s="3"/>
      <c r="H73" s="3"/>
    </row>
    <row r="74" spans="3:14" hidden="1">
      <c r="C74" s="2360" t="s">
        <v>382</v>
      </c>
      <c r="D74" s="2360"/>
      <c r="E74" s="2360"/>
      <c r="F74" s="2360"/>
      <c r="G74" s="2360"/>
      <c r="H74" s="2361"/>
      <c r="I74" s="335">
        <v>4200</v>
      </c>
    </row>
    <row r="75" spans="3:14" hidden="1"/>
    <row r="77" spans="3:14" s="1369" customFormat="1" ht="20" customHeight="1">
      <c r="C77" s="1862" t="s">
        <v>2279</v>
      </c>
      <c r="D77" s="1367"/>
      <c r="E77" s="1367"/>
      <c r="F77" s="1367"/>
      <c r="G77" s="1367"/>
      <c r="H77" s="1367"/>
      <c r="I77" s="1367"/>
    </row>
    <row r="78" spans="3:14" hidden="1">
      <c r="C78" s="1378"/>
      <c r="D78" s="1379"/>
      <c r="E78" s="1368"/>
      <c r="F78" s="1368" t="s">
        <v>65</v>
      </c>
      <c r="G78" s="1368" t="s">
        <v>65</v>
      </c>
      <c r="H78" s="322" t="s">
        <v>262</v>
      </c>
      <c r="I78" s="1380" t="s">
        <v>405</v>
      </c>
      <c r="J78" s="26" t="s">
        <v>381</v>
      </c>
    </row>
    <row r="79" spans="3:14" hidden="1">
      <c r="C79" s="1378" t="s">
        <v>1279</v>
      </c>
      <c r="D79" s="1368" t="s">
        <v>73</v>
      </c>
      <c r="E79" s="1368" t="s">
        <v>6</v>
      </c>
      <c r="F79" s="1381" t="s">
        <v>424</v>
      </c>
      <c r="G79" s="1381" t="s">
        <v>425</v>
      </c>
      <c r="H79" s="1368" t="s">
        <v>219</v>
      </c>
      <c r="I79" s="1382" t="s">
        <v>404</v>
      </c>
      <c r="J79" s="26" t="s">
        <v>219</v>
      </c>
    </row>
    <row r="80" spans="3:14" hidden="1">
      <c r="C80" s="1378"/>
      <c r="D80" s="1368"/>
      <c r="E80" s="1368"/>
      <c r="F80" s="1381"/>
      <c r="G80" s="1381"/>
      <c r="H80" s="1383">
        <f>I34</f>
        <v>450000</v>
      </c>
      <c r="I80" s="1382"/>
      <c r="J80" s="26"/>
    </row>
    <row r="81" spans="3:12" hidden="1">
      <c r="C81" s="49" t="str">
        <f t="shared" ref="C81:C112" ca="1" si="2">IF(E81=$I$43,"Home sold","")</f>
        <v/>
      </c>
      <c r="D81" s="55">
        <v>1</v>
      </c>
      <c r="E81" s="58">
        <f ca="1">YEAR(TODAY())</f>
        <v>2022</v>
      </c>
      <c r="F81" s="58">
        <f ca="1">IF(Individuals!$E$10&gt;0,E81-YEAR(Individuals!$E$10),0)</f>
        <v>54</v>
      </c>
      <c r="G81" s="58">
        <f ca="1">IF(Individuals!$E$15&gt;0,E81-YEAR(Individuals!$E$15),0)</f>
        <v>52</v>
      </c>
      <c r="H81" s="61">
        <f>I34</f>
        <v>450000</v>
      </c>
      <c r="I81" s="50">
        <f ca="1">L81</f>
        <v>0</v>
      </c>
      <c r="J81" s="16">
        <f>I34</f>
        <v>450000</v>
      </c>
      <c r="L81" s="728">
        <f ca="1">IF(E81&gt;=I43, I74, 0)</f>
        <v>0</v>
      </c>
    </row>
    <row r="82" spans="3:12" hidden="1">
      <c r="C82" s="51" t="str">
        <f t="shared" ca="1" si="2"/>
        <v/>
      </c>
      <c r="D82" s="56">
        <f>D81+1</f>
        <v>2</v>
      </c>
      <c r="E82" s="59">
        <f ca="1">E81+1</f>
        <v>2023</v>
      </c>
      <c r="F82" s="59">
        <f ca="1">IF(Individuals!$E$10&gt;0,E82-YEAR(Individuals!$E$10),0)</f>
        <v>55</v>
      </c>
      <c r="G82" s="59">
        <f ca="1">IF(Individuals!$E$15&gt;0,E82-YEAR(Individuals!$E$15),0)</f>
        <v>53</v>
      </c>
      <c r="H82" s="62">
        <f ca="1">IF($I$43="",J82,IF(E82&gt;=$I$43,0,J82))</f>
        <v>458325</v>
      </c>
      <c r="I82" s="52">
        <f t="shared" ref="I82:I145" ca="1" si="3">L82</f>
        <v>0</v>
      </c>
      <c r="J82" s="30">
        <f t="shared" ref="J82:J113" si="4">J81+(J81*$I$35)</f>
        <v>458325</v>
      </c>
      <c r="L82" s="728">
        <f ca="1">IF( E82&gt;=$I$43, IF(L81=0, $I$74, L81+(L81*Retire!$D$18)), 0)</f>
        <v>0</v>
      </c>
    </row>
    <row r="83" spans="3:12" hidden="1">
      <c r="C83" s="49" t="str">
        <f t="shared" ca="1" si="2"/>
        <v/>
      </c>
      <c r="D83" s="55">
        <f t="shared" ref="D83:E120" si="5">D82+1</f>
        <v>3</v>
      </c>
      <c r="E83" s="58">
        <f t="shared" ca="1" si="5"/>
        <v>2024</v>
      </c>
      <c r="F83" s="58">
        <f ca="1">IF(Individuals!$E$10&gt;0,E83-YEAR(Individuals!$E$10),0)</f>
        <v>56</v>
      </c>
      <c r="G83" s="58">
        <f ca="1">IF(Individuals!$E$15&gt;0,E83-YEAR(Individuals!$E$15),0)</f>
        <v>54</v>
      </c>
      <c r="H83" s="61">
        <f t="shared" ref="H83:H146" ca="1" si="6">IF($I$43="",J83,IF(E83&gt;=$I$43,0,J83))</f>
        <v>466804.01250000001</v>
      </c>
      <c r="I83" s="50">
        <f t="shared" ca="1" si="3"/>
        <v>0</v>
      </c>
      <c r="J83" s="16">
        <f t="shared" si="4"/>
        <v>466804.01250000001</v>
      </c>
      <c r="L83" s="728">
        <f ca="1">IF( E83&gt;=$I$43, IF(L82=0, $I$74, L82+(L82*Retire!$D$18)), 0)</f>
        <v>0</v>
      </c>
    </row>
    <row r="84" spans="3:12" hidden="1">
      <c r="C84" s="51" t="str">
        <f t="shared" ca="1" si="2"/>
        <v/>
      </c>
      <c r="D84" s="56">
        <f t="shared" si="5"/>
        <v>4</v>
      </c>
      <c r="E84" s="59">
        <f t="shared" ca="1" si="5"/>
        <v>2025</v>
      </c>
      <c r="F84" s="59">
        <f ca="1">IF(Individuals!$E$10&gt;0,E84-YEAR(Individuals!$E$10),0)</f>
        <v>57</v>
      </c>
      <c r="G84" s="59">
        <f ca="1">IF(Individuals!$E$15&gt;0,E84-YEAR(Individuals!$E$15),0)</f>
        <v>55</v>
      </c>
      <c r="H84" s="62">
        <f t="shared" ca="1" si="6"/>
        <v>475439.88673125004</v>
      </c>
      <c r="I84" s="52">
        <f t="shared" ca="1" si="3"/>
        <v>0</v>
      </c>
      <c r="J84" s="30">
        <f t="shared" si="4"/>
        <v>475439.88673125004</v>
      </c>
      <c r="L84" s="728">
        <f ca="1">IF( E84&gt;=$I$43, IF(L83=0, $I$74, L83+(L83*Retire!$D$18)), 0)</f>
        <v>0</v>
      </c>
    </row>
    <row r="85" spans="3:12" hidden="1">
      <c r="C85" s="49" t="str">
        <f t="shared" ca="1" si="2"/>
        <v/>
      </c>
      <c r="D85" s="55">
        <f t="shared" si="5"/>
        <v>5</v>
      </c>
      <c r="E85" s="58">
        <f t="shared" ca="1" si="5"/>
        <v>2026</v>
      </c>
      <c r="F85" s="58">
        <f ca="1">IF(Individuals!$E$10&gt;0,E85-YEAR(Individuals!$E$10),0)</f>
        <v>58</v>
      </c>
      <c r="G85" s="58">
        <f ca="1">IF(Individuals!$E$15&gt;0,E85-YEAR(Individuals!$E$15),0)</f>
        <v>56</v>
      </c>
      <c r="H85" s="61">
        <f t="shared" ca="1" si="6"/>
        <v>484235.52463577816</v>
      </c>
      <c r="I85" s="50">
        <f t="shared" ca="1" si="3"/>
        <v>0</v>
      </c>
      <c r="J85" s="16">
        <f t="shared" si="4"/>
        <v>484235.52463577816</v>
      </c>
      <c r="L85" s="728">
        <f ca="1">IF( E85&gt;=$I$43, IF(L84=0, $I$74, L84+(L84*Retire!$D$18)), 0)</f>
        <v>0</v>
      </c>
    </row>
    <row r="86" spans="3:12" hidden="1">
      <c r="C86" s="51" t="str">
        <f t="shared" ca="1" si="2"/>
        <v/>
      </c>
      <c r="D86" s="56">
        <f t="shared" si="5"/>
        <v>6</v>
      </c>
      <c r="E86" s="59">
        <f t="shared" ca="1" si="5"/>
        <v>2027</v>
      </c>
      <c r="F86" s="59">
        <f ca="1">IF(Individuals!$E$10&gt;0,E86-YEAR(Individuals!$E$10),0)</f>
        <v>59</v>
      </c>
      <c r="G86" s="59">
        <f ca="1">IF(Individuals!$E$15&gt;0,E86-YEAR(Individuals!$E$15),0)</f>
        <v>57</v>
      </c>
      <c r="H86" s="62">
        <f t="shared" ca="1" si="6"/>
        <v>493193.88184154005</v>
      </c>
      <c r="I86" s="52">
        <f t="shared" ca="1" si="3"/>
        <v>0</v>
      </c>
      <c r="J86" s="30">
        <f t="shared" si="4"/>
        <v>493193.88184154005</v>
      </c>
      <c r="L86" s="728">
        <f ca="1">IF( E86&gt;=$I$43, IF(L85=0, $I$74, L85+(L85*Retire!$D$18)), 0)</f>
        <v>0</v>
      </c>
    </row>
    <row r="87" spans="3:12" hidden="1">
      <c r="C87" s="49" t="str">
        <f t="shared" ca="1" si="2"/>
        <v/>
      </c>
      <c r="D87" s="55">
        <f t="shared" si="5"/>
        <v>7</v>
      </c>
      <c r="E87" s="58">
        <f t="shared" ca="1" si="5"/>
        <v>2028</v>
      </c>
      <c r="F87" s="58">
        <f ca="1">IF(Individuals!$E$10&gt;0,E87-YEAR(Individuals!$E$10),0)</f>
        <v>60</v>
      </c>
      <c r="G87" s="58">
        <f ca="1">IF(Individuals!$E$15&gt;0,E87-YEAR(Individuals!$E$15),0)</f>
        <v>58</v>
      </c>
      <c r="H87" s="61">
        <f t="shared" ca="1" si="6"/>
        <v>502317.96865560854</v>
      </c>
      <c r="I87" s="50">
        <f t="shared" ca="1" si="3"/>
        <v>0</v>
      </c>
      <c r="J87" s="16">
        <f t="shared" si="4"/>
        <v>502317.96865560854</v>
      </c>
      <c r="L87" s="728">
        <f ca="1">IF( E87&gt;=$I$43, IF(L86=0, $I$74, L86+(L86*Retire!$D$18)), 0)</f>
        <v>0</v>
      </c>
    </row>
    <row r="88" spans="3:12" hidden="1">
      <c r="C88" s="51" t="str">
        <f t="shared" ca="1" si="2"/>
        <v/>
      </c>
      <c r="D88" s="56">
        <f t="shared" si="5"/>
        <v>8</v>
      </c>
      <c r="E88" s="59">
        <f t="shared" ca="1" si="5"/>
        <v>2029</v>
      </c>
      <c r="F88" s="59">
        <f ca="1">IF(Individuals!$E$10&gt;0,E88-YEAR(Individuals!$E$10),0)</f>
        <v>61</v>
      </c>
      <c r="G88" s="59">
        <f ca="1">IF(Individuals!$E$15&gt;0,E88-YEAR(Individuals!$E$15),0)</f>
        <v>59</v>
      </c>
      <c r="H88" s="62">
        <f t="shared" ca="1" si="6"/>
        <v>511610.85107573727</v>
      </c>
      <c r="I88" s="52">
        <f t="shared" ca="1" si="3"/>
        <v>0</v>
      </c>
      <c r="J88" s="30">
        <f t="shared" si="4"/>
        <v>511610.85107573727</v>
      </c>
      <c r="L88" s="728">
        <f ca="1">IF( E88&gt;=$I$43, IF(L87=0, $I$74, L87+(L87*Retire!$D$18)), 0)</f>
        <v>0</v>
      </c>
    </row>
    <row r="89" spans="3:12" hidden="1">
      <c r="C89" s="49" t="str">
        <f t="shared" ca="1" si="2"/>
        <v/>
      </c>
      <c r="D89" s="55">
        <f t="shared" si="5"/>
        <v>9</v>
      </c>
      <c r="E89" s="58">
        <f t="shared" ca="1" si="5"/>
        <v>2030</v>
      </c>
      <c r="F89" s="58">
        <f ca="1">IF(Individuals!$E$10&gt;0,E89-YEAR(Individuals!$E$10),0)</f>
        <v>62</v>
      </c>
      <c r="G89" s="58">
        <f ca="1">IF(Individuals!$E$15&gt;0,E89-YEAR(Individuals!$E$15),0)</f>
        <v>60</v>
      </c>
      <c r="H89" s="61">
        <f t="shared" ca="1" si="6"/>
        <v>521075.65182063839</v>
      </c>
      <c r="I89" s="50">
        <f t="shared" ca="1" si="3"/>
        <v>0</v>
      </c>
      <c r="J89" s="16">
        <f t="shared" si="4"/>
        <v>521075.65182063839</v>
      </c>
      <c r="L89" s="728">
        <f ca="1">IF( E89&gt;=$I$43, IF(L88=0, $I$74, L88+(L88*Retire!$D$18)), 0)</f>
        <v>0</v>
      </c>
    </row>
    <row r="90" spans="3:12" hidden="1">
      <c r="C90" s="51" t="str">
        <f t="shared" ca="1" si="2"/>
        <v/>
      </c>
      <c r="D90" s="56">
        <f t="shared" si="5"/>
        <v>10</v>
      </c>
      <c r="E90" s="59">
        <f t="shared" ca="1" si="5"/>
        <v>2031</v>
      </c>
      <c r="F90" s="59">
        <f ca="1">IF(Individuals!$E$10&gt;0,E90-YEAR(Individuals!$E$10),0)</f>
        <v>63</v>
      </c>
      <c r="G90" s="59">
        <f ca="1">IF(Individuals!$E$15&gt;0,E90-YEAR(Individuals!$E$15),0)</f>
        <v>61</v>
      </c>
      <c r="H90" s="62">
        <f t="shared" ca="1" si="6"/>
        <v>530715.55137932021</v>
      </c>
      <c r="I90" s="52">
        <f t="shared" ca="1" si="3"/>
        <v>0</v>
      </c>
      <c r="J90" s="30">
        <f t="shared" si="4"/>
        <v>530715.55137932021</v>
      </c>
      <c r="L90" s="728">
        <f ca="1">IF( E90&gt;=$I$43, IF(L89=0, $I$74, L89+(L89*Retire!$D$18)), 0)</f>
        <v>0</v>
      </c>
    </row>
    <row r="91" spans="3:12" hidden="1">
      <c r="C91" s="49" t="str">
        <f t="shared" ca="1" si="2"/>
        <v/>
      </c>
      <c r="D91" s="55">
        <f t="shared" si="5"/>
        <v>11</v>
      </c>
      <c r="E91" s="58">
        <f t="shared" ca="1" si="5"/>
        <v>2032</v>
      </c>
      <c r="F91" s="58">
        <f ca="1">IF(Individuals!$E$10&gt;0,E91-YEAR(Individuals!$E$10),0)</f>
        <v>64</v>
      </c>
      <c r="G91" s="58">
        <f ca="1">IF(Individuals!$E$15&gt;0,E91-YEAR(Individuals!$E$15),0)</f>
        <v>62</v>
      </c>
      <c r="H91" s="61">
        <f t="shared" ca="1" si="6"/>
        <v>540533.78907983762</v>
      </c>
      <c r="I91" s="50">
        <f t="shared" ca="1" si="3"/>
        <v>0</v>
      </c>
      <c r="J91" s="16">
        <f t="shared" si="4"/>
        <v>540533.78907983762</v>
      </c>
      <c r="L91" s="728">
        <f ca="1">IF( E91&gt;=$I$43, IF(L90=0, $I$74, L90+(L90*Retire!$D$18)), 0)</f>
        <v>0</v>
      </c>
    </row>
    <row r="92" spans="3:12" hidden="1">
      <c r="C92" s="51" t="str">
        <f t="shared" ca="1" si="2"/>
        <v/>
      </c>
      <c r="D92" s="56">
        <f t="shared" si="5"/>
        <v>12</v>
      </c>
      <c r="E92" s="59">
        <f t="shared" ca="1" si="5"/>
        <v>2033</v>
      </c>
      <c r="F92" s="59">
        <f ca="1">IF(Individuals!$E$10&gt;0,E92-YEAR(Individuals!$E$10),0)</f>
        <v>65</v>
      </c>
      <c r="G92" s="59">
        <f ca="1">IF(Individuals!$E$15&gt;0,E92-YEAR(Individuals!$E$15),0)</f>
        <v>63</v>
      </c>
      <c r="H92" s="62">
        <f t="shared" ca="1" si="6"/>
        <v>550533.66417781461</v>
      </c>
      <c r="I92" s="52">
        <f t="shared" ca="1" si="3"/>
        <v>0</v>
      </c>
      <c r="J92" s="30">
        <f t="shared" si="4"/>
        <v>550533.66417781461</v>
      </c>
      <c r="L92" s="728">
        <f ca="1">IF( E92&gt;=$I$43, IF(L91=0, $I$74, L91+(L91*Retire!$D$18)), 0)</f>
        <v>0</v>
      </c>
    </row>
    <row r="93" spans="3:12" hidden="1">
      <c r="C93" s="49" t="str">
        <f t="shared" ca="1" si="2"/>
        <v/>
      </c>
      <c r="D93" s="55">
        <f t="shared" si="5"/>
        <v>13</v>
      </c>
      <c r="E93" s="58">
        <f t="shared" ca="1" si="5"/>
        <v>2034</v>
      </c>
      <c r="F93" s="58">
        <f ca="1">IF(Individuals!$E$10&gt;0,E93-YEAR(Individuals!$E$10),0)</f>
        <v>66</v>
      </c>
      <c r="G93" s="58">
        <f ca="1">IF(Individuals!$E$15&gt;0,E93-YEAR(Individuals!$E$15),0)</f>
        <v>64</v>
      </c>
      <c r="H93" s="61">
        <f t="shared" ca="1" si="6"/>
        <v>560718.53696510417</v>
      </c>
      <c r="I93" s="50">
        <f t="shared" ca="1" si="3"/>
        <v>0</v>
      </c>
      <c r="J93" s="16">
        <f t="shared" si="4"/>
        <v>560718.53696510417</v>
      </c>
      <c r="L93" s="728">
        <f ca="1">IF( E93&gt;=$I$43, IF(L92=0, $I$74, L92+(L92*Retire!$D$18)), 0)</f>
        <v>0</v>
      </c>
    </row>
    <row r="94" spans="3:12" hidden="1">
      <c r="C94" s="51" t="str">
        <f t="shared" ca="1" si="2"/>
        <v/>
      </c>
      <c r="D94" s="56">
        <f t="shared" si="5"/>
        <v>14</v>
      </c>
      <c r="E94" s="59">
        <f t="shared" ca="1" si="5"/>
        <v>2035</v>
      </c>
      <c r="F94" s="59">
        <f ca="1">IF(Individuals!$E$10&gt;0,E94-YEAR(Individuals!$E$10),0)</f>
        <v>67</v>
      </c>
      <c r="G94" s="59">
        <f ca="1">IF(Individuals!$E$15&gt;0,E94-YEAR(Individuals!$E$15),0)</f>
        <v>65</v>
      </c>
      <c r="H94" s="62">
        <f t="shared" ca="1" si="6"/>
        <v>571091.82989895856</v>
      </c>
      <c r="I94" s="52">
        <f t="shared" ca="1" si="3"/>
        <v>0</v>
      </c>
      <c r="J94" s="30">
        <f t="shared" si="4"/>
        <v>571091.82989895856</v>
      </c>
      <c r="L94" s="728">
        <f ca="1">IF( E94&gt;=$I$43, IF(L93=0, $I$74, L93+(L93*Retire!$D$18)), 0)</f>
        <v>0</v>
      </c>
    </row>
    <row r="95" spans="3:12" hidden="1">
      <c r="C95" s="49" t="str">
        <f t="shared" ca="1" si="2"/>
        <v/>
      </c>
      <c r="D95" s="55">
        <f t="shared" si="5"/>
        <v>15</v>
      </c>
      <c r="E95" s="58">
        <f t="shared" ca="1" si="5"/>
        <v>2036</v>
      </c>
      <c r="F95" s="58">
        <f ca="1">IF(Individuals!$E$10&gt;0,E95-YEAR(Individuals!$E$10),0)</f>
        <v>68</v>
      </c>
      <c r="G95" s="58">
        <f ca="1">IF(Individuals!$E$15&gt;0,E95-YEAR(Individuals!$E$15),0)</f>
        <v>66</v>
      </c>
      <c r="H95" s="61">
        <f t="shared" ca="1" si="6"/>
        <v>581657.02875208925</v>
      </c>
      <c r="I95" s="50">
        <f t="shared" ca="1" si="3"/>
        <v>0</v>
      </c>
      <c r="J95" s="16">
        <f t="shared" si="4"/>
        <v>581657.02875208925</v>
      </c>
      <c r="L95" s="728">
        <f ca="1">IF( E95&gt;=$I$43, IF(L94=0, $I$74, L94+(L94*Retire!$D$18)), 0)</f>
        <v>0</v>
      </c>
    </row>
    <row r="96" spans="3:12" hidden="1">
      <c r="C96" s="51" t="str">
        <f t="shared" ca="1" si="2"/>
        <v/>
      </c>
      <c r="D96" s="56">
        <f t="shared" si="5"/>
        <v>16</v>
      </c>
      <c r="E96" s="59">
        <f t="shared" ca="1" si="5"/>
        <v>2037</v>
      </c>
      <c r="F96" s="59">
        <f ca="1">IF(Individuals!$E$10&gt;0,E96-YEAR(Individuals!$E$10),0)</f>
        <v>69</v>
      </c>
      <c r="G96" s="59">
        <f ca="1">IF(Individuals!$E$15&gt;0,E96-YEAR(Individuals!$E$15),0)</f>
        <v>67</v>
      </c>
      <c r="H96" s="62">
        <f t="shared" ca="1" si="6"/>
        <v>592417.6837840029</v>
      </c>
      <c r="I96" s="52">
        <f t="shared" ca="1" si="3"/>
        <v>0</v>
      </c>
      <c r="J96" s="30">
        <f t="shared" si="4"/>
        <v>592417.6837840029</v>
      </c>
      <c r="L96" s="728">
        <f ca="1">IF( E96&gt;=$I$43, IF(L95=0, $I$74, L95+(L95*Retire!$D$18)), 0)</f>
        <v>0</v>
      </c>
    </row>
    <row r="97" spans="3:12" hidden="1">
      <c r="C97" s="49" t="str">
        <f t="shared" ca="1" si="2"/>
        <v/>
      </c>
      <c r="D97" s="55">
        <f t="shared" si="5"/>
        <v>17</v>
      </c>
      <c r="E97" s="58">
        <f t="shared" ca="1" si="5"/>
        <v>2038</v>
      </c>
      <c r="F97" s="58">
        <f ca="1">IF(Individuals!$E$10&gt;0,E97-YEAR(Individuals!$E$10),0)</f>
        <v>70</v>
      </c>
      <c r="G97" s="58">
        <f ca="1">IF(Individuals!$E$15&gt;0,E97-YEAR(Individuals!$E$15),0)</f>
        <v>68</v>
      </c>
      <c r="H97" s="61">
        <f t="shared" ca="1" si="6"/>
        <v>603377.41093400691</v>
      </c>
      <c r="I97" s="50">
        <f t="shared" ca="1" si="3"/>
        <v>0</v>
      </c>
      <c r="J97" s="16">
        <f t="shared" si="4"/>
        <v>603377.41093400691</v>
      </c>
      <c r="L97" s="728">
        <f ca="1">IF( E97&gt;=$I$43, IF(L96=0, $I$74, L96+(L96*Retire!$D$18)), 0)</f>
        <v>0</v>
      </c>
    </row>
    <row r="98" spans="3:12" hidden="1">
      <c r="C98" s="51" t="str">
        <f t="shared" ca="1" si="2"/>
        <v/>
      </c>
      <c r="D98" s="56">
        <f t="shared" si="5"/>
        <v>18</v>
      </c>
      <c r="E98" s="59">
        <f t="shared" ca="1" si="5"/>
        <v>2039</v>
      </c>
      <c r="F98" s="59">
        <f ca="1">IF(Individuals!$E$10&gt;0,E98-YEAR(Individuals!$E$10),0)</f>
        <v>71</v>
      </c>
      <c r="G98" s="59">
        <f ca="1">IF(Individuals!$E$15&gt;0,E98-YEAR(Individuals!$E$15),0)</f>
        <v>69</v>
      </c>
      <c r="H98" s="62">
        <f t="shared" ca="1" si="6"/>
        <v>614539.893036286</v>
      </c>
      <c r="I98" s="52">
        <f t="shared" ca="1" si="3"/>
        <v>0</v>
      </c>
      <c r="J98" s="30">
        <f t="shared" si="4"/>
        <v>614539.893036286</v>
      </c>
      <c r="L98" s="728">
        <f ca="1">IF( E98&gt;=$I$43, IF(L97=0, $I$74, L97+(L97*Retire!$D$18)), 0)</f>
        <v>0</v>
      </c>
    </row>
    <row r="99" spans="3:12" hidden="1">
      <c r="C99" s="49" t="str">
        <f t="shared" ca="1" si="2"/>
        <v/>
      </c>
      <c r="D99" s="55">
        <f t="shared" si="5"/>
        <v>19</v>
      </c>
      <c r="E99" s="58">
        <f t="shared" ca="1" si="5"/>
        <v>2040</v>
      </c>
      <c r="F99" s="58">
        <f ca="1">IF(Individuals!$E$10&gt;0,E99-YEAR(Individuals!$E$10),0)</f>
        <v>72</v>
      </c>
      <c r="G99" s="58">
        <f ca="1">IF(Individuals!$E$15&gt;0,E99-YEAR(Individuals!$E$15),0)</f>
        <v>70</v>
      </c>
      <c r="H99" s="61">
        <f t="shared" ca="1" si="6"/>
        <v>625908.8810574573</v>
      </c>
      <c r="I99" s="50">
        <f t="shared" ca="1" si="3"/>
        <v>0</v>
      </c>
      <c r="J99" s="16">
        <f t="shared" si="4"/>
        <v>625908.8810574573</v>
      </c>
      <c r="L99" s="728">
        <f ca="1">IF( E99&gt;=$I$43, IF(L98=0, $I$74, L98+(L98*Retire!$D$18)), 0)</f>
        <v>0</v>
      </c>
    </row>
    <row r="100" spans="3:12" hidden="1">
      <c r="C100" s="51" t="str">
        <f t="shared" ca="1" si="2"/>
        <v/>
      </c>
      <c r="D100" s="56">
        <f t="shared" si="5"/>
        <v>20</v>
      </c>
      <c r="E100" s="59">
        <f t="shared" ca="1" si="5"/>
        <v>2041</v>
      </c>
      <c r="F100" s="59">
        <f ca="1">IF(Individuals!$E$10&gt;0,E100-YEAR(Individuals!$E$10),0)</f>
        <v>73</v>
      </c>
      <c r="G100" s="59">
        <f ca="1">IF(Individuals!$E$15&gt;0,E100-YEAR(Individuals!$E$15),0)</f>
        <v>71</v>
      </c>
      <c r="H100" s="62">
        <f t="shared" ca="1" si="6"/>
        <v>637488.19535702025</v>
      </c>
      <c r="I100" s="52">
        <f t="shared" ca="1" si="3"/>
        <v>0</v>
      </c>
      <c r="J100" s="30">
        <f t="shared" si="4"/>
        <v>637488.19535702025</v>
      </c>
      <c r="L100" s="728">
        <f ca="1">IF( E100&gt;=$I$43, IF(L99=0, $I$74, L99+(L99*Retire!$D$18)), 0)</f>
        <v>0</v>
      </c>
    </row>
    <row r="101" spans="3:12" hidden="1">
      <c r="C101" s="49" t="str">
        <f t="shared" ca="1" si="2"/>
        <v/>
      </c>
      <c r="D101" s="55">
        <f t="shared" si="5"/>
        <v>21</v>
      </c>
      <c r="E101" s="58">
        <f t="shared" ca="1" si="5"/>
        <v>2042</v>
      </c>
      <c r="F101" s="58">
        <f ca="1">IF(Individuals!$E$10&gt;0,E101-YEAR(Individuals!$E$10),0)</f>
        <v>74</v>
      </c>
      <c r="G101" s="58">
        <f ca="1">IF(Individuals!$E$15&gt;0,E101-YEAR(Individuals!$E$15),0)</f>
        <v>72</v>
      </c>
      <c r="H101" s="61">
        <f t="shared" ca="1" si="6"/>
        <v>649281.72697112511</v>
      </c>
      <c r="I101" s="50">
        <f t="shared" ca="1" si="3"/>
        <v>0</v>
      </c>
      <c r="J101" s="16">
        <f t="shared" si="4"/>
        <v>649281.72697112511</v>
      </c>
      <c r="L101" s="728">
        <f ca="1">IF( E101&gt;=$I$43, IF(L100=0, $I$74, L100+(L100*Retire!$D$18)), 0)</f>
        <v>0</v>
      </c>
    </row>
    <row r="102" spans="3:12" hidden="1">
      <c r="C102" s="51" t="str">
        <f t="shared" ca="1" si="2"/>
        <v/>
      </c>
      <c r="D102" s="56">
        <f t="shared" si="5"/>
        <v>22</v>
      </c>
      <c r="E102" s="59">
        <f t="shared" ca="1" si="5"/>
        <v>2043</v>
      </c>
      <c r="F102" s="59">
        <f ca="1">IF(Individuals!$E$10&gt;0,E102-YEAR(Individuals!$E$10),0)</f>
        <v>75</v>
      </c>
      <c r="G102" s="59">
        <f ca="1">IF(Individuals!$E$15&gt;0,E102-YEAR(Individuals!$E$15),0)</f>
        <v>73</v>
      </c>
      <c r="H102" s="62">
        <f t="shared" ca="1" si="6"/>
        <v>661293.43892009091</v>
      </c>
      <c r="I102" s="52">
        <f t="shared" ca="1" si="3"/>
        <v>0</v>
      </c>
      <c r="J102" s="30">
        <f t="shared" si="4"/>
        <v>661293.43892009091</v>
      </c>
      <c r="L102" s="728">
        <f ca="1">IF( E102&gt;=$I$43, IF(L101=0, $I$74, L101+(L101*Retire!$D$18)), 0)</f>
        <v>0</v>
      </c>
    </row>
    <row r="103" spans="3:12" hidden="1">
      <c r="C103" s="49" t="str">
        <f t="shared" ca="1" si="2"/>
        <v/>
      </c>
      <c r="D103" s="55">
        <f t="shared" si="5"/>
        <v>23</v>
      </c>
      <c r="E103" s="58">
        <f t="shared" ca="1" si="5"/>
        <v>2044</v>
      </c>
      <c r="F103" s="58">
        <f ca="1">IF(Individuals!$E$10&gt;0,E103-YEAR(Individuals!$E$10),0)</f>
        <v>76</v>
      </c>
      <c r="G103" s="58">
        <f ca="1">IF(Individuals!$E$15&gt;0,E103-YEAR(Individuals!$E$15),0)</f>
        <v>74</v>
      </c>
      <c r="H103" s="61">
        <f t="shared" ca="1" si="6"/>
        <v>673527.36754011258</v>
      </c>
      <c r="I103" s="50">
        <f t="shared" ca="1" si="3"/>
        <v>0</v>
      </c>
      <c r="J103" s="16">
        <f t="shared" si="4"/>
        <v>673527.36754011258</v>
      </c>
      <c r="L103" s="728">
        <f ca="1">IF( E103&gt;=$I$43, IF(L102=0, $I$74, L102+(L102*Retire!$D$18)), 0)</f>
        <v>0</v>
      </c>
    </row>
    <row r="104" spans="3:12" hidden="1">
      <c r="C104" s="51" t="str">
        <f t="shared" ca="1" si="2"/>
        <v/>
      </c>
      <c r="D104" s="56">
        <f t="shared" si="5"/>
        <v>24</v>
      </c>
      <c r="E104" s="59">
        <f t="shared" ca="1" si="5"/>
        <v>2045</v>
      </c>
      <c r="F104" s="59">
        <f ca="1">IF(Individuals!$E$10&gt;0,E104-YEAR(Individuals!$E$10),0)</f>
        <v>77</v>
      </c>
      <c r="G104" s="59">
        <f ca="1">IF(Individuals!$E$15&gt;0,E104-YEAR(Individuals!$E$15),0)</f>
        <v>75</v>
      </c>
      <c r="H104" s="62">
        <f t="shared" ca="1" si="6"/>
        <v>685987.62383960467</v>
      </c>
      <c r="I104" s="52">
        <f t="shared" ca="1" si="3"/>
        <v>0</v>
      </c>
      <c r="J104" s="30">
        <f t="shared" si="4"/>
        <v>685987.62383960467</v>
      </c>
      <c r="L104" s="728">
        <f ca="1">IF( E104&gt;=$I$43, IF(L103=0, $I$74, L103+(L103*Retire!$D$18)), 0)</f>
        <v>0</v>
      </c>
    </row>
    <row r="105" spans="3:12" hidden="1">
      <c r="C105" s="49" t="str">
        <f t="shared" ca="1" si="2"/>
        <v/>
      </c>
      <c r="D105" s="55">
        <f t="shared" si="5"/>
        <v>25</v>
      </c>
      <c r="E105" s="58">
        <f t="shared" ca="1" si="5"/>
        <v>2046</v>
      </c>
      <c r="F105" s="58">
        <f ca="1">IF(Individuals!$E$10&gt;0,E105-YEAR(Individuals!$E$10),0)</f>
        <v>78</v>
      </c>
      <c r="G105" s="58">
        <f ca="1">IF(Individuals!$E$15&gt;0,E105-YEAR(Individuals!$E$15),0)</f>
        <v>76</v>
      </c>
      <c r="H105" s="61">
        <f t="shared" ca="1" si="6"/>
        <v>698678.39488063741</v>
      </c>
      <c r="I105" s="50">
        <f t="shared" ca="1" si="3"/>
        <v>0</v>
      </c>
      <c r="J105" s="16">
        <f t="shared" si="4"/>
        <v>698678.39488063741</v>
      </c>
      <c r="L105" s="728">
        <f ca="1">IF( E105&gt;=$I$43, IF(L104=0, $I$74, L104+(L104*Retire!$D$18)), 0)</f>
        <v>0</v>
      </c>
    </row>
    <row r="106" spans="3:12" hidden="1">
      <c r="C106" s="51" t="str">
        <f t="shared" ca="1" si="2"/>
        <v/>
      </c>
      <c r="D106" s="56">
        <f t="shared" si="5"/>
        <v>26</v>
      </c>
      <c r="E106" s="59">
        <f t="shared" ca="1" si="5"/>
        <v>2047</v>
      </c>
      <c r="F106" s="59">
        <f ca="1">IF(Individuals!$E$10&gt;0,E106-YEAR(Individuals!$E$10),0)</f>
        <v>79</v>
      </c>
      <c r="G106" s="59">
        <f ca="1">IF(Individuals!$E$15&gt;0,E106-YEAR(Individuals!$E$15),0)</f>
        <v>77</v>
      </c>
      <c r="H106" s="62">
        <f t="shared" ca="1" si="6"/>
        <v>711603.94518592919</v>
      </c>
      <c r="I106" s="52">
        <f t="shared" ca="1" si="3"/>
        <v>0</v>
      </c>
      <c r="J106" s="30">
        <f t="shared" si="4"/>
        <v>711603.94518592919</v>
      </c>
      <c r="L106" s="728">
        <f ca="1">IF( E106&gt;=$I$43, IF(L105=0, $I$74, L105+(L105*Retire!$D$18)), 0)</f>
        <v>0</v>
      </c>
    </row>
    <row r="107" spans="3:12" hidden="1">
      <c r="C107" s="49" t="str">
        <f t="shared" ca="1" si="2"/>
        <v/>
      </c>
      <c r="D107" s="55">
        <f t="shared" si="5"/>
        <v>27</v>
      </c>
      <c r="E107" s="58">
        <f t="shared" ca="1" si="5"/>
        <v>2048</v>
      </c>
      <c r="F107" s="58">
        <f ca="1">IF(Individuals!$E$10&gt;0,E107-YEAR(Individuals!$E$10),0)</f>
        <v>80</v>
      </c>
      <c r="G107" s="58">
        <f ca="1">IF(Individuals!$E$15&gt;0,E107-YEAR(Individuals!$E$15),0)</f>
        <v>78</v>
      </c>
      <c r="H107" s="61">
        <f t="shared" ca="1" si="6"/>
        <v>724768.61817186885</v>
      </c>
      <c r="I107" s="50">
        <f t="shared" ca="1" si="3"/>
        <v>0</v>
      </c>
      <c r="J107" s="16">
        <f t="shared" si="4"/>
        <v>724768.61817186885</v>
      </c>
      <c r="L107" s="728">
        <f ca="1">IF( E107&gt;=$I$43, IF(L106=0, $I$74, L106+(L106*Retire!$D$18)), 0)</f>
        <v>0</v>
      </c>
    </row>
    <row r="108" spans="3:12" hidden="1">
      <c r="C108" s="51" t="str">
        <f t="shared" ca="1" si="2"/>
        <v/>
      </c>
      <c r="D108" s="56">
        <f t="shared" si="5"/>
        <v>28</v>
      </c>
      <c r="E108" s="59">
        <f t="shared" ca="1" si="5"/>
        <v>2049</v>
      </c>
      <c r="F108" s="59">
        <f ca="1">IF(Individuals!$E$10&gt;0,E108-YEAR(Individuals!$E$10),0)</f>
        <v>81</v>
      </c>
      <c r="G108" s="59">
        <f ca="1">IF(Individuals!$E$15&gt;0,E108-YEAR(Individuals!$E$15),0)</f>
        <v>79</v>
      </c>
      <c r="H108" s="62">
        <f t="shared" ca="1" si="6"/>
        <v>738176.83760804846</v>
      </c>
      <c r="I108" s="52">
        <f t="shared" ca="1" si="3"/>
        <v>0</v>
      </c>
      <c r="J108" s="30">
        <f t="shared" si="4"/>
        <v>738176.83760804846</v>
      </c>
      <c r="L108" s="728">
        <f ca="1">IF( E108&gt;=$I$43, IF(L107=0, $I$74, L107+(L107*Retire!$D$18)), 0)</f>
        <v>0</v>
      </c>
    </row>
    <row r="109" spans="3:12" hidden="1">
      <c r="C109" s="49" t="str">
        <f t="shared" ca="1" si="2"/>
        <v>Home sold</v>
      </c>
      <c r="D109" s="55">
        <f t="shared" si="5"/>
        <v>29</v>
      </c>
      <c r="E109" s="58">
        <f t="shared" ca="1" si="5"/>
        <v>2050</v>
      </c>
      <c r="F109" s="58">
        <f ca="1">IF(Individuals!$E$10&gt;0,E109-YEAR(Individuals!$E$10),0)</f>
        <v>82</v>
      </c>
      <c r="G109" s="58">
        <f ca="1">IF(Individuals!$E$15&gt;0,E109-YEAR(Individuals!$E$15),0)</f>
        <v>80</v>
      </c>
      <c r="H109" s="61">
        <f t="shared" ca="1" si="6"/>
        <v>0</v>
      </c>
      <c r="I109" s="50">
        <f t="shared" ca="1" si="3"/>
        <v>4200</v>
      </c>
      <c r="J109" s="16">
        <f t="shared" si="4"/>
        <v>751833.10910379735</v>
      </c>
      <c r="L109" s="728">
        <f ca="1">IF( E109&gt;=$I$43, IF(L108=0, $I$74, L108+(L108*Retire!$D$18)), 0)</f>
        <v>4200</v>
      </c>
    </row>
    <row r="110" spans="3:12" hidden="1">
      <c r="C110" s="51" t="str">
        <f t="shared" ca="1" si="2"/>
        <v/>
      </c>
      <c r="D110" s="56">
        <f t="shared" si="5"/>
        <v>30</v>
      </c>
      <c r="E110" s="59">
        <f t="shared" ca="1" si="5"/>
        <v>2051</v>
      </c>
      <c r="F110" s="59">
        <f ca="1">IF(Individuals!$E$10&gt;0,E110-YEAR(Individuals!$E$10),0)</f>
        <v>83</v>
      </c>
      <c r="G110" s="59">
        <f ca="1">IF(Individuals!$E$15&gt;0,E110-YEAR(Individuals!$E$15),0)</f>
        <v>81</v>
      </c>
      <c r="H110" s="62">
        <f t="shared" ca="1" si="6"/>
        <v>0</v>
      </c>
      <c r="I110" s="52">
        <f t="shared" ca="1" si="3"/>
        <v>4326</v>
      </c>
      <c r="J110" s="30">
        <f t="shared" si="4"/>
        <v>765742.02162221761</v>
      </c>
      <c r="L110" s="728">
        <f ca="1">IF( E110&gt;=$I$43, IF(L109=0, $I$74, L109+(L109*Retire!$D$18)), 0)</f>
        <v>4326</v>
      </c>
    </row>
    <row r="111" spans="3:12" hidden="1">
      <c r="C111" s="49" t="str">
        <f t="shared" ca="1" si="2"/>
        <v/>
      </c>
      <c r="D111" s="55">
        <f t="shared" si="5"/>
        <v>31</v>
      </c>
      <c r="E111" s="58">
        <f t="shared" ca="1" si="5"/>
        <v>2052</v>
      </c>
      <c r="F111" s="58">
        <f ca="1">IF(Individuals!$E$10&gt;0,E111-YEAR(Individuals!$E$10),0)</f>
        <v>84</v>
      </c>
      <c r="G111" s="58">
        <f ca="1">IF(Individuals!$E$15&gt;0,E111-YEAR(Individuals!$E$15),0)</f>
        <v>82</v>
      </c>
      <c r="H111" s="61">
        <f t="shared" ca="1" si="6"/>
        <v>0</v>
      </c>
      <c r="I111" s="50">
        <f t="shared" ca="1" si="3"/>
        <v>4455.78</v>
      </c>
      <c r="J111" s="16">
        <f t="shared" si="4"/>
        <v>779908.24902222864</v>
      </c>
      <c r="L111" s="728">
        <f ca="1">IF( E111&gt;=$I$43, IF(L110=0, $I$74, L110+(L110*Retire!$D$18)), 0)</f>
        <v>4455.78</v>
      </c>
    </row>
    <row r="112" spans="3:12" hidden="1">
      <c r="C112" s="51" t="str">
        <f t="shared" ca="1" si="2"/>
        <v/>
      </c>
      <c r="D112" s="56">
        <f t="shared" si="5"/>
        <v>32</v>
      </c>
      <c r="E112" s="59">
        <f t="shared" ca="1" si="5"/>
        <v>2053</v>
      </c>
      <c r="F112" s="59">
        <f ca="1">IF(Individuals!$E$10&gt;0,E112-YEAR(Individuals!$E$10),0)</f>
        <v>85</v>
      </c>
      <c r="G112" s="59">
        <f ca="1">IF(Individuals!$E$15&gt;0,E112-YEAR(Individuals!$E$15),0)</f>
        <v>83</v>
      </c>
      <c r="H112" s="62">
        <f t="shared" ca="1" si="6"/>
        <v>0</v>
      </c>
      <c r="I112" s="52">
        <f t="shared" ca="1" si="3"/>
        <v>4589.4533999999994</v>
      </c>
      <c r="J112" s="30">
        <f t="shared" si="4"/>
        <v>794336.55162913993</v>
      </c>
      <c r="L112" s="728">
        <f ca="1">IF( E112&gt;=$I$43, IF(L111=0, $I$74, L111+(L111*Retire!$D$18)), 0)</f>
        <v>4589.4533999999994</v>
      </c>
    </row>
    <row r="113" spans="3:12" hidden="1">
      <c r="C113" s="49" t="str">
        <f t="shared" ref="C113:C144" ca="1" si="7">IF(E113=$I$43,"Home sold","")</f>
        <v/>
      </c>
      <c r="D113" s="55">
        <f t="shared" si="5"/>
        <v>33</v>
      </c>
      <c r="E113" s="58">
        <f t="shared" ca="1" si="5"/>
        <v>2054</v>
      </c>
      <c r="F113" s="58">
        <f ca="1">IF(Individuals!$E$10&gt;0,E113-YEAR(Individuals!$E$10),0)</f>
        <v>86</v>
      </c>
      <c r="G113" s="58">
        <f ca="1">IF(Individuals!$E$15&gt;0,E113-YEAR(Individuals!$E$15),0)</f>
        <v>84</v>
      </c>
      <c r="H113" s="61">
        <f t="shared" ca="1" si="6"/>
        <v>0</v>
      </c>
      <c r="I113" s="50">
        <f t="shared" ca="1" si="3"/>
        <v>4727.1370019999995</v>
      </c>
      <c r="J113" s="16">
        <f t="shared" si="4"/>
        <v>809031.777834279</v>
      </c>
      <c r="L113" s="728">
        <f ca="1">IF( E113&gt;=$I$43, IF(L112=0, $I$74, L112+(L112*Retire!$D$18)), 0)</f>
        <v>4727.1370019999995</v>
      </c>
    </row>
    <row r="114" spans="3:12" hidden="1">
      <c r="C114" s="51" t="str">
        <f t="shared" ca="1" si="7"/>
        <v/>
      </c>
      <c r="D114" s="56">
        <f t="shared" si="5"/>
        <v>34</v>
      </c>
      <c r="E114" s="59">
        <f t="shared" ca="1" si="5"/>
        <v>2055</v>
      </c>
      <c r="F114" s="59">
        <f ca="1">IF(Individuals!$E$10&gt;0,E114-YEAR(Individuals!$E$10),0)</f>
        <v>87</v>
      </c>
      <c r="G114" s="59">
        <f ca="1">IF(Individuals!$E$15&gt;0,E114-YEAR(Individuals!$E$15),0)</f>
        <v>85</v>
      </c>
      <c r="H114" s="62">
        <f t="shared" ca="1" si="6"/>
        <v>0</v>
      </c>
      <c r="I114" s="52">
        <f t="shared" ca="1" si="3"/>
        <v>4868.9511120599991</v>
      </c>
      <c r="J114" s="30">
        <f t="shared" ref="J114:J145" si="8">J113+(J113*$I$35)</f>
        <v>823998.86572421319</v>
      </c>
      <c r="L114" s="728">
        <f ca="1">IF( E114&gt;=$I$43, IF(L113=0, $I$74, L113+(L113*Retire!$D$18)), 0)</f>
        <v>4868.9511120599991</v>
      </c>
    </row>
    <row r="115" spans="3:12" hidden="1">
      <c r="C115" s="49" t="str">
        <f t="shared" ca="1" si="7"/>
        <v/>
      </c>
      <c r="D115" s="55">
        <f t="shared" si="5"/>
        <v>35</v>
      </c>
      <c r="E115" s="58">
        <f t="shared" ca="1" si="5"/>
        <v>2056</v>
      </c>
      <c r="F115" s="58">
        <f ca="1">IF(Individuals!$E$10&gt;0,E115-YEAR(Individuals!$E$10),0)</f>
        <v>88</v>
      </c>
      <c r="G115" s="58">
        <f ca="1">IF(Individuals!$E$15&gt;0,E115-YEAR(Individuals!$E$15),0)</f>
        <v>86</v>
      </c>
      <c r="H115" s="61">
        <f t="shared" ca="1" si="6"/>
        <v>0</v>
      </c>
      <c r="I115" s="50">
        <f t="shared" ca="1" si="3"/>
        <v>5015.0196454217994</v>
      </c>
      <c r="J115" s="16">
        <f t="shared" si="8"/>
        <v>839242.84474011115</v>
      </c>
      <c r="L115" s="728">
        <f ca="1">IF( E115&gt;=$I$43, IF(L114=0, $I$74, L114+(L114*Retire!$D$18)), 0)</f>
        <v>5015.0196454217994</v>
      </c>
    </row>
    <row r="116" spans="3:12" hidden="1">
      <c r="C116" s="51" t="str">
        <f t="shared" ca="1" si="7"/>
        <v/>
      </c>
      <c r="D116" s="56">
        <f t="shared" si="5"/>
        <v>36</v>
      </c>
      <c r="E116" s="59">
        <f t="shared" ca="1" si="5"/>
        <v>2057</v>
      </c>
      <c r="F116" s="59">
        <f ca="1">IF(Individuals!$E$10&gt;0,E116-YEAR(Individuals!$E$10),0)</f>
        <v>89</v>
      </c>
      <c r="G116" s="59">
        <f ca="1">IF(Individuals!$E$15&gt;0,E116-YEAR(Individuals!$E$15),0)</f>
        <v>87</v>
      </c>
      <c r="H116" s="62">
        <f t="shared" ca="1" si="6"/>
        <v>0</v>
      </c>
      <c r="I116" s="52">
        <f t="shared" ca="1" si="3"/>
        <v>5165.4702347844532</v>
      </c>
      <c r="J116" s="30">
        <f t="shared" si="8"/>
        <v>854768.83736780321</v>
      </c>
      <c r="L116" s="728">
        <f ca="1">IF( E116&gt;=$I$43, IF(L115=0, $I$74, L115+(L115*Retire!$D$18)), 0)</f>
        <v>5165.4702347844532</v>
      </c>
    </row>
    <row r="117" spans="3:12" hidden="1">
      <c r="C117" s="49" t="str">
        <f t="shared" ca="1" si="7"/>
        <v/>
      </c>
      <c r="D117" s="55">
        <f t="shared" si="5"/>
        <v>37</v>
      </c>
      <c r="E117" s="58">
        <f t="shared" ca="1" si="5"/>
        <v>2058</v>
      </c>
      <c r="F117" s="58">
        <f ca="1">IF(Individuals!$E$10&gt;0,E117-YEAR(Individuals!$E$10),0)</f>
        <v>90</v>
      </c>
      <c r="G117" s="58">
        <f ca="1">IF(Individuals!$E$15&gt;0,E117-YEAR(Individuals!$E$15),0)</f>
        <v>88</v>
      </c>
      <c r="H117" s="61">
        <f t="shared" ca="1" si="6"/>
        <v>0</v>
      </c>
      <c r="I117" s="50">
        <f t="shared" ca="1" si="3"/>
        <v>5320.4343418279868</v>
      </c>
      <c r="J117" s="16">
        <f t="shared" si="8"/>
        <v>870582.06085910753</v>
      </c>
      <c r="L117" s="728">
        <f ca="1">IF( E117&gt;=$I$43, IF(L116=0, $I$74, L116+(L116*Retire!$D$18)), 0)</f>
        <v>5320.4343418279868</v>
      </c>
    </row>
    <row r="118" spans="3:12" hidden="1">
      <c r="C118" s="51" t="str">
        <f t="shared" ca="1" si="7"/>
        <v/>
      </c>
      <c r="D118" s="56">
        <f t="shared" si="5"/>
        <v>38</v>
      </c>
      <c r="E118" s="59">
        <f t="shared" ca="1" si="5"/>
        <v>2059</v>
      </c>
      <c r="F118" s="59">
        <f ca="1">IF(Individuals!$E$10&gt;0,E118-YEAR(Individuals!$E$10),0)</f>
        <v>91</v>
      </c>
      <c r="G118" s="59">
        <f ca="1">IF(Individuals!$E$15&gt;0,E118-YEAR(Individuals!$E$15),0)</f>
        <v>89</v>
      </c>
      <c r="H118" s="62">
        <f t="shared" ca="1" si="6"/>
        <v>0</v>
      </c>
      <c r="I118" s="52">
        <f t="shared" ca="1" si="3"/>
        <v>5480.0473720828268</v>
      </c>
      <c r="J118" s="30">
        <f t="shared" si="8"/>
        <v>886687.82898500096</v>
      </c>
      <c r="L118" s="728">
        <f ca="1">IF( E118&gt;=$I$43, IF(L117=0, $I$74, L117+(L117*Retire!$D$18)), 0)</f>
        <v>5480.0473720828268</v>
      </c>
    </row>
    <row r="119" spans="3:12" hidden="1">
      <c r="C119" s="49" t="str">
        <f t="shared" ca="1" si="7"/>
        <v/>
      </c>
      <c r="D119" s="55">
        <f t="shared" si="5"/>
        <v>39</v>
      </c>
      <c r="E119" s="58">
        <f t="shared" ca="1" si="5"/>
        <v>2060</v>
      </c>
      <c r="F119" s="58">
        <f ca="1">IF(Individuals!$E$10&gt;0,E119-YEAR(Individuals!$E$10),0)</f>
        <v>92</v>
      </c>
      <c r="G119" s="58">
        <f ca="1">IF(Individuals!$E$15&gt;0,E119-YEAR(Individuals!$E$15),0)</f>
        <v>90</v>
      </c>
      <c r="H119" s="61">
        <f t="shared" ca="1" si="6"/>
        <v>0</v>
      </c>
      <c r="I119" s="50">
        <f t="shared" ca="1" si="3"/>
        <v>5644.4487932453112</v>
      </c>
      <c r="J119" s="16">
        <f t="shared" si="8"/>
        <v>903091.55382122344</v>
      </c>
      <c r="L119" s="728">
        <f ca="1">IF( E119&gt;=$I$43, IF(L118=0, $I$74, L118+(L118*Retire!$D$18)), 0)</f>
        <v>5644.4487932453112</v>
      </c>
    </row>
    <row r="120" spans="3:12" hidden="1">
      <c r="C120" s="51" t="str">
        <f t="shared" ca="1" si="7"/>
        <v/>
      </c>
      <c r="D120" s="56">
        <f t="shared" si="5"/>
        <v>40</v>
      </c>
      <c r="E120" s="59">
        <f t="shared" ca="1" si="5"/>
        <v>2061</v>
      </c>
      <c r="F120" s="59">
        <f ca="1">IF(Individuals!$E$10&gt;0,E120-YEAR(Individuals!$E$10),0)</f>
        <v>93</v>
      </c>
      <c r="G120" s="59">
        <f ca="1">IF(Individuals!$E$15&gt;0,E120-YEAR(Individuals!$E$15),0)</f>
        <v>91</v>
      </c>
      <c r="H120" s="62">
        <f t="shared" ca="1" si="6"/>
        <v>0</v>
      </c>
      <c r="I120" s="52">
        <f t="shared" ca="1" si="3"/>
        <v>5813.7822570426706</v>
      </c>
      <c r="J120" s="30">
        <f t="shared" si="8"/>
        <v>919798.74756691605</v>
      </c>
      <c r="L120" s="728">
        <f ca="1">IF( E120&gt;=$I$43, IF(L119=0, $I$74, L119+(L119*Retire!$D$18)), 0)</f>
        <v>5813.7822570426706</v>
      </c>
    </row>
    <row r="121" spans="3:12" hidden="1">
      <c r="C121" s="49" t="str">
        <f t="shared" ca="1" si="7"/>
        <v/>
      </c>
      <c r="D121" s="55">
        <f t="shared" ref="D121:D152" si="9">D120+1</f>
        <v>41</v>
      </c>
      <c r="E121" s="58">
        <f t="shared" ref="E121:E152" ca="1" si="10">E120+1</f>
        <v>2062</v>
      </c>
      <c r="F121" s="58">
        <f ca="1">IF(Individuals!$E$10&gt;0,E121-YEAR(Individuals!$E$10),0)</f>
        <v>94</v>
      </c>
      <c r="G121" s="58">
        <f ca="1">IF(Individuals!$E$15&gt;0,E121-YEAR(Individuals!$E$15),0)</f>
        <v>92</v>
      </c>
      <c r="H121" s="61">
        <f t="shared" ca="1" si="6"/>
        <v>0</v>
      </c>
      <c r="I121" s="50">
        <f t="shared" ca="1" si="3"/>
        <v>5988.1957247539503</v>
      </c>
      <c r="J121" s="16">
        <f t="shared" si="8"/>
        <v>936815.02439690405</v>
      </c>
      <c r="L121" s="728">
        <f ca="1">IF( E121&gt;=$I$43, IF(L120=0, $I$74, L120+(L120*Retire!$D$18)), 0)</f>
        <v>5988.1957247539503</v>
      </c>
    </row>
    <row r="122" spans="3:12" hidden="1">
      <c r="C122" s="51" t="str">
        <f t="shared" ca="1" si="7"/>
        <v/>
      </c>
      <c r="D122" s="56">
        <f t="shared" si="9"/>
        <v>42</v>
      </c>
      <c r="E122" s="59">
        <f t="shared" ca="1" si="10"/>
        <v>2063</v>
      </c>
      <c r="F122" s="59">
        <f ca="1">IF(Individuals!$E$10&gt;0,E122-YEAR(Individuals!$E$10),0)</f>
        <v>95</v>
      </c>
      <c r="G122" s="59">
        <f ca="1">IF(Individuals!$E$15&gt;0,E122-YEAR(Individuals!$E$15),0)</f>
        <v>93</v>
      </c>
      <c r="H122" s="62">
        <f t="shared" ca="1" si="6"/>
        <v>0</v>
      </c>
      <c r="I122" s="52">
        <f t="shared" ca="1" si="3"/>
        <v>6167.8415964965689</v>
      </c>
      <c r="J122" s="30">
        <f t="shared" si="8"/>
        <v>954146.10234824673</v>
      </c>
      <c r="L122" s="728">
        <f ca="1">IF( E122&gt;=$I$43, IF(L121=0, $I$74, L121+(L121*Retire!$D$18)), 0)</f>
        <v>6167.8415964965689</v>
      </c>
    </row>
    <row r="123" spans="3:12" hidden="1">
      <c r="C123" s="49" t="str">
        <f t="shared" ca="1" si="7"/>
        <v/>
      </c>
      <c r="D123" s="55">
        <f t="shared" si="9"/>
        <v>43</v>
      </c>
      <c r="E123" s="58">
        <f t="shared" ca="1" si="10"/>
        <v>2064</v>
      </c>
      <c r="F123" s="58">
        <f ca="1">IF(Individuals!$E$10&gt;0,E123-YEAR(Individuals!$E$10),0)</f>
        <v>96</v>
      </c>
      <c r="G123" s="58">
        <f ca="1">IF(Individuals!$E$15&gt;0,E123-YEAR(Individuals!$E$15),0)</f>
        <v>94</v>
      </c>
      <c r="H123" s="61">
        <f t="shared" ca="1" si="6"/>
        <v>0</v>
      </c>
      <c r="I123" s="50">
        <f t="shared" ca="1" si="3"/>
        <v>6352.876844391466</v>
      </c>
      <c r="J123" s="16">
        <f t="shared" si="8"/>
        <v>971797.80524168932</v>
      </c>
      <c r="L123" s="728">
        <f ca="1">IF( E123&gt;=$I$43, IF(L122=0, $I$74, L122+(L122*Retire!$D$18)), 0)</f>
        <v>6352.876844391466</v>
      </c>
    </row>
    <row r="124" spans="3:12" hidden="1">
      <c r="C124" s="51" t="str">
        <f t="shared" ca="1" si="7"/>
        <v/>
      </c>
      <c r="D124" s="56">
        <f t="shared" si="9"/>
        <v>44</v>
      </c>
      <c r="E124" s="59">
        <f t="shared" ca="1" si="10"/>
        <v>2065</v>
      </c>
      <c r="F124" s="59">
        <f ca="1">IF(Individuals!$E$10&gt;0,E124-YEAR(Individuals!$E$10),0)</f>
        <v>97</v>
      </c>
      <c r="G124" s="59">
        <f ca="1">IF(Individuals!$E$15&gt;0,E124-YEAR(Individuals!$E$15),0)</f>
        <v>95</v>
      </c>
      <c r="H124" s="62">
        <f t="shared" ca="1" si="6"/>
        <v>0</v>
      </c>
      <c r="I124" s="52">
        <f t="shared" ca="1" si="3"/>
        <v>6543.4631497232103</v>
      </c>
      <c r="J124" s="30">
        <f t="shared" si="8"/>
        <v>989776.06463866052</v>
      </c>
      <c r="L124" s="728">
        <f ca="1">IF( E124&gt;=$I$43, IF(L123=0, $I$74, L123+(L123*Retire!$D$18)), 0)</f>
        <v>6543.4631497232103</v>
      </c>
    </row>
    <row r="125" spans="3:12" hidden="1">
      <c r="C125" s="49" t="str">
        <f t="shared" ca="1" si="7"/>
        <v/>
      </c>
      <c r="D125" s="55">
        <f t="shared" si="9"/>
        <v>45</v>
      </c>
      <c r="E125" s="58">
        <f t="shared" ca="1" si="10"/>
        <v>2066</v>
      </c>
      <c r="F125" s="58">
        <f ca="1">IF(Individuals!$E$10&gt;0,E125-YEAR(Individuals!$E$10),0)</f>
        <v>98</v>
      </c>
      <c r="G125" s="58">
        <f ca="1">IF(Individuals!$E$15&gt;0,E125-YEAR(Individuals!$E$15),0)</f>
        <v>96</v>
      </c>
      <c r="H125" s="61">
        <f t="shared" ca="1" si="6"/>
        <v>0</v>
      </c>
      <c r="I125" s="50">
        <f t="shared" ca="1" si="3"/>
        <v>6739.7670442149065</v>
      </c>
      <c r="J125" s="16">
        <f t="shared" si="8"/>
        <v>1008086.9218344757</v>
      </c>
      <c r="L125" s="728">
        <f ca="1">IF( E125&gt;=$I$43, IF(L124=0, $I$74, L124+(L124*Retire!$D$18)), 0)</f>
        <v>6739.7670442149065</v>
      </c>
    </row>
    <row r="126" spans="3:12" hidden="1">
      <c r="C126" s="51" t="str">
        <f t="shared" ca="1" si="7"/>
        <v/>
      </c>
      <c r="D126" s="56">
        <f t="shared" si="9"/>
        <v>46</v>
      </c>
      <c r="E126" s="59">
        <f t="shared" ca="1" si="10"/>
        <v>2067</v>
      </c>
      <c r="F126" s="59">
        <f ca="1">IF(Individuals!$E$10&gt;0,E126-YEAR(Individuals!$E$10),0)</f>
        <v>99</v>
      </c>
      <c r="G126" s="59">
        <f ca="1">IF(Individuals!$E$15&gt;0,E126-YEAR(Individuals!$E$15),0)</f>
        <v>97</v>
      </c>
      <c r="H126" s="62">
        <f t="shared" ca="1" si="6"/>
        <v>0</v>
      </c>
      <c r="I126" s="52">
        <f t="shared" ca="1" si="3"/>
        <v>6941.9600555413535</v>
      </c>
      <c r="J126" s="30">
        <f t="shared" si="8"/>
        <v>1026736.5298884135</v>
      </c>
      <c r="L126" s="728">
        <f ca="1">IF( E126&gt;=$I$43, IF(L125=0, $I$74, L125+(L125*Retire!$D$18)), 0)</f>
        <v>6941.9600555413535</v>
      </c>
    </row>
    <row r="127" spans="3:12" hidden="1">
      <c r="C127" s="49" t="str">
        <f t="shared" ca="1" si="7"/>
        <v/>
      </c>
      <c r="D127" s="55">
        <f t="shared" si="9"/>
        <v>47</v>
      </c>
      <c r="E127" s="58">
        <f t="shared" ca="1" si="10"/>
        <v>2068</v>
      </c>
      <c r="F127" s="58">
        <f ca="1">IF(Individuals!$E$10&gt;0,E127-YEAR(Individuals!$E$10),0)</f>
        <v>100</v>
      </c>
      <c r="G127" s="58">
        <f ca="1">IF(Individuals!$E$15&gt;0,E127-YEAR(Individuals!$E$15),0)</f>
        <v>98</v>
      </c>
      <c r="H127" s="61">
        <f t="shared" ca="1" si="6"/>
        <v>0</v>
      </c>
      <c r="I127" s="50">
        <f t="shared" ca="1" si="3"/>
        <v>7150.2188572075938</v>
      </c>
      <c r="J127" s="16">
        <f t="shared" si="8"/>
        <v>1045731.1556913492</v>
      </c>
      <c r="L127" s="728">
        <f ca="1">IF( E127&gt;=$I$43, IF(L126=0, $I$74, L126+(L126*Retire!$D$18)), 0)</f>
        <v>7150.2188572075938</v>
      </c>
    </row>
    <row r="128" spans="3:12" hidden="1">
      <c r="C128" s="51" t="str">
        <f t="shared" ca="1" si="7"/>
        <v/>
      </c>
      <c r="D128" s="56">
        <f t="shared" si="9"/>
        <v>48</v>
      </c>
      <c r="E128" s="59">
        <f t="shared" ca="1" si="10"/>
        <v>2069</v>
      </c>
      <c r="F128" s="59">
        <f ca="1">IF(Individuals!$E$10&gt;0,E128-YEAR(Individuals!$E$10),0)</f>
        <v>101</v>
      </c>
      <c r="G128" s="59">
        <f ca="1">IF(Individuals!$E$15&gt;0,E128-YEAR(Individuals!$E$15),0)</f>
        <v>99</v>
      </c>
      <c r="H128" s="62">
        <f t="shared" ca="1" si="6"/>
        <v>0</v>
      </c>
      <c r="I128" s="52">
        <f t="shared" ca="1" si="3"/>
        <v>7364.7254229238215</v>
      </c>
      <c r="J128" s="30">
        <f t="shared" si="8"/>
        <v>1065077.1820716392</v>
      </c>
      <c r="L128" s="728">
        <f ca="1">IF( E128&gt;=$I$43, IF(L127=0, $I$74, L127+(L127*Retire!$D$18)), 0)</f>
        <v>7364.7254229238215</v>
      </c>
    </row>
    <row r="129" spans="3:12" hidden="1">
      <c r="C129" s="49" t="str">
        <f t="shared" ca="1" si="7"/>
        <v/>
      </c>
      <c r="D129" s="55">
        <f t="shared" si="9"/>
        <v>49</v>
      </c>
      <c r="E129" s="58">
        <f t="shared" ca="1" si="10"/>
        <v>2070</v>
      </c>
      <c r="F129" s="58">
        <f ca="1">IF(Individuals!$E$10&gt;0,E129-YEAR(Individuals!$E$10),0)</f>
        <v>102</v>
      </c>
      <c r="G129" s="58">
        <f ca="1">IF(Individuals!$E$15&gt;0,E129-YEAR(Individuals!$E$15),0)</f>
        <v>100</v>
      </c>
      <c r="H129" s="61">
        <f t="shared" ca="1" si="6"/>
        <v>0</v>
      </c>
      <c r="I129" s="50">
        <f t="shared" ca="1" si="3"/>
        <v>7585.6671856115363</v>
      </c>
      <c r="J129" s="16">
        <f t="shared" si="8"/>
        <v>1084781.1099399645</v>
      </c>
      <c r="L129" s="728">
        <f ca="1">IF( E129&gt;=$I$43, IF(L128=0, $I$74, L128+(L128*Retire!$D$18)), 0)</f>
        <v>7585.6671856115363</v>
      </c>
    </row>
    <row r="130" spans="3:12" hidden="1">
      <c r="C130" s="51" t="str">
        <f t="shared" ca="1" si="7"/>
        <v/>
      </c>
      <c r="D130" s="56">
        <f t="shared" si="9"/>
        <v>50</v>
      </c>
      <c r="E130" s="59">
        <f t="shared" ca="1" si="10"/>
        <v>2071</v>
      </c>
      <c r="F130" s="59">
        <f ca="1">IF(Individuals!$E$10&gt;0,E130-YEAR(Individuals!$E$10),0)</f>
        <v>103</v>
      </c>
      <c r="G130" s="59">
        <f ca="1">IF(Individuals!$E$15&gt;0,E130-YEAR(Individuals!$E$15),0)</f>
        <v>101</v>
      </c>
      <c r="H130" s="62">
        <f t="shared" ca="1" si="6"/>
        <v>0</v>
      </c>
      <c r="I130" s="52">
        <f t="shared" ca="1" si="3"/>
        <v>7813.2372011798825</v>
      </c>
      <c r="J130" s="30">
        <f t="shared" si="8"/>
        <v>1104849.5604738537</v>
      </c>
      <c r="L130" s="728">
        <f ca="1">IF( E130&gt;=$I$43, IF(L129=0, $I$74, L129+(L129*Retire!$D$18)), 0)</f>
        <v>7813.2372011798825</v>
      </c>
    </row>
    <row r="131" spans="3:12" hidden="1">
      <c r="C131" s="49" t="str">
        <f t="shared" ca="1" si="7"/>
        <v/>
      </c>
      <c r="D131" s="55">
        <f t="shared" si="9"/>
        <v>51</v>
      </c>
      <c r="E131" s="58">
        <f t="shared" ca="1" si="10"/>
        <v>2072</v>
      </c>
      <c r="F131" s="58">
        <f ca="1">IF(Individuals!$E$10&gt;0,E131-YEAR(Individuals!$E$10),0)</f>
        <v>104</v>
      </c>
      <c r="G131" s="58">
        <f ca="1">IF(Individuals!$E$15&gt;0,E131-YEAR(Individuals!$E$15),0)</f>
        <v>102</v>
      </c>
      <c r="H131" s="61">
        <f t="shared" ca="1" si="6"/>
        <v>0</v>
      </c>
      <c r="I131" s="50">
        <f t="shared" ca="1" si="3"/>
        <v>8047.6343172152792</v>
      </c>
      <c r="J131" s="16">
        <f t="shared" si="8"/>
        <v>1125289.2773426201</v>
      </c>
      <c r="L131" s="728">
        <f ca="1">IF( E131&gt;=$I$43, IF(L130=0, $I$74, L130+(L130*Retire!$D$18)), 0)</f>
        <v>8047.6343172152792</v>
      </c>
    </row>
    <row r="132" spans="3:12" hidden="1">
      <c r="C132" s="51" t="str">
        <f t="shared" ca="1" si="7"/>
        <v/>
      </c>
      <c r="D132" s="56">
        <f t="shared" si="9"/>
        <v>52</v>
      </c>
      <c r="E132" s="59">
        <f t="shared" ca="1" si="10"/>
        <v>2073</v>
      </c>
      <c r="F132" s="59">
        <f ca="1">IF(Individuals!$E$10&gt;0,E132-YEAR(Individuals!$E$10),0)</f>
        <v>105</v>
      </c>
      <c r="G132" s="59">
        <f ca="1">IF(Individuals!$E$15&gt;0,E132-YEAR(Individuals!$E$15),0)</f>
        <v>103</v>
      </c>
      <c r="H132" s="62">
        <f t="shared" ca="1" si="6"/>
        <v>0</v>
      </c>
      <c r="I132" s="52">
        <f t="shared" ca="1" si="3"/>
        <v>8289.0633467317384</v>
      </c>
      <c r="J132" s="30">
        <f t="shared" si="8"/>
        <v>1146107.1289734584</v>
      </c>
      <c r="L132" s="728">
        <f ca="1">IF( E132&gt;=$I$43, IF(L131=0, $I$74, L131+(L131*Retire!$D$18)), 0)</f>
        <v>8289.0633467317384</v>
      </c>
    </row>
    <row r="133" spans="3:12" hidden="1">
      <c r="C133" s="49" t="str">
        <f t="shared" ca="1" si="7"/>
        <v/>
      </c>
      <c r="D133" s="55">
        <f t="shared" si="9"/>
        <v>53</v>
      </c>
      <c r="E133" s="58">
        <f t="shared" ca="1" si="10"/>
        <v>2074</v>
      </c>
      <c r="F133" s="58">
        <f ca="1">IF(Individuals!$E$10&gt;0,E133-YEAR(Individuals!$E$10),0)</f>
        <v>106</v>
      </c>
      <c r="G133" s="58">
        <f ca="1">IF(Individuals!$E$15&gt;0,E133-YEAR(Individuals!$E$15),0)</f>
        <v>104</v>
      </c>
      <c r="H133" s="61">
        <f t="shared" ca="1" si="6"/>
        <v>0</v>
      </c>
      <c r="I133" s="50">
        <f t="shared" ca="1" si="3"/>
        <v>8537.7352471336908</v>
      </c>
      <c r="J133" s="16">
        <f t="shared" si="8"/>
        <v>1167310.1108594674</v>
      </c>
      <c r="L133" s="728">
        <f ca="1">IF( E133&gt;=$I$43, IF(L132=0, $I$74, L132+(L132*Retire!$D$18)), 0)</f>
        <v>8537.7352471336908</v>
      </c>
    </row>
    <row r="134" spans="3:12" hidden="1">
      <c r="C134" s="51" t="str">
        <f t="shared" ca="1" si="7"/>
        <v/>
      </c>
      <c r="D134" s="56">
        <f t="shared" si="9"/>
        <v>54</v>
      </c>
      <c r="E134" s="59">
        <f t="shared" ca="1" si="10"/>
        <v>2075</v>
      </c>
      <c r="F134" s="59">
        <f ca="1">IF(Individuals!$E$10&gt;0,E134-YEAR(Individuals!$E$10),0)</f>
        <v>107</v>
      </c>
      <c r="G134" s="59">
        <f ca="1">IF(Individuals!$E$15&gt;0,E134-YEAR(Individuals!$E$15),0)</f>
        <v>105</v>
      </c>
      <c r="H134" s="62">
        <f t="shared" ca="1" si="6"/>
        <v>0</v>
      </c>
      <c r="I134" s="52">
        <f t="shared" ca="1" si="3"/>
        <v>8793.8673045477008</v>
      </c>
      <c r="J134" s="30">
        <f t="shared" si="8"/>
        <v>1188905.3479103677</v>
      </c>
      <c r="L134" s="728">
        <f ca="1">IF( E134&gt;=$I$43, IF(L133=0, $I$74, L133+(L133*Retire!$D$18)), 0)</f>
        <v>8793.8673045477008</v>
      </c>
    </row>
    <row r="135" spans="3:12" hidden="1">
      <c r="C135" s="49" t="str">
        <f t="shared" ca="1" si="7"/>
        <v/>
      </c>
      <c r="D135" s="55">
        <f t="shared" si="9"/>
        <v>55</v>
      </c>
      <c r="E135" s="58">
        <f t="shared" ca="1" si="10"/>
        <v>2076</v>
      </c>
      <c r="F135" s="58">
        <f ca="1">IF(Individuals!$E$10&gt;0,E135-YEAR(Individuals!$E$10),0)</f>
        <v>108</v>
      </c>
      <c r="G135" s="58">
        <f ca="1">IF(Individuals!$E$15&gt;0,E135-YEAR(Individuals!$E$15),0)</f>
        <v>106</v>
      </c>
      <c r="H135" s="61">
        <f t="shared" ca="1" si="6"/>
        <v>0</v>
      </c>
      <c r="I135" s="50">
        <f t="shared" ca="1" si="3"/>
        <v>9057.6833236841321</v>
      </c>
      <c r="J135" s="16">
        <f t="shared" si="8"/>
        <v>1210900.0968467095</v>
      </c>
      <c r="L135" s="728">
        <f ca="1">IF( E135&gt;=$I$43, IF(L134=0, $I$74, L134+(L134*Retire!$D$18)), 0)</f>
        <v>9057.6833236841321</v>
      </c>
    </row>
    <row r="136" spans="3:12" hidden="1">
      <c r="C136" s="51" t="str">
        <f t="shared" ca="1" si="7"/>
        <v/>
      </c>
      <c r="D136" s="56">
        <f t="shared" si="9"/>
        <v>56</v>
      </c>
      <c r="E136" s="59">
        <f t="shared" ca="1" si="10"/>
        <v>2077</v>
      </c>
      <c r="F136" s="59">
        <f ca="1">IF(Individuals!$E$10&gt;0,E136-YEAR(Individuals!$E$10),0)</f>
        <v>109</v>
      </c>
      <c r="G136" s="59">
        <f ca="1">IF(Individuals!$E$15&gt;0,E136-YEAR(Individuals!$E$15),0)</f>
        <v>107</v>
      </c>
      <c r="H136" s="62">
        <f t="shared" ca="1" si="6"/>
        <v>0</v>
      </c>
      <c r="I136" s="52">
        <f t="shared" ca="1" si="3"/>
        <v>9329.413823394656</v>
      </c>
      <c r="J136" s="30">
        <f t="shared" si="8"/>
        <v>1233301.7486383736</v>
      </c>
      <c r="L136" s="728">
        <f ca="1">IF( E136&gt;=$I$43, IF(L135=0, $I$74, L135+(L135*Retire!$D$18)), 0)</f>
        <v>9329.413823394656</v>
      </c>
    </row>
    <row r="137" spans="3:12" hidden="1">
      <c r="C137" s="49" t="str">
        <f t="shared" ca="1" si="7"/>
        <v/>
      </c>
      <c r="D137" s="55">
        <f t="shared" si="9"/>
        <v>57</v>
      </c>
      <c r="E137" s="58">
        <f t="shared" ca="1" si="10"/>
        <v>2078</v>
      </c>
      <c r="F137" s="58">
        <f ca="1">IF(Individuals!$E$10&gt;0,E137-YEAR(Individuals!$E$10),0)</f>
        <v>110</v>
      </c>
      <c r="G137" s="58">
        <f ca="1">IF(Individuals!$E$15&gt;0,E137-YEAR(Individuals!$E$15),0)</f>
        <v>108</v>
      </c>
      <c r="H137" s="61">
        <f t="shared" ca="1" si="6"/>
        <v>0</v>
      </c>
      <c r="I137" s="50">
        <f t="shared" ca="1" si="3"/>
        <v>9609.2962380964964</v>
      </c>
      <c r="J137" s="16">
        <f t="shared" si="8"/>
        <v>1256117.8309881834</v>
      </c>
      <c r="L137" s="728">
        <f ca="1">IF( E137&gt;=$I$43, IF(L136=0, $I$74, L136+(L136*Retire!$D$18)), 0)</f>
        <v>9609.2962380964964</v>
      </c>
    </row>
    <row r="138" spans="3:12" hidden="1">
      <c r="C138" s="51" t="str">
        <f t="shared" ca="1" si="7"/>
        <v/>
      </c>
      <c r="D138" s="56">
        <f t="shared" si="9"/>
        <v>58</v>
      </c>
      <c r="E138" s="59">
        <f t="shared" ca="1" si="10"/>
        <v>2079</v>
      </c>
      <c r="F138" s="59">
        <f ca="1">IF(Individuals!$E$10&gt;0,E138-YEAR(Individuals!$E$10),0)</f>
        <v>111</v>
      </c>
      <c r="G138" s="59">
        <f ca="1">IF(Individuals!$E$15&gt;0,E138-YEAR(Individuals!$E$15),0)</f>
        <v>109</v>
      </c>
      <c r="H138" s="62">
        <f t="shared" ca="1" si="6"/>
        <v>0</v>
      </c>
      <c r="I138" s="52">
        <f t="shared" ca="1" si="3"/>
        <v>9897.5751252393911</v>
      </c>
      <c r="J138" s="30">
        <f t="shared" si="8"/>
        <v>1279356.0108614648</v>
      </c>
      <c r="L138" s="728">
        <f ca="1">IF( E138&gt;=$I$43, IF(L137=0, $I$74, L137+(L137*Retire!$D$18)), 0)</f>
        <v>9897.5751252393911</v>
      </c>
    </row>
    <row r="139" spans="3:12" hidden="1">
      <c r="C139" s="49" t="str">
        <f t="shared" ca="1" si="7"/>
        <v/>
      </c>
      <c r="D139" s="55">
        <f t="shared" si="9"/>
        <v>59</v>
      </c>
      <c r="E139" s="58">
        <f t="shared" ca="1" si="10"/>
        <v>2080</v>
      </c>
      <c r="F139" s="58">
        <f ca="1">IF(Individuals!$E$10&gt;0,E139-YEAR(Individuals!$E$10),0)</f>
        <v>112</v>
      </c>
      <c r="G139" s="58">
        <f ca="1">IF(Individuals!$E$15&gt;0,E139-YEAR(Individuals!$E$15),0)</f>
        <v>110</v>
      </c>
      <c r="H139" s="61">
        <f t="shared" ca="1" si="6"/>
        <v>0</v>
      </c>
      <c r="I139" s="50">
        <f t="shared" ca="1" si="3"/>
        <v>10194.502378996573</v>
      </c>
      <c r="J139" s="16">
        <f t="shared" si="8"/>
        <v>1303024.0970624019</v>
      </c>
      <c r="L139" s="728">
        <f ca="1">IF( E139&gt;=$I$43, IF(L138=0, $I$74, L138+(L138*Retire!$D$18)), 0)</f>
        <v>10194.502378996573</v>
      </c>
    </row>
    <row r="140" spans="3:12" hidden="1">
      <c r="C140" s="51" t="str">
        <f t="shared" ca="1" si="7"/>
        <v/>
      </c>
      <c r="D140" s="56">
        <f t="shared" si="9"/>
        <v>60</v>
      </c>
      <c r="E140" s="59">
        <f t="shared" ca="1" si="10"/>
        <v>2081</v>
      </c>
      <c r="F140" s="59">
        <f ca="1">IF(Individuals!$E$10&gt;0,E140-YEAR(Individuals!$E$10),0)</f>
        <v>113</v>
      </c>
      <c r="G140" s="59">
        <f ca="1">IF(Individuals!$E$15&gt;0,E140-YEAR(Individuals!$E$15),0)</f>
        <v>111</v>
      </c>
      <c r="H140" s="62">
        <f t="shared" ca="1" si="6"/>
        <v>0</v>
      </c>
      <c r="I140" s="52">
        <f t="shared" ca="1" si="3"/>
        <v>10500.337450366469</v>
      </c>
      <c r="J140" s="30">
        <f t="shared" si="8"/>
        <v>1327130.0428580563</v>
      </c>
      <c r="L140" s="728">
        <f ca="1">IF( E140&gt;=$I$43, IF(L139=0, $I$74, L139+(L139*Retire!$D$18)), 0)</f>
        <v>10500.337450366469</v>
      </c>
    </row>
    <row r="141" spans="3:12" hidden="1">
      <c r="C141" s="49" t="str">
        <f t="shared" ca="1" si="7"/>
        <v/>
      </c>
      <c r="D141" s="55">
        <f t="shared" si="9"/>
        <v>61</v>
      </c>
      <c r="E141" s="58">
        <f t="shared" ca="1" si="10"/>
        <v>2082</v>
      </c>
      <c r="F141" s="58">
        <f ca="1">IF(Individuals!$E$10&gt;0,E141-YEAR(Individuals!$E$10),0)</f>
        <v>114</v>
      </c>
      <c r="G141" s="58">
        <f ca="1">IF(Individuals!$E$15&gt;0,E141-YEAR(Individuals!$E$15),0)</f>
        <v>112</v>
      </c>
      <c r="H141" s="61">
        <f t="shared" ca="1" si="6"/>
        <v>0</v>
      </c>
      <c r="I141" s="50">
        <f t="shared" ca="1" si="3"/>
        <v>10815.347573877463</v>
      </c>
      <c r="J141" s="16">
        <f t="shared" si="8"/>
        <v>1351681.9486509303</v>
      </c>
      <c r="L141" s="728">
        <f ca="1">IF( E141&gt;=$I$43, IF(L140=0, $I$74, L140+(L140*Retire!$D$18)), 0)</f>
        <v>10815.347573877463</v>
      </c>
    </row>
    <row r="142" spans="3:12" hidden="1">
      <c r="C142" s="51" t="str">
        <f t="shared" ca="1" si="7"/>
        <v/>
      </c>
      <c r="D142" s="56">
        <f t="shared" si="9"/>
        <v>62</v>
      </c>
      <c r="E142" s="59">
        <f t="shared" ca="1" si="10"/>
        <v>2083</v>
      </c>
      <c r="F142" s="59">
        <f ca="1">IF(Individuals!$E$10&gt;0,E142-YEAR(Individuals!$E$10),0)</f>
        <v>115</v>
      </c>
      <c r="G142" s="59">
        <f ca="1">IF(Individuals!$E$15&gt;0,E142-YEAR(Individuals!$E$15),0)</f>
        <v>113</v>
      </c>
      <c r="H142" s="62">
        <f t="shared" ca="1" si="6"/>
        <v>0</v>
      </c>
      <c r="I142" s="52">
        <f t="shared" ca="1" si="3"/>
        <v>11139.808001093787</v>
      </c>
      <c r="J142" s="30">
        <f t="shared" si="8"/>
        <v>1376688.0647009725</v>
      </c>
      <c r="L142" s="728">
        <f ca="1">IF( E142&gt;=$I$43, IF(L141=0, $I$74, L141+(L141*Retire!$D$18)), 0)</f>
        <v>11139.808001093787</v>
      </c>
    </row>
    <row r="143" spans="3:12" hidden="1">
      <c r="C143" s="49" t="str">
        <f t="shared" ca="1" si="7"/>
        <v/>
      </c>
      <c r="D143" s="55">
        <f t="shared" si="9"/>
        <v>63</v>
      </c>
      <c r="E143" s="58">
        <f t="shared" ca="1" si="10"/>
        <v>2084</v>
      </c>
      <c r="F143" s="58">
        <f ca="1">IF(Individuals!$E$10&gt;0,E143-YEAR(Individuals!$E$10),0)</f>
        <v>116</v>
      </c>
      <c r="G143" s="58">
        <f ca="1">IF(Individuals!$E$15&gt;0,E143-YEAR(Individuals!$E$15),0)</f>
        <v>114</v>
      </c>
      <c r="H143" s="61">
        <f t="shared" ca="1" si="6"/>
        <v>0</v>
      </c>
      <c r="I143" s="50">
        <f t="shared" ca="1" si="3"/>
        <v>11474.0022411266</v>
      </c>
      <c r="J143" s="16">
        <f t="shared" si="8"/>
        <v>1402156.7938979405</v>
      </c>
      <c r="L143" s="728">
        <f ca="1">IF( E143&gt;=$I$43, IF(L142=0, $I$74, L142+(L142*Retire!$D$18)), 0)</f>
        <v>11474.0022411266</v>
      </c>
    </row>
    <row r="144" spans="3:12" hidden="1">
      <c r="C144" s="51" t="str">
        <f t="shared" ca="1" si="7"/>
        <v/>
      </c>
      <c r="D144" s="56">
        <f t="shared" si="9"/>
        <v>64</v>
      </c>
      <c r="E144" s="59">
        <f t="shared" ca="1" si="10"/>
        <v>2085</v>
      </c>
      <c r="F144" s="59">
        <f ca="1">IF(Individuals!$E$10&gt;0,E144-YEAR(Individuals!$E$10),0)</f>
        <v>117</v>
      </c>
      <c r="G144" s="59">
        <f ca="1">IF(Individuals!$E$15&gt;0,E144-YEAR(Individuals!$E$15),0)</f>
        <v>115</v>
      </c>
      <c r="H144" s="62">
        <f t="shared" ca="1" si="6"/>
        <v>0</v>
      </c>
      <c r="I144" s="52">
        <f t="shared" ca="1" si="3"/>
        <v>11818.222308360399</v>
      </c>
      <c r="J144" s="30">
        <f t="shared" si="8"/>
        <v>1428096.6945850526</v>
      </c>
      <c r="L144" s="728">
        <f ca="1">IF( E144&gt;=$I$43, IF(L143=0, $I$74, L143+(L143*Retire!$D$18)), 0)</f>
        <v>11818.222308360399</v>
      </c>
    </row>
    <row r="145" spans="3:12" hidden="1">
      <c r="C145" s="49" t="str">
        <f t="shared" ref="C145:C170" ca="1" si="11">IF(E145=$I$43,"Home sold","")</f>
        <v/>
      </c>
      <c r="D145" s="55">
        <f t="shared" si="9"/>
        <v>65</v>
      </c>
      <c r="E145" s="58">
        <f t="shared" ca="1" si="10"/>
        <v>2086</v>
      </c>
      <c r="F145" s="58">
        <f ca="1">IF(Individuals!$E$10&gt;0,E145-YEAR(Individuals!$E$10),0)</f>
        <v>118</v>
      </c>
      <c r="G145" s="58">
        <f ca="1">IF(Individuals!$E$15&gt;0,E145-YEAR(Individuals!$E$15),0)</f>
        <v>116</v>
      </c>
      <c r="H145" s="61">
        <f t="shared" ca="1" si="6"/>
        <v>0</v>
      </c>
      <c r="I145" s="50">
        <f t="shared" ca="1" si="3"/>
        <v>12172.768977611211</v>
      </c>
      <c r="J145" s="16">
        <f t="shared" si="8"/>
        <v>1454516.483434876</v>
      </c>
      <c r="L145" s="728">
        <f ca="1">IF( E145&gt;=$I$43, IF(L144=0, $I$74, L144+(L144*Retire!$D$18)), 0)</f>
        <v>12172.768977611211</v>
      </c>
    </row>
    <row r="146" spans="3:12" hidden="1">
      <c r="C146" s="51" t="str">
        <f t="shared" ca="1" si="11"/>
        <v/>
      </c>
      <c r="D146" s="56">
        <f t="shared" si="9"/>
        <v>66</v>
      </c>
      <c r="E146" s="59">
        <f t="shared" ca="1" si="10"/>
        <v>2087</v>
      </c>
      <c r="F146" s="59">
        <f ca="1">IF(Individuals!$E$10&gt;0,E146-YEAR(Individuals!$E$10),0)</f>
        <v>119</v>
      </c>
      <c r="G146" s="59">
        <f ca="1">IF(Individuals!$E$15&gt;0,E146-YEAR(Individuals!$E$15),0)</f>
        <v>117</v>
      </c>
      <c r="H146" s="62">
        <f t="shared" ca="1" si="6"/>
        <v>0</v>
      </c>
      <c r="I146" s="52">
        <f t="shared" ref="I146:I205" ca="1" si="12">L146</f>
        <v>12537.952046939547</v>
      </c>
      <c r="J146" s="30">
        <f t="shared" ref="J146:J205" si="13">J145+(J145*$I$35)</f>
        <v>1481425.0383784212</v>
      </c>
      <c r="L146" s="728">
        <f ca="1">IF( E146&gt;=$I$43, IF(L145=0, $I$74, L145+(L145*Retire!$D$18)), 0)</f>
        <v>12537.952046939547</v>
      </c>
    </row>
    <row r="147" spans="3:12" hidden="1">
      <c r="C147" s="49" t="str">
        <f t="shared" ca="1" si="11"/>
        <v/>
      </c>
      <c r="D147" s="55">
        <f t="shared" si="9"/>
        <v>67</v>
      </c>
      <c r="E147" s="58">
        <f t="shared" ca="1" si="10"/>
        <v>2088</v>
      </c>
      <c r="F147" s="58">
        <f ca="1">IF(Individuals!$E$10&gt;0,E147-YEAR(Individuals!$E$10),0)</f>
        <v>120</v>
      </c>
      <c r="G147" s="58">
        <f ca="1">IF(Individuals!$E$15&gt;0,E147-YEAR(Individuals!$E$15),0)</f>
        <v>118</v>
      </c>
      <c r="H147" s="61">
        <f t="shared" ref="H147:H205" ca="1" si="14">IF($I$43="",J147,IF(E147&gt;=$I$43,0,J147))</f>
        <v>0</v>
      </c>
      <c r="I147" s="50">
        <f t="shared" ca="1" si="12"/>
        <v>12914.090608347733</v>
      </c>
      <c r="J147" s="16">
        <f t="shared" si="13"/>
        <v>1508831.401588422</v>
      </c>
      <c r="L147" s="728">
        <f ca="1">IF( E147&gt;=$I$43, IF(L146=0, $I$74, L146+(L146*Retire!$D$18)), 0)</f>
        <v>12914.090608347733</v>
      </c>
    </row>
    <row r="148" spans="3:12" hidden="1">
      <c r="C148" s="51" t="str">
        <f t="shared" ca="1" si="11"/>
        <v/>
      </c>
      <c r="D148" s="56">
        <f t="shared" si="9"/>
        <v>68</v>
      </c>
      <c r="E148" s="59">
        <f t="shared" ca="1" si="10"/>
        <v>2089</v>
      </c>
      <c r="F148" s="59">
        <f ca="1">IF(Individuals!$E$10&gt;0,E148-YEAR(Individuals!$E$10),0)</f>
        <v>121</v>
      </c>
      <c r="G148" s="59">
        <f ca="1">IF(Individuals!$E$15&gt;0,E148-YEAR(Individuals!$E$15),0)</f>
        <v>119</v>
      </c>
      <c r="H148" s="62">
        <f t="shared" ca="1" si="14"/>
        <v>0</v>
      </c>
      <c r="I148" s="52">
        <f t="shared" ca="1" si="12"/>
        <v>13301.513326598166</v>
      </c>
      <c r="J148" s="30">
        <f t="shared" si="13"/>
        <v>1536744.7825178078</v>
      </c>
      <c r="L148" s="728">
        <f ca="1">IF( E148&gt;=$I$43, IF(L147=0, $I$74, L147+(L147*Retire!$D$18)), 0)</f>
        <v>13301.513326598166</v>
      </c>
    </row>
    <row r="149" spans="3:12" hidden="1">
      <c r="C149" s="49" t="str">
        <f t="shared" ca="1" si="11"/>
        <v/>
      </c>
      <c r="D149" s="55">
        <f t="shared" si="9"/>
        <v>69</v>
      </c>
      <c r="E149" s="58">
        <f t="shared" ca="1" si="10"/>
        <v>2090</v>
      </c>
      <c r="F149" s="58">
        <f ca="1">IF(Individuals!$E$10&gt;0,E149-YEAR(Individuals!$E$10),0)</f>
        <v>122</v>
      </c>
      <c r="G149" s="58">
        <f ca="1">IF(Individuals!$E$15&gt;0,E149-YEAR(Individuals!$E$15),0)</f>
        <v>120</v>
      </c>
      <c r="H149" s="61">
        <f t="shared" ca="1" si="14"/>
        <v>0</v>
      </c>
      <c r="I149" s="50">
        <f t="shared" ca="1" si="12"/>
        <v>13700.558726396112</v>
      </c>
      <c r="J149" s="16">
        <f t="shared" si="13"/>
        <v>1565174.5609943871</v>
      </c>
      <c r="L149" s="728">
        <f ca="1">IF( E149&gt;=$I$43, IF(L148=0, $I$74, L148+(L148*Retire!$D$18)), 0)</f>
        <v>13700.558726396112</v>
      </c>
    </row>
    <row r="150" spans="3:12" hidden="1">
      <c r="C150" s="51" t="str">
        <f t="shared" ca="1" si="11"/>
        <v/>
      </c>
      <c r="D150" s="56">
        <f t="shared" si="9"/>
        <v>70</v>
      </c>
      <c r="E150" s="59">
        <f t="shared" ca="1" si="10"/>
        <v>2091</v>
      </c>
      <c r="F150" s="59">
        <f ca="1">IF(Individuals!$E$10&gt;0,E150-YEAR(Individuals!$E$10),0)</f>
        <v>123</v>
      </c>
      <c r="G150" s="59">
        <f ca="1">IF(Individuals!$E$15&gt;0,E150-YEAR(Individuals!$E$15),0)</f>
        <v>121</v>
      </c>
      <c r="H150" s="62">
        <f t="shared" ca="1" si="14"/>
        <v>0</v>
      </c>
      <c r="I150" s="52">
        <f t="shared" ca="1" si="12"/>
        <v>14111.575488187995</v>
      </c>
      <c r="J150" s="30">
        <f t="shared" si="13"/>
        <v>1594130.2903727833</v>
      </c>
      <c r="L150" s="728">
        <f ca="1">IF( E150&gt;=$I$43, IF(L149=0, $I$74, L149+(L149*Retire!$D$18)), 0)</f>
        <v>14111.575488187995</v>
      </c>
    </row>
    <row r="151" spans="3:12" hidden="1">
      <c r="C151" s="49" t="str">
        <f t="shared" ca="1" si="11"/>
        <v/>
      </c>
      <c r="D151" s="55">
        <f t="shared" si="9"/>
        <v>71</v>
      </c>
      <c r="E151" s="58">
        <f t="shared" ca="1" si="10"/>
        <v>2092</v>
      </c>
      <c r="F151" s="58">
        <f ca="1">IF(Individuals!$E$10&gt;0,E151-YEAR(Individuals!$E$10),0)</f>
        <v>124</v>
      </c>
      <c r="G151" s="58">
        <f ca="1">IF(Individuals!$E$15&gt;0,E151-YEAR(Individuals!$E$15),0)</f>
        <v>122</v>
      </c>
      <c r="H151" s="61">
        <f t="shared" ca="1" si="14"/>
        <v>0</v>
      </c>
      <c r="I151" s="50">
        <f t="shared" ca="1" si="12"/>
        <v>14534.922752833634</v>
      </c>
      <c r="J151" s="16">
        <f t="shared" si="13"/>
        <v>1623621.7007446799</v>
      </c>
      <c r="L151" s="728">
        <f ca="1">IF( E151&gt;=$I$43, IF(L150=0, $I$74, L150+(L150*Retire!$D$18)), 0)</f>
        <v>14534.922752833634</v>
      </c>
    </row>
    <row r="152" spans="3:12" hidden="1">
      <c r="C152" s="51" t="str">
        <f t="shared" ca="1" si="11"/>
        <v/>
      </c>
      <c r="D152" s="56">
        <f t="shared" si="9"/>
        <v>72</v>
      </c>
      <c r="E152" s="59">
        <f t="shared" ca="1" si="10"/>
        <v>2093</v>
      </c>
      <c r="F152" s="59">
        <f ca="1">IF(Individuals!$E$10&gt;0,E152-YEAR(Individuals!$E$10),0)</f>
        <v>125</v>
      </c>
      <c r="G152" s="59">
        <f ca="1">IF(Individuals!$E$15&gt;0,E152-YEAR(Individuals!$E$15),0)</f>
        <v>123</v>
      </c>
      <c r="H152" s="62">
        <f t="shared" ca="1" si="14"/>
        <v>0</v>
      </c>
      <c r="I152" s="52">
        <f t="shared" ca="1" si="12"/>
        <v>14970.970435418643</v>
      </c>
      <c r="J152" s="30">
        <f t="shared" si="13"/>
        <v>1653658.7022084566</v>
      </c>
      <c r="L152" s="728">
        <f ca="1">IF( E152&gt;=$I$43, IF(L151=0, $I$74, L151+(L151*Retire!$D$18)), 0)</f>
        <v>14970.970435418643</v>
      </c>
    </row>
    <row r="153" spans="3:12" hidden="1">
      <c r="C153" s="49" t="str">
        <f t="shared" ca="1" si="11"/>
        <v/>
      </c>
      <c r="D153" s="55">
        <f t="shared" ref="D153:D205" si="15">D152+1</f>
        <v>73</v>
      </c>
      <c r="E153" s="58">
        <f t="shared" ref="E153:E205" ca="1" si="16">E152+1</f>
        <v>2094</v>
      </c>
      <c r="F153" s="58">
        <f ca="1">IF(Individuals!$E$10&gt;0,E153-YEAR(Individuals!$E$10),0)</f>
        <v>126</v>
      </c>
      <c r="G153" s="58">
        <f ca="1">IF(Individuals!$E$15&gt;0,E153-YEAR(Individuals!$E$15),0)</f>
        <v>124</v>
      </c>
      <c r="H153" s="61">
        <f t="shared" ca="1" si="14"/>
        <v>0</v>
      </c>
      <c r="I153" s="50">
        <f t="shared" ca="1" si="12"/>
        <v>15420.099548481203</v>
      </c>
      <c r="J153" s="16">
        <f t="shared" si="13"/>
        <v>1684251.3881993131</v>
      </c>
      <c r="L153" s="728">
        <f ca="1">IF( E153&gt;=$I$43, IF(L152=0, $I$74, L152+(L152*Retire!$D$18)), 0)</f>
        <v>15420.099548481203</v>
      </c>
    </row>
    <row r="154" spans="3:12" hidden="1">
      <c r="C154" s="51" t="str">
        <f t="shared" ca="1" si="11"/>
        <v/>
      </c>
      <c r="D154" s="56">
        <f t="shared" si="15"/>
        <v>74</v>
      </c>
      <c r="E154" s="59">
        <f t="shared" ca="1" si="16"/>
        <v>2095</v>
      </c>
      <c r="F154" s="59">
        <f ca="1">IF(Individuals!$E$10&gt;0,E154-YEAR(Individuals!$E$10),0)</f>
        <v>127</v>
      </c>
      <c r="G154" s="59">
        <f ca="1">IF(Individuals!$E$15&gt;0,E154-YEAR(Individuals!$E$15),0)</f>
        <v>125</v>
      </c>
      <c r="H154" s="62">
        <f t="shared" ca="1" si="14"/>
        <v>0</v>
      </c>
      <c r="I154" s="52">
        <f t="shared" ca="1" si="12"/>
        <v>15882.702534935639</v>
      </c>
      <c r="J154" s="30">
        <f t="shared" si="13"/>
        <v>1715410.0388810004</v>
      </c>
      <c r="L154" s="728">
        <f ca="1">IF( E154&gt;=$I$43, IF(L153=0, $I$74, L153+(L153*Retire!$D$18)), 0)</f>
        <v>15882.702534935639</v>
      </c>
    </row>
    <row r="155" spans="3:12" hidden="1">
      <c r="C155" s="49" t="str">
        <f t="shared" ca="1" si="11"/>
        <v/>
      </c>
      <c r="D155" s="55">
        <f t="shared" si="15"/>
        <v>75</v>
      </c>
      <c r="E155" s="58">
        <f t="shared" ca="1" si="16"/>
        <v>2096</v>
      </c>
      <c r="F155" s="58">
        <f ca="1">IF(Individuals!$E$10&gt;0,E155-YEAR(Individuals!$E$10),0)</f>
        <v>128</v>
      </c>
      <c r="G155" s="58">
        <f ca="1">IF(Individuals!$E$15&gt;0,E155-YEAR(Individuals!$E$15),0)</f>
        <v>126</v>
      </c>
      <c r="H155" s="61">
        <f t="shared" ca="1" si="14"/>
        <v>0</v>
      </c>
      <c r="I155" s="50">
        <f t="shared" ca="1" si="12"/>
        <v>16359.183610983708</v>
      </c>
      <c r="J155" s="16">
        <f t="shared" si="13"/>
        <v>1747145.1246002989</v>
      </c>
      <c r="L155" s="728">
        <f ca="1">IF( E155&gt;=$I$43, IF(L154=0, $I$74, L154+(L154*Retire!$D$18)), 0)</f>
        <v>16359.183610983708</v>
      </c>
    </row>
    <row r="156" spans="3:12" hidden="1">
      <c r="C156" s="51" t="str">
        <f t="shared" ca="1" si="11"/>
        <v/>
      </c>
      <c r="D156" s="56">
        <f t="shared" si="15"/>
        <v>76</v>
      </c>
      <c r="E156" s="59">
        <f t="shared" ca="1" si="16"/>
        <v>2097</v>
      </c>
      <c r="F156" s="59">
        <f ca="1">IF(Individuals!$E$10&gt;0,E156-YEAR(Individuals!$E$10),0)</f>
        <v>129</v>
      </c>
      <c r="G156" s="59">
        <f ca="1">IF(Individuals!$E$15&gt;0,E156-YEAR(Individuals!$E$15),0)</f>
        <v>127</v>
      </c>
      <c r="H156" s="62">
        <f t="shared" ca="1" si="14"/>
        <v>0</v>
      </c>
      <c r="I156" s="52">
        <f t="shared" ca="1" si="12"/>
        <v>16849.959119313218</v>
      </c>
      <c r="J156" s="30">
        <f t="shared" si="13"/>
        <v>1779467.3094054044</v>
      </c>
      <c r="L156" s="728">
        <f ca="1">IF( E156&gt;=$I$43, IF(L155=0, $I$74, L155+(L155*Retire!$D$18)), 0)</f>
        <v>16849.959119313218</v>
      </c>
    </row>
    <row r="157" spans="3:12" hidden="1">
      <c r="C157" s="49" t="str">
        <f t="shared" ca="1" si="11"/>
        <v/>
      </c>
      <c r="D157" s="55">
        <f t="shared" si="15"/>
        <v>77</v>
      </c>
      <c r="E157" s="58">
        <f t="shared" ca="1" si="16"/>
        <v>2098</v>
      </c>
      <c r="F157" s="58">
        <f ca="1">IF(Individuals!$E$10&gt;0,E157-YEAR(Individuals!$E$10),0)</f>
        <v>130</v>
      </c>
      <c r="G157" s="58">
        <f ca="1">IF(Individuals!$E$15&gt;0,E157-YEAR(Individuals!$E$15),0)</f>
        <v>128</v>
      </c>
      <c r="H157" s="61">
        <f t="shared" ca="1" si="14"/>
        <v>0</v>
      </c>
      <c r="I157" s="50">
        <f t="shared" ca="1" si="12"/>
        <v>17355.457892892613</v>
      </c>
      <c r="J157" s="16">
        <f t="shared" si="13"/>
        <v>1812387.4546294045</v>
      </c>
      <c r="L157" s="728">
        <f ca="1">IF( E157&gt;=$I$43, IF(L156=0, $I$74, L156+(L156*Retire!$D$18)), 0)</f>
        <v>17355.457892892613</v>
      </c>
    </row>
    <row r="158" spans="3:12" hidden="1">
      <c r="C158" s="51" t="str">
        <f t="shared" ca="1" si="11"/>
        <v/>
      </c>
      <c r="D158" s="56">
        <f t="shared" si="15"/>
        <v>78</v>
      </c>
      <c r="E158" s="59">
        <f t="shared" ca="1" si="16"/>
        <v>2099</v>
      </c>
      <c r="F158" s="59">
        <f ca="1">IF(Individuals!$E$10&gt;0,E158-YEAR(Individuals!$E$10),0)</f>
        <v>131</v>
      </c>
      <c r="G158" s="59">
        <f ca="1">IF(Individuals!$E$15&gt;0,E158-YEAR(Individuals!$E$15),0)</f>
        <v>129</v>
      </c>
      <c r="H158" s="62">
        <f t="shared" ca="1" si="14"/>
        <v>0</v>
      </c>
      <c r="I158" s="52">
        <f t="shared" ca="1" si="12"/>
        <v>17876.12162967939</v>
      </c>
      <c r="J158" s="30">
        <f t="shared" si="13"/>
        <v>1845916.6225400486</v>
      </c>
      <c r="L158" s="728">
        <f ca="1">IF( E158&gt;=$I$43, IF(L157=0, $I$74, L157+(L157*Retire!$D$18)), 0)</f>
        <v>17876.12162967939</v>
      </c>
    </row>
    <row r="159" spans="3:12" hidden="1">
      <c r="C159" s="49" t="str">
        <f t="shared" ca="1" si="11"/>
        <v/>
      </c>
      <c r="D159" s="55">
        <f t="shared" si="15"/>
        <v>79</v>
      </c>
      <c r="E159" s="58">
        <f t="shared" ca="1" si="16"/>
        <v>2100</v>
      </c>
      <c r="F159" s="58">
        <f ca="1">IF(Individuals!$E$10&gt;0,E159-YEAR(Individuals!$E$10),0)</f>
        <v>132</v>
      </c>
      <c r="G159" s="58">
        <f ca="1">IF(Individuals!$E$15&gt;0,E159-YEAR(Individuals!$E$15),0)</f>
        <v>130</v>
      </c>
      <c r="H159" s="61">
        <f t="shared" ca="1" si="14"/>
        <v>0</v>
      </c>
      <c r="I159" s="50">
        <f t="shared" ca="1" si="12"/>
        <v>18412.405278569771</v>
      </c>
      <c r="J159" s="16">
        <f t="shared" si="13"/>
        <v>1880066.0800570394</v>
      </c>
      <c r="L159" s="728">
        <f ca="1">IF( E159&gt;=$I$43, IF(L158=0, $I$74, L158+(L158*Retire!$D$18)), 0)</f>
        <v>18412.405278569771</v>
      </c>
    </row>
    <row r="160" spans="3:12" hidden="1">
      <c r="C160" s="51" t="str">
        <f t="shared" ca="1" si="11"/>
        <v/>
      </c>
      <c r="D160" s="56">
        <f t="shared" si="15"/>
        <v>80</v>
      </c>
      <c r="E160" s="59">
        <f t="shared" ca="1" si="16"/>
        <v>2101</v>
      </c>
      <c r="F160" s="59">
        <f ca="1">IF(Individuals!$E$10&gt;0,E160-YEAR(Individuals!$E$10),0)</f>
        <v>133</v>
      </c>
      <c r="G160" s="59">
        <f ca="1">IF(Individuals!$E$15&gt;0,E160-YEAR(Individuals!$E$15),0)</f>
        <v>131</v>
      </c>
      <c r="H160" s="62">
        <f t="shared" ca="1" si="14"/>
        <v>0</v>
      </c>
      <c r="I160" s="52">
        <f t="shared" ca="1" si="12"/>
        <v>18964.777436926863</v>
      </c>
      <c r="J160" s="30">
        <f t="shared" si="13"/>
        <v>1914847.3025380946</v>
      </c>
      <c r="L160" s="728">
        <f ca="1">IF( E160&gt;=$I$43, IF(L159=0, $I$74, L159+(L159*Retire!$D$18)), 0)</f>
        <v>18964.777436926863</v>
      </c>
    </row>
    <row r="161" spans="3:12" hidden="1">
      <c r="C161" s="49" t="str">
        <f t="shared" ca="1" si="11"/>
        <v/>
      </c>
      <c r="D161" s="55">
        <f t="shared" si="15"/>
        <v>81</v>
      </c>
      <c r="E161" s="58">
        <f t="shared" ca="1" si="16"/>
        <v>2102</v>
      </c>
      <c r="F161" s="58">
        <f ca="1">IF(Individuals!$E$10&gt;0,E161-YEAR(Individuals!$E$10),0)</f>
        <v>134</v>
      </c>
      <c r="G161" s="58">
        <f ca="1">IF(Individuals!$E$15&gt;0,E161-YEAR(Individuals!$E$15),0)</f>
        <v>132</v>
      </c>
      <c r="H161" s="61">
        <f t="shared" ca="1" si="14"/>
        <v>0</v>
      </c>
      <c r="I161" s="50">
        <f t="shared" ca="1" si="12"/>
        <v>19533.72076003467</v>
      </c>
      <c r="J161" s="16">
        <f t="shared" si="13"/>
        <v>1950271.9776350493</v>
      </c>
      <c r="L161" s="728">
        <f ca="1">IF( E161&gt;=$I$43, IF(L160=0, $I$74, L160+(L160*Retire!$D$18)), 0)</f>
        <v>19533.72076003467</v>
      </c>
    </row>
    <row r="162" spans="3:12" hidden="1">
      <c r="C162" s="51" t="str">
        <f t="shared" ca="1" si="11"/>
        <v/>
      </c>
      <c r="D162" s="56">
        <f t="shared" si="15"/>
        <v>82</v>
      </c>
      <c r="E162" s="59">
        <f t="shared" ca="1" si="16"/>
        <v>2103</v>
      </c>
      <c r="F162" s="59">
        <f ca="1">IF(Individuals!$E$10&gt;0,E162-YEAR(Individuals!$E$10),0)</f>
        <v>135</v>
      </c>
      <c r="G162" s="59">
        <f ca="1">IF(Individuals!$E$15&gt;0,E162-YEAR(Individuals!$E$15),0)</f>
        <v>133</v>
      </c>
      <c r="H162" s="62">
        <f t="shared" ca="1" si="14"/>
        <v>0</v>
      </c>
      <c r="I162" s="52">
        <f t="shared" ca="1" si="12"/>
        <v>20119.732382835711</v>
      </c>
      <c r="J162" s="30">
        <f t="shared" si="13"/>
        <v>1986352.0092212977</v>
      </c>
      <c r="L162" s="728">
        <f ca="1">IF( E162&gt;=$I$43, IF(L161=0, $I$74, L161+(L161*Retire!$D$18)), 0)</f>
        <v>20119.732382835711</v>
      </c>
    </row>
    <row r="163" spans="3:12" hidden="1">
      <c r="C163" s="49" t="str">
        <f t="shared" ca="1" si="11"/>
        <v/>
      </c>
      <c r="D163" s="55">
        <f t="shared" si="15"/>
        <v>83</v>
      </c>
      <c r="E163" s="58">
        <f t="shared" ca="1" si="16"/>
        <v>2104</v>
      </c>
      <c r="F163" s="58">
        <f ca="1">IF(Individuals!$E$10&gt;0,E163-YEAR(Individuals!$E$10),0)</f>
        <v>136</v>
      </c>
      <c r="G163" s="58">
        <f ca="1">IF(Individuals!$E$15&gt;0,E163-YEAR(Individuals!$E$15),0)</f>
        <v>134</v>
      </c>
      <c r="H163" s="61">
        <f t="shared" ca="1" si="14"/>
        <v>0</v>
      </c>
      <c r="I163" s="50">
        <f t="shared" ca="1" si="12"/>
        <v>20723.324354320783</v>
      </c>
      <c r="J163" s="16">
        <f t="shared" si="13"/>
        <v>2023099.5213918916</v>
      </c>
      <c r="L163" s="728">
        <f ca="1">IF( E163&gt;=$I$43, IF(L162=0, $I$74, L162+(L162*Retire!$D$18)), 0)</f>
        <v>20723.324354320783</v>
      </c>
    </row>
    <row r="164" spans="3:12" hidden="1">
      <c r="C164" s="51" t="str">
        <f t="shared" ca="1" si="11"/>
        <v/>
      </c>
      <c r="D164" s="56">
        <f t="shared" si="15"/>
        <v>84</v>
      </c>
      <c r="E164" s="59">
        <f t="shared" ca="1" si="16"/>
        <v>2105</v>
      </c>
      <c r="F164" s="59">
        <f ca="1">IF(Individuals!$E$10&gt;0,E164-YEAR(Individuals!$E$10),0)</f>
        <v>137</v>
      </c>
      <c r="G164" s="59">
        <f ca="1">IF(Individuals!$E$15&gt;0,E164-YEAR(Individuals!$E$15),0)</f>
        <v>135</v>
      </c>
      <c r="H164" s="62">
        <f t="shared" ca="1" si="14"/>
        <v>0</v>
      </c>
      <c r="I164" s="52">
        <f t="shared" ca="1" si="12"/>
        <v>21345.024084950404</v>
      </c>
      <c r="J164" s="30">
        <f t="shared" si="13"/>
        <v>2060526.8625376415</v>
      </c>
      <c r="L164" s="728">
        <f ca="1">IF( E164&gt;=$I$43, IF(L163=0, $I$74, L163+(L163*Retire!$D$18)), 0)</f>
        <v>21345.024084950404</v>
      </c>
    </row>
    <row r="165" spans="3:12" hidden="1">
      <c r="C165" s="49" t="str">
        <f t="shared" ca="1" si="11"/>
        <v/>
      </c>
      <c r="D165" s="55">
        <f t="shared" si="15"/>
        <v>85</v>
      </c>
      <c r="E165" s="58">
        <f t="shared" ca="1" si="16"/>
        <v>2106</v>
      </c>
      <c r="F165" s="58">
        <f ca="1">IF(Individuals!$E$10&gt;0,E165-YEAR(Individuals!$E$10),0)</f>
        <v>138</v>
      </c>
      <c r="G165" s="58">
        <f ca="1">IF(Individuals!$E$15&gt;0,E165-YEAR(Individuals!$E$15),0)</f>
        <v>136</v>
      </c>
      <c r="H165" s="61">
        <f t="shared" ca="1" si="14"/>
        <v>0</v>
      </c>
      <c r="I165" s="50">
        <f t="shared" ca="1" si="12"/>
        <v>21985.374807498916</v>
      </c>
      <c r="J165" s="16">
        <f t="shared" si="13"/>
        <v>2098646.6094945879</v>
      </c>
      <c r="L165" s="728">
        <f ca="1">IF( E165&gt;=$I$43, IF(L164=0, $I$74, L164+(L164*Retire!$D$18)), 0)</f>
        <v>21985.374807498916</v>
      </c>
    </row>
    <row r="166" spans="3:12" hidden="1">
      <c r="C166" s="51" t="str">
        <f t="shared" ca="1" si="11"/>
        <v/>
      </c>
      <c r="D166" s="56">
        <f t="shared" si="15"/>
        <v>86</v>
      </c>
      <c r="E166" s="59">
        <f t="shared" ca="1" si="16"/>
        <v>2107</v>
      </c>
      <c r="F166" s="59">
        <f ca="1">IF(Individuals!$E$10&gt;0,E166-YEAR(Individuals!$E$10),0)</f>
        <v>139</v>
      </c>
      <c r="G166" s="59">
        <f ca="1">IF(Individuals!$E$15&gt;0,E166-YEAR(Individuals!$E$15),0)</f>
        <v>137</v>
      </c>
      <c r="H166" s="62">
        <f t="shared" ca="1" si="14"/>
        <v>0</v>
      </c>
      <c r="I166" s="52">
        <f t="shared" ca="1" si="12"/>
        <v>22644.936051723882</v>
      </c>
      <c r="J166" s="30">
        <f t="shared" si="13"/>
        <v>2137471.5717702378</v>
      </c>
      <c r="L166" s="728">
        <f ca="1">IF( E166&gt;=$I$43, IF(L165=0, $I$74, L165+(L165*Retire!$D$18)), 0)</f>
        <v>22644.936051723882</v>
      </c>
    </row>
    <row r="167" spans="3:12" hidden="1">
      <c r="C167" s="49" t="str">
        <f t="shared" ca="1" si="11"/>
        <v/>
      </c>
      <c r="D167" s="55">
        <f t="shared" si="15"/>
        <v>87</v>
      </c>
      <c r="E167" s="58">
        <f t="shared" ca="1" si="16"/>
        <v>2108</v>
      </c>
      <c r="F167" s="58">
        <f ca="1">IF(Individuals!$E$10&gt;0,E167-YEAR(Individuals!$E$10),0)</f>
        <v>140</v>
      </c>
      <c r="G167" s="58">
        <f ca="1">IF(Individuals!$E$15&gt;0,E167-YEAR(Individuals!$E$15),0)</f>
        <v>138</v>
      </c>
      <c r="H167" s="61">
        <f t="shared" ca="1" si="14"/>
        <v>0</v>
      </c>
      <c r="I167" s="50">
        <f t="shared" ca="1" si="12"/>
        <v>23324.2841332756</v>
      </c>
      <c r="J167" s="16">
        <f t="shared" si="13"/>
        <v>2177014.7958479873</v>
      </c>
      <c r="L167" s="728">
        <f ca="1">IF( E167&gt;=$I$43, IF(L166=0, $I$74, L166+(L166*Retire!$D$18)), 0)</f>
        <v>23324.2841332756</v>
      </c>
    </row>
    <row r="168" spans="3:12" hidden="1">
      <c r="C168" s="51" t="str">
        <f t="shared" ca="1" si="11"/>
        <v/>
      </c>
      <c r="D168" s="56">
        <f t="shared" si="15"/>
        <v>88</v>
      </c>
      <c r="E168" s="59">
        <f t="shared" ca="1" si="16"/>
        <v>2109</v>
      </c>
      <c r="F168" s="59">
        <f ca="1">IF(Individuals!$E$10&gt;0,E168-YEAR(Individuals!$E$10),0)</f>
        <v>141</v>
      </c>
      <c r="G168" s="59">
        <f ca="1">IF(Individuals!$E$15&gt;0,E168-YEAR(Individuals!$E$15),0)</f>
        <v>139</v>
      </c>
      <c r="H168" s="62">
        <f t="shared" ca="1" si="14"/>
        <v>0</v>
      </c>
      <c r="I168" s="52">
        <f t="shared" ca="1" si="12"/>
        <v>24024.012657273866</v>
      </c>
      <c r="J168" s="30">
        <f t="shared" si="13"/>
        <v>2217289.5695711751</v>
      </c>
      <c r="L168" s="728">
        <f ca="1">IF( E168&gt;=$I$43, IF(L167=0, $I$74, L167+(L167*Retire!$D$18)), 0)</f>
        <v>24024.012657273866</v>
      </c>
    </row>
    <row r="169" spans="3:12" hidden="1">
      <c r="C169" s="49" t="str">
        <f t="shared" ca="1" si="11"/>
        <v/>
      </c>
      <c r="D169" s="55">
        <f t="shared" si="15"/>
        <v>89</v>
      </c>
      <c r="E169" s="58">
        <f t="shared" ca="1" si="16"/>
        <v>2110</v>
      </c>
      <c r="F169" s="58">
        <f ca="1">IF(Individuals!$E$10&gt;0,E169-YEAR(Individuals!$E$10),0)</f>
        <v>142</v>
      </c>
      <c r="G169" s="58">
        <f ca="1">IF(Individuals!$E$15&gt;0,E169-YEAR(Individuals!$E$15),0)</f>
        <v>140</v>
      </c>
      <c r="H169" s="61">
        <f t="shared" ca="1" si="14"/>
        <v>0</v>
      </c>
      <c r="I169" s="50">
        <f t="shared" ca="1" si="12"/>
        <v>24744.733036992082</v>
      </c>
      <c r="J169" s="16">
        <f t="shared" si="13"/>
        <v>2258309.4266082421</v>
      </c>
      <c r="L169" s="728">
        <f ca="1">IF( E169&gt;=$I$43, IF(L168=0, $I$74, L168+(L168*Retire!$D$18)), 0)</f>
        <v>24744.733036992082</v>
      </c>
    </row>
    <row r="170" spans="3:12" hidden="1">
      <c r="C170" s="53" t="str">
        <f t="shared" ca="1" si="11"/>
        <v/>
      </c>
      <c r="D170" s="57">
        <f t="shared" si="15"/>
        <v>90</v>
      </c>
      <c r="E170" s="60">
        <f t="shared" ca="1" si="16"/>
        <v>2111</v>
      </c>
      <c r="F170" s="60">
        <f ca="1">IF(Individuals!$E$10&gt;0,E170-YEAR(Individuals!$E$10),0)</f>
        <v>143</v>
      </c>
      <c r="G170" s="60">
        <f ca="1">IF(Individuals!$E$15&gt;0,E170-YEAR(Individuals!$E$15),0)</f>
        <v>141</v>
      </c>
      <c r="H170" s="63">
        <f t="shared" ca="1" si="14"/>
        <v>0</v>
      </c>
      <c r="I170" s="54">
        <f t="shared" ca="1" si="12"/>
        <v>25487.075028101845</v>
      </c>
      <c r="J170" s="31">
        <f t="shared" si="13"/>
        <v>2300088.1510004946</v>
      </c>
      <c r="L170" s="728">
        <f ca="1">IF( E170&gt;=$I$43, IF(L169=0, $I$74, L169+(L169*Retire!$D$18)), 0)</f>
        <v>25487.075028101845</v>
      </c>
    </row>
    <row r="171" spans="3:12" hidden="1">
      <c r="C171" s="1043" t="str">
        <f t="shared" ref="C171:C192" ca="1" si="17">IF(E171=$I$43,"Home sold","")</f>
        <v/>
      </c>
      <c r="D171" s="1044">
        <f t="shared" si="15"/>
        <v>91</v>
      </c>
      <c r="E171" s="1045">
        <f t="shared" ca="1" si="16"/>
        <v>2112</v>
      </c>
      <c r="F171" s="1045">
        <f ca="1">IF(Individuals!$E$10&gt;0,E171-YEAR(Individuals!$E$10),0)</f>
        <v>144</v>
      </c>
      <c r="G171" s="1045">
        <f ca="1">IF(Individuals!$E$15&gt;0,E171-YEAR(Individuals!$E$15),0)</f>
        <v>142</v>
      </c>
      <c r="H171" s="1046">
        <f t="shared" ca="1" si="14"/>
        <v>0</v>
      </c>
      <c r="I171" s="1047">
        <f t="shared" ca="1" si="12"/>
        <v>26251.687278944901</v>
      </c>
      <c r="J171" s="31">
        <f t="shared" si="13"/>
        <v>2342639.7817940037</v>
      </c>
      <c r="L171" s="728">
        <f ca="1">IF( E171&gt;=$I$43, IF(L170=0, $I$74, L170+(L170*Retire!$D$18)), 0)</f>
        <v>26251.687278944901</v>
      </c>
    </row>
    <row r="172" spans="3:12" hidden="1">
      <c r="C172" s="53" t="str">
        <f t="shared" ca="1" si="17"/>
        <v/>
      </c>
      <c r="D172" s="57">
        <f t="shared" si="15"/>
        <v>92</v>
      </c>
      <c r="E172" s="60">
        <f t="shared" ca="1" si="16"/>
        <v>2113</v>
      </c>
      <c r="F172" s="60">
        <f ca="1">IF(Individuals!$E$10&gt;0,E172-YEAR(Individuals!$E$10),0)</f>
        <v>145</v>
      </c>
      <c r="G172" s="60">
        <f ca="1">IF(Individuals!$E$15&gt;0,E172-YEAR(Individuals!$E$15),0)</f>
        <v>143</v>
      </c>
      <c r="H172" s="63">
        <f t="shared" ca="1" si="14"/>
        <v>0</v>
      </c>
      <c r="I172" s="54">
        <f t="shared" ca="1" si="12"/>
        <v>27039.237897313247</v>
      </c>
      <c r="J172" s="31">
        <f t="shared" si="13"/>
        <v>2385978.6177571928</v>
      </c>
      <c r="L172" s="728">
        <f ca="1">IF( E172&gt;=$I$43, IF(L171=0, $I$74, L171+(L171*Retire!$D$18)), 0)</f>
        <v>27039.237897313247</v>
      </c>
    </row>
    <row r="173" spans="3:12" hidden="1">
      <c r="C173" s="1043" t="str">
        <f t="shared" ca="1" si="17"/>
        <v/>
      </c>
      <c r="D173" s="1044">
        <f t="shared" si="15"/>
        <v>93</v>
      </c>
      <c r="E173" s="1045">
        <f t="shared" ca="1" si="16"/>
        <v>2114</v>
      </c>
      <c r="F173" s="1045">
        <f ca="1">IF(Individuals!$E$10&gt;0,E173-YEAR(Individuals!$E$10),0)</f>
        <v>146</v>
      </c>
      <c r="G173" s="1045">
        <f ca="1">IF(Individuals!$E$15&gt;0,E173-YEAR(Individuals!$E$15),0)</f>
        <v>144</v>
      </c>
      <c r="H173" s="1046">
        <f t="shared" ca="1" si="14"/>
        <v>0</v>
      </c>
      <c r="I173" s="1047">
        <f t="shared" ca="1" si="12"/>
        <v>27850.415034232643</v>
      </c>
      <c r="J173" s="31">
        <f t="shared" si="13"/>
        <v>2430119.2221857007</v>
      </c>
      <c r="L173" s="728">
        <f ca="1">IF( E173&gt;=$I$43, IF(L172=0, $I$74, L172+(L172*Retire!$D$18)), 0)</f>
        <v>27850.415034232643</v>
      </c>
    </row>
    <row r="174" spans="3:12" hidden="1">
      <c r="C174" s="53" t="str">
        <f t="shared" ca="1" si="17"/>
        <v/>
      </c>
      <c r="D174" s="57">
        <f t="shared" si="15"/>
        <v>94</v>
      </c>
      <c r="E174" s="60">
        <f t="shared" ca="1" si="16"/>
        <v>2115</v>
      </c>
      <c r="F174" s="60">
        <f ca="1">IF(Individuals!$E$10&gt;0,E174-YEAR(Individuals!$E$10),0)</f>
        <v>147</v>
      </c>
      <c r="G174" s="60">
        <f ca="1">IF(Individuals!$E$15&gt;0,E174-YEAR(Individuals!$E$15),0)</f>
        <v>145</v>
      </c>
      <c r="H174" s="63">
        <f t="shared" ca="1" si="14"/>
        <v>0</v>
      </c>
      <c r="I174" s="54">
        <f t="shared" ca="1" si="12"/>
        <v>28685.927485259621</v>
      </c>
      <c r="J174" s="31">
        <f t="shared" si="13"/>
        <v>2475076.4277961361</v>
      </c>
      <c r="L174" s="728">
        <f ca="1">IF( E174&gt;=$I$43, IF(L173=0, $I$74, L173+(L173*Retire!$D$18)), 0)</f>
        <v>28685.927485259621</v>
      </c>
    </row>
    <row r="175" spans="3:12" hidden="1">
      <c r="C175" s="1043" t="str">
        <f t="shared" ca="1" si="17"/>
        <v/>
      </c>
      <c r="D175" s="1044">
        <f t="shared" si="15"/>
        <v>95</v>
      </c>
      <c r="E175" s="1045">
        <f t="shared" ca="1" si="16"/>
        <v>2116</v>
      </c>
      <c r="F175" s="1045">
        <f ca="1">IF(Individuals!$E$10&gt;0,E175-YEAR(Individuals!$E$10),0)</f>
        <v>148</v>
      </c>
      <c r="G175" s="1045">
        <f ca="1">IF(Individuals!$E$15&gt;0,E175-YEAR(Individuals!$E$15),0)</f>
        <v>146</v>
      </c>
      <c r="H175" s="1046">
        <f t="shared" ca="1" si="14"/>
        <v>0</v>
      </c>
      <c r="I175" s="1047">
        <f t="shared" ca="1" si="12"/>
        <v>29546.50530981741</v>
      </c>
      <c r="J175" s="31">
        <f t="shared" si="13"/>
        <v>2520865.3417103644</v>
      </c>
      <c r="L175" s="728">
        <f ca="1">IF( E175&gt;=$I$43, IF(L174=0, $I$74, L174+(L174*Retire!$D$18)), 0)</f>
        <v>29546.50530981741</v>
      </c>
    </row>
    <row r="176" spans="3:12" hidden="1">
      <c r="C176" s="53" t="str">
        <f t="shared" ca="1" si="17"/>
        <v/>
      </c>
      <c r="D176" s="57">
        <f t="shared" si="15"/>
        <v>96</v>
      </c>
      <c r="E176" s="60">
        <f t="shared" ca="1" si="16"/>
        <v>2117</v>
      </c>
      <c r="F176" s="60">
        <f ca="1">IF(Individuals!$E$10&gt;0,E176-YEAR(Individuals!$E$10),0)</f>
        <v>149</v>
      </c>
      <c r="G176" s="60">
        <f ca="1">IF(Individuals!$E$15&gt;0,E176-YEAR(Individuals!$E$15),0)</f>
        <v>147</v>
      </c>
      <c r="H176" s="63">
        <f t="shared" ca="1" si="14"/>
        <v>0</v>
      </c>
      <c r="I176" s="54">
        <f t="shared" ca="1" si="12"/>
        <v>30432.900469111933</v>
      </c>
      <c r="J176" s="31">
        <f t="shared" si="13"/>
        <v>2567501.350532006</v>
      </c>
      <c r="L176" s="728">
        <f ca="1">IF( E176&gt;=$I$43, IF(L175=0, $I$74, L175+(L175*Retire!$D$18)), 0)</f>
        <v>30432.900469111933</v>
      </c>
    </row>
    <row r="177" spans="3:12" hidden="1">
      <c r="C177" s="1043" t="str">
        <f t="shared" ca="1" si="17"/>
        <v/>
      </c>
      <c r="D177" s="1044">
        <f t="shared" si="15"/>
        <v>97</v>
      </c>
      <c r="E177" s="1045">
        <f t="shared" ca="1" si="16"/>
        <v>2118</v>
      </c>
      <c r="F177" s="1045">
        <f ca="1">IF(Individuals!$E$10&gt;0,E177-YEAR(Individuals!$E$10),0)</f>
        <v>150</v>
      </c>
      <c r="G177" s="1045">
        <f ca="1">IF(Individuals!$E$15&gt;0,E177-YEAR(Individuals!$E$15),0)</f>
        <v>148</v>
      </c>
      <c r="H177" s="1046">
        <f t="shared" ca="1" si="14"/>
        <v>0</v>
      </c>
      <c r="I177" s="1047">
        <f t="shared" ca="1" si="12"/>
        <v>31345.887483185292</v>
      </c>
      <c r="J177" s="31">
        <f t="shared" si="13"/>
        <v>2615000.1255168482</v>
      </c>
      <c r="L177" s="728">
        <f ca="1">IF( E177&gt;=$I$43, IF(L176=0, $I$74, L176+(L176*Retire!$D$18)), 0)</f>
        <v>31345.887483185292</v>
      </c>
    </row>
    <row r="178" spans="3:12" hidden="1">
      <c r="C178" s="53" t="str">
        <f t="shared" ca="1" si="17"/>
        <v/>
      </c>
      <c r="D178" s="57">
        <f t="shared" si="15"/>
        <v>98</v>
      </c>
      <c r="E178" s="60">
        <f t="shared" ca="1" si="16"/>
        <v>2119</v>
      </c>
      <c r="F178" s="60">
        <f ca="1">IF(Individuals!$E$10&gt;0,E178-YEAR(Individuals!$E$10),0)</f>
        <v>151</v>
      </c>
      <c r="G178" s="60">
        <f ca="1">IF(Individuals!$E$15&gt;0,E178-YEAR(Individuals!$E$15),0)</f>
        <v>149</v>
      </c>
      <c r="H178" s="63">
        <f t="shared" ca="1" si="14"/>
        <v>0</v>
      </c>
      <c r="I178" s="54">
        <f t="shared" ca="1" si="12"/>
        <v>32286.26410768085</v>
      </c>
      <c r="J178" s="31">
        <f t="shared" si="13"/>
        <v>2663377.6278389096</v>
      </c>
      <c r="L178" s="728">
        <f ca="1">IF( E178&gt;=$I$43, IF(L177=0, $I$74, L177+(L177*Retire!$D$18)), 0)</f>
        <v>32286.26410768085</v>
      </c>
    </row>
    <row r="179" spans="3:12" hidden="1">
      <c r="C179" s="1043" t="str">
        <f t="shared" ca="1" si="17"/>
        <v/>
      </c>
      <c r="D179" s="1044">
        <f t="shared" si="15"/>
        <v>99</v>
      </c>
      <c r="E179" s="1045">
        <f t="shared" ca="1" si="16"/>
        <v>2120</v>
      </c>
      <c r="F179" s="1045">
        <f ca="1">IF(Individuals!$E$10&gt;0,E179-YEAR(Individuals!$E$10),0)</f>
        <v>152</v>
      </c>
      <c r="G179" s="1045">
        <f ca="1">IF(Individuals!$E$15&gt;0,E179-YEAR(Individuals!$E$15),0)</f>
        <v>150</v>
      </c>
      <c r="H179" s="1046">
        <f t="shared" ca="1" si="14"/>
        <v>0</v>
      </c>
      <c r="I179" s="1047">
        <f t="shared" ca="1" si="12"/>
        <v>33254.852030911279</v>
      </c>
      <c r="J179" s="31">
        <f t="shared" si="13"/>
        <v>2712650.1139539294</v>
      </c>
      <c r="L179" s="728">
        <f ca="1">IF( E179&gt;=$I$43, IF(L178=0, $I$74, L178+(L178*Retire!$D$18)), 0)</f>
        <v>33254.852030911279</v>
      </c>
    </row>
    <row r="180" spans="3:12" hidden="1">
      <c r="C180" s="53" t="str">
        <f t="shared" ca="1" si="17"/>
        <v/>
      </c>
      <c r="D180" s="57">
        <f t="shared" si="15"/>
        <v>100</v>
      </c>
      <c r="E180" s="60">
        <f t="shared" ca="1" si="16"/>
        <v>2121</v>
      </c>
      <c r="F180" s="60">
        <f ca="1">IF(Individuals!$E$10&gt;0,E180-YEAR(Individuals!$E$10),0)</f>
        <v>153</v>
      </c>
      <c r="G180" s="60">
        <f ca="1">IF(Individuals!$E$15&gt;0,E180-YEAR(Individuals!$E$15),0)</f>
        <v>151</v>
      </c>
      <c r="H180" s="63">
        <f t="shared" ca="1" si="14"/>
        <v>0</v>
      </c>
      <c r="I180" s="54">
        <f t="shared" ca="1" si="12"/>
        <v>34252.497591838619</v>
      </c>
      <c r="J180" s="31">
        <f t="shared" si="13"/>
        <v>2762834.1410620771</v>
      </c>
      <c r="L180" s="728">
        <f ca="1">IF( E180&gt;=$I$43, IF(L179=0, $I$74, L179+(L179*Retire!$D$18)), 0)</f>
        <v>34252.497591838619</v>
      </c>
    </row>
    <row r="181" spans="3:12" hidden="1">
      <c r="C181" s="1043" t="str">
        <f t="shared" ca="1" si="17"/>
        <v/>
      </c>
      <c r="D181" s="1044">
        <f t="shared" si="15"/>
        <v>101</v>
      </c>
      <c r="E181" s="1045">
        <f t="shared" ca="1" si="16"/>
        <v>2122</v>
      </c>
      <c r="F181" s="1045">
        <f ca="1">IF(Individuals!$E$10&gt;0,E181-YEAR(Individuals!$E$10),0)</f>
        <v>154</v>
      </c>
      <c r="G181" s="1045">
        <f ca="1">IF(Individuals!$E$15&gt;0,E181-YEAR(Individuals!$E$15),0)</f>
        <v>152</v>
      </c>
      <c r="H181" s="1046">
        <f t="shared" ca="1" si="14"/>
        <v>0</v>
      </c>
      <c r="I181" s="1047">
        <f t="shared" ca="1" si="12"/>
        <v>35280.072519593778</v>
      </c>
      <c r="J181" s="31">
        <f t="shared" si="13"/>
        <v>2813946.5726717254</v>
      </c>
      <c r="L181" s="728">
        <f ca="1">IF( E181&gt;=$I$43, IF(L180=0, $I$74, L180+(L180*Retire!$D$18)), 0)</f>
        <v>35280.072519593778</v>
      </c>
    </row>
    <row r="182" spans="3:12" hidden="1">
      <c r="C182" s="53" t="str">
        <f t="shared" ca="1" si="17"/>
        <v/>
      </c>
      <c r="D182" s="57">
        <f t="shared" si="15"/>
        <v>102</v>
      </c>
      <c r="E182" s="60">
        <f t="shared" ca="1" si="16"/>
        <v>2123</v>
      </c>
      <c r="F182" s="60">
        <f ca="1">IF(Individuals!$E$10&gt;0,E182-YEAR(Individuals!$E$10),0)</f>
        <v>155</v>
      </c>
      <c r="G182" s="60">
        <f ca="1">IF(Individuals!$E$15&gt;0,E182-YEAR(Individuals!$E$15),0)</f>
        <v>153</v>
      </c>
      <c r="H182" s="63">
        <f t="shared" ca="1" si="14"/>
        <v>0</v>
      </c>
      <c r="I182" s="54">
        <f t="shared" ca="1" si="12"/>
        <v>36338.474695181591</v>
      </c>
      <c r="J182" s="31">
        <f t="shared" si="13"/>
        <v>2866004.5842661522</v>
      </c>
      <c r="L182" s="728">
        <f ca="1">IF( E182&gt;=$I$43, IF(L181=0, $I$74, L181+(L181*Retire!$D$18)), 0)</f>
        <v>36338.474695181591</v>
      </c>
    </row>
    <row r="183" spans="3:12" hidden="1">
      <c r="C183" s="1043" t="str">
        <f t="shared" ca="1" si="17"/>
        <v/>
      </c>
      <c r="D183" s="1044">
        <f t="shared" si="15"/>
        <v>103</v>
      </c>
      <c r="E183" s="1045">
        <f t="shared" ca="1" si="16"/>
        <v>2124</v>
      </c>
      <c r="F183" s="1045">
        <f ca="1">IF(Individuals!$E$10&gt;0,E183-YEAR(Individuals!$E$10),0)</f>
        <v>156</v>
      </c>
      <c r="G183" s="1045">
        <f ca="1">IF(Individuals!$E$15&gt;0,E183-YEAR(Individuals!$E$15),0)</f>
        <v>154</v>
      </c>
      <c r="H183" s="1046">
        <f t="shared" ca="1" si="14"/>
        <v>0</v>
      </c>
      <c r="I183" s="1047">
        <f t="shared" ca="1" si="12"/>
        <v>37428.628936037036</v>
      </c>
      <c r="J183" s="31">
        <f t="shared" si="13"/>
        <v>2919025.669075076</v>
      </c>
      <c r="L183" s="728">
        <f ca="1">IF( E183&gt;=$I$43, IF(L182=0, $I$74, L182+(L182*Retire!$D$18)), 0)</f>
        <v>37428.628936037036</v>
      </c>
    </row>
    <row r="184" spans="3:12" hidden="1">
      <c r="C184" s="53" t="str">
        <f t="shared" ca="1" si="17"/>
        <v/>
      </c>
      <c r="D184" s="57">
        <f t="shared" si="15"/>
        <v>104</v>
      </c>
      <c r="E184" s="60">
        <f t="shared" ca="1" si="16"/>
        <v>2125</v>
      </c>
      <c r="F184" s="60">
        <f ca="1">IF(Individuals!$E$10&gt;0,E184-YEAR(Individuals!$E$10),0)</f>
        <v>157</v>
      </c>
      <c r="G184" s="60">
        <f ca="1">IF(Individuals!$E$15&gt;0,E184-YEAR(Individuals!$E$15),0)</f>
        <v>155</v>
      </c>
      <c r="H184" s="63">
        <f t="shared" ca="1" si="14"/>
        <v>0</v>
      </c>
      <c r="I184" s="54">
        <f t="shared" ca="1" si="12"/>
        <v>38551.487804118144</v>
      </c>
      <c r="J184" s="31">
        <f t="shared" si="13"/>
        <v>2973027.6439529648</v>
      </c>
      <c r="L184" s="728">
        <f ca="1">IF( E184&gt;=$I$43, IF(L183=0, $I$74, L183+(L183*Retire!$D$18)), 0)</f>
        <v>38551.487804118144</v>
      </c>
    </row>
    <row r="185" spans="3:12" hidden="1">
      <c r="C185" s="1043" t="str">
        <f t="shared" ca="1" si="17"/>
        <v/>
      </c>
      <c r="D185" s="1044">
        <f t="shared" si="15"/>
        <v>105</v>
      </c>
      <c r="E185" s="1045">
        <f t="shared" ca="1" si="16"/>
        <v>2126</v>
      </c>
      <c r="F185" s="1045">
        <f ca="1">IF(Individuals!$E$10&gt;0,E185-YEAR(Individuals!$E$10),0)</f>
        <v>158</v>
      </c>
      <c r="G185" s="1045">
        <f ca="1">IF(Individuals!$E$15&gt;0,E185-YEAR(Individuals!$E$15),0)</f>
        <v>156</v>
      </c>
      <c r="H185" s="1046">
        <f t="shared" ca="1" si="14"/>
        <v>0</v>
      </c>
      <c r="I185" s="1047">
        <f t="shared" ca="1" si="12"/>
        <v>39708.032438241687</v>
      </c>
      <c r="J185" s="31">
        <f t="shared" si="13"/>
        <v>3028028.6553660948</v>
      </c>
      <c r="L185" s="728">
        <f ca="1">IF( E185&gt;=$I$43, IF(L184=0, $I$74, L184+(L184*Retire!$D$18)), 0)</f>
        <v>39708.032438241687</v>
      </c>
    </row>
    <row r="186" spans="3:12" hidden="1">
      <c r="C186" s="53" t="str">
        <f t="shared" ca="1" si="17"/>
        <v/>
      </c>
      <c r="D186" s="57">
        <f t="shared" si="15"/>
        <v>106</v>
      </c>
      <c r="E186" s="60">
        <f t="shared" ca="1" si="16"/>
        <v>2127</v>
      </c>
      <c r="F186" s="60">
        <f ca="1">IF(Individuals!$E$10&gt;0,E186-YEAR(Individuals!$E$10),0)</f>
        <v>159</v>
      </c>
      <c r="G186" s="60">
        <f ca="1">IF(Individuals!$E$15&gt;0,E186-YEAR(Individuals!$E$15),0)</f>
        <v>157</v>
      </c>
      <c r="H186" s="63">
        <f t="shared" ca="1" si="14"/>
        <v>0</v>
      </c>
      <c r="I186" s="54">
        <f t="shared" ca="1" si="12"/>
        <v>40899.273411388938</v>
      </c>
      <c r="J186" s="31">
        <f t="shared" si="13"/>
        <v>3084047.1854903675</v>
      </c>
      <c r="L186" s="728">
        <f ca="1">IF( E186&gt;=$I$43, IF(L185=0, $I$74, L185+(L185*Retire!$D$18)), 0)</f>
        <v>40899.273411388938</v>
      </c>
    </row>
    <row r="187" spans="3:12" hidden="1">
      <c r="C187" s="1043" t="str">
        <f t="shared" ca="1" si="17"/>
        <v/>
      </c>
      <c r="D187" s="1044">
        <f t="shared" si="15"/>
        <v>107</v>
      </c>
      <c r="E187" s="1045">
        <f t="shared" ca="1" si="16"/>
        <v>2128</v>
      </c>
      <c r="F187" s="1045">
        <f ca="1">IF(Individuals!$E$10&gt;0,E187-YEAR(Individuals!$E$10),0)</f>
        <v>160</v>
      </c>
      <c r="G187" s="1045">
        <f ca="1">IF(Individuals!$E$15&gt;0,E187-YEAR(Individuals!$E$15),0)</f>
        <v>158</v>
      </c>
      <c r="H187" s="1046">
        <f t="shared" ca="1" si="14"/>
        <v>0</v>
      </c>
      <c r="I187" s="1047">
        <f t="shared" ca="1" si="12"/>
        <v>42126.251613730608</v>
      </c>
      <c r="J187" s="31">
        <f t="shared" si="13"/>
        <v>3141102.0584219391</v>
      </c>
      <c r="L187" s="728">
        <f ca="1">IF( E187&gt;=$I$43, IF(L186=0, $I$74, L186+(L186*Retire!$D$18)), 0)</f>
        <v>42126.251613730608</v>
      </c>
    </row>
    <row r="188" spans="3:12" hidden="1">
      <c r="C188" s="53" t="str">
        <f t="shared" ca="1" si="17"/>
        <v/>
      </c>
      <c r="D188" s="57">
        <f t="shared" si="15"/>
        <v>108</v>
      </c>
      <c r="E188" s="60">
        <f t="shared" ca="1" si="16"/>
        <v>2129</v>
      </c>
      <c r="F188" s="60">
        <f ca="1">IF(Individuals!$E$10&gt;0,E188-YEAR(Individuals!$E$10),0)</f>
        <v>161</v>
      </c>
      <c r="G188" s="60">
        <f ca="1">IF(Individuals!$E$15&gt;0,E188-YEAR(Individuals!$E$15),0)</f>
        <v>159</v>
      </c>
      <c r="H188" s="63">
        <f t="shared" ca="1" si="14"/>
        <v>0</v>
      </c>
      <c r="I188" s="54">
        <f t="shared" ca="1" si="12"/>
        <v>43390.03916214253</v>
      </c>
      <c r="J188" s="31">
        <f t="shared" si="13"/>
        <v>3199212.4465027452</v>
      </c>
      <c r="L188" s="728">
        <f ca="1">IF( E188&gt;=$I$43, IF(L187=0, $I$74, L187+(L187*Retire!$D$18)), 0)</f>
        <v>43390.03916214253</v>
      </c>
    </row>
    <row r="189" spans="3:12" hidden="1">
      <c r="C189" s="1043" t="str">
        <f t="shared" ca="1" si="17"/>
        <v/>
      </c>
      <c r="D189" s="1044">
        <f t="shared" si="15"/>
        <v>109</v>
      </c>
      <c r="E189" s="1045">
        <f t="shared" ca="1" si="16"/>
        <v>2130</v>
      </c>
      <c r="F189" s="1045">
        <f ca="1">IF(Individuals!$E$10&gt;0,E189-YEAR(Individuals!$E$10),0)</f>
        <v>162</v>
      </c>
      <c r="G189" s="1045">
        <f ca="1">IF(Individuals!$E$15&gt;0,E189-YEAR(Individuals!$E$15),0)</f>
        <v>160</v>
      </c>
      <c r="H189" s="1046">
        <f t="shared" ca="1" si="14"/>
        <v>0</v>
      </c>
      <c r="I189" s="1047">
        <f t="shared" ca="1" si="12"/>
        <v>44691.740337006806</v>
      </c>
      <c r="J189" s="31">
        <f t="shared" si="13"/>
        <v>3258397.8767630458</v>
      </c>
      <c r="L189" s="728">
        <f ca="1">IF( E189&gt;=$I$43, IF(L188=0, $I$74, L188+(L188*Retire!$D$18)), 0)</f>
        <v>44691.740337006806</v>
      </c>
    </row>
    <row r="190" spans="3:12" hidden="1">
      <c r="C190" s="53" t="str">
        <f t="shared" ca="1" si="17"/>
        <v/>
      </c>
      <c r="D190" s="57">
        <f t="shared" si="15"/>
        <v>110</v>
      </c>
      <c r="E190" s="60">
        <f t="shared" ca="1" si="16"/>
        <v>2131</v>
      </c>
      <c r="F190" s="60">
        <f ca="1">IF(Individuals!$E$10&gt;0,E190-YEAR(Individuals!$E$10),0)</f>
        <v>163</v>
      </c>
      <c r="G190" s="60">
        <f ca="1">IF(Individuals!$E$15&gt;0,E190-YEAR(Individuals!$E$15),0)</f>
        <v>161</v>
      </c>
      <c r="H190" s="63">
        <f t="shared" ca="1" si="14"/>
        <v>0</v>
      </c>
      <c r="I190" s="54">
        <f t="shared" ca="1" si="12"/>
        <v>46032.492547117014</v>
      </c>
      <c r="J190" s="31">
        <f t="shared" si="13"/>
        <v>3318678.237483162</v>
      </c>
      <c r="L190" s="728">
        <f ca="1">IF( E190&gt;=$I$43, IF(L189=0, $I$74, L189+(L189*Retire!$D$18)), 0)</f>
        <v>46032.492547117014</v>
      </c>
    </row>
    <row r="191" spans="3:12" hidden="1">
      <c r="C191" s="1043" t="str">
        <f t="shared" ca="1" si="17"/>
        <v/>
      </c>
      <c r="D191" s="1044">
        <f t="shared" si="15"/>
        <v>111</v>
      </c>
      <c r="E191" s="1045">
        <f t="shared" ca="1" si="16"/>
        <v>2132</v>
      </c>
      <c r="F191" s="1045">
        <f ca="1">IF(Individuals!$E$10&gt;0,E191-YEAR(Individuals!$E$10),0)</f>
        <v>164</v>
      </c>
      <c r="G191" s="1045">
        <f ca="1">IF(Individuals!$E$15&gt;0,E191-YEAR(Individuals!$E$15),0)</f>
        <v>162</v>
      </c>
      <c r="H191" s="1046">
        <f t="shared" ca="1" si="14"/>
        <v>0</v>
      </c>
      <c r="I191" s="1047">
        <f t="shared" ca="1" si="12"/>
        <v>47413.467323530524</v>
      </c>
      <c r="J191" s="31">
        <f t="shared" si="13"/>
        <v>3380073.7848766004</v>
      </c>
      <c r="L191" s="728">
        <f ca="1">IF( E191&gt;=$I$43, IF(L190=0, $I$74, L190+(L190*Retire!$D$18)), 0)</f>
        <v>47413.467323530524</v>
      </c>
    </row>
    <row r="192" spans="3:12" hidden="1">
      <c r="C192" s="53" t="str">
        <f t="shared" ca="1" si="17"/>
        <v/>
      </c>
      <c r="D192" s="57">
        <f t="shared" si="15"/>
        <v>112</v>
      </c>
      <c r="E192" s="60">
        <f t="shared" ca="1" si="16"/>
        <v>2133</v>
      </c>
      <c r="F192" s="60">
        <f ca="1">IF(Individuals!$E$10&gt;0,E192-YEAR(Individuals!$E$10),0)</f>
        <v>165</v>
      </c>
      <c r="G192" s="60">
        <f ca="1">IF(Individuals!$E$15&gt;0,E192-YEAR(Individuals!$E$15),0)</f>
        <v>163</v>
      </c>
      <c r="H192" s="63">
        <f t="shared" ca="1" si="14"/>
        <v>0</v>
      </c>
      <c r="I192" s="54">
        <f t="shared" ca="1" si="12"/>
        <v>48835.871343236438</v>
      </c>
      <c r="J192" s="31">
        <f t="shared" si="13"/>
        <v>3442605.1498968173</v>
      </c>
      <c r="L192" s="728">
        <f ca="1">IF( E192&gt;=$I$43, IF(L191=0, $I$74, L191+(L191*Retire!$D$18)), 0)</f>
        <v>48835.871343236438</v>
      </c>
    </row>
    <row r="193" spans="3:12" hidden="1">
      <c r="C193" s="1043" t="str">
        <f t="shared" ref="C193:C204" ca="1" si="18">IF(E193=$I$43,"Home sold","")</f>
        <v/>
      </c>
      <c r="D193" s="1044">
        <f t="shared" si="15"/>
        <v>113</v>
      </c>
      <c r="E193" s="1045">
        <f t="shared" ca="1" si="16"/>
        <v>2134</v>
      </c>
      <c r="F193" s="1045">
        <f ca="1">IF(Individuals!$E$10&gt;0,E193-YEAR(Individuals!$E$10),0)</f>
        <v>166</v>
      </c>
      <c r="G193" s="1045">
        <f ca="1">IF(Individuals!$E$15&gt;0,E193-YEAR(Individuals!$E$15),0)</f>
        <v>164</v>
      </c>
      <c r="H193" s="1046">
        <f t="shared" ca="1" si="14"/>
        <v>0</v>
      </c>
      <c r="I193" s="1047">
        <f t="shared" ca="1" si="12"/>
        <v>50300.947483533535</v>
      </c>
      <c r="J193" s="31">
        <f t="shared" si="13"/>
        <v>3506293.3451699084</v>
      </c>
      <c r="L193" s="728">
        <f ca="1">IF( E193&gt;=$I$43, IF(L192=0, $I$74, L192+(L192*Retire!$D$18)), 0)</f>
        <v>50300.947483533535</v>
      </c>
    </row>
    <row r="194" spans="3:12" hidden="1">
      <c r="C194" s="53" t="str">
        <f t="shared" ca="1" si="18"/>
        <v/>
      </c>
      <c r="D194" s="57">
        <f t="shared" si="15"/>
        <v>114</v>
      </c>
      <c r="E194" s="60">
        <f t="shared" ca="1" si="16"/>
        <v>2135</v>
      </c>
      <c r="F194" s="60">
        <f ca="1">IF(Individuals!$E$10&gt;0,E194-YEAR(Individuals!$E$10),0)</f>
        <v>167</v>
      </c>
      <c r="G194" s="60">
        <f ca="1">IF(Individuals!$E$15&gt;0,E194-YEAR(Individuals!$E$15),0)</f>
        <v>165</v>
      </c>
      <c r="H194" s="63">
        <f t="shared" ca="1" si="14"/>
        <v>0</v>
      </c>
      <c r="I194" s="54">
        <f t="shared" ca="1" si="12"/>
        <v>51809.975908039538</v>
      </c>
      <c r="J194" s="31">
        <f t="shared" si="13"/>
        <v>3571159.7720555519</v>
      </c>
      <c r="L194" s="728">
        <f ca="1">IF( E194&gt;=$I$43, IF(L193=0, $I$74, L193+(L193*Retire!$D$18)), 0)</f>
        <v>51809.975908039538</v>
      </c>
    </row>
    <row r="195" spans="3:12" hidden="1">
      <c r="C195" s="1043" t="str">
        <f t="shared" ca="1" si="18"/>
        <v/>
      </c>
      <c r="D195" s="1044">
        <f t="shared" si="15"/>
        <v>115</v>
      </c>
      <c r="E195" s="1045">
        <f t="shared" ca="1" si="16"/>
        <v>2136</v>
      </c>
      <c r="F195" s="1045">
        <f ca="1">IF(Individuals!$E$10&gt;0,E195-YEAR(Individuals!$E$10),0)</f>
        <v>168</v>
      </c>
      <c r="G195" s="1045">
        <f ca="1">IF(Individuals!$E$15&gt;0,E195-YEAR(Individuals!$E$15),0)</f>
        <v>166</v>
      </c>
      <c r="H195" s="1046">
        <f t="shared" ca="1" si="14"/>
        <v>0</v>
      </c>
      <c r="I195" s="1047">
        <f t="shared" ca="1" si="12"/>
        <v>53364.275185280727</v>
      </c>
      <c r="J195" s="31">
        <f t="shared" si="13"/>
        <v>3637226.2278385796</v>
      </c>
      <c r="L195" s="728">
        <f ca="1">IF( E195&gt;=$I$43, IF(L194=0, $I$74, L194+(L194*Retire!$D$18)), 0)</f>
        <v>53364.275185280727</v>
      </c>
    </row>
    <row r="196" spans="3:12" hidden="1">
      <c r="C196" s="53" t="str">
        <f t="shared" ca="1" si="18"/>
        <v/>
      </c>
      <c r="D196" s="57">
        <f t="shared" si="15"/>
        <v>116</v>
      </c>
      <c r="E196" s="60">
        <f t="shared" ca="1" si="16"/>
        <v>2137</v>
      </c>
      <c r="F196" s="60">
        <f ca="1">IF(Individuals!$E$10&gt;0,E196-YEAR(Individuals!$E$10),0)</f>
        <v>169</v>
      </c>
      <c r="G196" s="60">
        <f ca="1">IF(Individuals!$E$15&gt;0,E196-YEAR(Individuals!$E$15),0)</f>
        <v>167</v>
      </c>
      <c r="H196" s="63">
        <f t="shared" ca="1" si="14"/>
        <v>0</v>
      </c>
      <c r="I196" s="54">
        <f t="shared" ca="1" si="12"/>
        <v>54965.203440839148</v>
      </c>
      <c r="J196" s="31">
        <f t="shared" si="13"/>
        <v>3704514.9130535931</v>
      </c>
      <c r="L196" s="728">
        <f ca="1">IF( E196&gt;=$I$43, IF(L195=0, $I$74, L195+(L195*Retire!$D$18)), 0)</f>
        <v>54965.203440839148</v>
      </c>
    </row>
    <row r="197" spans="3:12" hidden="1">
      <c r="C197" s="1043" t="str">
        <f t="shared" ca="1" si="18"/>
        <v/>
      </c>
      <c r="D197" s="1044">
        <f t="shared" si="15"/>
        <v>117</v>
      </c>
      <c r="E197" s="1045">
        <f t="shared" ca="1" si="16"/>
        <v>2138</v>
      </c>
      <c r="F197" s="1045">
        <f ca="1">IF(Individuals!$E$10&gt;0,E197-YEAR(Individuals!$E$10),0)</f>
        <v>170</v>
      </c>
      <c r="G197" s="1045">
        <f ca="1">IF(Individuals!$E$15&gt;0,E197-YEAR(Individuals!$E$15),0)</f>
        <v>168</v>
      </c>
      <c r="H197" s="1046">
        <f t="shared" ca="1" si="14"/>
        <v>0</v>
      </c>
      <c r="I197" s="1047">
        <f t="shared" ca="1" si="12"/>
        <v>56614.159544064321</v>
      </c>
      <c r="J197" s="31">
        <f t="shared" si="13"/>
        <v>3773048.4389450848</v>
      </c>
      <c r="L197" s="728">
        <f ca="1">IF( E197&gt;=$I$43, IF(L196=0, $I$74, L196+(L196*Retire!$D$18)), 0)</f>
        <v>56614.159544064321</v>
      </c>
    </row>
    <row r="198" spans="3:12" hidden="1">
      <c r="C198" s="53" t="str">
        <f t="shared" ca="1" si="18"/>
        <v/>
      </c>
      <c r="D198" s="57">
        <f t="shared" si="15"/>
        <v>118</v>
      </c>
      <c r="E198" s="60">
        <f t="shared" ca="1" si="16"/>
        <v>2139</v>
      </c>
      <c r="F198" s="60">
        <f ca="1">IF(Individuals!$E$10&gt;0,E198-YEAR(Individuals!$E$10),0)</f>
        <v>171</v>
      </c>
      <c r="G198" s="60">
        <f ca="1">IF(Individuals!$E$15&gt;0,E198-YEAR(Individuals!$E$15),0)</f>
        <v>169</v>
      </c>
      <c r="H198" s="63">
        <f t="shared" ca="1" si="14"/>
        <v>0</v>
      </c>
      <c r="I198" s="54">
        <f t="shared" ca="1" si="12"/>
        <v>58312.584330386249</v>
      </c>
      <c r="J198" s="31">
        <f t="shared" si="13"/>
        <v>3842849.8350655688</v>
      </c>
      <c r="L198" s="728">
        <f ca="1">IF( E198&gt;=$I$43, IF(L197=0, $I$74, L197+(L197*Retire!$D$18)), 0)</f>
        <v>58312.584330386249</v>
      </c>
    </row>
    <row r="199" spans="3:12" hidden="1">
      <c r="C199" s="1043" t="str">
        <f t="shared" ca="1" si="18"/>
        <v/>
      </c>
      <c r="D199" s="1044">
        <f t="shared" si="15"/>
        <v>119</v>
      </c>
      <c r="E199" s="1045">
        <f t="shared" ca="1" si="16"/>
        <v>2140</v>
      </c>
      <c r="F199" s="1045">
        <f ca="1">IF(Individuals!$E$10&gt;0,E199-YEAR(Individuals!$E$10),0)</f>
        <v>172</v>
      </c>
      <c r="G199" s="1045">
        <f ca="1">IF(Individuals!$E$15&gt;0,E199-YEAR(Individuals!$E$15),0)</f>
        <v>170</v>
      </c>
      <c r="H199" s="1046">
        <f t="shared" ca="1" si="14"/>
        <v>0</v>
      </c>
      <c r="I199" s="1047">
        <f t="shared" ca="1" si="12"/>
        <v>60061.961860297837</v>
      </c>
      <c r="J199" s="31">
        <f t="shared" si="13"/>
        <v>3913942.5570142819</v>
      </c>
      <c r="L199" s="728">
        <f ca="1">IF( E199&gt;=$I$43, IF(L198=0, $I$74, L198+(L198*Retire!$D$18)), 0)</f>
        <v>60061.961860297837</v>
      </c>
    </row>
    <row r="200" spans="3:12" hidden="1">
      <c r="C200" s="53" t="str">
        <f t="shared" ca="1" si="18"/>
        <v/>
      </c>
      <c r="D200" s="57">
        <f t="shared" si="15"/>
        <v>120</v>
      </c>
      <c r="E200" s="60">
        <f t="shared" ca="1" si="16"/>
        <v>2141</v>
      </c>
      <c r="F200" s="60">
        <f ca="1">IF(Individuals!$E$10&gt;0,E200-YEAR(Individuals!$E$10),0)</f>
        <v>173</v>
      </c>
      <c r="G200" s="60">
        <f ca="1">IF(Individuals!$E$15&gt;0,E200-YEAR(Individuals!$E$15),0)</f>
        <v>171</v>
      </c>
      <c r="H200" s="63">
        <f t="shared" ca="1" si="14"/>
        <v>0</v>
      </c>
      <c r="I200" s="54">
        <f t="shared" ca="1" si="12"/>
        <v>61863.820716106769</v>
      </c>
      <c r="J200" s="31">
        <f t="shared" si="13"/>
        <v>3986350.4943190459</v>
      </c>
      <c r="L200" s="728">
        <f ca="1">IF( E200&gt;=$I$43, IF(L199=0, $I$74, L199+(L199*Retire!$D$18)), 0)</f>
        <v>61863.820716106769</v>
      </c>
    </row>
    <row r="201" spans="3:12" hidden="1">
      <c r="C201" s="1043" t="str">
        <f t="shared" ca="1" si="18"/>
        <v/>
      </c>
      <c r="D201" s="1044">
        <f t="shared" si="15"/>
        <v>121</v>
      </c>
      <c r="E201" s="1045">
        <f t="shared" ca="1" si="16"/>
        <v>2142</v>
      </c>
      <c r="F201" s="1045">
        <f ca="1">IF(Individuals!$E$10&gt;0,E201-YEAR(Individuals!$E$10),0)</f>
        <v>174</v>
      </c>
      <c r="G201" s="1045">
        <f ca="1">IF(Individuals!$E$15&gt;0,E201-YEAR(Individuals!$E$15),0)</f>
        <v>172</v>
      </c>
      <c r="H201" s="1046">
        <f t="shared" ca="1" si="14"/>
        <v>0</v>
      </c>
      <c r="I201" s="1047">
        <f t="shared" ca="1" si="12"/>
        <v>63719.735337589969</v>
      </c>
      <c r="J201" s="31">
        <f t="shared" si="13"/>
        <v>4060097.9784639482</v>
      </c>
      <c r="L201" s="728">
        <f ca="1">IF( E201&gt;=$I$43, IF(L200=0, $I$74, L200+(L200*Retire!$D$18)), 0)</f>
        <v>63719.735337589969</v>
      </c>
    </row>
    <row r="202" spans="3:12" hidden="1">
      <c r="C202" s="53" t="str">
        <f t="shared" ca="1" si="18"/>
        <v/>
      </c>
      <c r="D202" s="57">
        <f t="shared" si="15"/>
        <v>122</v>
      </c>
      <c r="E202" s="60">
        <f t="shared" ca="1" si="16"/>
        <v>2143</v>
      </c>
      <c r="F202" s="60">
        <f ca="1">IF(Individuals!$E$10&gt;0,E202-YEAR(Individuals!$E$10),0)</f>
        <v>175</v>
      </c>
      <c r="G202" s="60">
        <f ca="1">IF(Individuals!$E$15&gt;0,E202-YEAR(Individuals!$E$15),0)</f>
        <v>173</v>
      </c>
      <c r="H202" s="63">
        <f t="shared" ca="1" si="14"/>
        <v>0</v>
      </c>
      <c r="I202" s="54">
        <f t="shared" ca="1" si="12"/>
        <v>65631.327397717672</v>
      </c>
      <c r="J202" s="31">
        <f t="shared" si="13"/>
        <v>4135209.7910655313</v>
      </c>
      <c r="L202" s="728">
        <f ca="1">IF( E202&gt;=$I$43, IF(L201=0, $I$74, L201+(L201*Retire!$D$18)), 0)</f>
        <v>65631.327397717672</v>
      </c>
    </row>
    <row r="203" spans="3:12" hidden="1">
      <c r="C203" s="1043" t="str">
        <f t="shared" ca="1" si="18"/>
        <v/>
      </c>
      <c r="D203" s="1044">
        <f t="shared" si="15"/>
        <v>123</v>
      </c>
      <c r="E203" s="1045">
        <f t="shared" ca="1" si="16"/>
        <v>2144</v>
      </c>
      <c r="F203" s="1045">
        <f ca="1">IF(Individuals!$E$10&gt;0,E203-YEAR(Individuals!$E$10),0)</f>
        <v>176</v>
      </c>
      <c r="G203" s="1045">
        <f ca="1">IF(Individuals!$E$15&gt;0,E203-YEAR(Individuals!$E$15),0)</f>
        <v>174</v>
      </c>
      <c r="H203" s="1046">
        <f t="shared" ca="1" si="14"/>
        <v>0</v>
      </c>
      <c r="I203" s="1047">
        <f t="shared" ca="1" si="12"/>
        <v>67600.267219649206</v>
      </c>
      <c r="J203" s="31">
        <f t="shared" si="13"/>
        <v>4211711.1722002439</v>
      </c>
      <c r="L203" s="728">
        <f ca="1">IF( E203&gt;=$I$43, IF(L202=0, $I$74, L202+(L202*Retire!$D$18)), 0)</f>
        <v>67600.267219649206</v>
      </c>
    </row>
    <row r="204" spans="3:12" hidden="1">
      <c r="C204" s="53" t="str">
        <f t="shared" ca="1" si="18"/>
        <v/>
      </c>
      <c r="D204" s="57">
        <f t="shared" si="15"/>
        <v>124</v>
      </c>
      <c r="E204" s="60">
        <f t="shared" ca="1" si="16"/>
        <v>2145</v>
      </c>
      <c r="F204" s="60">
        <f ca="1">IF(Individuals!$E$10&gt;0,E204-YEAR(Individuals!$E$10),0)</f>
        <v>177</v>
      </c>
      <c r="G204" s="60">
        <f ca="1">IF(Individuals!$E$15&gt;0,E204-YEAR(Individuals!$E$15),0)</f>
        <v>175</v>
      </c>
      <c r="H204" s="63">
        <f t="shared" ca="1" si="14"/>
        <v>0</v>
      </c>
      <c r="I204" s="54">
        <f t="shared" ca="1" si="12"/>
        <v>69628.275236238682</v>
      </c>
      <c r="J204" s="31">
        <f t="shared" si="13"/>
        <v>4289627.8288859483</v>
      </c>
      <c r="L204" s="728">
        <f ca="1">IF( E204&gt;=$I$43, IF(L203=0, $I$74, L203+(L203*Retire!$D$18)), 0)</f>
        <v>69628.275236238682</v>
      </c>
    </row>
    <row r="205" spans="3:12" hidden="1">
      <c r="C205" s="1052"/>
      <c r="D205" s="1053">
        <f t="shared" si="15"/>
        <v>125</v>
      </c>
      <c r="E205" s="1054">
        <f t="shared" ca="1" si="16"/>
        <v>2146</v>
      </c>
      <c r="F205" s="1054">
        <f ca="1">IF(Individuals!$E$10&gt;0,E205-YEAR(Individuals!$E$10),0)</f>
        <v>178</v>
      </c>
      <c r="G205" s="1054">
        <f ca="1">IF(Individuals!$E$15&gt;0,E205-YEAR(Individuals!$E$15),0)</f>
        <v>176</v>
      </c>
      <c r="H205" s="1055">
        <f t="shared" ca="1" si="14"/>
        <v>0</v>
      </c>
      <c r="I205" s="1056">
        <f t="shared" ca="1" si="12"/>
        <v>71717.123493325838</v>
      </c>
      <c r="J205" s="30">
        <f t="shared" si="13"/>
        <v>4368985.9437203379</v>
      </c>
      <c r="L205" s="728">
        <f ca="1">IF( E205&gt;=$I$43, IF(L204=0, $I$74, L204+(L204*Retire!$D$18)), 0)</f>
        <v>71717.123493325838</v>
      </c>
    </row>
    <row r="206" spans="3:12" hidden="1">
      <c r="C206" s="1048"/>
      <c r="D206" s="1049"/>
      <c r="E206" s="1050"/>
      <c r="F206" s="1050"/>
      <c r="G206" s="1050"/>
      <c r="H206" s="1051"/>
      <c r="I206" s="1051"/>
      <c r="J206" s="1034"/>
    </row>
    <row r="207" spans="3:12" hidden="1">
      <c r="C207" s="1048"/>
      <c r="D207" s="1049"/>
      <c r="E207" s="1050"/>
      <c r="F207" s="1050"/>
      <c r="G207" s="1050"/>
      <c r="H207" s="1051"/>
      <c r="I207" s="1051"/>
      <c r="J207" s="1034"/>
    </row>
    <row r="208" spans="3:12" hidden="1">
      <c r="C208" s="1048"/>
      <c r="D208" s="1049"/>
      <c r="E208" s="1050"/>
      <c r="F208" s="1050"/>
      <c r="G208" s="1050"/>
      <c r="H208" s="1051"/>
      <c r="I208" s="1051"/>
      <c r="J208" s="1034"/>
    </row>
    <row r="209" spans="1:12">
      <c r="C209" s="1048"/>
      <c r="D209" s="1049"/>
      <c r="E209" s="1050"/>
      <c r="F209" s="1050"/>
      <c r="G209" s="1050"/>
      <c r="H209" s="1051"/>
      <c r="I209" s="1051"/>
      <c r="J209" s="1034"/>
    </row>
    <row r="210" spans="1:12">
      <c r="C210" s="1863" t="s">
        <v>2538</v>
      </c>
      <c r="D210" s="1864"/>
      <c r="E210" s="1865"/>
      <c r="F210" s="1865"/>
      <c r="G210" s="1865"/>
      <c r="H210" s="1866"/>
      <c r="I210" s="1866"/>
      <c r="J210" s="1034"/>
    </row>
    <row r="211" spans="1:12" hidden="1">
      <c r="C211" s="1863" t="s">
        <v>2540</v>
      </c>
      <c r="D211" s="1864"/>
      <c r="E211" s="1865"/>
      <c r="F211" s="1865"/>
      <c r="G211" s="1865"/>
      <c r="H211" s="1866"/>
      <c r="I211" s="1866"/>
      <c r="J211" s="1034"/>
    </row>
    <row r="212" spans="1:12" hidden="1">
      <c r="A212" s="245"/>
      <c r="B212" s="245"/>
      <c r="C212" s="1867"/>
      <c r="D212" s="1868"/>
      <c r="E212" s="1869"/>
      <c r="F212" s="1869"/>
      <c r="G212" s="1869"/>
      <c r="H212" s="1870"/>
      <c r="I212" s="1870"/>
      <c r="J212" s="1034"/>
    </row>
    <row r="213" spans="1:12" hidden="1">
      <c r="A213" s="245"/>
      <c r="B213" s="245"/>
      <c r="C213" s="2353" t="s">
        <v>2536</v>
      </c>
      <c r="D213" s="2353"/>
      <c r="E213" s="2353"/>
      <c r="F213" s="2353"/>
      <c r="G213" s="2353"/>
      <c r="H213" s="2354"/>
      <c r="I213" s="1946">
        <v>0.02</v>
      </c>
      <c r="J213" s="1034"/>
    </row>
    <row r="214" spans="1:12" hidden="1">
      <c r="A214" s="245"/>
      <c r="B214" s="245"/>
      <c r="C214" s="2355" t="s">
        <v>2537</v>
      </c>
      <c r="D214" s="2355"/>
      <c r="E214" s="2355"/>
      <c r="F214" s="2355"/>
      <c r="G214" s="2355"/>
      <c r="H214" s="2355"/>
      <c r="I214" s="1876">
        <f>I43</f>
        <v>2050</v>
      </c>
    </row>
    <row r="215" spans="1:12" hidden="1">
      <c r="A215" s="245"/>
      <c r="B215" s="245"/>
      <c r="C215" s="1872"/>
      <c r="D215" s="1872"/>
      <c r="E215" s="1872"/>
      <c r="F215" s="1872"/>
      <c r="G215" s="1872"/>
      <c r="H215" s="1872"/>
      <c r="I215" s="1873"/>
      <c r="J215" s="1860"/>
    </row>
    <row r="216" spans="1:12" hidden="1">
      <c r="A216" s="245"/>
      <c r="B216" s="245"/>
      <c r="C216" s="1378"/>
      <c r="D216" s="1379"/>
      <c r="E216" s="1861"/>
      <c r="F216" s="1861" t="s">
        <v>65</v>
      </c>
      <c r="G216" s="1861" t="s">
        <v>65</v>
      </c>
      <c r="H216" s="322" t="s">
        <v>262</v>
      </c>
      <c r="I216" s="1874"/>
      <c r="J216" s="1860"/>
    </row>
    <row r="217" spans="1:12" hidden="1">
      <c r="A217" s="245"/>
      <c r="B217" s="245"/>
      <c r="C217" s="1378" t="s">
        <v>2539</v>
      </c>
      <c r="D217" s="1861" t="s">
        <v>73</v>
      </c>
      <c r="E217" s="1861" t="s">
        <v>6</v>
      </c>
      <c r="F217" s="1381" t="s">
        <v>424</v>
      </c>
      <c r="G217" s="1381" t="s">
        <v>425</v>
      </c>
      <c r="H217" s="1861" t="s">
        <v>219</v>
      </c>
      <c r="I217" s="1875"/>
      <c r="J217" s="1860"/>
    </row>
    <row r="218" spans="1:12" hidden="1">
      <c r="A218" s="245"/>
      <c r="B218" s="245"/>
      <c r="C218" s="1378"/>
      <c r="D218" s="1861"/>
      <c r="E218" s="1861"/>
      <c r="F218" s="1381"/>
      <c r="G218" s="1381"/>
      <c r="H218" s="1383">
        <f ca="1">I172</f>
        <v>27039.237897313247</v>
      </c>
      <c r="I218" s="1875"/>
      <c r="J218" s="1860"/>
    </row>
    <row r="219" spans="1:12" s="411" customFormat="1" hidden="1">
      <c r="A219" s="245"/>
      <c r="B219" s="245"/>
      <c r="C219" s="49" t="str">
        <f ca="1">IF(E219=$I$214,"House purchased","")</f>
        <v/>
      </c>
      <c r="D219" s="55" cm="1">
        <f t="array" aca="1" ref="D219:G219" ca="1">D81:G81</f>
        <v>1</v>
      </c>
      <c r="E219" s="58">
        <f ca="1"/>
        <v>2022</v>
      </c>
      <c r="F219" s="58">
        <f ca="1"/>
        <v>54</v>
      </c>
      <c r="G219" s="58">
        <f ca="1"/>
        <v>52</v>
      </c>
      <c r="H219" s="61">
        <f ca="1">IF(E219&gt;$I$214, J214+(J214*$I$213), IF(E219=$I$214, $I$46, 0)  )</f>
        <v>0</v>
      </c>
      <c r="K219" s="1871"/>
      <c r="L219" s="1871"/>
    </row>
    <row r="220" spans="1:12" s="411" customFormat="1" hidden="1">
      <c r="A220" s="245"/>
      <c r="B220" s="245"/>
      <c r="C220" s="51" t="str">
        <f t="shared" ref="C220:C239" ca="1" si="19">IF(E220=$I$214,"House purchased","")</f>
        <v/>
      </c>
      <c r="D220" s="56" cm="1">
        <f t="array" aca="1" ref="D220:G220" ca="1">D82:G82</f>
        <v>2</v>
      </c>
      <c r="E220" s="59">
        <f ca="1"/>
        <v>2023</v>
      </c>
      <c r="F220" s="59">
        <f ca="1"/>
        <v>55</v>
      </c>
      <c r="G220" s="59">
        <f ca="1"/>
        <v>53</v>
      </c>
      <c r="H220" s="62">
        <f t="shared" ref="H220:H251" ca="1" si="20">IF(E220&gt;$I$214, H219+(H219*$I$213), IF(E220=$I$214, $I$46, 0)  )</f>
        <v>0</v>
      </c>
      <c r="K220" s="1871"/>
      <c r="L220" s="1871"/>
    </row>
    <row r="221" spans="1:12" hidden="1">
      <c r="A221" s="245"/>
      <c r="B221" s="245"/>
      <c r="C221" s="49" t="str">
        <f t="shared" ca="1" si="19"/>
        <v/>
      </c>
      <c r="D221" s="55" cm="1">
        <f t="array" aca="1" ref="D221:G221" ca="1">D83:G83</f>
        <v>3</v>
      </c>
      <c r="E221" s="58">
        <f ca="1"/>
        <v>2024</v>
      </c>
      <c r="F221" s="58">
        <f ca="1"/>
        <v>56</v>
      </c>
      <c r="G221" s="58">
        <f ca="1"/>
        <v>54</v>
      </c>
      <c r="H221" s="61">
        <f t="shared" ca="1" si="20"/>
        <v>0</v>
      </c>
      <c r="K221" s="1871"/>
      <c r="L221" s="1871"/>
    </row>
    <row r="222" spans="1:12" hidden="1">
      <c r="A222" s="245"/>
      <c r="B222" s="245"/>
      <c r="C222" s="51" t="str">
        <f t="shared" ca="1" si="19"/>
        <v/>
      </c>
      <c r="D222" s="56" cm="1">
        <f t="array" aca="1" ref="D222:G222" ca="1">D84:G84</f>
        <v>4</v>
      </c>
      <c r="E222" s="59">
        <f ca="1"/>
        <v>2025</v>
      </c>
      <c r="F222" s="59">
        <f ca="1"/>
        <v>57</v>
      </c>
      <c r="G222" s="59">
        <f ca="1"/>
        <v>55</v>
      </c>
      <c r="H222" s="62">
        <f t="shared" ca="1" si="20"/>
        <v>0</v>
      </c>
      <c r="K222" s="1871"/>
      <c r="L222" s="1871"/>
    </row>
    <row r="223" spans="1:12" hidden="1">
      <c r="A223" s="245"/>
      <c r="B223" s="245"/>
      <c r="C223" s="49" t="str">
        <f t="shared" ca="1" si="19"/>
        <v/>
      </c>
      <c r="D223" s="55" cm="1">
        <f t="array" aca="1" ref="D223:G223" ca="1">D85:G85</f>
        <v>5</v>
      </c>
      <c r="E223" s="58">
        <f ca="1"/>
        <v>2026</v>
      </c>
      <c r="F223" s="58">
        <f ca="1"/>
        <v>58</v>
      </c>
      <c r="G223" s="58">
        <f ca="1"/>
        <v>56</v>
      </c>
      <c r="H223" s="61">
        <f t="shared" ca="1" si="20"/>
        <v>0</v>
      </c>
      <c r="K223" s="1871"/>
      <c r="L223" s="1871"/>
    </row>
    <row r="224" spans="1:12" hidden="1">
      <c r="A224" s="245"/>
      <c r="B224" s="245"/>
      <c r="C224" s="51" t="str">
        <f t="shared" ca="1" si="19"/>
        <v/>
      </c>
      <c r="D224" s="56" cm="1">
        <f t="array" aca="1" ref="D224:G224" ca="1">D86:G86</f>
        <v>6</v>
      </c>
      <c r="E224" s="59">
        <f ca="1"/>
        <v>2027</v>
      </c>
      <c r="F224" s="59">
        <f ca="1"/>
        <v>59</v>
      </c>
      <c r="G224" s="59">
        <f ca="1"/>
        <v>57</v>
      </c>
      <c r="H224" s="62">
        <f t="shared" ca="1" si="20"/>
        <v>0</v>
      </c>
      <c r="K224" s="1871"/>
      <c r="L224" s="1871"/>
    </row>
    <row r="225" spans="1:12" hidden="1">
      <c r="A225" s="245"/>
      <c r="B225" s="245"/>
      <c r="C225" s="49" t="str">
        <f t="shared" ca="1" si="19"/>
        <v/>
      </c>
      <c r="D225" s="55" cm="1">
        <f t="array" aca="1" ref="D225:G225" ca="1">D87:G87</f>
        <v>7</v>
      </c>
      <c r="E225" s="58">
        <f ca="1"/>
        <v>2028</v>
      </c>
      <c r="F225" s="58">
        <f ca="1"/>
        <v>60</v>
      </c>
      <c r="G225" s="58">
        <f ca="1"/>
        <v>58</v>
      </c>
      <c r="H225" s="61">
        <f t="shared" ca="1" si="20"/>
        <v>0</v>
      </c>
      <c r="K225" s="1871"/>
      <c r="L225" s="1871"/>
    </row>
    <row r="226" spans="1:12" hidden="1">
      <c r="A226" s="245"/>
      <c r="B226" s="245"/>
      <c r="C226" s="51" t="str">
        <f t="shared" ca="1" si="19"/>
        <v/>
      </c>
      <c r="D226" s="56" cm="1">
        <f t="array" aca="1" ref="D226:G226" ca="1">D88:G88</f>
        <v>8</v>
      </c>
      <c r="E226" s="59">
        <f ca="1"/>
        <v>2029</v>
      </c>
      <c r="F226" s="59">
        <f ca="1"/>
        <v>61</v>
      </c>
      <c r="G226" s="59">
        <f ca="1"/>
        <v>59</v>
      </c>
      <c r="H226" s="62">
        <f t="shared" ca="1" si="20"/>
        <v>0</v>
      </c>
      <c r="K226" s="1871"/>
      <c r="L226" s="1871"/>
    </row>
    <row r="227" spans="1:12" hidden="1">
      <c r="A227" s="245"/>
      <c r="B227" s="245"/>
      <c r="C227" s="49" t="str">
        <f t="shared" ca="1" si="19"/>
        <v/>
      </c>
      <c r="D227" s="55" cm="1">
        <f t="array" aca="1" ref="D227:G227" ca="1">D89:G89</f>
        <v>9</v>
      </c>
      <c r="E227" s="58">
        <f ca="1"/>
        <v>2030</v>
      </c>
      <c r="F227" s="58">
        <f ca="1"/>
        <v>62</v>
      </c>
      <c r="G227" s="58">
        <f ca="1"/>
        <v>60</v>
      </c>
      <c r="H227" s="61">
        <f t="shared" ca="1" si="20"/>
        <v>0</v>
      </c>
      <c r="K227" s="1871"/>
      <c r="L227" s="1871"/>
    </row>
    <row r="228" spans="1:12" hidden="1">
      <c r="A228" s="245"/>
      <c r="B228" s="245"/>
      <c r="C228" s="51" t="str">
        <f t="shared" ca="1" si="19"/>
        <v/>
      </c>
      <c r="D228" s="56" cm="1">
        <f t="array" aca="1" ref="D228:G228" ca="1">D90:G90</f>
        <v>10</v>
      </c>
      <c r="E228" s="59">
        <f ca="1"/>
        <v>2031</v>
      </c>
      <c r="F228" s="59">
        <f ca="1"/>
        <v>63</v>
      </c>
      <c r="G228" s="59">
        <f ca="1"/>
        <v>61</v>
      </c>
      <c r="H228" s="62">
        <f t="shared" ca="1" si="20"/>
        <v>0</v>
      </c>
      <c r="K228" s="1871"/>
      <c r="L228" s="1871"/>
    </row>
    <row r="229" spans="1:12" hidden="1">
      <c r="A229" s="245"/>
      <c r="B229" s="245"/>
      <c r="C229" s="49" t="str">
        <f t="shared" ca="1" si="19"/>
        <v/>
      </c>
      <c r="D229" s="55" cm="1">
        <f t="array" aca="1" ref="D229:G229" ca="1">D91:G91</f>
        <v>11</v>
      </c>
      <c r="E229" s="58">
        <f ca="1"/>
        <v>2032</v>
      </c>
      <c r="F229" s="58">
        <f ca="1"/>
        <v>64</v>
      </c>
      <c r="G229" s="58">
        <f ca="1"/>
        <v>62</v>
      </c>
      <c r="H229" s="61">
        <f t="shared" ca="1" si="20"/>
        <v>0</v>
      </c>
      <c r="K229" s="1871"/>
      <c r="L229" s="1871"/>
    </row>
    <row r="230" spans="1:12" hidden="1">
      <c r="A230" s="245"/>
      <c r="B230" s="245"/>
      <c r="C230" s="51" t="str">
        <f t="shared" ca="1" si="19"/>
        <v/>
      </c>
      <c r="D230" s="56" cm="1">
        <f t="array" aca="1" ref="D230:G230" ca="1">D92:G92</f>
        <v>12</v>
      </c>
      <c r="E230" s="59">
        <f ca="1"/>
        <v>2033</v>
      </c>
      <c r="F230" s="59">
        <f ca="1"/>
        <v>65</v>
      </c>
      <c r="G230" s="59">
        <f ca="1"/>
        <v>63</v>
      </c>
      <c r="H230" s="62">
        <f t="shared" ca="1" si="20"/>
        <v>0</v>
      </c>
      <c r="K230" s="1871"/>
      <c r="L230" s="1871"/>
    </row>
    <row r="231" spans="1:12" hidden="1">
      <c r="A231" s="245"/>
      <c r="B231" s="245"/>
      <c r="C231" s="49" t="str">
        <f t="shared" ca="1" si="19"/>
        <v/>
      </c>
      <c r="D231" s="55" cm="1">
        <f t="array" aca="1" ref="D231:G231" ca="1">D93:G93</f>
        <v>13</v>
      </c>
      <c r="E231" s="58">
        <f ca="1"/>
        <v>2034</v>
      </c>
      <c r="F231" s="58">
        <f ca="1"/>
        <v>66</v>
      </c>
      <c r="G231" s="58">
        <f ca="1"/>
        <v>64</v>
      </c>
      <c r="H231" s="61">
        <f t="shared" ca="1" si="20"/>
        <v>0</v>
      </c>
      <c r="K231" s="1871"/>
      <c r="L231" s="1871"/>
    </row>
    <row r="232" spans="1:12" hidden="1">
      <c r="A232" s="245"/>
      <c r="B232" s="245"/>
      <c r="C232" s="51" t="str">
        <f t="shared" ca="1" si="19"/>
        <v/>
      </c>
      <c r="D232" s="56" cm="1">
        <f t="array" aca="1" ref="D232:G232" ca="1">D94:G94</f>
        <v>14</v>
      </c>
      <c r="E232" s="59">
        <f ca="1"/>
        <v>2035</v>
      </c>
      <c r="F232" s="59">
        <f ca="1"/>
        <v>67</v>
      </c>
      <c r="G232" s="59">
        <f ca="1"/>
        <v>65</v>
      </c>
      <c r="H232" s="62">
        <f t="shared" ca="1" si="20"/>
        <v>0</v>
      </c>
      <c r="K232" s="1871"/>
      <c r="L232" s="1871"/>
    </row>
    <row r="233" spans="1:12" hidden="1">
      <c r="A233" s="245"/>
      <c r="B233" s="245"/>
      <c r="C233" s="49" t="str">
        <f t="shared" ca="1" si="19"/>
        <v/>
      </c>
      <c r="D233" s="55" cm="1">
        <f t="array" aca="1" ref="D233:G233" ca="1">D95:G95</f>
        <v>15</v>
      </c>
      <c r="E233" s="58">
        <f ca="1"/>
        <v>2036</v>
      </c>
      <c r="F233" s="58">
        <f ca="1"/>
        <v>68</v>
      </c>
      <c r="G233" s="58">
        <f ca="1"/>
        <v>66</v>
      </c>
      <c r="H233" s="61">
        <f t="shared" ca="1" si="20"/>
        <v>0</v>
      </c>
      <c r="K233" s="1871"/>
      <c r="L233" s="1871"/>
    </row>
    <row r="234" spans="1:12" hidden="1">
      <c r="A234" s="245"/>
      <c r="B234" s="245"/>
      <c r="C234" s="51" t="str">
        <f t="shared" ca="1" si="19"/>
        <v/>
      </c>
      <c r="D234" s="56" cm="1">
        <f t="array" aca="1" ref="D234:G234" ca="1">D96:G96</f>
        <v>16</v>
      </c>
      <c r="E234" s="59">
        <f ca="1"/>
        <v>2037</v>
      </c>
      <c r="F234" s="59">
        <f ca="1"/>
        <v>69</v>
      </c>
      <c r="G234" s="59">
        <f ca="1"/>
        <v>67</v>
      </c>
      <c r="H234" s="62">
        <f t="shared" ca="1" si="20"/>
        <v>0</v>
      </c>
      <c r="K234" s="1871"/>
      <c r="L234" s="1871"/>
    </row>
    <row r="235" spans="1:12" hidden="1">
      <c r="A235" s="245"/>
      <c r="B235" s="245"/>
      <c r="C235" s="49" t="str">
        <f t="shared" ca="1" si="19"/>
        <v/>
      </c>
      <c r="D235" s="55" cm="1">
        <f t="array" aca="1" ref="D235:G235" ca="1">D97:G97</f>
        <v>17</v>
      </c>
      <c r="E235" s="58">
        <f ca="1"/>
        <v>2038</v>
      </c>
      <c r="F235" s="58">
        <f ca="1"/>
        <v>70</v>
      </c>
      <c r="G235" s="58">
        <f ca="1"/>
        <v>68</v>
      </c>
      <c r="H235" s="61">
        <f t="shared" ca="1" si="20"/>
        <v>0</v>
      </c>
      <c r="K235" s="1871"/>
      <c r="L235" s="1871"/>
    </row>
    <row r="236" spans="1:12" hidden="1">
      <c r="A236" s="245"/>
      <c r="B236" s="245"/>
      <c r="C236" s="51" t="str">
        <f t="shared" ca="1" si="19"/>
        <v/>
      </c>
      <c r="D236" s="56" cm="1">
        <f t="array" aca="1" ref="D236:G236" ca="1">D98:G98</f>
        <v>18</v>
      </c>
      <c r="E236" s="59">
        <f ca="1"/>
        <v>2039</v>
      </c>
      <c r="F236" s="59">
        <f ca="1"/>
        <v>71</v>
      </c>
      <c r="G236" s="59">
        <f ca="1"/>
        <v>69</v>
      </c>
      <c r="H236" s="62">
        <f t="shared" ca="1" si="20"/>
        <v>0</v>
      </c>
      <c r="K236" s="1871"/>
      <c r="L236" s="1871"/>
    </row>
    <row r="237" spans="1:12" hidden="1">
      <c r="A237" s="245"/>
      <c r="B237" s="245"/>
      <c r="C237" s="49" t="str">
        <f t="shared" ca="1" si="19"/>
        <v/>
      </c>
      <c r="D237" s="55" cm="1">
        <f t="array" aca="1" ref="D237:G237" ca="1">D99:G99</f>
        <v>19</v>
      </c>
      <c r="E237" s="58">
        <f ca="1"/>
        <v>2040</v>
      </c>
      <c r="F237" s="58">
        <f ca="1"/>
        <v>72</v>
      </c>
      <c r="G237" s="58">
        <f ca="1"/>
        <v>70</v>
      </c>
      <c r="H237" s="61">
        <f t="shared" ca="1" si="20"/>
        <v>0</v>
      </c>
      <c r="K237" s="1871"/>
      <c r="L237" s="1871"/>
    </row>
    <row r="238" spans="1:12" hidden="1">
      <c r="A238" s="245"/>
      <c r="B238" s="245"/>
      <c r="C238" s="51" t="str">
        <f t="shared" ca="1" si="19"/>
        <v/>
      </c>
      <c r="D238" s="56" cm="1">
        <f t="array" aca="1" ref="D238:G238" ca="1">D100:G100</f>
        <v>20</v>
      </c>
      <c r="E238" s="59">
        <f ca="1"/>
        <v>2041</v>
      </c>
      <c r="F238" s="59">
        <f ca="1"/>
        <v>73</v>
      </c>
      <c r="G238" s="59">
        <f ca="1"/>
        <v>71</v>
      </c>
      <c r="H238" s="62">
        <f t="shared" ca="1" si="20"/>
        <v>0</v>
      </c>
      <c r="K238" s="1871"/>
      <c r="L238" s="1871"/>
    </row>
    <row r="239" spans="1:12" hidden="1">
      <c r="A239" s="245"/>
      <c r="B239" s="245"/>
      <c r="C239" s="49" t="str">
        <f t="shared" ca="1" si="19"/>
        <v/>
      </c>
      <c r="D239" s="55" cm="1">
        <f t="array" aca="1" ref="D239:G239" ca="1">D101:G101</f>
        <v>21</v>
      </c>
      <c r="E239" s="58">
        <f ca="1"/>
        <v>2042</v>
      </c>
      <c r="F239" s="58">
        <f ca="1"/>
        <v>74</v>
      </c>
      <c r="G239" s="58">
        <f ca="1"/>
        <v>72</v>
      </c>
      <c r="H239" s="61">
        <f t="shared" ca="1" si="20"/>
        <v>0</v>
      </c>
      <c r="K239" s="1871"/>
      <c r="L239" s="1871"/>
    </row>
    <row r="240" spans="1:12" hidden="1">
      <c r="A240" s="245"/>
      <c r="B240" s="245"/>
      <c r="C240" s="51" t="str">
        <f t="shared" ref="C240:C251" ca="1" si="21">C102</f>
        <v/>
      </c>
      <c r="D240" s="56" cm="1">
        <f t="array" aca="1" ref="D240:G240" ca="1">D102:G102</f>
        <v>22</v>
      </c>
      <c r="E240" s="59">
        <f ca="1"/>
        <v>2043</v>
      </c>
      <c r="F240" s="59">
        <f ca="1"/>
        <v>75</v>
      </c>
      <c r="G240" s="59">
        <f ca="1"/>
        <v>73</v>
      </c>
      <c r="H240" s="62">
        <f t="shared" ca="1" si="20"/>
        <v>0</v>
      </c>
      <c r="K240" s="1871"/>
      <c r="L240" s="1871"/>
    </row>
    <row r="241" spans="1:12" hidden="1">
      <c r="A241" s="245"/>
      <c r="B241" s="245"/>
      <c r="C241" s="49" t="str">
        <f t="shared" ca="1" si="21"/>
        <v/>
      </c>
      <c r="D241" s="55" cm="1">
        <f t="array" aca="1" ref="D241:G241" ca="1">D103:G103</f>
        <v>23</v>
      </c>
      <c r="E241" s="58">
        <f ca="1"/>
        <v>2044</v>
      </c>
      <c r="F241" s="58">
        <f ca="1"/>
        <v>76</v>
      </c>
      <c r="G241" s="58">
        <f ca="1"/>
        <v>74</v>
      </c>
      <c r="H241" s="61">
        <f t="shared" ca="1" si="20"/>
        <v>0</v>
      </c>
      <c r="K241" s="1871"/>
      <c r="L241" s="1871"/>
    </row>
    <row r="242" spans="1:12" hidden="1">
      <c r="A242" s="245"/>
      <c r="B242" s="245"/>
      <c r="C242" s="51" t="str">
        <f t="shared" ca="1" si="21"/>
        <v/>
      </c>
      <c r="D242" s="56" cm="1">
        <f t="array" aca="1" ref="D242:G242" ca="1">D104:G104</f>
        <v>24</v>
      </c>
      <c r="E242" s="59">
        <f ca="1"/>
        <v>2045</v>
      </c>
      <c r="F242" s="59">
        <f ca="1"/>
        <v>77</v>
      </c>
      <c r="G242" s="59">
        <f ca="1"/>
        <v>75</v>
      </c>
      <c r="H242" s="62">
        <f t="shared" ca="1" si="20"/>
        <v>0</v>
      </c>
      <c r="K242" s="1871"/>
      <c r="L242" s="1871"/>
    </row>
    <row r="243" spans="1:12" hidden="1">
      <c r="A243" s="245"/>
      <c r="B243" s="245"/>
      <c r="C243" s="49" t="str">
        <f t="shared" ca="1" si="21"/>
        <v/>
      </c>
      <c r="D243" s="55" cm="1">
        <f t="array" aca="1" ref="D243:G243" ca="1">D105:G105</f>
        <v>25</v>
      </c>
      <c r="E243" s="58">
        <f ca="1"/>
        <v>2046</v>
      </c>
      <c r="F243" s="58">
        <f ca="1"/>
        <v>78</v>
      </c>
      <c r="G243" s="58">
        <f ca="1"/>
        <v>76</v>
      </c>
      <c r="H243" s="61">
        <f t="shared" ca="1" si="20"/>
        <v>0</v>
      </c>
      <c r="K243" s="1871"/>
      <c r="L243" s="1871"/>
    </row>
    <row r="244" spans="1:12" hidden="1">
      <c r="A244" s="245"/>
      <c r="B244" s="245"/>
      <c r="C244" s="51" t="str">
        <f t="shared" ca="1" si="21"/>
        <v/>
      </c>
      <c r="D244" s="56" cm="1">
        <f t="array" aca="1" ref="D244:G244" ca="1">D106:G106</f>
        <v>26</v>
      </c>
      <c r="E244" s="59">
        <f ca="1"/>
        <v>2047</v>
      </c>
      <c r="F244" s="59">
        <f ca="1"/>
        <v>79</v>
      </c>
      <c r="G244" s="59">
        <f ca="1"/>
        <v>77</v>
      </c>
      <c r="H244" s="62">
        <f t="shared" ca="1" si="20"/>
        <v>0</v>
      </c>
      <c r="K244" s="1871"/>
      <c r="L244" s="1871"/>
    </row>
    <row r="245" spans="1:12" hidden="1">
      <c r="A245" s="245"/>
      <c r="B245" s="245"/>
      <c r="C245" s="49" t="str">
        <f t="shared" ca="1" si="21"/>
        <v/>
      </c>
      <c r="D245" s="55" cm="1">
        <f t="array" aca="1" ref="D245:G245" ca="1">D107:G107</f>
        <v>27</v>
      </c>
      <c r="E245" s="58">
        <f ca="1"/>
        <v>2048</v>
      </c>
      <c r="F245" s="58">
        <f ca="1"/>
        <v>80</v>
      </c>
      <c r="G245" s="58">
        <f ca="1"/>
        <v>78</v>
      </c>
      <c r="H245" s="61">
        <f t="shared" ca="1" si="20"/>
        <v>0</v>
      </c>
      <c r="K245" s="1871"/>
      <c r="L245" s="1871"/>
    </row>
    <row r="246" spans="1:12" hidden="1">
      <c r="A246" s="245"/>
      <c r="B246" s="245"/>
      <c r="C246" s="51" t="str">
        <f t="shared" ca="1" si="21"/>
        <v/>
      </c>
      <c r="D246" s="56" cm="1">
        <f t="array" aca="1" ref="D246:G246" ca="1">D108:G108</f>
        <v>28</v>
      </c>
      <c r="E246" s="59">
        <f ca="1"/>
        <v>2049</v>
      </c>
      <c r="F246" s="59">
        <f ca="1"/>
        <v>81</v>
      </c>
      <c r="G246" s="59">
        <f ca="1"/>
        <v>79</v>
      </c>
      <c r="H246" s="62">
        <f t="shared" ca="1" si="20"/>
        <v>0</v>
      </c>
      <c r="K246" s="1871"/>
      <c r="L246" s="1871"/>
    </row>
    <row r="247" spans="1:12" hidden="1">
      <c r="A247" s="245"/>
      <c r="B247" s="245"/>
      <c r="C247" s="49" t="str">
        <f t="shared" ca="1" si="21"/>
        <v>Home sold</v>
      </c>
      <c r="D247" s="55" cm="1">
        <f t="array" aca="1" ref="D247:G247" ca="1">D109:G109</f>
        <v>29</v>
      </c>
      <c r="E247" s="58">
        <f ca="1"/>
        <v>2050</v>
      </c>
      <c r="F247" s="58">
        <f ca="1"/>
        <v>82</v>
      </c>
      <c r="G247" s="58">
        <f ca="1"/>
        <v>80</v>
      </c>
      <c r="H247" s="61">
        <f t="shared" ca="1" si="20"/>
        <v>0</v>
      </c>
      <c r="K247" s="1871"/>
      <c r="L247" s="1871"/>
    </row>
    <row r="248" spans="1:12" hidden="1">
      <c r="A248" s="245"/>
      <c r="B248" s="245"/>
      <c r="C248" s="51" t="str">
        <f t="shared" ca="1" si="21"/>
        <v/>
      </c>
      <c r="D248" s="56" cm="1">
        <f t="array" aca="1" ref="D248:G248" ca="1">D110:G110</f>
        <v>30</v>
      </c>
      <c r="E248" s="59">
        <f ca="1"/>
        <v>2051</v>
      </c>
      <c r="F248" s="59">
        <f ca="1"/>
        <v>83</v>
      </c>
      <c r="G248" s="59">
        <f ca="1"/>
        <v>81</v>
      </c>
      <c r="H248" s="62">
        <f t="shared" ca="1" si="20"/>
        <v>0</v>
      </c>
      <c r="K248" s="1871"/>
      <c r="L248" s="1871"/>
    </row>
    <row r="249" spans="1:12" hidden="1">
      <c r="A249" s="245"/>
      <c r="B249" s="245"/>
      <c r="C249" s="49" t="str">
        <f t="shared" ca="1" si="21"/>
        <v/>
      </c>
      <c r="D249" s="55" cm="1">
        <f t="array" aca="1" ref="D249:G249" ca="1">D111:G111</f>
        <v>31</v>
      </c>
      <c r="E249" s="58">
        <f ca="1"/>
        <v>2052</v>
      </c>
      <c r="F249" s="58">
        <f ca="1"/>
        <v>84</v>
      </c>
      <c r="G249" s="58">
        <f ca="1"/>
        <v>82</v>
      </c>
      <c r="H249" s="61">
        <f t="shared" ca="1" si="20"/>
        <v>0</v>
      </c>
      <c r="K249" s="1871"/>
      <c r="L249" s="1871"/>
    </row>
    <row r="250" spans="1:12" hidden="1">
      <c r="A250" s="245"/>
      <c r="B250" s="245"/>
      <c r="C250" s="51" t="str">
        <f t="shared" ca="1" si="21"/>
        <v/>
      </c>
      <c r="D250" s="56" cm="1">
        <f t="array" aca="1" ref="D250:G250" ca="1">D112:G112</f>
        <v>32</v>
      </c>
      <c r="E250" s="59">
        <f ca="1"/>
        <v>2053</v>
      </c>
      <c r="F250" s="59">
        <f ca="1"/>
        <v>85</v>
      </c>
      <c r="G250" s="59">
        <f ca="1"/>
        <v>83</v>
      </c>
      <c r="H250" s="62">
        <f t="shared" ca="1" si="20"/>
        <v>0</v>
      </c>
      <c r="K250" s="1871"/>
      <c r="L250" s="1871"/>
    </row>
    <row r="251" spans="1:12" hidden="1">
      <c r="A251" s="245"/>
      <c r="B251" s="245"/>
      <c r="C251" s="49" t="str">
        <f t="shared" ca="1" si="21"/>
        <v/>
      </c>
      <c r="D251" s="55" cm="1">
        <f t="array" aca="1" ref="D251:G251" ca="1">D113:G113</f>
        <v>33</v>
      </c>
      <c r="E251" s="58">
        <f ca="1"/>
        <v>2054</v>
      </c>
      <c r="F251" s="58">
        <f ca="1"/>
        <v>86</v>
      </c>
      <c r="G251" s="58">
        <f ca="1"/>
        <v>84</v>
      </c>
      <c r="H251" s="61">
        <f t="shared" ca="1" si="20"/>
        <v>0</v>
      </c>
      <c r="K251" s="1871"/>
      <c r="L251" s="1871"/>
    </row>
    <row r="252" spans="1:12" hidden="1">
      <c r="A252" s="245"/>
      <c r="B252" s="245"/>
      <c r="C252" s="51"/>
      <c r="D252" s="56" cm="1">
        <f t="array" aca="1" ref="D252:G252" ca="1">D114:G114</f>
        <v>34</v>
      </c>
      <c r="E252" s="59">
        <f ca="1"/>
        <v>2055</v>
      </c>
      <c r="F252" s="59">
        <f ca="1"/>
        <v>87</v>
      </c>
      <c r="G252" s="59">
        <f ca="1"/>
        <v>85</v>
      </c>
      <c r="H252" s="62">
        <f t="shared" ref="H252:H283" ca="1" si="22">IF(E252&gt;$I$214, H251+(H251*$I$213), IF(E252=$I$214, $I$46, 0)  )</f>
        <v>0</v>
      </c>
      <c r="K252" s="1871"/>
      <c r="L252" s="1871"/>
    </row>
    <row r="253" spans="1:12" hidden="1">
      <c r="A253" s="245"/>
      <c r="B253" s="245"/>
      <c r="C253" s="49"/>
      <c r="D253" s="55" cm="1">
        <f t="array" aca="1" ref="D253:G253" ca="1">D115:G115</f>
        <v>35</v>
      </c>
      <c r="E253" s="58">
        <f ca="1"/>
        <v>2056</v>
      </c>
      <c r="F253" s="58">
        <f ca="1"/>
        <v>88</v>
      </c>
      <c r="G253" s="58">
        <f ca="1"/>
        <v>86</v>
      </c>
      <c r="H253" s="61">
        <f t="shared" ca="1" si="22"/>
        <v>0</v>
      </c>
      <c r="K253" s="1871"/>
      <c r="L253" s="1871"/>
    </row>
    <row r="254" spans="1:12" hidden="1">
      <c r="A254" s="245"/>
      <c r="B254" s="245"/>
      <c r="C254" s="51"/>
      <c r="D254" s="56" cm="1">
        <f t="array" aca="1" ref="D254:G254" ca="1">D116:G116</f>
        <v>36</v>
      </c>
      <c r="E254" s="59">
        <f ca="1"/>
        <v>2057</v>
      </c>
      <c r="F254" s="59">
        <f ca="1"/>
        <v>89</v>
      </c>
      <c r="G254" s="59">
        <f ca="1"/>
        <v>87</v>
      </c>
      <c r="H254" s="62">
        <f t="shared" ca="1" si="22"/>
        <v>0</v>
      </c>
      <c r="K254" s="1871"/>
      <c r="L254" s="1871"/>
    </row>
    <row r="255" spans="1:12" hidden="1">
      <c r="A255" s="245"/>
      <c r="B255" s="245"/>
      <c r="C255" s="49"/>
      <c r="D255" s="55" cm="1">
        <f t="array" aca="1" ref="D255:G255" ca="1">D117:G117</f>
        <v>37</v>
      </c>
      <c r="E255" s="58">
        <f ca="1"/>
        <v>2058</v>
      </c>
      <c r="F255" s="58">
        <f ca="1"/>
        <v>90</v>
      </c>
      <c r="G255" s="58">
        <f ca="1"/>
        <v>88</v>
      </c>
      <c r="H255" s="61">
        <f t="shared" ca="1" si="22"/>
        <v>0</v>
      </c>
      <c r="K255" s="1871"/>
      <c r="L255" s="1871"/>
    </row>
    <row r="256" spans="1:12" hidden="1">
      <c r="A256" s="245"/>
      <c r="B256" s="245"/>
      <c r="C256" s="51"/>
      <c r="D256" s="56" cm="1">
        <f t="array" aca="1" ref="D256:G256" ca="1">D118:G118</f>
        <v>38</v>
      </c>
      <c r="E256" s="59">
        <f ca="1"/>
        <v>2059</v>
      </c>
      <c r="F256" s="59">
        <f ca="1"/>
        <v>91</v>
      </c>
      <c r="G256" s="59">
        <f ca="1"/>
        <v>89</v>
      </c>
      <c r="H256" s="62">
        <f t="shared" ca="1" si="22"/>
        <v>0</v>
      </c>
      <c r="K256" s="1871"/>
      <c r="L256" s="1871"/>
    </row>
    <row r="257" spans="1:12" hidden="1">
      <c r="A257" s="245"/>
      <c r="B257" s="245"/>
      <c r="C257" s="49"/>
      <c r="D257" s="55" cm="1">
        <f t="array" aca="1" ref="D257:G257" ca="1">D119:G119</f>
        <v>39</v>
      </c>
      <c r="E257" s="58">
        <f ca="1"/>
        <v>2060</v>
      </c>
      <c r="F257" s="58">
        <f ca="1"/>
        <v>92</v>
      </c>
      <c r="G257" s="58">
        <f ca="1"/>
        <v>90</v>
      </c>
      <c r="H257" s="61">
        <f t="shared" ca="1" si="22"/>
        <v>0</v>
      </c>
      <c r="K257" s="1871"/>
      <c r="L257" s="1871"/>
    </row>
    <row r="258" spans="1:12" hidden="1">
      <c r="A258" s="245"/>
      <c r="B258" s="245"/>
      <c r="C258" s="51"/>
      <c r="D258" s="56" cm="1">
        <f t="array" aca="1" ref="D258:G258" ca="1">D120:G120</f>
        <v>40</v>
      </c>
      <c r="E258" s="59">
        <f ca="1"/>
        <v>2061</v>
      </c>
      <c r="F258" s="59">
        <f ca="1"/>
        <v>93</v>
      </c>
      <c r="G258" s="59">
        <f ca="1"/>
        <v>91</v>
      </c>
      <c r="H258" s="62">
        <f t="shared" ca="1" si="22"/>
        <v>0</v>
      </c>
      <c r="K258" s="1871"/>
      <c r="L258" s="1871"/>
    </row>
    <row r="259" spans="1:12" hidden="1">
      <c r="A259" s="245"/>
      <c r="B259" s="245"/>
      <c r="C259" s="49"/>
      <c r="D259" s="55" cm="1">
        <f t="array" aca="1" ref="D259:G259" ca="1">D121:G121</f>
        <v>41</v>
      </c>
      <c r="E259" s="58">
        <f ca="1"/>
        <v>2062</v>
      </c>
      <c r="F259" s="58">
        <f ca="1"/>
        <v>94</v>
      </c>
      <c r="G259" s="58">
        <f ca="1"/>
        <v>92</v>
      </c>
      <c r="H259" s="61">
        <f t="shared" ca="1" si="22"/>
        <v>0</v>
      </c>
      <c r="K259" s="1871"/>
      <c r="L259" s="1871"/>
    </row>
    <row r="260" spans="1:12" hidden="1">
      <c r="A260" s="245"/>
      <c r="B260" s="245"/>
      <c r="C260" s="51"/>
      <c r="D260" s="56" cm="1">
        <f t="array" aca="1" ref="D260:G260" ca="1">D122:G122</f>
        <v>42</v>
      </c>
      <c r="E260" s="59">
        <f ca="1"/>
        <v>2063</v>
      </c>
      <c r="F260" s="59">
        <f ca="1"/>
        <v>95</v>
      </c>
      <c r="G260" s="59">
        <f ca="1"/>
        <v>93</v>
      </c>
      <c r="H260" s="62">
        <f t="shared" ca="1" si="22"/>
        <v>0</v>
      </c>
      <c r="K260" s="1871"/>
      <c r="L260" s="1871"/>
    </row>
    <row r="261" spans="1:12" hidden="1">
      <c r="A261" s="245"/>
      <c r="B261" s="245"/>
      <c r="C261" s="49"/>
      <c r="D261" s="55" cm="1">
        <f t="array" aca="1" ref="D261:G261" ca="1">D123:G123</f>
        <v>43</v>
      </c>
      <c r="E261" s="58">
        <f ca="1"/>
        <v>2064</v>
      </c>
      <c r="F261" s="58">
        <f ca="1"/>
        <v>96</v>
      </c>
      <c r="G261" s="58">
        <f ca="1"/>
        <v>94</v>
      </c>
      <c r="H261" s="61">
        <f t="shared" ca="1" si="22"/>
        <v>0</v>
      </c>
      <c r="K261" s="1871"/>
      <c r="L261" s="1871"/>
    </row>
    <row r="262" spans="1:12" hidden="1">
      <c r="A262" s="245"/>
      <c r="B262" s="245"/>
      <c r="C262" s="51"/>
      <c r="D262" s="56" cm="1">
        <f t="array" aca="1" ref="D262:G262" ca="1">D124:G124</f>
        <v>44</v>
      </c>
      <c r="E262" s="59">
        <f ca="1"/>
        <v>2065</v>
      </c>
      <c r="F262" s="59">
        <f ca="1"/>
        <v>97</v>
      </c>
      <c r="G262" s="59">
        <f ca="1"/>
        <v>95</v>
      </c>
      <c r="H262" s="62">
        <f t="shared" ca="1" si="22"/>
        <v>0</v>
      </c>
      <c r="K262" s="1871"/>
      <c r="L262" s="1871"/>
    </row>
    <row r="263" spans="1:12" hidden="1">
      <c r="A263" s="245"/>
      <c r="B263" s="245"/>
      <c r="C263" s="49"/>
      <c r="D263" s="55" cm="1">
        <f t="array" aca="1" ref="D263:G263" ca="1">D125:G125</f>
        <v>45</v>
      </c>
      <c r="E263" s="58">
        <f ca="1"/>
        <v>2066</v>
      </c>
      <c r="F263" s="58">
        <f ca="1"/>
        <v>98</v>
      </c>
      <c r="G263" s="58">
        <f ca="1"/>
        <v>96</v>
      </c>
      <c r="H263" s="61">
        <f t="shared" ca="1" si="22"/>
        <v>0</v>
      </c>
      <c r="K263" s="1871"/>
      <c r="L263" s="1871"/>
    </row>
    <row r="264" spans="1:12" hidden="1">
      <c r="A264" s="245"/>
      <c r="B264" s="245"/>
      <c r="C264" s="51"/>
      <c r="D264" s="56" cm="1">
        <f t="array" aca="1" ref="D264:G264" ca="1">D126:G126</f>
        <v>46</v>
      </c>
      <c r="E264" s="59">
        <f ca="1"/>
        <v>2067</v>
      </c>
      <c r="F264" s="59">
        <f ca="1"/>
        <v>99</v>
      </c>
      <c r="G264" s="59">
        <f ca="1"/>
        <v>97</v>
      </c>
      <c r="H264" s="62">
        <f t="shared" ca="1" si="22"/>
        <v>0</v>
      </c>
      <c r="K264" s="1871"/>
      <c r="L264" s="1871"/>
    </row>
    <row r="265" spans="1:12" hidden="1">
      <c r="A265" s="245"/>
      <c r="B265" s="245"/>
      <c r="C265" s="49"/>
      <c r="D265" s="55" cm="1">
        <f t="array" aca="1" ref="D265:G265" ca="1">D127:G127</f>
        <v>47</v>
      </c>
      <c r="E265" s="58">
        <f ca="1"/>
        <v>2068</v>
      </c>
      <c r="F265" s="58">
        <f ca="1"/>
        <v>100</v>
      </c>
      <c r="G265" s="58">
        <f ca="1"/>
        <v>98</v>
      </c>
      <c r="H265" s="61">
        <f t="shared" ca="1" si="22"/>
        <v>0</v>
      </c>
      <c r="K265" s="1871"/>
      <c r="L265" s="1871"/>
    </row>
    <row r="266" spans="1:12" hidden="1">
      <c r="A266" s="245"/>
      <c r="B266" s="245"/>
      <c r="C266" s="51"/>
      <c r="D266" s="56" cm="1">
        <f t="array" aca="1" ref="D266:G266" ca="1">D128:G128</f>
        <v>48</v>
      </c>
      <c r="E266" s="59">
        <f ca="1"/>
        <v>2069</v>
      </c>
      <c r="F266" s="59">
        <f ca="1"/>
        <v>101</v>
      </c>
      <c r="G266" s="59">
        <f ca="1"/>
        <v>99</v>
      </c>
      <c r="H266" s="62">
        <f t="shared" ca="1" si="22"/>
        <v>0</v>
      </c>
      <c r="K266" s="1871"/>
      <c r="L266" s="1871"/>
    </row>
    <row r="267" spans="1:12" hidden="1">
      <c r="A267" s="245"/>
      <c r="B267" s="245"/>
      <c r="C267" s="49"/>
      <c r="D267" s="55" cm="1">
        <f t="array" aca="1" ref="D267:G267" ca="1">D129:G129</f>
        <v>49</v>
      </c>
      <c r="E267" s="58">
        <f ca="1"/>
        <v>2070</v>
      </c>
      <c r="F267" s="58">
        <f ca="1"/>
        <v>102</v>
      </c>
      <c r="G267" s="58">
        <f ca="1"/>
        <v>100</v>
      </c>
      <c r="H267" s="61">
        <f t="shared" ca="1" si="22"/>
        <v>0</v>
      </c>
      <c r="K267" s="1871"/>
      <c r="L267" s="1871"/>
    </row>
    <row r="268" spans="1:12" hidden="1">
      <c r="A268" s="245"/>
      <c r="B268" s="245"/>
      <c r="C268" s="51"/>
      <c r="D268" s="56" cm="1">
        <f t="array" aca="1" ref="D268:G268" ca="1">D130:G130</f>
        <v>50</v>
      </c>
      <c r="E268" s="59">
        <f ca="1"/>
        <v>2071</v>
      </c>
      <c r="F268" s="59">
        <f ca="1"/>
        <v>103</v>
      </c>
      <c r="G268" s="59">
        <f ca="1"/>
        <v>101</v>
      </c>
      <c r="H268" s="62">
        <f t="shared" ca="1" si="22"/>
        <v>0</v>
      </c>
      <c r="K268" s="1871"/>
      <c r="L268" s="1871"/>
    </row>
    <row r="269" spans="1:12" hidden="1">
      <c r="A269" s="245"/>
      <c r="B269" s="245"/>
      <c r="C269" s="49"/>
      <c r="D269" s="55" cm="1">
        <f t="array" aca="1" ref="D269:G269" ca="1">D131:G131</f>
        <v>51</v>
      </c>
      <c r="E269" s="58">
        <f ca="1"/>
        <v>2072</v>
      </c>
      <c r="F269" s="58">
        <f ca="1"/>
        <v>104</v>
      </c>
      <c r="G269" s="58">
        <f ca="1"/>
        <v>102</v>
      </c>
      <c r="H269" s="61">
        <f t="shared" ca="1" si="22"/>
        <v>0</v>
      </c>
      <c r="K269" s="1871"/>
      <c r="L269" s="1871"/>
    </row>
    <row r="270" spans="1:12" hidden="1">
      <c r="A270" s="245"/>
      <c r="B270" s="245"/>
      <c r="C270" s="51"/>
      <c r="D270" s="56" cm="1">
        <f t="array" aca="1" ref="D270:G270" ca="1">D132:G132</f>
        <v>52</v>
      </c>
      <c r="E270" s="59">
        <f ca="1"/>
        <v>2073</v>
      </c>
      <c r="F270" s="59">
        <f ca="1"/>
        <v>105</v>
      </c>
      <c r="G270" s="59">
        <f ca="1"/>
        <v>103</v>
      </c>
      <c r="H270" s="62">
        <f t="shared" ca="1" si="22"/>
        <v>0</v>
      </c>
      <c r="K270" s="1871"/>
      <c r="L270" s="1871"/>
    </row>
    <row r="271" spans="1:12" hidden="1">
      <c r="A271" s="245"/>
      <c r="B271" s="245"/>
      <c r="C271" s="49"/>
      <c r="D271" s="55" cm="1">
        <f t="array" aca="1" ref="D271:G271" ca="1">D133:G133</f>
        <v>53</v>
      </c>
      <c r="E271" s="58">
        <f ca="1"/>
        <v>2074</v>
      </c>
      <c r="F271" s="58">
        <f ca="1"/>
        <v>106</v>
      </c>
      <c r="G271" s="58">
        <f ca="1"/>
        <v>104</v>
      </c>
      <c r="H271" s="61">
        <f t="shared" ca="1" si="22"/>
        <v>0</v>
      </c>
      <c r="K271" s="1871"/>
      <c r="L271" s="1871"/>
    </row>
    <row r="272" spans="1:12" hidden="1">
      <c r="A272" s="245"/>
      <c r="B272" s="245"/>
      <c r="C272" s="51"/>
      <c r="D272" s="56" cm="1">
        <f t="array" aca="1" ref="D272:G272" ca="1">D134:G134</f>
        <v>54</v>
      </c>
      <c r="E272" s="59">
        <f ca="1"/>
        <v>2075</v>
      </c>
      <c r="F272" s="59">
        <f ca="1"/>
        <v>107</v>
      </c>
      <c r="G272" s="59">
        <f ca="1"/>
        <v>105</v>
      </c>
      <c r="H272" s="62">
        <f t="shared" ca="1" si="22"/>
        <v>0</v>
      </c>
      <c r="K272" s="1871"/>
      <c r="L272" s="1871"/>
    </row>
    <row r="273" spans="1:12" hidden="1">
      <c r="A273" s="245"/>
      <c r="B273" s="245"/>
      <c r="C273" s="49"/>
      <c r="D273" s="55" cm="1">
        <f t="array" aca="1" ref="D273:G273" ca="1">D135:G135</f>
        <v>55</v>
      </c>
      <c r="E273" s="58">
        <f ca="1"/>
        <v>2076</v>
      </c>
      <c r="F273" s="58">
        <f ca="1"/>
        <v>108</v>
      </c>
      <c r="G273" s="58">
        <f ca="1"/>
        <v>106</v>
      </c>
      <c r="H273" s="61">
        <f t="shared" ca="1" si="22"/>
        <v>0</v>
      </c>
      <c r="K273" s="1871"/>
      <c r="L273" s="1871"/>
    </row>
    <row r="274" spans="1:12" hidden="1">
      <c r="A274" s="245"/>
      <c r="B274" s="245"/>
      <c r="C274" s="51"/>
      <c r="D274" s="56" cm="1">
        <f t="array" aca="1" ref="D274:G274" ca="1">D136:G136</f>
        <v>56</v>
      </c>
      <c r="E274" s="59">
        <f ca="1"/>
        <v>2077</v>
      </c>
      <c r="F274" s="59">
        <f ca="1"/>
        <v>109</v>
      </c>
      <c r="G274" s="59">
        <f ca="1"/>
        <v>107</v>
      </c>
      <c r="H274" s="62">
        <f t="shared" ca="1" si="22"/>
        <v>0</v>
      </c>
      <c r="K274" s="1871"/>
      <c r="L274" s="1871"/>
    </row>
    <row r="275" spans="1:12" hidden="1">
      <c r="A275" s="245"/>
      <c r="B275" s="245"/>
      <c r="C275" s="49"/>
      <c r="D275" s="55" cm="1">
        <f t="array" aca="1" ref="D275:G275" ca="1">D137:G137</f>
        <v>57</v>
      </c>
      <c r="E275" s="58">
        <f ca="1"/>
        <v>2078</v>
      </c>
      <c r="F275" s="58">
        <f ca="1"/>
        <v>110</v>
      </c>
      <c r="G275" s="58">
        <f ca="1"/>
        <v>108</v>
      </c>
      <c r="H275" s="61">
        <f t="shared" ca="1" si="22"/>
        <v>0</v>
      </c>
      <c r="K275" s="1871"/>
      <c r="L275" s="1871"/>
    </row>
    <row r="276" spans="1:12" hidden="1">
      <c r="A276" s="245"/>
      <c r="B276" s="245"/>
      <c r="C276" s="51"/>
      <c r="D276" s="56" cm="1">
        <f t="array" aca="1" ref="D276:G276" ca="1">D138:G138</f>
        <v>58</v>
      </c>
      <c r="E276" s="59">
        <f ca="1"/>
        <v>2079</v>
      </c>
      <c r="F276" s="59">
        <f ca="1"/>
        <v>111</v>
      </c>
      <c r="G276" s="59">
        <f ca="1"/>
        <v>109</v>
      </c>
      <c r="H276" s="62">
        <f t="shared" ca="1" si="22"/>
        <v>0</v>
      </c>
      <c r="K276" s="1871"/>
      <c r="L276" s="1871"/>
    </row>
    <row r="277" spans="1:12" hidden="1">
      <c r="A277" s="245"/>
      <c r="B277" s="245"/>
      <c r="C277" s="49"/>
      <c r="D277" s="55" cm="1">
        <f t="array" aca="1" ref="D277:G277" ca="1">D139:G139</f>
        <v>59</v>
      </c>
      <c r="E277" s="58">
        <f ca="1"/>
        <v>2080</v>
      </c>
      <c r="F277" s="58">
        <f ca="1"/>
        <v>112</v>
      </c>
      <c r="G277" s="58">
        <f ca="1"/>
        <v>110</v>
      </c>
      <c r="H277" s="61">
        <f t="shared" ca="1" si="22"/>
        <v>0</v>
      </c>
      <c r="K277" s="1871"/>
      <c r="L277" s="1871"/>
    </row>
    <row r="278" spans="1:12" hidden="1">
      <c r="A278" s="245"/>
      <c r="B278" s="245"/>
      <c r="C278" s="51"/>
      <c r="D278" s="56" cm="1">
        <f t="array" aca="1" ref="D278:G278" ca="1">D140:G140</f>
        <v>60</v>
      </c>
      <c r="E278" s="59">
        <f ca="1"/>
        <v>2081</v>
      </c>
      <c r="F278" s="59">
        <f ca="1"/>
        <v>113</v>
      </c>
      <c r="G278" s="59">
        <f ca="1"/>
        <v>111</v>
      </c>
      <c r="H278" s="62">
        <f t="shared" ca="1" si="22"/>
        <v>0</v>
      </c>
      <c r="K278" s="1871"/>
      <c r="L278" s="1871"/>
    </row>
    <row r="279" spans="1:12" hidden="1">
      <c r="A279" s="245"/>
      <c r="B279" s="245"/>
      <c r="C279" s="49"/>
      <c r="D279" s="55" cm="1">
        <f t="array" aca="1" ref="D279:G279" ca="1">D141:G141</f>
        <v>61</v>
      </c>
      <c r="E279" s="58">
        <f ca="1"/>
        <v>2082</v>
      </c>
      <c r="F279" s="58">
        <f ca="1"/>
        <v>114</v>
      </c>
      <c r="G279" s="58">
        <f ca="1"/>
        <v>112</v>
      </c>
      <c r="H279" s="61">
        <f t="shared" ca="1" si="22"/>
        <v>0</v>
      </c>
      <c r="K279" s="1871"/>
      <c r="L279" s="1871"/>
    </row>
    <row r="280" spans="1:12" hidden="1">
      <c r="A280" s="245"/>
      <c r="B280" s="245"/>
      <c r="C280" s="51"/>
      <c r="D280" s="56" cm="1">
        <f t="array" aca="1" ref="D280:G280" ca="1">D142:G142</f>
        <v>62</v>
      </c>
      <c r="E280" s="59">
        <f ca="1"/>
        <v>2083</v>
      </c>
      <c r="F280" s="59">
        <f ca="1"/>
        <v>115</v>
      </c>
      <c r="G280" s="59">
        <f ca="1"/>
        <v>113</v>
      </c>
      <c r="H280" s="62">
        <f t="shared" ca="1" si="22"/>
        <v>0</v>
      </c>
      <c r="K280" s="1871"/>
      <c r="L280" s="1871"/>
    </row>
    <row r="281" spans="1:12" hidden="1">
      <c r="A281" s="245"/>
      <c r="B281" s="245"/>
      <c r="C281" s="49"/>
      <c r="D281" s="55" cm="1">
        <f t="array" aca="1" ref="D281:G281" ca="1">D143:G143</f>
        <v>63</v>
      </c>
      <c r="E281" s="58">
        <f ca="1"/>
        <v>2084</v>
      </c>
      <c r="F281" s="58">
        <f ca="1"/>
        <v>116</v>
      </c>
      <c r="G281" s="58">
        <f ca="1"/>
        <v>114</v>
      </c>
      <c r="H281" s="61">
        <f t="shared" ca="1" si="22"/>
        <v>0</v>
      </c>
      <c r="K281" s="1871"/>
      <c r="L281" s="1871"/>
    </row>
    <row r="282" spans="1:12" hidden="1">
      <c r="A282" s="245"/>
      <c r="B282" s="245"/>
      <c r="C282" s="51"/>
      <c r="D282" s="56" cm="1">
        <f t="array" aca="1" ref="D282:G282" ca="1">D144:G144</f>
        <v>64</v>
      </c>
      <c r="E282" s="59">
        <f ca="1"/>
        <v>2085</v>
      </c>
      <c r="F282" s="59">
        <f ca="1"/>
        <v>117</v>
      </c>
      <c r="G282" s="59">
        <f ca="1"/>
        <v>115</v>
      </c>
      <c r="H282" s="62">
        <f t="shared" ca="1" si="22"/>
        <v>0</v>
      </c>
      <c r="K282" s="1871"/>
      <c r="L282" s="1871"/>
    </row>
    <row r="283" spans="1:12" hidden="1">
      <c r="A283" s="245"/>
      <c r="B283" s="245"/>
      <c r="C283" s="49"/>
      <c r="D283" s="55" cm="1">
        <f t="array" aca="1" ref="D283:G283" ca="1">D145:G145</f>
        <v>65</v>
      </c>
      <c r="E283" s="58">
        <f ca="1"/>
        <v>2086</v>
      </c>
      <c r="F283" s="58">
        <f ca="1"/>
        <v>118</v>
      </c>
      <c r="G283" s="58">
        <f ca="1"/>
        <v>116</v>
      </c>
      <c r="H283" s="61">
        <f t="shared" ca="1" si="22"/>
        <v>0</v>
      </c>
      <c r="K283" s="1871"/>
      <c r="L283" s="1871"/>
    </row>
    <row r="284" spans="1:12" hidden="1">
      <c r="A284" s="245"/>
      <c r="B284" s="245"/>
      <c r="C284" s="51"/>
      <c r="D284" s="56" cm="1">
        <f t="array" aca="1" ref="D284:G284" ca="1">D146:G146</f>
        <v>66</v>
      </c>
      <c r="E284" s="59">
        <f ca="1"/>
        <v>2087</v>
      </c>
      <c r="F284" s="59">
        <f ca="1"/>
        <v>119</v>
      </c>
      <c r="G284" s="59">
        <f ca="1"/>
        <v>117</v>
      </c>
      <c r="H284" s="62">
        <f t="shared" ref="H284:H315" ca="1" si="23">IF(E284&gt;$I$214, H283+(H283*$I$213), IF(E284=$I$214, $I$46, 0)  )</f>
        <v>0</v>
      </c>
      <c r="K284" s="1871"/>
      <c r="L284" s="1871"/>
    </row>
    <row r="285" spans="1:12" hidden="1">
      <c r="A285" s="245"/>
      <c r="B285" s="245"/>
      <c r="C285" s="49"/>
      <c r="D285" s="55" cm="1">
        <f t="array" aca="1" ref="D285:G285" ca="1">D147:G147</f>
        <v>67</v>
      </c>
      <c r="E285" s="58">
        <f ca="1"/>
        <v>2088</v>
      </c>
      <c r="F285" s="58">
        <f ca="1"/>
        <v>120</v>
      </c>
      <c r="G285" s="58">
        <f ca="1"/>
        <v>118</v>
      </c>
      <c r="H285" s="61">
        <f t="shared" ca="1" si="23"/>
        <v>0</v>
      </c>
      <c r="K285" s="1871"/>
      <c r="L285" s="1871"/>
    </row>
    <row r="286" spans="1:12" hidden="1">
      <c r="A286" s="245"/>
      <c r="B286" s="245"/>
      <c r="C286" s="51"/>
      <c r="D286" s="56" cm="1">
        <f t="array" aca="1" ref="D286:G286" ca="1">D148:G148</f>
        <v>68</v>
      </c>
      <c r="E286" s="59">
        <f ca="1"/>
        <v>2089</v>
      </c>
      <c r="F286" s="59">
        <f ca="1"/>
        <v>121</v>
      </c>
      <c r="G286" s="59">
        <f ca="1"/>
        <v>119</v>
      </c>
      <c r="H286" s="62">
        <f t="shared" ca="1" si="23"/>
        <v>0</v>
      </c>
      <c r="K286" s="1871"/>
      <c r="L286" s="1871"/>
    </row>
    <row r="287" spans="1:12" hidden="1">
      <c r="A287" s="245"/>
      <c r="B287" s="245"/>
      <c r="C287" s="49"/>
      <c r="D287" s="55" cm="1">
        <f t="array" aca="1" ref="D287:G287" ca="1">D149:G149</f>
        <v>69</v>
      </c>
      <c r="E287" s="58">
        <f ca="1"/>
        <v>2090</v>
      </c>
      <c r="F287" s="58">
        <f ca="1"/>
        <v>122</v>
      </c>
      <c r="G287" s="58">
        <f ca="1"/>
        <v>120</v>
      </c>
      <c r="H287" s="61">
        <f t="shared" ca="1" si="23"/>
        <v>0</v>
      </c>
      <c r="K287" s="1871"/>
      <c r="L287" s="1871"/>
    </row>
    <row r="288" spans="1:12" hidden="1">
      <c r="A288" s="245"/>
      <c r="B288" s="245"/>
      <c r="C288" s="51"/>
      <c r="D288" s="56" cm="1">
        <f t="array" aca="1" ref="D288:G288" ca="1">D150:G150</f>
        <v>70</v>
      </c>
      <c r="E288" s="59">
        <f ca="1"/>
        <v>2091</v>
      </c>
      <c r="F288" s="59">
        <f ca="1"/>
        <v>123</v>
      </c>
      <c r="G288" s="59">
        <f ca="1"/>
        <v>121</v>
      </c>
      <c r="H288" s="62">
        <f t="shared" ca="1" si="23"/>
        <v>0</v>
      </c>
      <c r="K288" s="1871"/>
      <c r="L288" s="1871"/>
    </row>
    <row r="289" spans="1:12" hidden="1">
      <c r="A289" s="245"/>
      <c r="B289" s="245"/>
      <c r="C289" s="49"/>
      <c r="D289" s="55" cm="1">
        <f t="array" aca="1" ref="D289:G289" ca="1">D151:G151</f>
        <v>71</v>
      </c>
      <c r="E289" s="58">
        <f ca="1"/>
        <v>2092</v>
      </c>
      <c r="F289" s="58">
        <f ca="1"/>
        <v>124</v>
      </c>
      <c r="G289" s="58">
        <f ca="1"/>
        <v>122</v>
      </c>
      <c r="H289" s="61">
        <f t="shared" ca="1" si="23"/>
        <v>0</v>
      </c>
      <c r="K289" s="1871"/>
      <c r="L289" s="1871"/>
    </row>
    <row r="290" spans="1:12" hidden="1">
      <c r="A290" s="245"/>
      <c r="B290" s="245"/>
      <c r="C290" s="51"/>
      <c r="D290" s="56" cm="1">
        <f t="array" aca="1" ref="D290:G290" ca="1">D152:G152</f>
        <v>72</v>
      </c>
      <c r="E290" s="59">
        <f ca="1"/>
        <v>2093</v>
      </c>
      <c r="F290" s="59">
        <f ca="1"/>
        <v>125</v>
      </c>
      <c r="G290" s="59">
        <f ca="1"/>
        <v>123</v>
      </c>
      <c r="H290" s="62">
        <f t="shared" ca="1" si="23"/>
        <v>0</v>
      </c>
      <c r="K290" s="1871"/>
      <c r="L290" s="1871"/>
    </row>
    <row r="291" spans="1:12" hidden="1">
      <c r="A291" s="245"/>
      <c r="B291" s="245"/>
      <c r="C291" s="49"/>
      <c r="D291" s="55" cm="1">
        <f t="array" aca="1" ref="D291:G291" ca="1">D153:G153</f>
        <v>73</v>
      </c>
      <c r="E291" s="58">
        <f ca="1"/>
        <v>2094</v>
      </c>
      <c r="F291" s="58">
        <f ca="1"/>
        <v>126</v>
      </c>
      <c r="G291" s="58">
        <f ca="1"/>
        <v>124</v>
      </c>
      <c r="H291" s="61">
        <f t="shared" ca="1" si="23"/>
        <v>0</v>
      </c>
      <c r="K291" s="1871"/>
      <c r="L291" s="1871"/>
    </row>
    <row r="292" spans="1:12" hidden="1">
      <c r="A292" s="245"/>
      <c r="B292" s="245"/>
      <c r="C292" s="51"/>
      <c r="D292" s="56" cm="1">
        <f t="array" aca="1" ref="D292:G292" ca="1">D154:G154</f>
        <v>74</v>
      </c>
      <c r="E292" s="59">
        <f ca="1"/>
        <v>2095</v>
      </c>
      <c r="F292" s="59">
        <f ca="1"/>
        <v>127</v>
      </c>
      <c r="G292" s="59">
        <f ca="1"/>
        <v>125</v>
      </c>
      <c r="H292" s="62">
        <f t="shared" ca="1" si="23"/>
        <v>0</v>
      </c>
      <c r="K292" s="1871"/>
      <c r="L292" s="1871"/>
    </row>
    <row r="293" spans="1:12" hidden="1">
      <c r="A293" s="245"/>
      <c r="B293" s="245"/>
      <c r="C293" s="49"/>
      <c r="D293" s="55" cm="1">
        <f t="array" aca="1" ref="D293:G293" ca="1">D155:G155</f>
        <v>75</v>
      </c>
      <c r="E293" s="58">
        <f ca="1"/>
        <v>2096</v>
      </c>
      <c r="F293" s="58">
        <f ca="1"/>
        <v>128</v>
      </c>
      <c r="G293" s="58">
        <f ca="1"/>
        <v>126</v>
      </c>
      <c r="H293" s="61">
        <f t="shared" ca="1" si="23"/>
        <v>0</v>
      </c>
      <c r="K293" s="1871"/>
      <c r="L293" s="1871"/>
    </row>
    <row r="294" spans="1:12" hidden="1">
      <c r="A294" s="245"/>
      <c r="B294" s="245"/>
      <c r="C294" s="51"/>
      <c r="D294" s="56" cm="1">
        <f t="array" aca="1" ref="D294:G294" ca="1">D156:G156</f>
        <v>76</v>
      </c>
      <c r="E294" s="59">
        <f ca="1"/>
        <v>2097</v>
      </c>
      <c r="F294" s="59">
        <f ca="1"/>
        <v>129</v>
      </c>
      <c r="G294" s="59">
        <f ca="1"/>
        <v>127</v>
      </c>
      <c r="H294" s="62">
        <f t="shared" ca="1" si="23"/>
        <v>0</v>
      </c>
      <c r="K294" s="1871"/>
      <c r="L294" s="1871"/>
    </row>
    <row r="295" spans="1:12" hidden="1">
      <c r="A295" s="245"/>
      <c r="B295" s="245"/>
      <c r="C295" s="49"/>
      <c r="D295" s="55" cm="1">
        <f t="array" aca="1" ref="D295:G295" ca="1">D157:G157</f>
        <v>77</v>
      </c>
      <c r="E295" s="58">
        <f ca="1"/>
        <v>2098</v>
      </c>
      <c r="F295" s="58">
        <f ca="1"/>
        <v>130</v>
      </c>
      <c r="G295" s="58">
        <f ca="1"/>
        <v>128</v>
      </c>
      <c r="H295" s="61">
        <f t="shared" ca="1" si="23"/>
        <v>0</v>
      </c>
      <c r="K295" s="1871"/>
      <c r="L295" s="1871"/>
    </row>
    <row r="296" spans="1:12" hidden="1">
      <c r="A296" s="245"/>
      <c r="B296" s="245"/>
      <c r="C296" s="51"/>
      <c r="D296" s="56" cm="1">
        <f t="array" aca="1" ref="D296:G296" ca="1">D158:G158</f>
        <v>78</v>
      </c>
      <c r="E296" s="59">
        <f ca="1"/>
        <v>2099</v>
      </c>
      <c r="F296" s="59">
        <f ca="1"/>
        <v>131</v>
      </c>
      <c r="G296" s="59">
        <f ca="1"/>
        <v>129</v>
      </c>
      <c r="H296" s="62">
        <f t="shared" ca="1" si="23"/>
        <v>0</v>
      </c>
      <c r="K296" s="1871"/>
      <c r="L296" s="1871"/>
    </row>
    <row r="297" spans="1:12" hidden="1">
      <c r="A297" s="245"/>
      <c r="B297" s="245"/>
      <c r="C297" s="49"/>
      <c r="D297" s="55" cm="1">
        <f t="array" aca="1" ref="D297:G297" ca="1">D159:G159</f>
        <v>79</v>
      </c>
      <c r="E297" s="58">
        <f ca="1"/>
        <v>2100</v>
      </c>
      <c r="F297" s="58">
        <f ca="1"/>
        <v>132</v>
      </c>
      <c r="G297" s="58">
        <f ca="1"/>
        <v>130</v>
      </c>
      <c r="H297" s="61">
        <f t="shared" ca="1" si="23"/>
        <v>0</v>
      </c>
      <c r="K297" s="1871"/>
      <c r="L297" s="1871"/>
    </row>
    <row r="298" spans="1:12" hidden="1">
      <c r="A298" s="245"/>
      <c r="B298" s="245"/>
      <c r="C298" s="51"/>
      <c r="D298" s="56" cm="1">
        <f t="array" aca="1" ref="D298:G298" ca="1">D160:G160</f>
        <v>80</v>
      </c>
      <c r="E298" s="59">
        <f ca="1"/>
        <v>2101</v>
      </c>
      <c r="F298" s="59">
        <f ca="1"/>
        <v>133</v>
      </c>
      <c r="G298" s="59">
        <f ca="1"/>
        <v>131</v>
      </c>
      <c r="H298" s="62">
        <f t="shared" ca="1" si="23"/>
        <v>0</v>
      </c>
      <c r="K298" s="1871"/>
      <c r="L298" s="1871"/>
    </row>
    <row r="299" spans="1:12" hidden="1">
      <c r="A299" s="245"/>
      <c r="B299" s="245"/>
      <c r="C299" s="49"/>
      <c r="D299" s="55" cm="1">
        <f t="array" aca="1" ref="D299:G299" ca="1">D161:G161</f>
        <v>81</v>
      </c>
      <c r="E299" s="58">
        <f ca="1"/>
        <v>2102</v>
      </c>
      <c r="F299" s="58">
        <f ca="1"/>
        <v>134</v>
      </c>
      <c r="G299" s="58">
        <f ca="1"/>
        <v>132</v>
      </c>
      <c r="H299" s="61">
        <f t="shared" ca="1" si="23"/>
        <v>0</v>
      </c>
      <c r="K299" s="1871"/>
      <c r="L299" s="1871"/>
    </row>
    <row r="300" spans="1:12" hidden="1">
      <c r="A300" s="245"/>
      <c r="B300" s="245"/>
      <c r="C300" s="51"/>
      <c r="D300" s="56" cm="1">
        <f t="array" aca="1" ref="D300:G300" ca="1">D162:G162</f>
        <v>82</v>
      </c>
      <c r="E300" s="59">
        <f ca="1"/>
        <v>2103</v>
      </c>
      <c r="F300" s="59">
        <f ca="1"/>
        <v>135</v>
      </c>
      <c r="G300" s="59">
        <f ca="1"/>
        <v>133</v>
      </c>
      <c r="H300" s="62">
        <f t="shared" ca="1" si="23"/>
        <v>0</v>
      </c>
      <c r="K300" s="1871"/>
      <c r="L300" s="1871"/>
    </row>
    <row r="301" spans="1:12" hidden="1">
      <c r="A301" s="245"/>
      <c r="B301" s="245"/>
      <c r="C301" s="49"/>
      <c r="D301" s="55" cm="1">
        <f t="array" aca="1" ref="D301:G301" ca="1">D163:G163</f>
        <v>83</v>
      </c>
      <c r="E301" s="58">
        <f ca="1"/>
        <v>2104</v>
      </c>
      <c r="F301" s="58">
        <f ca="1"/>
        <v>136</v>
      </c>
      <c r="G301" s="58">
        <f ca="1"/>
        <v>134</v>
      </c>
      <c r="H301" s="61">
        <f t="shared" ca="1" si="23"/>
        <v>0</v>
      </c>
      <c r="K301" s="1871"/>
      <c r="L301" s="1871"/>
    </row>
    <row r="302" spans="1:12" hidden="1">
      <c r="A302" s="245"/>
      <c r="B302" s="245"/>
      <c r="C302" s="51"/>
      <c r="D302" s="56" cm="1">
        <f t="array" aca="1" ref="D302:G302" ca="1">D164:G164</f>
        <v>84</v>
      </c>
      <c r="E302" s="59">
        <f ca="1"/>
        <v>2105</v>
      </c>
      <c r="F302" s="59">
        <f ca="1"/>
        <v>137</v>
      </c>
      <c r="G302" s="59">
        <f ca="1"/>
        <v>135</v>
      </c>
      <c r="H302" s="62">
        <f t="shared" ca="1" si="23"/>
        <v>0</v>
      </c>
      <c r="K302" s="1871"/>
      <c r="L302" s="1871"/>
    </row>
    <row r="303" spans="1:12" hidden="1">
      <c r="A303" s="245"/>
      <c r="B303" s="245"/>
      <c r="C303" s="49"/>
      <c r="D303" s="55" cm="1">
        <f t="array" aca="1" ref="D303:G303" ca="1">D165:G165</f>
        <v>85</v>
      </c>
      <c r="E303" s="58">
        <f ca="1"/>
        <v>2106</v>
      </c>
      <c r="F303" s="58">
        <f ca="1"/>
        <v>138</v>
      </c>
      <c r="G303" s="58">
        <f ca="1"/>
        <v>136</v>
      </c>
      <c r="H303" s="61">
        <f t="shared" ca="1" si="23"/>
        <v>0</v>
      </c>
      <c r="K303" s="1871"/>
      <c r="L303" s="1871"/>
    </row>
    <row r="304" spans="1:12" hidden="1">
      <c r="A304" s="245"/>
      <c r="B304" s="245"/>
      <c r="C304" s="51"/>
      <c r="D304" s="56" cm="1">
        <f t="array" aca="1" ref="D304:G304" ca="1">D166:G166</f>
        <v>86</v>
      </c>
      <c r="E304" s="59">
        <f ca="1"/>
        <v>2107</v>
      </c>
      <c r="F304" s="59">
        <f ca="1"/>
        <v>139</v>
      </c>
      <c r="G304" s="59">
        <f ca="1"/>
        <v>137</v>
      </c>
      <c r="H304" s="62">
        <f t="shared" ca="1" si="23"/>
        <v>0</v>
      </c>
      <c r="K304" s="1871"/>
      <c r="L304" s="1871"/>
    </row>
    <row r="305" spans="1:12" hidden="1">
      <c r="A305" s="245"/>
      <c r="B305" s="245"/>
      <c r="C305" s="49"/>
      <c r="D305" s="55" cm="1">
        <f t="array" aca="1" ref="D305:G305" ca="1">D167:G167</f>
        <v>87</v>
      </c>
      <c r="E305" s="58">
        <f ca="1"/>
        <v>2108</v>
      </c>
      <c r="F305" s="58">
        <f ca="1"/>
        <v>140</v>
      </c>
      <c r="G305" s="58">
        <f ca="1"/>
        <v>138</v>
      </c>
      <c r="H305" s="61">
        <f t="shared" ca="1" si="23"/>
        <v>0</v>
      </c>
      <c r="K305" s="1871"/>
      <c r="L305" s="1871"/>
    </row>
    <row r="306" spans="1:12" hidden="1">
      <c r="A306" s="245"/>
      <c r="B306" s="245"/>
      <c r="C306" s="51"/>
      <c r="D306" s="56" cm="1">
        <f t="array" aca="1" ref="D306:G306" ca="1">D168:G168</f>
        <v>88</v>
      </c>
      <c r="E306" s="59">
        <f ca="1"/>
        <v>2109</v>
      </c>
      <c r="F306" s="59">
        <f ca="1"/>
        <v>141</v>
      </c>
      <c r="G306" s="59">
        <f ca="1"/>
        <v>139</v>
      </c>
      <c r="H306" s="62">
        <f t="shared" ca="1" si="23"/>
        <v>0</v>
      </c>
      <c r="K306" s="1871"/>
      <c r="L306" s="1871"/>
    </row>
    <row r="307" spans="1:12" hidden="1">
      <c r="A307" s="245"/>
      <c r="B307" s="245"/>
      <c r="C307" s="49"/>
      <c r="D307" s="55" cm="1">
        <f t="array" aca="1" ref="D307:G307" ca="1">D169:G169</f>
        <v>89</v>
      </c>
      <c r="E307" s="58">
        <f ca="1"/>
        <v>2110</v>
      </c>
      <c r="F307" s="58">
        <f ca="1"/>
        <v>142</v>
      </c>
      <c r="G307" s="58">
        <f ca="1"/>
        <v>140</v>
      </c>
      <c r="H307" s="61">
        <f t="shared" ca="1" si="23"/>
        <v>0</v>
      </c>
      <c r="K307" s="1871"/>
      <c r="L307" s="1871"/>
    </row>
    <row r="308" spans="1:12" hidden="1">
      <c r="A308" s="245"/>
      <c r="B308" s="245"/>
      <c r="C308" s="53"/>
      <c r="D308" s="57" cm="1">
        <f t="array" aca="1" ref="D308:G308" ca="1">D170:G170</f>
        <v>90</v>
      </c>
      <c r="E308" s="60">
        <f ca="1"/>
        <v>2111</v>
      </c>
      <c r="F308" s="60">
        <f ca="1"/>
        <v>143</v>
      </c>
      <c r="G308" s="60">
        <f ca="1"/>
        <v>141</v>
      </c>
      <c r="H308" s="63">
        <f t="shared" ca="1" si="23"/>
        <v>0</v>
      </c>
      <c r="K308" s="1871"/>
      <c r="L308" s="1871"/>
    </row>
    <row r="309" spans="1:12" hidden="1">
      <c r="A309" s="245"/>
      <c r="B309" s="245"/>
      <c r="C309" s="1043"/>
      <c r="D309" s="1044" cm="1">
        <f t="array" aca="1" ref="D309:G309" ca="1">D171:G171</f>
        <v>91</v>
      </c>
      <c r="E309" s="1045">
        <f ca="1"/>
        <v>2112</v>
      </c>
      <c r="F309" s="1045">
        <f ca="1"/>
        <v>144</v>
      </c>
      <c r="G309" s="1045">
        <f ca="1"/>
        <v>142</v>
      </c>
      <c r="H309" s="1046">
        <f t="shared" ca="1" si="23"/>
        <v>0</v>
      </c>
      <c r="K309" s="1871"/>
      <c r="L309" s="1871"/>
    </row>
    <row r="310" spans="1:12" hidden="1">
      <c r="A310" s="245"/>
      <c r="B310" s="245"/>
      <c r="C310" s="53"/>
      <c r="D310" s="57" cm="1">
        <f t="array" aca="1" ref="D310:G310" ca="1">D172:G172</f>
        <v>92</v>
      </c>
      <c r="E310" s="60">
        <f ca="1"/>
        <v>2113</v>
      </c>
      <c r="F310" s="60">
        <f ca="1"/>
        <v>145</v>
      </c>
      <c r="G310" s="60">
        <f ca="1"/>
        <v>143</v>
      </c>
      <c r="H310" s="63">
        <f t="shared" ca="1" si="23"/>
        <v>0</v>
      </c>
      <c r="K310" s="1871"/>
      <c r="L310" s="1871"/>
    </row>
    <row r="311" spans="1:12" hidden="1">
      <c r="A311" s="245"/>
      <c r="B311" s="245"/>
      <c r="C311" s="1043"/>
      <c r="D311" s="1044" cm="1">
        <f t="array" aca="1" ref="D311:G311" ca="1">D173:G173</f>
        <v>93</v>
      </c>
      <c r="E311" s="1045">
        <f ca="1"/>
        <v>2114</v>
      </c>
      <c r="F311" s="1045">
        <f ca="1"/>
        <v>146</v>
      </c>
      <c r="G311" s="1045">
        <f ca="1"/>
        <v>144</v>
      </c>
      <c r="H311" s="1046">
        <f t="shared" ca="1" si="23"/>
        <v>0</v>
      </c>
      <c r="K311" s="1871"/>
      <c r="L311" s="1871"/>
    </row>
    <row r="312" spans="1:12" hidden="1">
      <c r="A312" s="245"/>
      <c r="B312" s="245"/>
      <c r="C312" s="53"/>
      <c r="D312" s="57" cm="1">
        <f t="array" aca="1" ref="D312:G312" ca="1">D174:G174</f>
        <v>94</v>
      </c>
      <c r="E312" s="60">
        <f ca="1"/>
        <v>2115</v>
      </c>
      <c r="F312" s="60">
        <f ca="1"/>
        <v>147</v>
      </c>
      <c r="G312" s="60">
        <f ca="1"/>
        <v>145</v>
      </c>
      <c r="H312" s="63">
        <f t="shared" ca="1" si="23"/>
        <v>0</v>
      </c>
      <c r="K312" s="1871"/>
      <c r="L312" s="1871"/>
    </row>
    <row r="313" spans="1:12" hidden="1">
      <c r="A313" s="245"/>
      <c r="B313" s="245"/>
      <c r="C313" s="1043"/>
      <c r="D313" s="1044" cm="1">
        <f t="array" aca="1" ref="D313:G313" ca="1">D175:G175</f>
        <v>95</v>
      </c>
      <c r="E313" s="1045">
        <f ca="1"/>
        <v>2116</v>
      </c>
      <c r="F313" s="1045">
        <f ca="1"/>
        <v>148</v>
      </c>
      <c r="G313" s="1045">
        <f ca="1"/>
        <v>146</v>
      </c>
      <c r="H313" s="1046">
        <f t="shared" ca="1" si="23"/>
        <v>0</v>
      </c>
      <c r="K313" s="1871"/>
      <c r="L313" s="1871"/>
    </row>
    <row r="314" spans="1:12" hidden="1">
      <c r="A314" s="245"/>
      <c r="B314" s="245"/>
      <c r="C314" s="53"/>
      <c r="D314" s="57" cm="1">
        <f t="array" aca="1" ref="D314:G314" ca="1">D176:G176</f>
        <v>96</v>
      </c>
      <c r="E314" s="60">
        <f ca="1"/>
        <v>2117</v>
      </c>
      <c r="F314" s="60">
        <f ca="1"/>
        <v>149</v>
      </c>
      <c r="G314" s="60">
        <f ca="1"/>
        <v>147</v>
      </c>
      <c r="H314" s="63">
        <f t="shared" ca="1" si="23"/>
        <v>0</v>
      </c>
      <c r="K314" s="1871"/>
      <c r="L314" s="1871"/>
    </row>
    <row r="315" spans="1:12" hidden="1">
      <c r="A315" s="245"/>
      <c r="B315" s="245"/>
      <c r="C315" s="1043"/>
      <c r="D315" s="1044" cm="1">
        <f t="array" aca="1" ref="D315:G315" ca="1">D177:G177</f>
        <v>97</v>
      </c>
      <c r="E315" s="1045">
        <f ca="1"/>
        <v>2118</v>
      </c>
      <c r="F315" s="1045">
        <f ca="1"/>
        <v>150</v>
      </c>
      <c r="G315" s="1045">
        <f ca="1"/>
        <v>148</v>
      </c>
      <c r="H315" s="1046">
        <f t="shared" ca="1" si="23"/>
        <v>0</v>
      </c>
      <c r="K315" s="1871"/>
      <c r="L315" s="1871"/>
    </row>
    <row r="316" spans="1:12" hidden="1">
      <c r="A316" s="245"/>
      <c r="B316" s="245"/>
      <c r="C316" s="53"/>
      <c r="D316" s="57" cm="1">
        <f t="array" aca="1" ref="D316:G316" ca="1">D178:G178</f>
        <v>98</v>
      </c>
      <c r="E316" s="60">
        <f ca="1"/>
        <v>2119</v>
      </c>
      <c r="F316" s="60">
        <f ca="1"/>
        <v>151</v>
      </c>
      <c r="G316" s="60">
        <f ca="1"/>
        <v>149</v>
      </c>
      <c r="H316" s="63">
        <f t="shared" ref="H316:H343" ca="1" si="24">IF(E316&gt;$I$214, H315+(H315*$I$213), IF(E316=$I$214, $I$46, 0)  )</f>
        <v>0</v>
      </c>
      <c r="K316" s="1871"/>
      <c r="L316" s="1871"/>
    </row>
    <row r="317" spans="1:12" hidden="1">
      <c r="A317" s="245"/>
      <c r="B317" s="245"/>
      <c r="C317" s="1043"/>
      <c r="D317" s="1044" cm="1">
        <f t="array" aca="1" ref="D317:G317" ca="1">D179:G179</f>
        <v>99</v>
      </c>
      <c r="E317" s="1045">
        <f ca="1"/>
        <v>2120</v>
      </c>
      <c r="F317" s="1045">
        <f ca="1"/>
        <v>152</v>
      </c>
      <c r="G317" s="1045">
        <f ca="1"/>
        <v>150</v>
      </c>
      <c r="H317" s="1046">
        <f t="shared" ca="1" si="24"/>
        <v>0</v>
      </c>
      <c r="K317" s="1871"/>
      <c r="L317" s="1871"/>
    </row>
    <row r="318" spans="1:12" hidden="1">
      <c r="A318" s="245"/>
      <c r="B318" s="245"/>
      <c r="C318" s="53"/>
      <c r="D318" s="57" cm="1">
        <f t="array" aca="1" ref="D318:G318" ca="1">D180:G180</f>
        <v>100</v>
      </c>
      <c r="E318" s="60">
        <f ca="1"/>
        <v>2121</v>
      </c>
      <c r="F318" s="60">
        <f ca="1"/>
        <v>153</v>
      </c>
      <c r="G318" s="60">
        <f ca="1"/>
        <v>151</v>
      </c>
      <c r="H318" s="63">
        <f t="shared" ca="1" si="24"/>
        <v>0</v>
      </c>
      <c r="K318" s="1871"/>
      <c r="L318" s="1871"/>
    </row>
    <row r="319" spans="1:12" hidden="1">
      <c r="A319" s="245"/>
      <c r="B319" s="245"/>
      <c r="C319" s="1043"/>
      <c r="D319" s="1044" cm="1">
        <f t="array" aca="1" ref="D319:G319" ca="1">D181:G181</f>
        <v>101</v>
      </c>
      <c r="E319" s="1045">
        <f ca="1"/>
        <v>2122</v>
      </c>
      <c r="F319" s="1045">
        <f ca="1"/>
        <v>154</v>
      </c>
      <c r="G319" s="1045">
        <f ca="1"/>
        <v>152</v>
      </c>
      <c r="H319" s="1046">
        <f t="shared" ca="1" si="24"/>
        <v>0</v>
      </c>
      <c r="K319" s="1871"/>
      <c r="L319" s="1871"/>
    </row>
    <row r="320" spans="1:12" hidden="1">
      <c r="A320" s="245"/>
      <c r="B320" s="245"/>
      <c r="C320" s="53"/>
      <c r="D320" s="57" cm="1">
        <f t="array" aca="1" ref="D320:G320" ca="1">D182:G182</f>
        <v>102</v>
      </c>
      <c r="E320" s="60">
        <f ca="1"/>
        <v>2123</v>
      </c>
      <c r="F320" s="60">
        <f ca="1"/>
        <v>155</v>
      </c>
      <c r="G320" s="60">
        <f ca="1"/>
        <v>153</v>
      </c>
      <c r="H320" s="63">
        <f t="shared" ca="1" si="24"/>
        <v>0</v>
      </c>
      <c r="K320" s="1871"/>
      <c r="L320" s="1871"/>
    </row>
    <row r="321" spans="1:12" hidden="1">
      <c r="A321" s="245"/>
      <c r="B321" s="245"/>
      <c r="C321" s="1043"/>
      <c r="D321" s="1044" cm="1">
        <f t="array" aca="1" ref="D321:G321" ca="1">D183:G183</f>
        <v>103</v>
      </c>
      <c r="E321" s="1045">
        <f ca="1"/>
        <v>2124</v>
      </c>
      <c r="F321" s="1045">
        <f ca="1"/>
        <v>156</v>
      </c>
      <c r="G321" s="1045">
        <f ca="1"/>
        <v>154</v>
      </c>
      <c r="H321" s="1046">
        <f t="shared" ca="1" si="24"/>
        <v>0</v>
      </c>
      <c r="K321" s="1871"/>
      <c r="L321" s="1871"/>
    </row>
    <row r="322" spans="1:12" hidden="1">
      <c r="A322" s="245"/>
      <c r="B322" s="245"/>
      <c r="C322" s="53"/>
      <c r="D322" s="57" cm="1">
        <f t="array" aca="1" ref="D322:G322" ca="1">D184:G184</f>
        <v>104</v>
      </c>
      <c r="E322" s="60">
        <f ca="1"/>
        <v>2125</v>
      </c>
      <c r="F322" s="60">
        <f ca="1"/>
        <v>157</v>
      </c>
      <c r="G322" s="60">
        <f ca="1"/>
        <v>155</v>
      </c>
      <c r="H322" s="63">
        <f t="shared" ca="1" si="24"/>
        <v>0</v>
      </c>
      <c r="K322" s="1871"/>
      <c r="L322" s="1871"/>
    </row>
    <row r="323" spans="1:12" hidden="1">
      <c r="A323" s="245"/>
      <c r="B323" s="245"/>
      <c r="C323" s="1043"/>
      <c r="D323" s="1044" cm="1">
        <f t="array" aca="1" ref="D323:G323" ca="1">D185:G185</f>
        <v>105</v>
      </c>
      <c r="E323" s="1045">
        <f ca="1"/>
        <v>2126</v>
      </c>
      <c r="F323" s="1045">
        <f ca="1"/>
        <v>158</v>
      </c>
      <c r="G323" s="1045">
        <f ca="1"/>
        <v>156</v>
      </c>
      <c r="H323" s="1046">
        <f t="shared" ca="1" si="24"/>
        <v>0</v>
      </c>
      <c r="K323" s="1871"/>
      <c r="L323" s="1871"/>
    </row>
    <row r="324" spans="1:12" hidden="1">
      <c r="A324" s="245"/>
      <c r="B324" s="245"/>
      <c r="C324" s="53"/>
      <c r="D324" s="57" cm="1">
        <f t="array" aca="1" ref="D324:G324" ca="1">D186:G186</f>
        <v>106</v>
      </c>
      <c r="E324" s="60">
        <f ca="1"/>
        <v>2127</v>
      </c>
      <c r="F324" s="60">
        <f ca="1"/>
        <v>159</v>
      </c>
      <c r="G324" s="60">
        <f ca="1"/>
        <v>157</v>
      </c>
      <c r="H324" s="63">
        <f t="shared" ca="1" si="24"/>
        <v>0</v>
      </c>
      <c r="K324" s="1871"/>
      <c r="L324" s="1871"/>
    </row>
    <row r="325" spans="1:12" hidden="1">
      <c r="A325" s="245"/>
      <c r="B325" s="245"/>
      <c r="C325" s="1043"/>
      <c r="D325" s="1044" cm="1">
        <f t="array" aca="1" ref="D325:G325" ca="1">D187:G187</f>
        <v>107</v>
      </c>
      <c r="E325" s="1045">
        <f ca="1"/>
        <v>2128</v>
      </c>
      <c r="F325" s="1045">
        <f ca="1"/>
        <v>160</v>
      </c>
      <c r="G325" s="1045">
        <f ca="1"/>
        <v>158</v>
      </c>
      <c r="H325" s="1046">
        <f t="shared" ca="1" si="24"/>
        <v>0</v>
      </c>
      <c r="K325" s="1871"/>
      <c r="L325" s="1871"/>
    </row>
    <row r="326" spans="1:12" hidden="1">
      <c r="A326" s="245"/>
      <c r="B326" s="245"/>
      <c r="C326" s="53"/>
      <c r="D326" s="57" cm="1">
        <f t="array" aca="1" ref="D326:G326" ca="1">D188:G188</f>
        <v>108</v>
      </c>
      <c r="E326" s="60">
        <f ca="1"/>
        <v>2129</v>
      </c>
      <c r="F326" s="60">
        <f ca="1"/>
        <v>161</v>
      </c>
      <c r="G326" s="60">
        <f ca="1"/>
        <v>159</v>
      </c>
      <c r="H326" s="63">
        <f t="shared" ca="1" si="24"/>
        <v>0</v>
      </c>
      <c r="K326" s="1871"/>
      <c r="L326" s="1871"/>
    </row>
    <row r="327" spans="1:12" hidden="1">
      <c r="A327" s="245"/>
      <c r="B327" s="245"/>
      <c r="C327" s="1043"/>
      <c r="D327" s="1044" cm="1">
        <f t="array" aca="1" ref="D327:G327" ca="1">D189:G189</f>
        <v>109</v>
      </c>
      <c r="E327" s="1045">
        <f ca="1"/>
        <v>2130</v>
      </c>
      <c r="F327" s="1045">
        <f ca="1"/>
        <v>162</v>
      </c>
      <c r="G327" s="1045">
        <f ca="1"/>
        <v>160</v>
      </c>
      <c r="H327" s="1046">
        <f t="shared" ca="1" si="24"/>
        <v>0</v>
      </c>
      <c r="K327" s="1871"/>
      <c r="L327" s="1871"/>
    </row>
    <row r="328" spans="1:12" hidden="1">
      <c r="A328" s="245"/>
      <c r="B328" s="245"/>
      <c r="C328" s="53"/>
      <c r="D328" s="57" cm="1">
        <f t="array" aca="1" ref="D328:G328" ca="1">D190:G190</f>
        <v>110</v>
      </c>
      <c r="E328" s="60">
        <f ca="1"/>
        <v>2131</v>
      </c>
      <c r="F328" s="60">
        <f ca="1"/>
        <v>163</v>
      </c>
      <c r="G328" s="60">
        <f ca="1"/>
        <v>161</v>
      </c>
      <c r="H328" s="63">
        <f t="shared" ca="1" si="24"/>
        <v>0</v>
      </c>
      <c r="K328" s="1871"/>
      <c r="L328" s="1871"/>
    </row>
    <row r="329" spans="1:12" hidden="1">
      <c r="A329" s="245"/>
      <c r="B329" s="245"/>
      <c r="C329" s="1043"/>
      <c r="D329" s="1044" cm="1">
        <f t="array" aca="1" ref="D329:G329" ca="1">D191:G191</f>
        <v>111</v>
      </c>
      <c r="E329" s="1045">
        <f ca="1"/>
        <v>2132</v>
      </c>
      <c r="F329" s="1045">
        <f ca="1"/>
        <v>164</v>
      </c>
      <c r="G329" s="1045">
        <f ca="1"/>
        <v>162</v>
      </c>
      <c r="H329" s="1046">
        <f t="shared" ca="1" si="24"/>
        <v>0</v>
      </c>
      <c r="K329" s="1871"/>
      <c r="L329" s="1871"/>
    </row>
    <row r="330" spans="1:12" hidden="1">
      <c r="A330" s="245"/>
      <c r="B330" s="245"/>
      <c r="C330" s="53"/>
      <c r="D330" s="57" cm="1">
        <f t="array" aca="1" ref="D330:G330" ca="1">D192:G192</f>
        <v>112</v>
      </c>
      <c r="E330" s="60">
        <f ca="1"/>
        <v>2133</v>
      </c>
      <c r="F330" s="60">
        <f ca="1"/>
        <v>165</v>
      </c>
      <c r="G330" s="60">
        <f ca="1"/>
        <v>163</v>
      </c>
      <c r="H330" s="63">
        <f t="shared" ca="1" si="24"/>
        <v>0</v>
      </c>
      <c r="K330" s="1871"/>
      <c r="L330" s="1871"/>
    </row>
    <row r="331" spans="1:12" hidden="1">
      <c r="A331" s="245"/>
      <c r="B331" s="245"/>
      <c r="C331" s="1043"/>
      <c r="D331" s="1044" cm="1">
        <f t="array" aca="1" ref="D331:G331" ca="1">D193:G193</f>
        <v>113</v>
      </c>
      <c r="E331" s="1045">
        <f ca="1"/>
        <v>2134</v>
      </c>
      <c r="F331" s="1045">
        <f ca="1"/>
        <v>166</v>
      </c>
      <c r="G331" s="1045">
        <f ca="1"/>
        <v>164</v>
      </c>
      <c r="H331" s="1046">
        <f t="shared" ca="1" si="24"/>
        <v>0</v>
      </c>
      <c r="K331" s="1871"/>
      <c r="L331" s="1871"/>
    </row>
    <row r="332" spans="1:12" hidden="1">
      <c r="A332" s="245"/>
      <c r="B332" s="245"/>
      <c r="C332" s="53"/>
      <c r="D332" s="57" cm="1">
        <f t="array" aca="1" ref="D332:G332" ca="1">D194:G194</f>
        <v>114</v>
      </c>
      <c r="E332" s="60">
        <f ca="1"/>
        <v>2135</v>
      </c>
      <c r="F332" s="60">
        <f ca="1"/>
        <v>167</v>
      </c>
      <c r="G332" s="60">
        <f ca="1"/>
        <v>165</v>
      </c>
      <c r="H332" s="63">
        <f t="shared" ca="1" si="24"/>
        <v>0</v>
      </c>
      <c r="K332" s="1871"/>
      <c r="L332" s="1871"/>
    </row>
    <row r="333" spans="1:12" hidden="1">
      <c r="A333" s="245"/>
      <c r="B333" s="245"/>
      <c r="C333" s="1043"/>
      <c r="D333" s="1044" cm="1">
        <f t="array" aca="1" ref="D333:G333" ca="1">D195:G195</f>
        <v>115</v>
      </c>
      <c r="E333" s="1045">
        <f ca="1"/>
        <v>2136</v>
      </c>
      <c r="F333" s="1045">
        <f ca="1"/>
        <v>168</v>
      </c>
      <c r="G333" s="1045">
        <f ca="1"/>
        <v>166</v>
      </c>
      <c r="H333" s="1046">
        <f t="shared" ca="1" si="24"/>
        <v>0</v>
      </c>
      <c r="K333" s="1871"/>
      <c r="L333" s="1871"/>
    </row>
    <row r="334" spans="1:12" hidden="1">
      <c r="A334" s="245"/>
      <c r="B334" s="245"/>
      <c r="C334" s="53"/>
      <c r="D334" s="57" cm="1">
        <f t="array" aca="1" ref="D334:G334" ca="1">D196:G196</f>
        <v>116</v>
      </c>
      <c r="E334" s="60">
        <f ca="1"/>
        <v>2137</v>
      </c>
      <c r="F334" s="60">
        <f ca="1"/>
        <v>169</v>
      </c>
      <c r="G334" s="60">
        <f ca="1"/>
        <v>167</v>
      </c>
      <c r="H334" s="63">
        <f t="shared" ca="1" si="24"/>
        <v>0</v>
      </c>
      <c r="K334" s="1871"/>
      <c r="L334" s="1871"/>
    </row>
    <row r="335" spans="1:12" hidden="1">
      <c r="A335" s="245"/>
      <c r="B335" s="245"/>
      <c r="C335" s="1043"/>
      <c r="D335" s="1044" cm="1">
        <f t="array" aca="1" ref="D335:G335" ca="1">D197:G197</f>
        <v>117</v>
      </c>
      <c r="E335" s="1045">
        <f ca="1"/>
        <v>2138</v>
      </c>
      <c r="F335" s="1045">
        <f ca="1"/>
        <v>170</v>
      </c>
      <c r="G335" s="1045">
        <f ca="1"/>
        <v>168</v>
      </c>
      <c r="H335" s="1046">
        <f t="shared" ca="1" si="24"/>
        <v>0</v>
      </c>
      <c r="K335" s="1871"/>
      <c r="L335" s="1871"/>
    </row>
    <row r="336" spans="1:12" hidden="1">
      <c r="A336" s="245"/>
      <c r="B336" s="245"/>
      <c r="C336" s="53"/>
      <c r="D336" s="57" cm="1">
        <f t="array" aca="1" ref="D336:G336" ca="1">D198:G198</f>
        <v>118</v>
      </c>
      <c r="E336" s="60">
        <f ca="1"/>
        <v>2139</v>
      </c>
      <c r="F336" s="60">
        <f ca="1"/>
        <v>171</v>
      </c>
      <c r="G336" s="60">
        <f ca="1"/>
        <v>169</v>
      </c>
      <c r="H336" s="63">
        <f t="shared" ca="1" si="24"/>
        <v>0</v>
      </c>
      <c r="K336" s="1871"/>
      <c r="L336" s="1871"/>
    </row>
    <row r="337" spans="1:12" hidden="1">
      <c r="A337" s="245"/>
      <c r="B337" s="245"/>
      <c r="C337" s="1043"/>
      <c r="D337" s="1044" cm="1">
        <f t="array" aca="1" ref="D337:G337" ca="1">D199:G199</f>
        <v>119</v>
      </c>
      <c r="E337" s="1045">
        <f ca="1"/>
        <v>2140</v>
      </c>
      <c r="F337" s="1045">
        <f ca="1"/>
        <v>172</v>
      </c>
      <c r="G337" s="1045">
        <f ca="1"/>
        <v>170</v>
      </c>
      <c r="H337" s="1046">
        <f t="shared" ca="1" si="24"/>
        <v>0</v>
      </c>
      <c r="K337" s="1871"/>
      <c r="L337" s="1871"/>
    </row>
    <row r="338" spans="1:12" hidden="1">
      <c r="A338" s="245"/>
      <c r="B338" s="245"/>
      <c r="C338" s="53"/>
      <c r="D338" s="57" cm="1">
        <f t="array" aca="1" ref="D338:G338" ca="1">D200:G200</f>
        <v>120</v>
      </c>
      <c r="E338" s="60">
        <f ca="1"/>
        <v>2141</v>
      </c>
      <c r="F338" s="60">
        <f ca="1"/>
        <v>173</v>
      </c>
      <c r="G338" s="60">
        <f ca="1"/>
        <v>171</v>
      </c>
      <c r="H338" s="63">
        <f t="shared" ca="1" si="24"/>
        <v>0</v>
      </c>
      <c r="K338" s="1871"/>
      <c r="L338" s="1871"/>
    </row>
    <row r="339" spans="1:12" hidden="1">
      <c r="A339" s="245"/>
      <c r="B339" s="245"/>
      <c r="C339" s="1043"/>
      <c r="D339" s="1044" cm="1">
        <f t="array" aca="1" ref="D339:G339" ca="1">D201:G201</f>
        <v>121</v>
      </c>
      <c r="E339" s="1045">
        <f ca="1"/>
        <v>2142</v>
      </c>
      <c r="F339" s="1045">
        <f ca="1"/>
        <v>174</v>
      </c>
      <c r="G339" s="1045">
        <f ca="1"/>
        <v>172</v>
      </c>
      <c r="H339" s="1046">
        <f t="shared" ca="1" si="24"/>
        <v>0</v>
      </c>
      <c r="K339" s="1871"/>
      <c r="L339" s="1871"/>
    </row>
    <row r="340" spans="1:12" hidden="1">
      <c r="A340" s="245"/>
      <c r="B340" s="245"/>
      <c r="C340" s="53"/>
      <c r="D340" s="57" cm="1">
        <f t="array" aca="1" ref="D340:G340" ca="1">D202:G202</f>
        <v>122</v>
      </c>
      <c r="E340" s="60">
        <f ca="1"/>
        <v>2143</v>
      </c>
      <c r="F340" s="60">
        <f ca="1"/>
        <v>175</v>
      </c>
      <c r="G340" s="60">
        <f ca="1"/>
        <v>173</v>
      </c>
      <c r="H340" s="63">
        <f t="shared" ca="1" si="24"/>
        <v>0</v>
      </c>
      <c r="K340" s="1871"/>
      <c r="L340" s="1871"/>
    </row>
    <row r="341" spans="1:12" hidden="1">
      <c r="A341" s="245"/>
      <c r="B341" s="245"/>
      <c r="C341" s="1043"/>
      <c r="D341" s="1044" cm="1">
        <f t="array" aca="1" ref="D341:G341" ca="1">D203:G203</f>
        <v>123</v>
      </c>
      <c r="E341" s="1045">
        <f ca="1"/>
        <v>2144</v>
      </c>
      <c r="F341" s="1045">
        <f ca="1"/>
        <v>176</v>
      </c>
      <c r="G341" s="1045">
        <f ca="1"/>
        <v>174</v>
      </c>
      <c r="H341" s="1046">
        <f t="shared" ca="1" si="24"/>
        <v>0</v>
      </c>
      <c r="K341" s="1871"/>
      <c r="L341" s="1871"/>
    </row>
    <row r="342" spans="1:12" hidden="1">
      <c r="A342" s="245"/>
      <c r="B342" s="245"/>
      <c r="C342" s="53"/>
      <c r="D342" s="57" cm="1">
        <f t="array" aca="1" ref="D342:G342" ca="1">D204:G204</f>
        <v>124</v>
      </c>
      <c r="E342" s="60">
        <f ca="1"/>
        <v>2145</v>
      </c>
      <c r="F342" s="60">
        <f ca="1"/>
        <v>177</v>
      </c>
      <c r="G342" s="60">
        <f ca="1"/>
        <v>175</v>
      </c>
      <c r="H342" s="63">
        <f t="shared" ca="1" si="24"/>
        <v>0</v>
      </c>
      <c r="K342" s="1871"/>
      <c r="L342" s="1871"/>
    </row>
    <row r="343" spans="1:12" hidden="1">
      <c r="A343" s="245"/>
      <c r="B343" s="245"/>
      <c r="C343" s="1052"/>
      <c r="D343" s="1053" cm="1">
        <f t="array" aca="1" ref="D343:G343" ca="1">D205:G205</f>
        <v>125</v>
      </c>
      <c r="E343" s="1054">
        <f ca="1"/>
        <v>2146</v>
      </c>
      <c r="F343" s="1054">
        <f ca="1"/>
        <v>178</v>
      </c>
      <c r="G343" s="1054">
        <f ca="1"/>
        <v>176</v>
      </c>
      <c r="H343" s="1055">
        <f t="shared" ca="1" si="24"/>
        <v>0</v>
      </c>
      <c r="K343" s="1871"/>
      <c r="L343" s="1871"/>
    </row>
    <row r="344" spans="1:12">
      <c r="A344" s="245"/>
      <c r="B344" s="245"/>
      <c r="C344" s="245"/>
      <c r="D344" s="80"/>
      <c r="E344" s="80"/>
      <c r="F344" s="80"/>
      <c r="G344" s="80"/>
      <c r="H344" s="245"/>
      <c r="I344" s="245"/>
    </row>
    <row r="345" spans="1:12">
      <c r="A345" s="245"/>
      <c r="B345" s="245"/>
      <c r="C345" s="245"/>
      <c r="D345" s="80"/>
      <c r="E345" s="80"/>
      <c r="F345" s="80"/>
      <c r="G345" s="80"/>
      <c r="H345" s="245"/>
      <c r="I345" s="245"/>
    </row>
    <row r="346" spans="1:12">
      <c r="A346" s="245"/>
      <c r="B346" s="245"/>
      <c r="C346" s="245"/>
      <c r="D346" s="80"/>
      <c r="E346" s="80"/>
      <c r="F346" s="80"/>
      <c r="G346" s="80"/>
      <c r="H346" s="245"/>
      <c r="I346" s="245"/>
    </row>
    <row r="347" spans="1:12">
      <c r="A347" s="245"/>
      <c r="B347" s="245"/>
      <c r="C347" s="245"/>
      <c r="D347" s="245"/>
      <c r="E347" s="245"/>
      <c r="F347" s="245"/>
      <c r="G347" s="245"/>
      <c r="H347" s="245"/>
      <c r="I347" s="245"/>
    </row>
    <row r="348" spans="1:12">
      <c r="A348" s="245"/>
      <c r="B348" s="245"/>
      <c r="C348" s="245"/>
      <c r="D348" s="245"/>
      <c r="E348" s="245"/>
      <c r="F348" s="245"/>
      <c r="G348" s="245"/>
      <c r="H348" s="245"/>
      <c r="I348" s="245"/>
    </row>
    <row r="349" spans="1:12">
      <c r="A349" s="245"/>
      <c r="B349" s="245"/>
      <c r="C349" s="245"/>
      <c r="D349" s="245"/>
      <c r="E349" s="245"/>
      <c r="F349" s="245"/>
      <c r="G349" s="245"/>
      <c r="H349" s="245"/>
      <c r="I349" s="245"/>
    </row>
    <row r="350" spans="1:12">
      <c r="A350" s="245"/>
      <c r="B350" s="245"/>
      <c r="C350" s="245"/>
      <c r="D350" s="245"/>
      <c r="E350" s="245"/>
      <c r="F350" s="245"/>
      <c r="G350" s="245"/>
      <c r="H350" s="245"/>
      <c r="I350" s="245"/>
    </row>
    <row r="351" spans="1:12">
      <c r="A351" s="245"/>
      <c r="B351" s="245"/>
      <c r="C351" s="245"/>
      <c r="D351" s="245"/>
      <c r="E351" s="245"/>
      <c r="F351" s="245"/>
      <c r="G351" s="245"/>
      <c r="H351" s="245"/>
      <c r="I351" s="245"/>
    </row>
    <row r="352" spans="1:12">
      <c r="A352" s="245"/>
      <c r="B352" s="245"/>
      <c r="C352" s="245"/>
      <c r="D352" s="245"/>
      <c r="E352" s="245"/>
      <c r="F352" s="245"/>
      <c r="G352" s="245"/>
      <c r="H352" s="245"/>
      <c r="I352" s="245"/>
    </row>
    <row r="353" spans="1:9">
      <c r="A353" s="245"/>
      <c r="B353" s="245"/>
      <c r="C353" s="245"/>
      <c r="D353" s="245"/>
      <c r="E353" s="245"/>
      <c r="F353" s="245"/>
      <c r="G353" s="245"/>
      <c r="H353" s="245"/>
      <c r="I353" s="245"/>
    </row>
    <row r="354" spans="1:9">
      <c r="A354" s="245"/>
      <c r="B354" s="245"/>
      <c r="C354" s="245"/>
      <c r="D354" s="245"/>
      <c r="E354" s="245"/>
      <c r="F354" s="245"/>
      <c r="G354" s="245"/>
      <c r="H354" s="245"/>
      <c r="I354" s="245"/>
    </row>
    <row r="355" spans="1:9">
      <c r="A355" s="245"/>
      <c r="B355" s="245"/>
      <c r="C355" s="245"/>
      <c r="D355" s="245"/>
      <c r="E355" s="245"/>
      <c r="F355" s="245"/>
      <c r="G355" s="245"/>
      <c r="H355" s="245"/>
      <c r="I355" s="245"/>
    </row>
    <row r="356" spans="1:9">
      <c r="A356" s="245"/>
      <c r="B356" s="245"/>
      <c r="C356" s="245"/>
      <c r="D356" s="245"/>
      <c r="E356" s="245"/>
      <c r="F356" s="245"/>
      <c r="G356" s="245"/>
      <c r="H356" s="245"/>
      <c r="I356" s="245"/>
    </row>
    <row r="357" spans="1:9">
      <c r="A357" s="245"/>
      <c r="B357" s="245"/>
      <c r="C357" s="245"/>
      <c r="D357" s="245"/>
      <c r="E357" s="245"/>
      <c r="F357" s="245"/>
      <c r="G357" s="245"/>
      <c r="H357" s="245"/>
      <c r="I357" s="245"/>
    </row>
    <row r="358" spans="1:9">
      <c r="A358" s="245"/>
      <c r="B358" s="245"/>
      <c r="C358" s="245"/>
      <c r="D358" s="245"/>
      <c r="E358" s="245"/>
      <c r="F358" s="245"/>
      <c r="G358" s="245"/>
      <c r="H358" s="245"/>
      <c r="I358" s="245"/>
    </row>
    <row r="359" spans="1:9">
      <c r="A359" s="245"/>
      <c r="B359" s="245"/>
      <c r="C359" s="245"/>
      <c r="D359" s="245"/>
      <c r="E359" s="245"/>
      <c r="F359" s="245"/>
      <c r="G359" s="245"/>
      <c r="H359" s="245"/>
      <c r="I359" s="245"/>
    </row>
    <row r="360" spans="1:9">
      <c r="A360" s="245"/>
      <c r="B360" s="245"/>
      <c r="C360" s="245"/>
      <c r="D360" s="245"/>
      <c r="E360" s="245"/>
      <c r="F360" s="245"/>
      <c r="G360" s="245"/>
      <c r="H360" s="245"/>
      <c r="I360" s="245"/>
    </row>
    <row r="361" spans="1:9">
      <c r="A361" s="245"/>
      <c r="B361" s="245"/>
      <c r="C361" s="245"/>
      <c r="D361" s="245"/>
      <c r="E361" s="245"/>
      <c r="F361" s="245"/>
      <c r="G361" s="245"/>
      <c r="H361" s="245"/>
      <c r="I361" s="245"/>
    </row>
    <row r="362" spans="1:9">
      <c r="A362" s="245"/>
      <c r="B362" s="245"/>
      <c r="C362" s="245"/>
      <c r="D362" s="245"/>
      <c r="E362" s="245"/>
      <c r="F362" s="245"/>
      <c r="G362" s="245"/>
      <c r="H362" s="245"/>
      <c r="I362" s="245"/>
    </row>
    <row r="363" spans="1:9">
      <c r="A363" s="245"/>
      <c r="B363" s="245"/>
      <c r="C363" s="245"/>
      <c r="D363" s="245"/>
      <c r="E363" s="245"/>
      <c r="F363" s="245"/>
      <c r="G363" s="245"/>
      <c r="H363" s="245"/>
      <c r="I363" s="245"/>
    </row>
    <row r="364" spans="1:9">
      <c r="A364" s="245"/>
      <c r="B364" s="245"/>
      <c r="C364" s="245"/>
      <c r="D364" s="245"/>
      <c r="E364" s="245"/>
      <c r="F364" s="245"/>
      <c r="G364" s="245"/>
      <c r="H364" s="245"/>
      <c r="I364" s="245"/>
    </row>
    <row r="365" spans="1:9">
      <c r="A365" s="245"/>
      <c r="B365" s="245"/>
      <c r="C365" s="245"/>
      <c r="D365" s="245"/>
      <c r="E365" s="245"/>
      <c r="F365" s="245"/>
      <c r="G365" s="245"/>
      <c r="H365" s="245"/>
      <c r="I365" s="245"/>
    </row>
    <row r="366" spans="1:9">
      <c r="A366" s="245"/>
      <c r="B366" s="245"/>
      <c r="C366" s="245"/>
      <c r="D366" s="245"/>
      <c r="E366" s="245"/>
      <c r="F366" s="245"/>
      <c r="G366" s="245"/>
      <c r="H366" s="245"/>
      <c r="I366" s="245"/>
    </row>
    <row r="367" spans="1:9">
      <c r="A367" s="245"/>
      <c r="B367" s="245"/>
      <c r="C367" s="245"/>
      <c r="D367" s="245"/>
      <c r="E367" s="245"/>
      <c r="F367" s="245"/>
      <c r="G367" s="245"/>
      <c r="H367" s="245"/>
      <c r="I367" s="245"/>
    </row>
    <row r="368" spans="1:9">
      <c r="A368" s="245"/>
      <c r="B368" s="245"/>
      <c r="C368" s="245"/>
      <c r="D368" s="245"/>
      <c r="E368" s="245"/>
      <c r="F368" s="245"/>
      <c r="G368" s="245"/>
      <c r="H368" s="245"/>
      <c r="I368" s="245"/>
    </row>
    <row r="369" spans="1:9">
      <c r="A369" s="245"/>
      <c r="B369" s="245"/>
      <c r="C369" s="245"/>
      <c r="D369" s="245"/>
      <c r="E369" s="245"/>
      <c r="F369" s="245"/>
      <c r="G369" s="245"/>
      <c r="H369" s="245"/>
      <c r="I369" s="245"/>
    </row>
    <row r="370" spans="1:9">
      <c r="A370" s="245"/>
      <c r="B370" s="245"/>
      <c r="C370" s="245"/>
      <c r="D370" s="245"/>
      <c r="E370" s="245"/>
      <c r="F370" s="245"/>
      <c r="G370" s="245"/>
      <c r="H370" s="245"/>
      <c r="I370" s="245"/>
    </row>
    <row r="371" spans="1:9">
      <c r="A371" s="245"/>
      <c r="B371" s="245"/>
      <c r="C371" s="245"/>
      <c r="D371" s="245"/>
      <c r="E371" s="245"/>
      <c r="F371" s="245"/>
      <c r="G371" s="245"/>
      <c r="H371" s="245"/>
      <c r="I371" s="245"/>
    </row>
    <row r="372" spans="1:9">
      <c r="A372" s="245"/>
      <c r="B372" s="245"/>
      <c r="C372" s="245"/>
      <c r="D372" s="245"/>
      <c r="E372" s="245"/>
      <c r="F372" s="245"/>
      <c r="G372" s="245"/>
      <c r="H372" s="245"/>
      <c r="I372" s="245"/>
    </row>
    <row r="373" spans="1:9">
      <c r="A373" s="245"/>
      <c r="B373" s="245"/>
      <c r="C373" s="245"/>
      <c r="D373" s="245"/>
      <c r="E373" s="245"/>
      <c r="F373" s="245"/>
      <c r="G373" s="245"/>
      <c r="H373" s="245"/>
      <c r="I373" s="245"/>
    </row>
    <row r="374" spans="1:9">
      <c r="A374" s="245"/>
      <c r="B374" s="245"/>
      <c r="C374" s="245"/>
      <c r="D374" s="245"/>
      <c r="E374" s="245"/>
      <c r="F374" s="245"/>
      <c r="G374" s="245"/>
      <c r="H374" s="245"/>
      <c r="I374" s="245"/>
    </row>
    <row r="375" spans="1:9">
      <c r="A375" s="245"/>
      <c r="B375" s="245"/>
      <c r="C375" s="245"/>
      <c r="D375" s="245"/>
      <c r="E375" s="245"/>
      <c r="F375" s="245"/>
      <c r="G375" s="245"/>
      <c r="H375" s="245"/>
      <c r="I375" s="245"/>
    </row>
    <row r="376" spans="1:9">
      <c r="A376" s="245"/>
      <c r="B376" s="245"/>
      <c r="C376" s="245"/>
      <c r="D376" s="245"/>
      <c r="E376" s="245"/>
      <c r="F376" s="245"/>
      <c r="G376" s="245"/>
      <c r="H376" s="245"/>
      <c r="I376" s="245"/>
    </row>
    <row r="377" spans="1:9">
      <c r="A377" s="245"/>
      <c r="B377" s="245"/>
      <c r="C377" s="245"/>
      <c r="D377" s="245"/>
      <c r="E377" s="245"/>
      <c r="F377" s="245"/>
      <c r="G377" s="245"/>
      <c r="H377" s="245"/>
      <c r="I377" s="245"/>
    </row>
    <row r="378" spans="1:9">
      <c r="A378" s="245"/>
      <c r="B378" s="245"/>
      <c r="C378" s="245"/>
      <c r="D378" s="245"/>
      <c r="E378" s="245"/>
      <c r="F378" s="245"/>
      <c r="G378" s="245"/>
      <c r="H378" s="245"/>
      <c r="I378" s="245"/>
    </row>
    <row r="379" spans="1:9">
      <c r="A379" s="245"/>
      <c r="B379" s="245"/>
      <c r="C379" s="245"/>
      <c r="D379" s="245"/>
      <c r="E379" s="245"/>
      <c r="F379" s="245"/>
      <c r="G379" s="245"/>
      <c r="H379" s="245"/>
      <c r="I379" s="245"/>
    </row>
    <row r="380" spans="1:9">
      <c r="A380" s="245"/>
      <c r="B380" s="245"/>
      <c r="C380" s="245"/>
      <c r="D380" s="245"/>
      <c r="E380" s="245"/>
      <c r="F380" s="245"/>
      <c r="G380" s="245"/>
      <c r="H380" s="245"/>
      <c r="I380" s="245"/>
    </row>
    <row r="381" spans="1:9">
      <c r="A381" s="245"/>
      <c r="B381" s="245"/>
      <c r="C381" s="245"/>
      <c r="D381" s="245"/>
      <c r="E381" s="245"/>
      <c r="F381" s="245"/>
      <c r="G381" s="245"/>
      <c r="H381" s="245"/>
      <c r="I381" s="245"/>
    </row>
    <row r="382" spans="1:9">
      <c r="A382" s="245"/>
      <c r="B382" s="245"/>
      <c r="C382" s="245"/>
      <c r="D382" s="245"/>
      <c r="E382" s="245"/>
      <c r="F382" s="245"/>
      <c r="G382" s="245"/>
      <c r="H382" s="245"/>
      <c r="I382" s="245"/>
    </row>
    <row r="383" spans="1:9">
      <c r="A383" s="245"/>
      <c r="B383" s="245"/>
      <c r="C383" s="245"/>
      <c r="D383" s="245"/>
      <c r="E383" s="245"/>
      <c r="F383" s="245"/>
      <c r="G383" s="245"/>
      <c r="H383" s="245"/>
      <c r="I383" s="245"/>
    </row>
    <row r="384" spans="1:9">
      <c r="A384" s="245"/>
      <c r="B384" s="245"/>
      <c r="C384" s="245"/>
      <c r="D384" s="245"/>
      <c r="E384" s="245"/>
      <c r="F384" s="245"/>
      <c r="G384" s="245"/>
      <c r="H384" s="245"/>
      <c r="I384" s="245"/>
    </row>
    <row r="385" spans="1:9">
      <c r="A385" s="245"/>
      <c r="B385" s="245"/>
      <c r="C385" s="245"/>
      <c r="D385" s="245"/>
      <c r="E385" s="245"/>
      <c r="F385" s="245"/>
      <c r="G385" s="245"/>
      <c r="H385" s="245"/>
      <c r="I385" s="245"/>
    </row>
    <row r="386" spans="1:9">
      <c r="A386" s="245"/>
      <c r="B386" s="245"/>
      <c r="C386" s="245"/>
      <c r="D386" s="245"/>
      <c r="E386" s="245"/>
      <c r="F386" s="245"/>
      <c r="G386" s="245"/>
      <c r="H386" s="245"/>
      <c r="I386" s="245"/>
    </row>
    <row r="387" spans="1:9">
      <c r="A387" s="245"/>
      <c r="B387" s="245"/>
      <c r="C387" s="245"/>
      <c r="D387" s="245"/>
      <c r="E387" s="245"/>
      <c r="F387" s="245"/>
      <c r="G387" s="245"/>
      <c r="H387" s="245"/>
      <c r="I387" s="245"/>
    </row>
    <row r="388" spans="1:9">
      <c r="A388" s="245"/>
      <c r="B388" s="245"/>
      <c r="C388" s="245"/>
      <c r="D388" s="245"/>
      <c r="E388" s="245"/>
      <c r="F388" s="245"/>
      <c r="G388" s="245"/>
      <c r="H388" s="245"/>
      <c r="I388" s="245"/>
    </row>
    <row r="389" spans="1:9">
      <c r="A389" s="245"/>
      <c r="B389" s="245"/>
      <c r="C389" s="245"/>
      <c r="D389" s="245"/>
      <c r="E389" s="245"/>
      <c r="F389" s="245"/>
      <c r="G389" s="245"/>
      <c r="H389" s="245"/>
      <c r="I389" s="245"/>
    </row>
  </sheetData>
  <sheetProtection algorithmName="SHA-512" hashValue="8Z4X7NWyZTq2N+Jd58uqW8wvFZ+612U9egCPqAMyg6J/ZVZzfT+if+YcLgTcrNh81ofE7ztsqKIPxac3QXq6Tw==" saltValue="mrcStP8HqISQk5wjCG3AOA==" spinCount="100000" sheet="1" objects="1" scenarios="1" formatCells="0" formatColumns="0" formatRows="0" selectLockedCells="1"/>
  <mergeCells count="40">
    <mergeCell ref="C213:H213"/>
    <mergeCell ref="C214:H214"/>
    <mergeCell ref="C49:H49"/>
    <mergeCell ref="C50:H50"/>
    <mergeCell ref="C33:G33"/>
    <mergeCell ref="C39:H39"/>
    <mergeCell ref="C41:G41"/>
    <mergeCell ref="C40:H40"/>
    <mergeCell ref="C35:G35"/>
    <mergeCell ref="C74:H74"/>
    <mergeCell ref="C67:H67"/>
    <mergeCell ref="C66:H66"/>
    <mergeCell ref="C65:H65"/>
    <mergeCell ref="C63:H63"/>
    <mergeCell ref="C72:I72"/>
    <mergeCell ref="C71:H71"/>
    <mergeCell ref="C3:H3"/>
    <mergeCell ref="C9:I9"/>
    <mergeCell ref="C8:I8"/>
    <mergeCell ref="C31:H31"/>
    <mergeCell ref="C34:G34"/>
    <mergeCell ref="C29:I29"/>
    <mergeCell ref="C28:H28"/>
    <mergeCell ref="C30:G30"/>
    <mergeCell ref="C32:G32"/>
    <mergeCell ref="C69:G69"/>
    <mergeCell ref="C62:H62"/>
    <mergeCell ref="C61:H61"/>
    <mergeCell ref="C60:H60"/>
    <mergeCell ref="C58:H58"/>
    <mergeCell ref="C51:H51"/>
    <mergeCell ref="C53:H53"/>
    <mergeCell ref="C54:H54"/>
    <mergeCell ref="C57:I57"/>
    <mergeCell ref="C56:H56"/>
    <mergeCell ref="C43:H43"/>
    <mergeCell ref="C44:H44"/>
    <mergeCell ref="C45:H45"/>
    <mergeCell ref="C46:H46"/>
    <mergeCell ref="C48:H48"/>
  </mergeCells>
  <conditionalFormatting sqref="I67 I54">
    <cfRule type="cellIs" dxfId="7" priority="2" operator="lessThan">
      <formula>0</formula>
    </cfRule>
  </conditionalFormatting>
  <conditionalFormatting sqref="I214:I215">
    <cfRule type="cellIs" dxfId="6" priority="1" operator="lessThan">
      <formula>0</formula>
    </cfRule>
  </conditionalFormatting>
  <dataValidations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I47 I60:I61" xr:uid="{DE2AD55B-737E-2D41-84FE-0959DAC66006}">
      <formula1>0</formula1>
      <formula2>10000000</formula2>
    </dataValidation>
    <dataValidation type="decimal" allowBlank="1" showInputMessage="1" showErrorMessage="1" errorTitle="Invalid value" error="Must be between 0 and 100 percent" sqref="I53 I21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25" zoomScaleNormal="125" workbookViewId="0">
      <pane ySplit="6" topLeftCell="A7" activePane="bottomLeft" state="frozen"/>
      <selection pane="bottomLeft" activeCell="G24" sqref="G24"/>
    </sheetView>
  </sheetViews>
  <sheetFormatPr baseColWidth="10" defaultRowHeight="16"/>
  <cols>
    <col min="1" max="1" width="5.7109375" style="245" customWidth="1"/>
    <col min="2" max="2" width="1.7109375" style="245" customWidth="1"/>
    <col min="3" max="3" width="21.140625" style="245" customWidth="1"/>
    <col min="4" max="10" width="10.7109375" style="245" customWidth="1"/>
    <col min="11" max="11" width="9.7109375" style="245" customWidth="1"/>
    <col min="12" max="12" width="2.28515625" style="245" customWidth="1"/>
    <col min="13" max="13" width="9.7109375" style="245" customWidth="1"/>
    <col min="14" max="14" width="1.28515625" style="245" customWidth="1"/>
    <col min="15" max="19" width="9.7109375" style="245" customWidth="1"/>
    <col min="20" max="20" width="1.42578125" style="245" customWidth="1"/>
    <col min="21" max="25" width="9.7109375" style="245" customWidth="1"/>
    <col min="26" max="16384" width="10.7109375" style="245"/>
  </cols>
  <sheetData>
    <row r="1" spans="1:22" ht="8" customHeight="1">
      <c r="A1" s="19"/>
      <c r="B1" s="19"/>
      <c r="C1" s="19"/>
      <c r="D1" s="19"/>
      <c r="E1" s="19"/>
      <c r="F1" s="19"/>
      <c r="G1" s="19"/>
      <c r="H1" s="19"/>
      <c r="I1" s="19"/>
      <c r="J1" s="19"/>
      <c r="K1" s="19"/>
      <c r="L1" s="1747"/>
    </row>
    <row r="2" spans="1:22" ht="40" customHeight="1">
      <c r="C2" s="246" t="s">
        <v>1298</v>
      </c>
    </row>
    <row r="3" spans="1:22" ht="21" customHeight="1">
      <c r="A3" s="781" t="s">
        <v>1310</v>
      </c>
      <c r="C3" s="2382" t="s">
        <v>2435</v>
      </c>
      <c r="D3" s="2383"/>
      <c r="E3" s="2383"/>
      <c r="F3" s="2383"/>
      <c r="G3" s="2383"/>
      <c r="H3" s="2383"/>
      <c r="I3" s="2383"/>
      <c r="J3" s="2383"/>
      <c r="K3" s="2383"/>
    </row>
    <row r="4" spans="1:22" ht="5" customHeight="1">
      <c r="C4" s="350"/>
      <c r="D4" s="350"/>
      <c r="E4" s="350"/>
      <c r="F4" s="350"/>
      <c r="G4" s="350"/>
      <c r="H4" s="350"/>
      <c r="I4" s="350"/>
      <c r="J4" s="350"/>
      <c r="K4" s="350"/>
    </row>
    <row r="5" spans="1:22" ht="5" customHeight="1">
      <c r="A5" s="1751"/>
      <c r="B5" s="1751"/>
      <c r="C5" s="1751"/>
      <c r="D5" s="350"/>
      <c r="E5" s="350"/>
      <c r="F5" s="350"/>
      <c r="G5" s="350"/>
      <c r="H5" s="350"/>
      <c r="I5" s="350"/>
      <c r="J5" s="350"/>
      <c r="K5" s="350"/>
    </row>
    <row r="6" spans="1:22" ht="5" customHeight="1">
      <c r="C6" s="271"/>
      <c r="D6" s="271"/>
      <c r="E6" s="271"/>
      <c r="F6" s="271"/>
      <c r="G6" s="271"/>
      <c r="H6" s="271"/>
      <c r="I6" s="271"/>
      <c r="J6" s="271"/>
      <c r="K6" s="271"/>
    </row>
    <row r="7" spans="1:22">
      <c r="C7" s="271"/>
      <c r="D7" s="271"/>
      <c r="E7" s="271"/>
      <c r="F7" s="271"/>
      <c r="G7" s="271"/>
      <c r="H7" s="271"/>
      <c r="I7" s="271"/>
      <c r="J7" s="271"/>
      <c r="K7" s="271"/>
      <c r="L7" s="80"/>
      <c r="M7" s="80"/>
      <c r="N7" s="80"/>
      <c r="O7" s="80"/>
      <c r="P7" s="80"/>
      <c r="Q7" s="80"/>
      <c r="R7" s="80"/>
      <c r="S7" s="80"/>
      <c r="T7" s="80"/>
      <c r="U7" s="80"/>
      <c r="V7" s="80"/>
    </row>
    <row r="8" spans="1:22" ht="18" customHeight="1">
      <c r="A8" s="247"/>
      <c r="C8" s="2384" t="s">
        <v>544</v>
      </c>
      <c r="D8" s="2384"/>
      <c r="E8" s="2384"/>
      <c r="F8" s="2384"/>
      <c r="G8" s="2384"/>
      <c r="H8" s="368"/>
      <c r="I8" s="368"/>
      <c r="J8" s="368"/>
      <c r="K8" s="368"/>
      <c r="L8" s="351"/>
      <c r="M8" s="80"/>
      <c r="N8" s="80"/>
      <c r="O8" s="80"/>
      <c r="P8" s="80"/>
      <c r="Q8" s="80"/>
      <c r="R8" s="80"/>
      <c r="S8" s="80"/>
      <c r="T8" s="80"/>
      <c r="U8" s="80"/>
      <c r="V8" s="80"/>
    </row>
    <row r="9" spans="1:22" ht="22" customHeight="1">
      <c r="C9" s="2385" t="s">
        <v>1308</v>
      </c>
      <c r="D9" s="2385"/>
      <c r="E9" s="2385"/>
      <c r="F9" s="2385"/>
      <c r="G9" s="2385"/>
      <c r="H9" s="368"/>
      <c r="I9" s="368"/>
      <c r="J9" s="368"/>
      <c r="K9" s="368"/>
      <c r="L9" s="80"/>
      <c r="M9" s="80"/>
      <c r="N9" s="80"/>
      <c r="O9" s="80"/>
      <c r="P9" s="80"/>
      <c r="Q9" s="80"/>
      <c r="R9" s="80"/>
      <c r="S9" s="80"/>
      <c r="T9" s="80"/>
      <c r="U9" s="80"/>
      <c r="V9" s="80"/>
    </row>
    <row r="10" spans="1:22" ht="18" customHeight="1">
      <c r="C10" s="297"/>
      <c r="D10" s="2374" t="s">
        <v>255</v>
      </c>
      <c r="E10" s="2374"/>
      <c r="F10" s="2374" t="s">
        <v>256</v>
      </c>
      <c r="G10" s="2374"/>
      <c r="H10" s="2374" t="s">
        <v>257</v>
      </c>
      <c r="I10" s="2374"/>
      <c r="J10" s="2374" t="s">
        <v>258</v>
      </c>
      <c r="K10" s="2374"/>
      <c r="L10" s="1064"/>
      <c r="M10" s="1064"/>
      <c r="N10" s="1064"/>
      <c r="O10" s="1064"/>
      <c r="P10" s="1064"/>
      <c r="Q10" s="1064"/>
      <c r="R10" s="1064"/>
      <c r="S10" s="1064"/>
      <c r="T10" s="80"/>
      <c r="U10" s="80"/>
      <c r="V10" s="80"/>
    </row>
    <row r="11" spans="1:22" ht="18" customHeight="1">
      <c r="C11" s="48" t="s">
        <v>1298</v>
      </c>
      <c r="D11" s="2366" t="str">
        <f>IF(Assets!C27&lt;&gt;"",Assets!C27,"")</f>
        <v>Lexus</v>
      </c>
      <c r="E11" s="2367"/>
      <c r="F11" s="2376" t="str">
        <f>IF(Assets!C28&lt;&gt;"",Assets!C28,"")</f>
        <v>Honda</v>
      </c>
      <c r="G11" s="2367"/>
      <c r="H11" s="2376" t="str">
        <f>IF(Assets!C29&lt;&gt;"",Assets!C29,"")</f>
        <v/>
      </c>
      <c r="I11" s="2367"/>
      <c r="J11" s="2376" t="str">
        <f>IF(Assets!C30&lt;&gt;"",Assets!C30,"")</f>
        <v/>
      </c>
      <c r="K11" s="2376"/>
      <c r="L11" s="249"/>
      <c r="M11" s="249"/>
      <c r="N11" s="249"/>
      <c r="O11" s="80"/>
      <c r="P11" s="80"/>
      <c r="Q11" s="80"/>
      <c r="R11" s="80"/>
      <c r="S11" s="80"/>
      <c r="T11" s="80"/>
      <c r="U11" s="80"/>
      <c r="V11" s="80"/>
    </row>
    <row r="12" spans="1:22" ht="18" customHeight="1">
      <c r="C12" s="355" t="s">
        <v>9</v>
      </c>
      <c r="D12" s="2368" t="str">
        <f>IF(Assets!D27&lt;&gt;"",Assets!D27,"")</f>
        <v>RX</v>
      </c>
      <c r="E12" s="2369"/>
      <c r="F12" s="2377" t="str">
        <f>IF(Assets!D28&lt;&gt;"",Assets!D28,"")</f>
        <v>CX</v>
      </c>
      <c r="G12" s="2369"/>
      <c r="H12" s="2377" t="str">
        <f>IF(Assets!D29&lt;&gt;"",Assets!D29,"")</f>
        <v/>
      </c>
      <c r="I12" s="2369"/>
      <c r="J12" s="2377" t="str">
        <f>IF(Assets!D30&lt;&gt;"",Assets!D30,"")</f>
        <v/>
      </c>
      <c r="K12" s="2377"/>
      <c r="L12" s="1065"/>
      <c r="M12" s="1065"/>
      <c r="N12" s="1065"/>
      <c r="O12" s="80"/>
      <c r="P12" s="80"/>
      <c r="Q12" s="80"/>
      <c r="R12" s="80"/>
      <c r="S12" s="80"/>
      <c r="T12" s="80"/>
      <c r="U12" s="80"/>
      <c r="V12" s="80"/>
    </row>
    <row r="13" spans="1:22" ht="18" customHeight="1">
      <c r="C13" s="48" t="s">
        <v>250</v>
      </c>
      <c r="D13" s="2370">
        <f>IF(Assets!F27&gt;0,Assets!F27,0)</f>
        <v>350</v>
      </c>
      <c r="E13" s="2371"/>
      <c r="F13" s="2378">
        <f>IF(Assets!F28&gt;0,Assets!F28,0)</f>
        <v>450</v>
      </c>
      <c r="G13" s="2371"/>
      <c r="H13" s="2378">
        <f>IF(Assets!F29&gt;0,Assets!F29,0)</f>
        <v>0</v>
      </c>
      <c r="I13" s="2371"/>
      <c r="J13" s="2388">
        <f>IF(Assets!F30&gt;0,Assets!F30,0)</f>
        <v>0</v>
      </c>
      <c r="K13" s="2388"/>
      <c r="L13" s="249"/>
      <c r="M13" s="249"/>
      <c r="N13" s="249"/>
      <c r="O13" s="80"/>
      <c r="P13" s="80"/>
      <c r="Q13" s="80"/>
      <c r="R13" s="80"/>
      <c r="S13" s="80"/>
      <c r="T13" s="80"/>
      <c r="U13" s="80"/>
      <c r="V13" s="80"/>
    </row>
    <row r="14" spans="1:22" ht="18" customHeight="1">
      <c r="C14" s="356" t="s">
        <v>1299</v>
      </c>
      <c r="D14" s="2372">
        <f>IF(Assets!E27&gt;0,Assets!E27,"")</f>
        <v>35000</v>
      </c>
      <c r="E14" s="2373"/>
      <c r="F14" s="2375">
        <f>IF(Assets!E28&gt;0,Assets!E28,"")</f>
        <v>41000</v>
      </c>
      <c r="G14" s="2373"/>
      <c r="H14" s="2375">
        <f>IF(Assets!E29&gt;0,Assets!E29,0)</f>
        <v>0</v>
      </c>
      <c r="I14" s="2373"/>
      <c r="J14" s="2375">
        <f>IF(Assets!E30&gt;0,Assets!E30,0)</f>
        <v>0</v>
      </c>
      <c r="K14" s="2375"/>
      <c r="L14" s="80"/>
      <c r="M14" s="80"/>
      <c r="N14" s="80"/>
      <c r="O14" s="80"/>
      <c r="P14" s="80"/>
      <c r="Q14" s="80"/>
      <c r="R14" s="80"/>
      <c r="S14" s="80"/>
      <c r="T14" s="80"/>
      <c r="U14" s="80"/>
      <c r="V14" s="80"/>
    </row>
    <row r="15" spans="1:22" ht="18" customHeight="1">
      <c r="C15" s="271"/>
      <c r="D15" s="271"/>
      <c r="E15" s="271"/>
      <c r="F15" s="271"/>
      <c r="G15" s="271"/>
      <c r="H15" s="271"/>
      <c r="I15" s="269"/>
      <c r="J15" s="269"/>
      <c r="K15" s="269"/>
      <c r="L15" s="80"/>
      <c r="M15" s="80"/>
      <c r="N15" s="80"/>
      <c r="O15" s="80"/>
      <c r="P15" s="80"/>
      <c r="Q15" s="80"/>
      <c r="R15" s="80"/>
      <c r="S15" s="80"/>
      <c r="T15" s="80"/>
      <c r="U15" s="80"/>
      <c r="V15" s="80"/>
    </row>
    <row r="16" spans="1:22" ht="16" customHeight="1">
      <c r="C16" s="352"/>
      <c r="D16" s="353"/>
      <c r="E16" s="353"/>
      <c r="F16" s="353"/>
      <c r="G16" s="271"/>
      <c r="H16" s="271"/>
      <c r="I16" s="271"/>
      <c r="J16" s="269"/>
      <c r="K16" s="269"/>
      <c r="L16" s="80"/>
      <c r="M16" s="80"/>
    </row>
    <row r="17" spans="3:25" ht="18" customHeight="1">
      <c r="C17" s="2386" t="s">
        <v>2588</v>
      </c>
      <c r="D17" s="2384"/>
      <c r="E17" s="2384"/>
      <c r="F17" s="2384"/>
      <c r="G17" s="2384"/>
      <c r="H17" s="2384"/>
      <c r="I17" s="2384"/>
      <c r="J17" s="269"/>
      <c r="K17" s="269"/>
      <c r="L17" s="80"/>
      <c r="M17" s="80"/>
    </row>
    <row r="18" spans="3:25" ht="18" customHeight="1">
      <c r="C18" s="2387" t="s">
        <v>1309</v>
      </c>
      <c r="D18" s="2387"/>
      <c r="E18" s="2387"/>
      <c r="F18" s="2387"/>
      <c r="G18" s="2387"/>
      <c r="H18" s="2387"/>
      <c r="I18" s="2387"/>
      <c r="J18" s="269"/>
      <c r="K18" s="269"/>
      <c r="L18" s="80"/>
      <c r="M18" s="80"/>
    </row>
    <row r="19" spans="3:25" ht="18" customHeight="1">
      <c r="C19" s="297"/>
      <c r="D19" s="297"/>
      <c r="E19" s="297" t="s">
        <v>44</v>
      </c>
      <c r="F19" s="297" t="s">
        <v>67</v>
      </c>
      <c r="G19" s="294"/>
      <c r="H19" s="297" t="s">
        <v>1</v>
      </c>
      <c r="I19" s="297" t="s">
        <v>44</v>
      </c>
      <c r="J19" s="351"/>
      <c r="K19" s="271"/>
      <c r="P19" s="251"/>
      <c r="Q19" s="251"/>
      <c r="R19" s="251"/>
      <c r="S19" s="251"/>
      <c r="U19" s="251"/>
      <c r="V19" s="251"/>
      <c r="W19" s="251"/>
      <c r="X19" s="251"/>
      <c r="Y19" s="251"/>
    </row>
    <row r="20" spans="3:25" ht="18" customHeight="1">
      <c r="C20" s="297" t="s">
        <v>9</v>
      </c>
      <c r="D20" s="297" t="s">
        <v>10</v>
      </c>
      <c r="E20" s="297" t="s">
        <v>249</v>
      </c>
      <c r="F20" s="297" t="s">
        <v>248</v>
      </c>
      <c r="G20" s="294"/>
      <c r="H20" s="297" t="s">
        <v>10</v>
      </c>
      <c r="I20" s="297" t="s">
        <v>10</v>
      </c>
      <c r="J20" s="354"/>
      <c r="K20" s="271"/>
      <c r="P20" s="251"/>
      <c r="Q20" s="251"/>
      <c r="R20" s="251"/>
      <c r="S20" s="251"/>
      <c r="U20" s="251"/>
      <c r="V20" s="251"/>
      <c r="W20" s="251"/>
      <c r="X20" s="251"/>
      <c r="Y20" s="251"/>
    </row>
    <row r="21" spans="3:25" ht="18" customHeight="1">
      <c r="C21" s="357" t="s">
        <v>259</v>
      </c>
      <c r="D21" s="364">
        <v>2000</v>
      </c>
      <c r="E21" s="1613">
        <v>2</v>
      </c>
      <c r="F21" s="359" t="s">
        <v>42</v>
      </c>
      <c r="G21" s="2579" t="s">
        <v>395</v>
      </c>
      <c r="H21" s="369">
        <f>IF(ISNUMBER(I21),I21/12,0)</f>
        <v>333.33333333333331</v>
      </c>
      <c r="I21" s="39">
        <f>IF(ISNUMBER(D21),IF(E21&gt;0,E21*D21,0),0)</f>
        <v>4000</v>
      </c>
      <c r="J21" s="270"/>
      <c r="K21" s="271"/>
      <c r="P21" s="248"/>
      <c r="Q21" s="248"/>
      <c r="R21" s="252"/>
      <c r="S21" s="252"/>
      <c r="U21" s="248"/>
      <c r="V21" s="248"/>
      <c r="W21" s="252"/>
      <c r="X21" s="252"/>
      <c r="Y21" s="253"/>
    </row>
    <row r="22" spans="3:25" ht="18" customHeight="1">
      <c r="C22" s="358" t="s">
        <v>251</v>
      </c>
      <c r="D22" s="363">
        <v>600</v>
      </c>
      <c r="E22" s="1614">
        <v>2</v>
      </c>
      <c r="F22" s="360" t="s">
        <v>42</v>
      </c>
      <c r="G22" s="2580" t="s">
        <v>395</v>
      </c>
      <c r="H22" s="370">
        <f t="shared" ref="H22:H31" si="0">IF(ISNUMBER(I22),I22/12,0)</f>
        <v>100</v>
      </c>
      <c r="I22" s="41">
        <f t="shared" ref="I22:I31" si="1">IF(ISNUMBER(D22),IF(E22&gt;0,E22*D22,0),0)</f>
        <v>1200</v>
      </c>
      <c r="J22" s="270"/>
      <c r="K22" s="271"/>
      <c r="P22" s="248"/>
      <c r="Q22" s="248"/>
      <c r="R22" s="252"/>
      <c r="S22" s="252"/>
      <c r="U22" s="248"/>
      <c r="V22" s="248"/>
      <c r="W22" s="252"/>
      <c r="X22" s="252"/>
      <c r="Y22" s="253"/>
    </row>
    <row r="23" spans="3:25" ht="18" customHeight="1">
      <c r="C23" s="2575" t="s">
        <v>11</v>
      </c>
      <c r="D23" s="364">
        <v>100</v>
      </c>
      <c r="E23" s="1613">
        <v>12</v>
      </c>
      <c r="F23" s="359" t="s">
        <v>42</v>
      </c>
      <c r="G23" s="2579" t="s">
        <v>395</v>
      </c>
      <c r="H23" s="369">
        <f t="shared" si="0"/>
        <v>100</v>
      </c>
      <c r="I23" s="39">
        <f t="shared" si="1"/>
        <v>1200</v>
      </c>
      <c r="J23" s="270"/>
      <c r="K23" s="271"/>
      <c r="P23" s="248"/>
      <c r="Q23" s="248"/>
      <c r="R23" s="252"/>
      <c r="S23" s="252"/>
      <c r="U23" s="248"/>
      <c r="V23" s="248"/>
      <c r="W23" s="252"/>
      <c r="X23" s="252"/>
      <c r="Y23" s="253"/>
    </row>
    <row r="24" spans="3:25" ht="18" customHeight="1">
      <c r="C24" s="358" t="s">
        <v>252</v>
      </c>
      <c r="D24" s="363">
        <v>50</v>
      </c>
      <c r="E24" s="1614">
        <v>12</v>
      </c>
      <c r="F24" s="360" t="s">
        <v>42</v>
      </c>
      <c r="G24" s="2580" t="s">
        <v>395</v>
      </c>
      <c r="H24" s="370">
        <f t="shared" si="0"/>
        <v>50</v>
      </c>
      <c r="I24" s="41">
        <f t="shared" si="1"/>
        <v>600</v>
      </c>
      <c r="J24" s="270"/>
      <c r="K24" s="271"/>
      <c r="P24" s="248"/>
      <c r="Q24" s="248"/>
      <c r="R24" s="252"/>
      <c r="S24" s="252"/>
      <c r="U24" s="248"/>
      <c r="V24" s="248"/>
      <c r="W24" s="252"/>
      <c r="X24" s="252"/>
      <c r="Y24" s="253"/>
    </row>
    <row r="25" spans="3:25" ht="18" customHeight="1">
      <c r="C25" s="2575" t="s">
        <v>260</v>
      </c>
      <c r="D25" s="364">
        <v>115</v>
      </c>
      <c r="E25" s="1613">
        <v>2</v>
      </c>
      <c r="F25" s="359" t="s">
        <v>42</v>
      </c>
      <c r="G25" s="2579" t="s">
        <v>395</v>
      </c>
      <c r="H25" s="369">
        <f t="shared" si="0"/>
        <v>19.166666666666668</v>
      </c>
      <c r="I25" s="39">
        <f t="shared" si="1"/>
        <v>230</v>
      </c>
      <c r="J25" s="270"/>
      <c r="K25" s="271"/>
      <c r="P25" s="248"/>
      <c r="Q25" s="248"/>
      <c r="R25" s="252"/>
      <c r="S25" s="252"/>
      <c r="U25" s="248"/>
      <c r="V25" s="248"/>
      <c r="W25" s="252"/>
      <c r="X25" s="252"/>
      <c r="Y25" s="253"/>
    </row>
    <row r="26" spans="3:25" ht="18" customHeight="1">
      <c r="C26" s="2576" t="s">
        <v>253</v>
      </c>
      <c r="D26" s="363">
        <v>100</v>
      </c>
      <c r="E26" s="1614">
        <v>12</v>
      </c>
      <c r="F26" s="360" t="s">
        <v>42</v>
      </c>
      <c r="G26" s="2580" t="s">
        <v>395</v>
      </c>
      <c r="H26" s="370">
        <f t="shared" si="0"/>
        <v>100</v>
      </c>
      <c r="I26" s="41">
        <f t="shared" si="1"/>
        <v>1200</v>
      </c>
      <c r="J26" s="270"/>
      <c r="K26" s="271"/>
      <c r="P26" s="248"/>
      <c r="Q26" s="248"/>
      <c r="R26" s="252"/>
      <c r="S26" s="252"/>
      <c r="U26" s="248"/>
      <c r="V26" s="248"/>
      <c r="W26" s="252"/>
      <c r="X26" s="252"/>
      <c r="Y26" s="253"/>
    </row>
    <row r="27" spans="3:25" ht="18" customHeight="1">
      <c r="C27" s="2063" t="s">
        <v>254</v>
      </c>
      <c r="D27" s="364">
        <v>250</v>
      </c>
      <c r="E27" s="1613">
        <v>1</v>
      </c>
      <c r="F27" s="2577" t="s">
        <v>42</v>
      </c>
      <c r="G27" s="2064" t="s">
        <v>395</v>
      </c>
      <c r="H27" s="369">
        <f t="shared" si="0"/>
        <v>20.833333333333332</v>
      </c>
      <c r="I27" s="39">
        <f t="shared" si="1"/>
        <v>250</v>
      </c>
      <c r="J27" s="270"/>
      <c r="K27" s="271"/>
      <c r="P27" s="248"/>
      <c r="Q27" s="248"/>
      <c r="R27" s="252"/>
      <c r="S27" s="252"/>
      <c r="U27" s="248"/>
      <c r="V27" s="248"/>
      <c r="W27" s="252"/>
      <c r="X27" s="252"/>
      <c r="Y27" s="253"/>
    </row>
    <row r="28" spans="3:25" ht="18" customHeight="1">
      <c r="C28" s="489" t="s">
        <v>12</v>
      </c>
      <c r="D28" s="363">
        <v>0</v>
      </c>
      <c r="E28" s="1614">
        <v>0</v>
      </c>
      <c r="F28" s="2578" t="s">
        <v>42</v>
      </c>
      <c r="G28" s="288" t="s">
        <v>402</v>
      </c>
      <c r="H28" s="370">
        <f t="shared" si="0"/>
        <v>0</v>
      </c>
      <c r="I28" s="41">
        <f t="shared" si="1"/>
        <v>0</v>
      </c>
      <c r="J28" s="270"/>
      <c r="K28" s="271"/>
      <c r="P28" s="248"/>
      <c r="Q28" s="248"/>
      <c r="R28" s="252"/>
      <c r="S28" s="252"/>
      <c r="U28" s="248"/>
      <c r="V28" s="248"/>
      <c r="W28" s="252"/>
      <c r="X28" s="252"/>
      <c r="Y28" s="253"/>
    </row>
    <row r="29" spans="3:25" ht="18" customHeight="1">
      <c r="C29" s="490" t="s">
        <v>12</v>
      </c>
      <c r="D29" s="364">
        <v>0</v>
      </c>
      <c r="E29" s="1613">
        <v>0</v>
      </c>
      <c r="F29" s="2577" t="s">
        <v>43</v>
      </c>
      <c r="G29" s="287" t="s">
        <v>402</v>
      </c>
      <c r="H29" s="369">
        <f t="shared" si="0"/>
        <v>0</v>
      </c>
      <c r="I29" s="39">
        <f t="shared" si="1"/>
        <v>0</v>
      </c>
      <c r="J29" s="270"/>
      <c r="K29" s="271"/>
      <c r="P29" s="248"/>
      <c r="Q29" s="248"/>
      <c r="R29" s="252"/>
      <c r="S29" s="252"/>
      <c r="U29" s="248"/>
      <c r="V29" s="248"/>
      <c r="W29" s="252"/>
      <c r="X29" s="252"/>
      <c r="Y29" s="253"/>
    </row>
    <row r="30" spans="3:25" ht="18" customHeight="1">
      <c r="C30" s="489" t="s">
        <v>12</v>
      </c>
      <c r="D30" s="363">
        <v>0</v>
      </c>
      <c r="E30" s="1614">
        <v>0</v>
      </c>
      <c r="F30" s="2578" t="s">
        <v>43</v>
      </c>
      <c r="G30" s="288" t="s">
        <v>402</v>
      </c>
      <c r="H30" s="370">
        <f t="shared" si="0"/>
        <v>0</v>
      </c>
      <c r="I30" s="41">
        <f t="shared" si="1"/>
        <v>0</v>
      </c>
      <c r="J30" s="270"/>
      <c r="K30" s="271"/>
      <c r="P30" s="248"/>
      <c r="Q30" s="248"/>
      <c r="R30" s="252"/>
      <c r="S30" s="252"/>
      <c r="U30" s="248"/>
      <c r="V30" s="248"/>
      <c r="W30" s="252"/>
      <c r="X30" s="252"/>
      <c r="Y30" s="253"/>
    </row>
    <row r="31" spans="3:25" ht="18" customHeight="1">
      <c r="C31" s="373" t="s">
        <v>2436</v>
      </c>
      <c r="D31" s="365">
        <f>SUM(D13:J13)</f>
        <v>800</v>
      </c>
      <c r="E31" s="366">
        <v>12</v>
      </c>
      <c r="F31" s="367" t="s">
        <v>43</v>
      </c>
      <c r="G31" s="366" t="s">
        <v>402</v>
      </c>
      <c r="H31" s="371">
        <f t="shared" si="0"/>
        <v>800</v>
      </c>
      <c r="I31" s="372">
        <f t="shared" si="1"/>
        <v>9600</v>
      </c>
      <c r="J31" s="269"/>
      <c r="K31" s="271"/>
      <c r="P31" s="248"/>
      <c r="Q31" s="248"/>
      <c r="R31" s="252"/>
      <c r="S31" s="252"/>
      <c r="U31" s="248"/>
      <c r="V31" s="248"/>
      <c r="W31" s="252"/>
      <c r="X31" s="252"/>
      <c r="Y31" s="253"/>
    </row>
    <row r="32" spans="3:25" ht="15" customHeight="1">
      <c r="C32" s="349"/>
      <c r="D32" s="349"/>
      <c r="E32" s="271"/>
      <c r="F32" s="271"/>
      <c r="G32" s="349"/>
      <c r="H32" s="39">
        <f>SUM(H21:H31)</f>
        <v>1523.3333333333333</v>
      </c>
      <c r="I32" s="39">
        <f>SUM(I21:I31)</f>
        <v>18280</v>
      </c>
      <c r="J32" s="269"/>
      <c r="K32" s="269"/>
      <c r="L32" s="80"/>
      <c r="M32" s="80"/>
      <c r="O32" s="250"/>
      <c r="P32" s="250"/>
    </row>
    <row r="33" spans="3:16" ht="15" customHeight="1">
      <c r="C33" s="349"/>
      <c r="D33" s="349"/>
      <c r="E33" s="271"/>
      <c r="F33" s="271"/>
      <c r="G33" s="349"/>
      <c r="H33" s="361"/>
      <c r="I33" s="362"/>
      <c r="J33" s="269"/>
      <c r="K33" s="269"/>
      <c r="L33" s="80"/>
      <c r="M33" s="80"/>
      <c r="O33" s="250"/>
      <c r="P33" s="250"/>
    </row>
    <row r="34" spans="3:16" ht="15" customHeight="1">
      <c r="I34" s="80"/>
      <c r="J34" s="80"/>
      <c r="K34" s="80"/>
      <c r="L34" s="80"/>
    </row>
    <row r="35" spans="3:16" ht="15" customHeight="1">
      <c r="C35" s="2379" t="s">
        <v>7</v>
      </c>
      <c r="D35" s="2380"/>
      <c r="E35" s="2380"/>
      <c r="F35" s="2380"/>
      <c r="G35" s="2380"/>
      <c r="H35" s="2380"/>
      <c r="I35" s="2381"/>
    </row>
    <row r="36" spans="3:16" ht="15" customHeight="1">
      <c r="C36" s="2392"/>
      <c r="D36" s="2393"/>
      <c r="E36" s="2393"/>
      <c r="F36" s="2393"/>
      <c r="G36" s="2393"/>
      <c r="H36" s="2393"/>
      <c r="I36" s="2394"/>
    </row>
    <row r="37" spans="3:16" ht="15" customHeight="1">
      <c r="C37" s="2395"/>
      <c r="D37" s="2396"/>
      <c r="E37" s="2396"/>
      <c r="F37" s="2396"/>
      <c r="G37" s="2396"/>
      <c r="H37" s="2396"/>
      <c r="I37" s="2397"/>
    </row>
    <row r="38" spans="3:16" ht="15" customHeight="1">
      <c r="C38" s="2395"/>
      <c r="D38" s="2396"/>
      <c r="E38" s="2396"/>
      <c r="F38" s="2396"/>
      <c r="G38" s="2396"/>
      <c r="H38" s="2396"/>
      <c r="I38" s="2397"/>
    </row>
    <row r="39" spans="3:16" ht="15" customHeight="1">
      <c r="C39" s="2395"/>
      <c r="D39" s="2396"/>
      <c r="E39" s="2396"/>
      <c r="F39" s="2396"/>
      <c r="G39" s="2396"/>
      <c r="H39" s="2396"/>
      <c r="I39" s="2397"/>
    </row>
    <row r="40" spans="3:16" ht="15" customHeight="1">
      <c r="C40" s="2395"/>
      <c r="D40" s="2396"/>
      <c r="E40" s="2396"/>
      <c r="F40" s="2396"/>
      <c r="G40" s="2396"/>
      <c r="H40" s="2396"/>
      <c r="I40" s="2397"/>
    </row>
    <row r="41" spans="3:16" ht="15" customHeight="1">
      <c r="C41" s="2389"/>
      <c r="D41" s="2390"/>
      <c r="E41" s="2390"/>
      <c r="F41" s="2390"/>
      <c r="G41" s="2390"/>
      <c r="H41" s="2390"/>
      <c r="I41" s="2391"/>
      <c r="K41" s="251"/>
      <c r="L41" s="251"/>
      <c r="M41" s="251"/>
      <c r="N41" s="251"/>
      <c r="O41" s="251"/>
      <c r="P41" s="251"/>
    </row>
    <row r="42" spans="3:16" ht="15" customHeight="1">
      <c r="K42" s="251"/>
      <c r="L42" s="251"/>
      <c r="M42" s="251"/>
      <c r="N42" s="251"/>
      <c r="O42" s="251"/>
      <c r="P42" s="251"/>
    </row>
    <row r="43" spans="3:16">
      <c r="L43" s="248"/>
      <c r="M43" s="248"/>
      <c r="N43" s="252"/>
      <c r="O43" s="252"/>
      <c r="P43" s="253"/>
    </row>
    <row r="44" spans="3:16">
      <c r="L44" s="248"/>
      <c r="M44" s="248"/>
      <c r="N44" s="252"/>
      <c r="O44" s="252"/>
      <c r="P44" s="253"/>
    </row>
    <row r="45" spans="3:16">
      <c r="L45" s="248"/>
      <c r="M45" s="248"/>
      <c r="N45" s="252"/>
      <c r="O45" s="252"/>
      <c r="P45" s="253"/>
    </row>
    <row r="46" spans="3:16">
      <c r="L46" s="248"/>
      <c r="M46" s="248"/>
      <c r="N46" s="252"/>
      <c r="O46" s="252"/>
      <c r="P46" s="253"/>
    </row>
    <row r="47" spans="3:16">
      <c r="L47" s="248"/>
      <c r="M47" s="248"/>
      <c r="N47" s="252"/>
      <c r="O47" s="252"/>
      <c r="P47" s="253"/>
    </row>
    <row r="48" spans="3:16">
      <c r="L48" s="248"/>
      <c r="M48" s="248"/>
      <c r="N48" s="252"/>
      <c r="O48" s="252"/>
      <c r="P48" s="253"/>
    </row>
    <row r="49" spans="12:16">
      <c r="L49" s="248"/>
      <c r="M49" s="248"/>
      <c r="N49" s="252"/>
      <c r="O49" s="252"/>
      <c r="P49" s="253"/>
    </row>
    <row r="50" spans="12:16">
      <c r="L50" s="248"/>
      <c r="M50" s="248"/>
      <c r="N50" s="252"/>
      <c r="O50" s="252"/>
      <c r="P50" s="253"/>
    </row>
    <row r="51" spans="12:16">
      <c r="L51" s="248"/>
      <c r="M51" s="248"/>
      <c r="N51" s="252"/>
      <c r="O51" s="252"/>
      <c r="P51" s="253"/>
    </row>
    <row r="52" spans="12:16">
      <c r="L52" s="248"/>
      <c r="M52" s="248"/>
      <c r="N52" s="252"/>
      <c r="O52" s="252"/>
      <c r="P52" s="253"/>
    </row>
    <row r="53" spans="12:16">
      <c r="L53" s="248"/>
      <c r="M53" s="248"/>
      <c r="N53" s="252"/>
      <c r="O53" s="252"/>
      <c r="P53" s="253"/>
    </row>
  </sheetData>
  <sheetProtection algorithmName="SHA-512" hashValue="9gZIGrXfRidqF+d3boPfYB8MSkK15TKA18LpdZDqqEohxrrXMrmi8CB1VENr9KyZYS8zHN0tYr+RsWpbWlAaWw==" saltValue="qyco9vVyPgKHugxK1v3S+A==" spinCount="100000" sheet="1" objects="1" scenarios="1" formatCells="0" formatColumns="0" formatRows="0" selectLockedCells="1"/>
  <mergeCells count="32">
    <mergeCell ref="C41:I41"/>
    <mergeCell ref="C36:I36"/>
    <mergeCell ref="C37:I37"/>
    <mergeCell ref="C38:I38"/>
    <mergeCell ref="C39:I39"/>
    <mergeCell ref="C40:I40"/>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D11:E11"/>
    <mergeCell ref="D12:E12"/>
    <mergeCell ref="D13:E13"/>
    <mergeCell ref="D14:E14"/>
    <mergeCell ref="J10:K10"/>
    <mergeCell ref="H14:I14"/>
    <mergeCell ref="F11:G11"/>
    <mergeCell ref="F12:G12"/>
    <mergeCell ref="F13:G13"/>
    <mergeCell ref="F14:G14"/>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25" zoomScaleNormal="125" workbookViewId="0">
      <pane ySplit="6" topLeftCell="A7" activePane="bottomLeft" state="frozen"/>
      <selection pane="bottomLeft" activeCell="G22" sqref="G22"/>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38"/>
      <c r="B1" s="238"/>
      <c r="C1" s="238"/>
      <c r="D1" s="238"/>
      <c r="E1" s="238"/>
      <c r="F1" s="238"/>
      <c r="G1" s="238"/>
      <c r="H1" s="238"/>
      <c r="I1" s="238"/>
      <c r="J1" s="238"/>
      <c r="K1" s="238"/>
      <c r="L1" s="238"/>
      <c r="M1" s="238"/>
      <c r="N1" s="238"/>
      <c r="O1" s="238"/>
      <c r="P1" s="238"/>
      <c r="Q1" s="238"/>
      <c r="R1" s="1753"/>
    </row>
    <row r="2" spans="1:26" ht="40" customHeight="1">
      <c r="C2" s="201" t="s">
        <v>1287</v>
      </c>
    </row>
    <row r="3" spans="1:26" ht="40" customHeight="1">
      <c r="A3" s="1754" t="s">
        <v>1310</v>
      </c>
      <c r="C3" s="2398" t="s">
        <v>1290</v>
      </c>
      <c r="D3" s="2398"/>
      <c r="E3" s="2398"/>
      <c r="F3" s="2398"/>
      <c r="G3" s="2398"/>
      <c r="H3" s="2398"/>
      <c r="I3" s="2398"/>
      <c r="J3" s="2398"/>
      <c r="K3" s="2398"/>
    </row>
    <row r="5" spans="1:26" ht="17" customHeight="1">
      <c r="A5" s="455"/>
      <c r="E5" s="203"/>
      <c r="F5" s="203"/>
    </row>
    <row r="6" spans="1:26" ht="7" customHeight="1">
      <c r="A6" s="202"/>
      <c r="E6" s="203"/>
      <c r="F6" s="203"/>
    </row>
    <row r="7" spans="1:26" s="17" customFormat="1" ht="15" customHeight="1">
      <c r="I7" s="18"/>
      <c r="R7" s="18"/>
      <c r="T7" s="18"/>
      <c r="V7" s="18"/>
      <c r="W7" s="18"/>
      <c r="X7" s="18"/>
      <c r="Y7" s="18"/>
      <c r="Z7" s="18"/>
    </row>
    <row r="8" spans="1:26" s="17" customFormat="1" ht="25" customHeight="1">
      <c r="C8" s="237" t="s">
        <v>49</v>
      </c>
      <c r="D8" s="205"/>
      <c r="E8" s="205"/>
      <c r="F8" s="205"/>
      <c r="G8" s="205"/>
      <c r="H8" s="205"/>
      <c r="I8" s="205"/>
      <c r="R8" s="204"/>
      <c r="T8" s="212"/>
      <c r="V8" s="18"/>
      <c r="W8" s="18"/>
      <c r="X8" s="204"/>
      <c r="Y8" s="204"/>
      <c r="Z8" s="212"/>
    </row>
    <row r="9" spans="1:26" s="17" customFormat="1" ht="15" customHeight="1">
      <c r="C9" s="206"/>
      <c r="D9" s="225"/>
      <c r="E9" s="206" t="s">
        <v>44</v>
      </c>
      <c r="F9" s="206" t="s">
        <v>67</v>
      </c>
      <c r="G9" s="206" t="s">
        <v>1285</v>
      </c>
      <c r="H9" s="206" t="s">
        <v>1</v>
      </c>
      <c r="I9" s="206" t="s">
        <v>44</v>
      </c>
      <c r="R9" s="204"/>
      <c r="T9" s="212"/>
      <c r="V9" s="18"/>
      <c r="W9" s="18"/>
      <c r="X9" s="204"/>
      <c r="Y9" s="204"/>
      <c r="Z9" s="212"/>
    </row>
    <row r="10" spans="1:26" s="17" customFormat="1" ht="15" customHeight="1">
      <c r="C10" s="206" t="s">
        <v>9</v>
      </c>
      <c r="D10" s="206" t="s">
        <v>10</v>
      </c>
      <c r="E10" s="206" t="s">
        <v>249</v>
      </c>
      <c r="F10" s="206" t="s">
        <v>248</v>
      </c>
      <c r="G10" s="206" t="s">
        <v>395</v>
      </c>
      <c r="H10" s="206" t="s">
        <v>10</v>
      </c>
      <c r="I10" s="206" t="s">
        <v>10</v>
      </c>
      <c r="K10" s="243" t="s">
        <v>1291</v>
      </c>
      <c r="L10" s="243"/>
      <c r="M10" s="243"/>
      <c r="N10" s="243"/>
      <c r="R10" s="204"/>
      <c r="T10" s="212"/>
      <c r="V10" s="18"/>
      <c r="W10" s="18"/>
      <c r="X10" s="204"/>
      <c r="Y10" s="204"/>
      <c r="Z10" s="212"/>
    </row>
    <row r="11" spans="1:26" s="17" customFormat="1" ht="15" customHeight="1">
      <c r="C11" s="2571" t="s">
        <v>2308</v>
      </c>
      <c r="D11" s="226">
        <f t="shared" ref="D11:D21" si="0">D27+L27</f>
        <v>97</v>
      </c>
      <c r="E11" s="159">
        <v>12</v>
      </c>
      <c r="F11" s="227" t="s">
        <v>43</v>
      </c>
      <c r="G11" s="242" t="s">
        <v>395</v>
      </c>
      <c r="H11" s="209">
        <f>IF(ISNUMBER(D11),IF(E11&gt;0,(D11*E11)/12,0),0)</f>
        <v>97</v>
      </c>
      <c r="I11" s="210">
        <f>H11*12</f>
        <v>1164</v>
      </c>
      <c r="R11" s="204"/>
      <c r="T11" s="212"/>
      <c r="V11" s="18"/>
      <c r="W11" s="18"/>
      <c r="X11" s="204"/>
      <c r="Y11" s="204"/>
      <c r="Z11" s="212"/>
    </row>
    <row r="12" spans="1:26" s="17" customFormat="1" ht="15" customHeight="1">
      <c r="C12" s="2572" t="s">
        <v>12</v>
      </c>
      <c r="D12" s="228">
        <f t="shared" si="0"/>
        <v>0</v>
      </c>
      <c r="E12" s="163">
        <v>0</v>
      </c>
      <c r="F12" s="229" t="s">
        <v>43</v>
      </c>
      <c r="G12" s="2573" t="s">
        <v>402</v>
      </c>
      <c r="H12" s="214">
        <f t="shared" ref="H12:H21" si="1">IF(ISNUMBER(D12),IF(E12&gt;0,(D12*E12)/12,0),0)</f>
        <v>0</v>
      </c>
      <c r="I12" s="215">
        <f>H12*12</f>
        <v>0</v>
      </c>
      <c r="R12" s="204"/>
      <c r="T12" s="212"/>
      <c r="V12" s="18"/>
      <c r="W12" s="18"/>
      <c r="X12" s="204"/>
      <c r="Y12" s="204"/>
      <c r="Z12" s="212"/>
    </row>
    <row r="13" spans="1:26" s="17" customFormat="1" ht="15" customHeight="1">
      <c r="C13" s="2571" t="s">
        <v>12</v>
      </c>
      <c r="D13" s="226">
        <f t="shared" si="0"/>
        <v>0</v>
      </c>
      <c r="E13" s="159">
        <v>0</v>
      </c>
      <c r="F13" s="227" t="s">
        <v>43</v>
      </c>
      <c r="G13" s="1481" t="s">
        <v>402</v>
      </c>
      <c r="H13" s="209">
        <f t="shared" si="1"/>
        <v>0</v>
      </c>
      <c r="I13" s="210">
        <f t="shared" ref="I13:I21" si="2">H13*12</f>
        <v>0</v>
      </c>
      <c r="S13" s="204"/>
      <c r="T13" s="212"/>
      <c r="V13" s="18"/>
      <c r="W13" s="18"/>
      <c r="X13" s="204"/>
      <c r="Y13" s="204"/>
      <c r="Z13" s="212"/>
    </row>
    <row r="14" spans="1:26" s="17" customFormat="1" ht="15" customHeight="1">
      <c r="C14" s="2572" t="s">
        <v>12</v>
      </c>
      <c r="D14" s="228">
        <f t="shared" si="0"/>
        <v>0</v>
      </c>
      <c r="E14" s="163">
        <v>0</v>
      </c>
      <c r="F14" s="229" t="s">
        <v>43</v>
      </c>
      <c r="G14" s="1482" t="s">
        <v>402</v>
      </c>
      <c r="H14" s="214">
        <f t="shared" si="1"/>
        <v>0</v>
      </c>
      <c r="I14" s="215">
        <f t="shared" si="2"/>
        <v>0</v>
      </c>
      <c r="J14" s="18"/>
      <c r="S14" s="204"/>
      <c r="T14" s="212"/>
      <c r="V14" s="18"/>
      <c r="W14" s="18"/>
      <c r="X14" s="204"/>
      <c r="Y14" s="204"/>
      <c r="Z14" s="212"/>
    </row>
    <row r="15" spans="1:26" s="17" customFormat="1" ht="15" customHeight="1">
      <c r="C15" s="2571" t="s">
        <v>12</v>
      </c>
      <c r="D15" s="226">
        <f t="shared" si="0"/>
        <v>0</v>
      </c>
      <c r="E15" s="159">
        <v>0</v>
      </c>
      <c r="F15" s="227" t="s">
        <v>43</v>
      </c>
      <c r="G15" s="2574" t="s">
        <v>402</v>
      </c>
      <c r="H15" s="209">
        <f t="shared" si="1"/>
        <v>0</v>
      </c>
      <c r="I15" s="210">
        <f t="shared" si="2"/>
        <v>0</v>
      </c>
      <c r="J15" s="18"/>
      <c r="R15" s="204"/>
      <c r="S15" s="204"/>
      <c r="T15" s="212"/>
      <c r="V15" s="18"/>
      <c r="W15" s="18"/>
      <c r="X15" s="204"/>
      <c r="Y15" s="204"/>
      <c r="Z15" s="212"/>
    </row>
    <row r="16" spans="1:26" s="17" customFormat="1" ht="15" customHeight="1">
      <c r="C16" s="2572" t="s">
        <v>12</v>
      </c>
      <c r="D16" s="228">
        <f t="shared" si="0"/>
        <v>0</v>
      </c>
      <c r="E16" s="163">
        <v>0</v>
      </c>
      <c r="F16" s="229" t="s">
        <v>43</v>
      </c>
      <c r="G16" s="2573" t="s">
        <v>402</v>
      </c>
      <c r="H16" s="214">
        <f t="shared" si="1"/>
        <v>0</v>
      </c>
      <c r="I16" s="215">
        <f t="shared" si="2"/>
        <v>0</v>
      </c>
      <c r="J16" s="18"/>
      <c r="K16" s="204"/>
      <c r="M16" s="212"/>
      <c r="P16" s="18"/>
      <c r="Q16" s="18"/>
      <c r="R16" s="204"/>
      <c r="S16" s="204"/>
      <c r="T16" s="212"/>
      <c r="V16" s="18"/>
      <c r="W16" s="18"/>
      <c r="X16" s="204"/>
      <c r="Y16" s="204"/>
      <c r="Z16" s="212"/>
    </row>
    <row r="17" spans="3:26" s="17" customFormat="1" ht="15" customHeight="1">
      <c r="C17" s="2571" t="s">
        <v>12</v>
      </c>
      <c r="D17" s="226">
        <f t="shared" si="0"/>
        <v>0</v>
      </c>
      <c r="E17" s="159">
        <v>0</v>
      </c>
      <c r="F17" s="227" t="s">
        <v>43</v>
      </c>
      <c r="G17" s="2574" t="s">
        <v>402</v>
      </c>
      <c r="H17" s="209">
        <f t="shared" si="1"/>
        <v>0</v>
      </c>
      <c r="I17" s="210">
        <f t="shared" si="2"/>
        <v>0</v>
      </c>
      <c r="J17" s="18"/>
      <c r="K17" s="204"/>
      <c r="M17" s="212"/>
      <c r="P17" s="18"/>
      <c r="Q17" s="18"/>
      <c r="R17" s="204"/>
      <c r="S17" s="204"/>
      <c r="T17" s="212"/>
      <c r="V17" s="18"/>
      <c r="W17" s="18"/>
      <c r="X17" s="204"/>
      <c r="Y17" s="204"/>
      <c r="Z17" s="212"/>
    </row>
    <row r="18" spans="3:26" s="17" customFormat="1" ht="15" customHeight="1">
      <c r="C18" s="1573" t="s">
        <v>12</v>
      </c>
      <c r="D18" s="228">
        <f t="shared" si="0"/>
        <v>0</v>
      </c>
      <c r="E18" s="163">
        <v>0</v>
      </c>
      <c r="F18" s="229" t="s">
        <v>43</v>
      </c>
      <c r="G18" s="2573" t="s">
        <v>402</v>
      </c>
      <c r="H18" s="214">
        <f t="shared" si="1"/>
        <v>0</v>
      </c>
      <c r="I18" s="215">
        <f t="shared" si="2"/>
        <v>0</v>
      </c>
      <c r="J18" s="18"/>
      <c r="M18" s="212"/>
      <c r="P18" s="18"/>
      <c r="Q18" s="18"/>
      <c r="R18" s="204"/>
      <c r="S18" s="204"/>
      <c r="T18" s="212"/>
      <c r="V18" s="18"/>
      <c r="W18" s="18"/>
      <c r="X18" s="204"/>
      <c r="Y18" s="204"/>
      <c r="Z18" s="212"/>
    </row>
    <row r="19" spans="3:26" s="17" customFormat="1" ht="15" customHeight="1">
      <c r="C19" s="1574" t="s">
        <v>12</v>
      </c>
      <c r="D19" s="226">
        <f t="shared" si="0"/>
        <v>0</v>
      </c>
      <c r="E19" s="159">
        <v>0</v>
      </c>
      <c r="F19" s="227" t="s">
        <v>43</v>
      </c>
      <c r="G19" s="2574" t="s">
        <v>402</v>
      </c>
      <c r="H19" s="209">
        <f t="shared" si="1"/>
        <v>0</v>
      </c>
      <c r="I19" s="210">
        <f t="shared" si="2"/>
        <v>0</v>
      </c>
    </row>
    <row r="20" spans="3:26" s="17" customFormat="1">
      <c r="C20" s="2065" t="s">
        <v>12</v>
      </c>
      <c r="D20" s="228">
        <f t="shared" si="0"/>
        <v>0</v>
      </c>
      <c r="E20" s="163">
        <v>0</v>
      </c>
      <c r="F20" s="2066" t="s">
        <v>43</v>
      </c>
      <c r="G20" s="2573" t="s">
        <v>402</v>
      </c>
      <c r="H20" s="214">
        <f t="shared" si="1"/>
        <v>0</v>
      </c>
      <c r="I20" s="215">
        <f t="shared" si="2"/>
        <v>0</v>
      </c>
    </row>
    <row r="21" spans="3:26" s="17" customFormat="1">
      <c r="C21" s="1575" t="s">
        <v>2453</v>
      </c>
      <c r="D21" s="230">
        <f t="shared" si="0"/>
        <v>0</v>
      </c>
      <c r="E21" s="168">
        <v>12</v>
      </c>
      <c r="F21" s="1492" t="s">
        <v>42</v>
      </c>
      <c r="G21" s="2583" t="s">
        <v>395</v>
      </c>
      <c r="H21" s="219">
        <f t="shared" si="1"/>
        <v>0</v>
      </c>
      <c r="I21" s="220">
        <f t="shared" si="2"/>
        <v>0</v>
      </c>
    </row>
    <row r="22" spans="3:26" s="17" customFormat="1" ht="23" customHeight="1">
      <c r="H22" s="210">
        <f>SUM(H11:H21)</f>
        <v>97</v>
      </c>
      <c r="I22" s="210">
        <f>SUM(I11:I21)</f>
        <v>1164</v>
      </c>
      <c r="J22" s="231"/>
      <c r="K22" s="231"/>
      <c r="L22" s="231"/>
      <c r="M22" s="231"/>
      <c r="N22" s="231"/>
      <c r="O22" s="231"/>
      <c r="P22" s="231"/>
      <c r="Q22" s="231"/>
    </row>
    <row r="23" spans="3:26" s="17" customFormat="1" ht="23" customHeight="1">
      <c r="C23" s="2399"/>
      <c r="D23" s="2399"/>
      <c r="E23" s="2399"/>
      <c r="F23" s="2399"/>
      <c r="G23" s="2399"/>
      <c r="H23" s="2399"/>
      <c r="I23" s="2399"/>
      <c r="J23" s="204"/>
      <c r="K23" s="204"/>
    </row>
    <row r="24" spans="3:26" s="17" customFormat="1">
      <c r="C24" s="2400" t="s">
        <v>200</v>
      </c>
      <c r="D24" s="2400"/>
      <c r="E24" s="2400"/>
      <c r="F24" s="2400"/>
      <c r="G24" s="2400"/>
      <c r="H24" s="2400"/>
      <c r="I24" s="205"/>
      <c r="J24" s="32"/>
      <c r="K24" s="2400" t="s">
        <v>201</v>
      </c>
      <c r="L24" s="2400"/>
      <c r="M24" s="2400"/>
      <c r="N24" s="2400"/>
      <c r="O24" s="2400"/>
      <c r="P24" s="2400"/>
      <c r="Q24" s="205"/>
    </row>
    <row r="25" spans="3:26" s="17" customFormat="1">
      <c r="C25" s="206"/>
      <c r="D25" s="206"/>
      <c r="E25" s="206" t="s">
        <v>44</v>
      </c>
      <c r="F25" s="206" t="s">
        <v>67</v>
      </c>
      <c r="G25" s="206" t="s">
        <v>1285</v>
      </c>
      <c r="H25" s="206" t="s">
        <v>1</v>
      </c>
      <c r="I25" s="206" t="s">
        <v>44</v>
      </c>
      <c r="J25" s="18"/>
      <c r="K25" s="206"/>
      <c r="L25" s="206"/>
      <c r="M25" s="206" t="s">
        <v>44</v>
      </c>
      <c r="N25" s="206" t="s">
        <v>67</v>
      </c>
      <c r="O25" s="206" t="s">
        <v>1285</v>
      </c>
      <c r="P25" s="206" t="s">
        <v>1</v>
      </c>
      <c r="Q25" s="206" t="s">
        <v>44</v>
      </c>
    </row>
    <row r="26" spans="3:26">
      <c r="C26" s="206" t="s">
        <v>9</v>
      </c>
      <c r="D26" s="206" t="s">
        <v>10</v>
      </c>
      <c r="E26" s="206" t="s">
        <v>249</v>
      </c>
      <c r="F26" s="206" t="s">
        <v>248</v>
      </c>
      <c r="G26" s="206" t="s">
        <v>395</v>
      </c>
      <c r="H26" s="206" t="s">
        <v>10</v>
      </c>
      <c r="I26" s="206" t="s">
        <v>10</v>
      </c>
      <c r="J26" s="18"/>
      <c r="K26" s="206" t="s">
        <v>9</v>
      </c>
      <c r="L26" s="206" t="s">
        <v>10</v>
      </c>
      <c r="M26" s="206" t="s">
        <v>249</v>
      </c>
      <c r="N26" s="206" t="s">
        <v>248</v>
      </c>
      <c r="O26" s="206" t="s">
        <v>395</v>
      </c>
      <c r="P26" s="206" t="s">
        <v>10</v>
      </c>
      <c r="Q26" s="206" t="s">
        <v>10</v>
      </c>
    </row>
    <row r="27" spans="3:26">
      <c r="C27" s="239" t="str">
        <f>C11</f>
        <v>Rx</v>
      </c>
      <c r="D27" s="207">
        <v>39</v>
      </c>
      <c r="E27" s="208">
        <f t="shared" ref="E27:G37" si="3">E11</f>
        <v>12</v>
      </c>
      <c r="F27" s="208" t="str">
        <f t="shared" si="3"/>
        <v>N</v>
      </c>
      <c r="G27" s="208" t="str">
        <f t="shared" si="3"/>
        <v>Required</v>
      </c>
      <c r="H27" s="214">
        <f>IF(ISNUMBER(D27),IF(E27&gt;0,(D27*E27)/12,0),0)</f>
        <v>39</v>
      </c>
      <c r="I27" s="210">
        <f>H27*12</f>
        <v>468</v>
      </c>
      <c r="J27" s="18"/>
      <c r="K27" s="211" t="str">
        <f>C27</f>
        <v>Rx</v>
      </c>
      <c r="L27" s="207">
        <v>58</v>
      </c>
      <c r="M27" s="208">
        <f t="shared" ref="M27:M37" si="4">E11</f>
        <v>12</v>
      </c>
      <c r="N27" s="208" t="str">
        <f t="shared" ref="N27:N37" si="5">F11</f>
        <v>N</v>
      </c>
      <c r="O27" s="208" t="str">
        <f t="shared" ref="O27:O37" si="6">G11</f>
        <v>Required</v>
      </c>
      <c r="P27" s="209">
        <f>IF(ISNUMBER(L27),IF(M27&gt;0,(L27*M27)/12,0),0)</f>
        <v>58</v>
      </c>
      <c r="Q27" s="210">
        <f>P27*12</f>
        <v>696</v>
      </c>
    </row>
    <row r="28" spans="3:26">
      <c r="C28" s="240" t="str">
        <f>C12</f>
        <v>Other</v>
      </c>
      <c r="D28" s="213">
        <v>0</v>
      </c>
      <c r="E28" s="217">
        <f t="shared" si="3"/>
        <v>0</v>
      </c>
      <c r="F28" s="217" t="str">
        <f t="shared" si="3"/>
        <v>N</v>
      </c>
      <c r="G28" s="217" t="str">
        <f t="shared" si="3"/>
        <v>Optional</v>
      </c>
      <c r="H28" s="214">
        <f t="shared" ref="H28:H37" si="7">IF(ISNUMBER(D28),IF(E28&gt;0,(D28*E28)/12,0),0)</f>
        <v>0</v>
      </c>
      <c r="I28" s="215">
        <f t="shared" ref="I28:I37" si="8">H28*12</f>
        <v>0</v>
      </c>
      <c r="J28" s="18"/>
      <c r="K28" s="216" t="str">
        <f>C28</f>
        <v>Other</v>
      </c>
      <c r="L28" s="213">
        <v>0</v>
      </c>
      <c r="M28" s="217">
        <f t="shared" si="4"/>
        <v>0</v>
      </c>
      <c r="N28" s="217" t="str">
        <f t="shared" si="5"/>
        <v>N</v>
      </c>
      <c r="O28" s="217" t="str">
        <f t="shared" si="6"/>
        <v>Optional</v>
      </c>
      <c r="P28" s="214">
        <f t="shared" ref="P28:P37" si="9">IF(ISNUMBER(L28),IF(M28&gt;0,(L28*M28)/12,0),0)</f>
        <v>0</v>
      </c>
      <c r="Q28" s="215">
        <f t="shared" ref="Q28:Q37" si="10">P28*12</f>
        <v>0</v>
      </c>
    </row>
    <row r="29" spans="3:26">
      <c r="C29" s="239" t="str">
        <f t="shared" ref="C29:C36" si="11">C13</f>
        <v>Other</v>
      </c>
      <c r="D29" s="207">
        <v>0</v>
      </c>
      <c r="E29" s="208">
        <f t="shared" si="3"/>
        <v>0</v>
      </c>
      <c r="F29" s="208" t="str">
        <f t="shared" si="3"/>
        <v>N</v>
      </c>
      <c r="G29" s="208" t="str">
        <f t="shared" si="3"/>
        <v>Optional</v>
      </c>
      <c r="H29" s="209">
        <f t="shared" si="7"/>
        <v>0</v>
      </c>
      <c r="I29" s="210">
        <f t="shared" si="8"/>
        <v>0</v>
      </c>
      <c r="J29" s="200"/>
      <c r="K29" s="211" t="str">
        <f t="shared" ref="K29:K37" si="12">C29</f>
        <v>Other</v>
      </c>
      <c r="L29" s="207">
        <v>0</v>
      </c>
      <c r="M29" s="208">
        <f t="shared" si="4"/>
        <v>0</v>
      </c>
      <c r="N29" s="208" t="str">
        <f t="shared" si="5"/>
        <v>N</v>
      </c>
      <c r="O29" s="208" t="str">
        <f t="shared" si="6"/>
        <v>Optional</v>
      </c>
      <c r="P29" s="209">
        <f t="shared" si="9"/>
        <v>0</v>
      </c>
      <c r="Q29" s="210">
        <f t="shared" si="10"/>
        <v>0</v>
      </c>
    </row>
    <row r="30" spans="3:26">
      <c r="C30" s="240" t="str">
        <f t="shared" si="11"/>
        <v>Other</v>
      </c>
      <c r="D30" s="213">
        <v>0</v>
      </c>
      <c r="E30" s="217">
        <f t="shared" si="3"/>
        <v>0</v>
      </c>
      <c r="F30" s="217" t="str">
        <f t="shared" si="3"/>
        <v>N</v>
      </c>
      <c r="G30" s="217" t="str">
        <f t="shared" si="3"/>
        <v>Optional</v>
      </c>
      <c r="H30" s="214">
        <f t="shared" si="7"/>
        <v>0</v>
      </c>
      <c r="I30" s="215">
        <f t="shared" si="8"/>
        <v>0</v>
      </c>
      <c r="J30" s="18"/>
      <c r="K30" s="216" t="str">
        <f t="shared" si="12"/>
        <v>Other</v>
      </c>
      <c r="L30" s="213">
        <v>0</v>
      </c>
      <c r="M30" s="217">
        <f t="shared" si="4"/>
        <v>0</v>
      </c>
      <c r="N30" s="217" t="str">
        <f t="shared" si="5"/>
        <v>N</v>
      </c>
      <c r="O30" s="217" t="str">
        <f t="shared" si="6"/>
        <v>Optional</v>
      </c>
      <c r="P30" s="214">
        <f t="shared" si="9"/>
        <v>0</v>
      </c>
      <c r="Q30" s="215">
        <f t="shared" si="10"/>
        <v>0</v>
      </c>
    </row>
    <row r="31" spans="3:26">
      <c r="C31" s="239" t="str">
        <f t="shared" si="11"/>
        <v>Other</v>
      </c>
      <c r="D31" s="207">
        <v>0</v>
      </c>
      <c r="E31" s="208">
        <f t="shared" si="3"/>
        <v>0</v>
      </c>
      <c r="F31" s="208" t="str">
        <f t="shared" si="3"/>
        <v>N</v>
      </c>
      <c r="G31" s="208" t="str">
        <f t="shared" si="3"/>
        <v>Optional</v>
      </c>
      <c r="H31" s="209">
        <f t="shared" si="7"/>
        <v>0</v>
      </c>
      <c r="I31" s="210">
        <f t="shared" si="8"/>
        <v>0</v>
      </c>
      <c r="J31" s="18"/>
      <c r="K31" s="211" t="str">
        <f t="shared" si="12"/>
        <v>Other</v>
      </c>
      <c r="L31" s="207">
        <v>0</v>
      </c>
      <c r="M31" s="208">
        <f t="shared" si="4"/>
        <v>0</v>
      </c>
      <c r="N31" s="208" t="str">
        <f t="shared" si="5"/>
        <v>N</v>
      </c>
      <c r="O31" s="208" t="str">
        <f t="shared" si="6"/>
        <v>Optional</v>
      </c>
      <c r="P31" s="209">
        <f t="shared" si="9"/>
        <v>0</v>
      </c>
      <c r="Q31" s="210">
        <f t="shared" si="10"/>
        <v>0</v>
      </c>
    </row>
    <row r="32" spans="3:26">
      <c r="C32" s="240" t="str">
        <f t="shared" si="11"/>
        <v>Other</v>
      </c>
      <c r="D32" s="213">
        <v>0</v>
      </c>
      <c r="E32" s="217">
        <f t="shared" si="3"/>
        <v>0</v>
      </c>
      <c r="F32" s="217" t="str">
        <f t="shared" si="3"/>
        <v>N</v>
      </c>
      <c r="G32" s="217" t="str">
        <f t="shared" si="3"/>
        <v>Optional</v>
      </c>
      <c r="H32" s="214">
        <f t="shared" si="7"/>
        <v>0</v>
      </c>
      <c r="I32" s="215">
        <f t="shared" si="8"/>
        <v>0</v>
      </c>
      <c r="J32" s="18"/>
      <c r="K32" s="216" t="str">
        <f t="shared" si="12"/>
        <v>Other</v>
      </c>
      <c r="L32" s="213">
        <v>0</v>
      </c>
      <c r="M32" s="217">
        <f t="shared" si="4"/>
        <v>0</v>
      </c>
      <c r="N32" s="217" t="str">
        <f t="shared" si="5"/>
        <v>N</v>
      </c>
      <c r="O32" s="217" t="str">
        <f t="shared" si="6"/>
        <v>Optional</v>
      </c>
      <c r="P32" s="214">
        <f t="shared" si="9"/>
        <v>0</v>
      </c>
      <c r="Q32" s="215">
        <f t="shared" si="10"/>
        <v>0</v>
      </c>
    </row>
    <row r="33" spans="2:17">
      <c r="C33" s="239" t="str">
        <f t="shared" si="11"/>
        <v>Other</v>
      </c>
      <c r="D33" s="207">
        <v>0</v>
      </c>
      <c r="E33" s="208">
        <f t="shared" si="3"/>
        <v>0</v>
      </c>
      <c r="F33" s="208" t="str">
        <f t="shared" si="3"/>
        <v>N</v>
      </c>
      <c r="G33" s="208" t="str">
        <f t="shared" si="3"/>
        <v>Optional</v>
      </c>
      <c r="H33" s="209">
        <f t="shared" si="7"/>
        <v>0</v>
      </c>
      <c r="I33" s="210">
        <f t="shared" si="8"/>
        <v>0</v>
      </c>
      <c r="J33" s="18"/>
      <c r="K33" s="211" t="str">
        <f t="shared" si="12"/>
        <v>Other</v>
      </c>
      <c r="L33" s="207">
        <v>0</v>
      </c>
      <c r="M33" s="208">
        <f t="shared" si="4"/>
        <v>0</v>
      </c>
      <c r="N33" s="208" t="str">
        <f t="shared" si="5"/>
        <v>N</v>
      </c>
      <c r="O33" s="208" t="str">
        <f t="shared" si="6"/>
        <v>Optional</v>
      </c>
      <c r="P33" s="209">
        <f t="shared" si="9"/>
        <v>0</v>
      </c>
      <c r="Q33" s="210">
        <f t="shared" si="10"/>
        <v>0</v>
      </c>
    </row>
    <row r="34" spans="2:17">
      <c r="C34" s="240" t="str">
        <f t="shared" si="11"/>
        <v>Other</v>
      </c>
      <c r="D34" s="213">
        <v>0</v>
      </c>
      <c r="E34" s="217">
        <f t="shared" si="3"/>
        <v>0</v>
      </c>
      <c r="F34" s="217" t="str">
        <f t="shared" si="3"/>
        <v>N</v>
      </c>
      <c r="G34" s="217" t="str">
        <f t="shared" si="3"/>
        <v>Optional</v>
      </c>
      <c r="H34" s="214">
        <f t="shared" si="7"/>
        <v>0</v>
      </c>
      <c r="I34" s="215">
        <f t="shared" si="8"/>
        <v>0</v>
      </c>
      <c r="J34" s="17"/>
      <c r="K34" s="216" t="str">
        <f t="shared" si="12"/>
        <v>Other</v>
      </c>
      <c r="L34" s="213">
        <v>0</v>
      </c>
      <c r="M34" s="217">
        <f t="shared" si="4"/>
        <v>0</v>
      </c>
      <c r="N34" s="217" t="str">
        <f t="shared" si="5"/>
        <v>N</v>
      </c>
      <c r="O34" s="217" t="str">
        <f t="shared" si="6"/>
        <v>Optional</v>
      </c>
      <c r="P34" s="214">
        <f t="shared" si="9"/>
        <v>0</v>
      </c>
      <c r="Q34" s="215">
        <f t="shared" si="10"/>
        <v>0</v>
      </c>
    </row>
    <row r="35" spans="2:17">
      <c r="C35" s="239" t="str">
        <f t="shared" si="11"/>
        <v>Other</v>
      </c>
      <c r="D35" s="207">
        <v>0</v>
      </c>
      <c r="E35" s="208">
        <f t="shared" si="3"/>
        <v>0</v>
      </c>
      <c r="F35" s="208" t="str">
        <f t="shared" si="3"/>
        <v>N</v>
      </c>
      <c r="G35" s="208" t="str">
        <f t="shared" si="3"/>
        <v>Optional</v>
      </c>
      <c r="H35" s="209">
        <f t="shared" si="7"/>
        <v>0</v>
      </c>
      <c r="I35" s="210">
        <f t="shared" si="8"/>
        <v>0</v>
      </c>
      <c r="J35" s="17"/>
      <c r="K35" s="211" t="str">
        <f t="shared" si="12"/>
        <v>Other</v>
      </c>
      <c r="L35" s="207">
        <v>0</v>
      </c>
      <c r="M35" s="208">
        <f t="shared" si="4"/>
        <v>0</v>
      </c>
      <c r="N35" s="208" t="str">
        <f t="shared" si="5"/>
        <v>N</v>
      </c>
      <c r="O35" s="208" t="str">
        <f t="shared" si="6"/>
        <v>Optional</v>
      </c>
      <c r="P35" s="209">
        <f t="shared" si="9"/>
        <v>0</v>
      </c>
      <c r="Q35" s="210">
        <f t="shared" si="10"/>
        <v>0</v>
      </c>
    </row>
    <row r="36" spans="2:17">
      <c r="C36" s="240" t="str">
        <f t="shared" si="11"/>
        <v>Other</v>
      </c>
      <c r="D36" s="213">
        <v>0</v>
      </c>
      <c r="E36" s="217">
        <f t="shared" si="3"/>
        <v>0</v>
      </c>
      <c r="F36" s="217" t="str">
        <f t="shared" si="3"/>
        <v>N</v>
      </c>
      <c r="G36" s="217" t="str">
        <f t="shared" si="3"/>
        <v>Optional</v>
      </c>
      <c r="H36" s="214">
        <f t="shared" si="7"/>
        <v>0</v>
      </c>
      <c r="I36" s="215">
        <f t="shared" si="8"/>
        <v>0</v>
      </c>
      <c r="J36" s="17"/>
      <c r="K36" s="216" t="str">
        <f t="shared" si="12"/>
        <v>Other</v>
      </c>
      <c r="L36" s="213">
        <v>0</v>
      </c>
      <c r="M36" s="217">
        <f t="shared" si="4"/>
        <v>0</v>
      </c>
      <c r="N36" s="217" t="str">
        <f t="shared" si="5"/>
        <v>N</v>
      </c>
      <c r="O36" s="217" t="str">
        <f t="shared" si="6"/>
        <v>Optional</v>
      </c>
      <c r="P36" s="214">
        <f t="shared" si="9"/>
        <v>0</v>
      </c>
      <c r="Q36" s="215">
        <f t="shared" si="10"/>
        <v>0</v>
      </c>
    </row>
    <row r="37" spans="2:17">
      <c r="C37" s="241" t="str">
        <f>C21</f>
        <v>Medicare B &amp; D</v>
      </c>
      <c r="D37" s="218">
        <v>0</v>
      </c>
      <c r="E37" s="222">
        <f t="shared" si="3"/>
        <v>12</v>
      </c>
      <c r="F37" s="222" t="str">
        <f t="shared" si="3"/>
        <v>Y</v>
      </c>
      <c r="G37" s="234" t="str">
        <f t="shared" si="3"/>
        <v>Required</v>
      </c>
      <c r="H37" s="219">
        <f t="shared" si="7"/>
        <v>0</v>
      </c>
      <c r="I37" s="220">
        <f t="shared" si="8"/>
        <v>0</v>
      </c>
      <c r="J37" s="17"/>
      <c r="K37" s="221" t="str">
        <f t="shared" si="12"/>
        <v>Medicare B &amp; D</v>
      </c>
      <c r="L37" s="218">
        <v>0</v>
      </c>
      <c r="M37" s="222">
        <f t="shared" si="4"/>
        <v>12</v>
      </c>
      <c r="N37" s="222" t="str">
        <f t="shared" si="5"/>
        <v>Y</v>
      </c>
      <c r="O37" s="222" t="str">
        <f t="shared" si="6"/>
        <v>Required</v>
      </c>
      <c r="P37" s="219">
        <f t="shared" si="9"/>
        <v>0</v>
      </c>
      <c r="Q37" s="220">
        <f t="shared" si="10"/>
        <v>0</v>
      </c>
    </row>
    <row r="38" spans="2:17">
      <c r="C38" s="17"/>
      <c r="D38" s="17"/>
      <c r="E38" s="223"/>
      <c r="F38" s="223"/>
      <c r="G38" s="223"/>
      <c r="H38" s="210">
        <f>SUM(H27:H37)</f>
        <v>39</v>
      </c>
      <c r="I38" s="210">
        <f>SUM(I27:I37)</f>
        <v>468</v>
      </c>
      <c r="J38" s="17"/>
      <c r="K38" s="17"/>
      <c r="L38" s="1377">
        <f>SUM(L27:L37)</f>
        <v>58</v>
      </c>
      <c r="M38" s="223"/>
      <c r="N38" s="224"/>
      <c r="O38" s="223"/>
      <c r="P38" s="210">
        <f>SUM(P27:P37)</f>
        <v>58</v>
      </c>
      <c r="Q38" s="210">
        <f>SUM(Q27:Q37)</f>
        <v>696</v>
      </c>
    </row>
    <row r="43" spans="2:17">
      <c r="C43" s="232"/>
      <c r="D43" s="232"/>
      <c r="E43" s="233"/>
      <c r="H43" s="151"/>
      <c r="I43" s="151"/>
    </row>
    <row r="45" spans="2:17" hidden="1">
      <c r="B45" s="10" t="s">
        <v>42</v>
      </c>
    </row>
    <row r="46" spans="2:17" hidden="1">
      <c r="B46" s="10" t="s">
        <v>43</v>
      </c>
    </row>
  </sheetData>
  <sheetProtection algorithmName="SHA-512" hashValue="Jl6jKhcpchmtI2bX+eetNx1he17KrN+hceCPywBatIEyCA4E3RcKEr1PBAf631nHjYDpep4xSG8Elo/Efs5gdA==" saltValue="Ua/PKGjsFMnQKRxyYRIrhw=="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34"/>
  <sheetViews>
    <sheetView showRowColHeaders="0" zoomScale="125" zoomScaleNormal="125" workbookViewId="0">
      <selection activeCell="F237" sqref="F237"/>
    </sheetView>
  </sheetViews>
  <sheetFormatPr baseColWidth="10" defaultRowHeight="15"/>
  <cols>
    <col min="1" max="1" width="13.5703125" style="2026" customWidth="1"/>
    <col min="2" max="2" width="4.7109375" style="2025" customWidth="1"/>
    <col min="3" max="3" width="4.28515625" style="2025" customWidth="1"/>
    <col min="4" max="4" width="4.5703125" style="2025" customWidth="1"/>
    <col min="5" max="5" width="10.7109375" style="2033"/>
    <col min="6" max="6" width="10.7109375" style="2027"/>
    <col min="7" max="7" width="18.5703125" style="2026" customWidth="1"/>
    <col min="8" max="12" width="10.7109375" style="2024"/>
    <col min="13" max="13" width="44.85546875" style="2024" customWidth="1"/>
    <col min="14" max="16384" width="10.7109375" style="2024"/>
  </cols>
  <sheetData>
    <row r="1" spans="1:7">
      <c r="A1" s="2024" t="s">
        <v>423</v>
      </c>
      <c r="B1" s="2025" t="s">
        <v>546</v>
      </c>
      <c r="C1" s="2025">
        <v>10</v>
      </c>
      <c r="D1" s="2025">
        <v>14</v>
      </c>
      <c r="E1" s="2032" t="s">
        <v>569</v>
      </c>
      <c r="F1" s="2025" t="s">
        <v>570</v>
      </c>
      <c r="G1" s="2026" t="s">
        <v>540</v>
      </c>
    </row>
    <row r="2" spans="1:7">
      <c r="A2" s="2026" t="s">
        <v>423</v>
      </c>
      <c r="B2" s="2025" t="s">
        <v>546</v>
      </c>
      <c r="C2" s="2025">
        <v>21</v>
      </c>
      <c r="D2" s="2025">
        <v>0</v>
      </c>
      <c r="E2" s="2032" t="s">
        <v>569</v>
      </c>
      <c r="F2" s="2025" t="s">
        <v>570</v>
      </c>
      <c r="G2" s="2026" t="s">
        <v>415</v>
      </c>
    </row>
    <row r="3" spans="1:7">
      <c r="A3" s="2026" t="s">
        <v>423</v>
      </c>
      <c r="B3" s="2025" t="s">
        <v>546</v>
      </c>
      <c r="C3" s="2025">
        <v>27</v>
      </c>
      <c r="D3" s="2025">
        <v>30</v>
      </c>
      <c r="E3" s="2032" t="s">
        <v>569</v>
      </c>
      <c r="F3" s="2025" t="s">
        <v>570</v>
      </c>
      <c r="G3" s="2026" t="s">
        <v>544</v>
      </c>
    </row>
    <row r="4" spans="1:7">
      <c r="A4" s="2026" t="s">
        <v>423</v>
      </c>
      <c r="B4" s="2025" t="s">
        <v>546</v>
      </c>
      <c r="C4" s="2025">
        <v>37</v>
      </c>
      <c r="D4" s="2025">
        <v>48</v>
      </c>
      <c r="E4" s="2032" t="s">
        <v>569</v>
      </c>
      <c r="F4" s="2025" t="s">
        <v>570</v>
      </c>
      <c r="G4" s="2026" t="s">
        <v>431</v>
      </c>
    </row>
    <row r="5" spans="1:7">
      <c r="A5" s="2026" t="s">
        <v>423</v>
      </c>
      <c r="B5" s="2025" t="s">
        <v>546</v>
      </c>
      <c r="C5" s="2025">
        <v>58</v>
      </c>
      <c r="D5" s="2025">
        <v>59</v>
      </c>
      <c r="E5" s="2032" t="s">
        <v>569</v>
      </c>
      <c r="F5" s="2025" t="s">
        <v>570</v>
      </c>
      <c r="G5" s="2026" t="s">
        <v>244</v>
      </c>
    </row>
    <row r="6" spans="1:7">
      <c r="A6" s="2024" t="s">
        <v>423</v>
      </c>
      <c r="B6" s="2025" t="s">
        <v>538</v>
      </c>
      <c r="C6" s="2025">
        <v>10</v>
      </c>
      <c r="D6" s="2025">
        <v>14</v>
      </c>
      <c r="E6" s="2032" t="s">
        <v>569</v>
      </c>
      <c r="F6" s="2025" t="s">
        <v>570</v>
      </c>
      <c r="G6" s="2026" t="s">
        <v>540</v>
      </c>
    </row>
    <row r="7" spans="1:7">
      <c r="A7" s="2026" t="s">
        <v>423</v>
      </c>
      <c r="B7" s="2025" t="s">
        <v>538</v>
      </c>
      <c r="C7" s="2025">
        <v>21</v>
      </c>
      <c r="D7" s="2025">
        <v>0</v>
      </c>
      <c r="E7" s="2032" t="s">
        <v>569</v>
      </c>
      <c r="F7" s="2025" t="s">
        <v>570</v>
      </c>
      <c r="G7" s="2026" t="s">
        <v>415</v>
      </c>
    </row>
    <row r="8" spans="1:7">
      <c r="A8" s="2026" t="s">
        <v>423</v>
      </c>
      <c r="B8" s="2025" t="s">
        <v>538</v>
      </c>
      <c r="C8" s="2025">
        <v>27</v>
      </c>
      <c r="D8" s="2025">
        <v>30</v>
      </c>
      <c r="E8" s="2032" t="s">
        <v>569</v>
      </c>
      <c r="F8" s="2025" t="s">
        <v>570</v>
      </c>
      <c r="G8" s="2026" t="s">
        <v>544</v>
      </c>
    </row>
    <row r="9" spans="1:7">
      <c r="A9" s="2026" t="s">
        <v>423</v>
      </c>
      <c r="B9" s="2025" t="s">
        <v>538</v>
      </c>
      <c r="C9" s="2025">
        <v>37</v>
      </c>
      <c r="D9" s="2025">
        <v>48</v>
      </c>
      <c r="E9" s="2032" t="s">
        <v>569</v>
      </c>
      <c r="F9" s="2025" t="s">
        <v>570</v>
      </c>
      <c r="G9" s="2026" t="s">
        <v>431</v>
      </c>
    </row>
    <row r="10" spans="1:7">
      <c r="A10" s="2026" t="s">
        <v>423</v>
      </c>
      <c r="B10" s="2025" t="s">
        <v>538</v>
      </c>
      <c r="C10" s="2025">
        <v>58</v>
      </c>
      <c r="D10" s="2025">
        <v>59</v>
      </c>
      <c r="E10" s="2032" t="s">
        <v>569</v>
      </c>
      <c r="F10" s="2025" t="s">
        <v>570</v>
      </c>
      <c r="G10" s="2026" t="s">
        <v>244</v>
      </c>
    </row>
    <row r="11" spans="1:7">
      <c r="A11" s="2024" t="s">
        <v>423</v>
      </c>
      <c r="B11" s="2025" t="s">
        <v>455</v>
      </c>
      <c r="C11" s="2025">
        <v>10</v>
      </c>
      <c r="D11" s="2025">
        <v>14</v>
      </c>
      <c r="E11" s="2032" t="s">
        <v>571</v>
      </c>
      <c r="F11" s="2027">
        <v>0</v>
      </c>
      <c r="G11" s="2026" t="s">
        <v>540</v>
      </c>
    </row>
    <row r="12" spans="1:7">
      <c r="A12" s="2026" t="s">
        <v>423</v>
      </c>
      <c r="B12" s="2025" t="s">
        <v>455</v>
      </c>
      <c r="C12" s="2025">
        <v>21</v>
      </c>
      <c r="D12" s="2025">
        <v>0</v>
      </c>
      <c r="E12" s="2032" t="s">
        <v>571</v>
      </c>
      <c r="F12" s="2027">
        <v>0</v>
      </c>
      <c r="G12" s="2026" t="s">
        <v>415</v>
      </c>
    </row>
    <row r="13" spans="1:7">
      <c r="A13" s="2026" t="s">
        <v>423</v>
      </c>
      <c r="B13" s="2025" t="s">
        <v>455</v>
      </c>
      <c r="C13" s="2025">
        <v>27</v>
      </c>
      <c r="D13" s="2025">
        <v>30</v>
      </c>
      <c r="E13" s="2032" t="s">
        <v>571</v>
      </c>
      <c r="F13" s="2027">
        <v>0</v>
      </c>
      <c r="G13" s="2026" t="s">
        <v>544</v>
      </c>
    </row>
    <row r="14" spans="1:7">
      <c r="A14" s="2026" t="s">
        <v>423</v>
      </c>
      <c r="B14" s="2025" t="s">
        <v>455</v>
      </c>
      <c r="C14" s="2025">
        <v>37</v>
      </c>
      <c r="D14" s="2025">
        <v>48</v>
      </c>
      <c r="E14" s="2032" t="s">
        <v>571</v>
      </c>
      <c r="F14" s="2027">
        <v>0</v>
      </c>
      <c r="G14" s="2026" t="s">
        <v>431</v>
      </c>
    </row>
    <row r="15" spans="1:7">
      <c r="A15" s="2026" t="s">
        <v>423</v>
      </c>
      <c r="B15" s="2025" t="s">
        <v>455</v>
      </c>
      <c r="C15" s="2025">
        <v>58</v>
      </c>
      <c r="D15" s="2025">
        <v>59</v>
      </c>
      <c r="E15" s="2032" t="s">
        <v>571</v>
      </c>
      <c r="F15" s="2027">
        <v>0</v>
      </c>
      <c r="G15" s="2026" t="s">
        <v>244</v>
      </c>
    </row>
    <row r="16" spans="1:7">
      <c r="A16" s="2024" t="s">
        <v>423</v>
      </c>
      <c r="B16" s="2025" t="s">
        <v>541</v>
      </c>
      <c r="C16" s="2025">
        <v>10</v>
      </c>
      <c r="D16" s="2025">
        <v>14</v>
      </c>
      <c r="E16" s="2032" t="s">
        <v>569</v>
      </c>
      <c r="F16" s="2027" t="s">
        <v>570</v>
      </c>
      <c r="G16" s="2026" t="s">
        <v>540</v>
      </c>
    </row>
    <row r="17" spans="1:7">
      <c r="A17" s="2026" t="s">
        <v>423</v>
      </c>
      <c r="B17" s="2025" t="s">
        <v>541</v>
      </c>
      <c r="C17" s="2025">
        <v>21</v>
      </c>
      <c r="D17" s="2025">
        <v>0</v>
      </c>
      <c r="E17" s="2032" t="s">
        <v>571</v>
      </c>
      <c r="F17" s="2027">
        <v>0</v>
      </c>
      <c r="G17" s="2026" t="s">
        <v>415</v>
      </c>
    </row>
    <row r="18" spans="1:7">
      <c r="A18" s="2026" t="s">
        <v>423</v>
      </c>
      <c r="B18" s="2025" t="s">
        <v>541</v>
      </c>
      <c r="C18" s="2025">
        <v>27</v>
      </c>
      <c r="D18" s="2025">
        <v>30</v>
      </c>
      <c r="E18" s="2032" t="s">
        <v>571</v>
      </c>
      <c r="F18" s="2027">
        <v>0</v>
      </c>
      <c r="G18" s="2026" t="s">
        <v>544</v>
      </c>
    </row>
    <row r="19" spans="1:7">
      <c r="A19" s="2026" t="s">
        <v>423</v>
      </c>
      <c r="B19" s="2025" t="s">
        <v>541</v>
      </c>
      <c r="C19" s="2025">
        <v>37</v>
      </c>
      <c r="D19" s="2025">
        <v>48</v>
      </c>
      <c r="E19" s="2032" t="s">
        <v>571</v>
      </c>
      <c r="F19" s="2027">
        <v>0</v>
      </c>
      <c r="G19" s="2026" t="s">
        <v>431</v>
      </c>
    </row>
    <row r="20" spans="1:7">
      <c r="A20" s="2026" t="s">
        <v>423</v>
      </c>
      <c r="B20" s="2025" t="s">
        <v>541</v>
      </c>
      <c r="C20" s="2025">
        <v>58</v>
      </c>
      <c r="D20" s="2025">
        <v>59</v>
      </c>
      <c r="E20" s="2032" t="s">
        <v>569</v>
      </c>
      <c r="F20" s="2027" t="s">
        <v>570</v>
      </c>
      <c r="G20" s="2026" t="s">
        <v>244</v>
      </c>
    </row>
    <row r="21" spans="1:7">
      <c r="A21" s="2026" t="s">
        <v>423</v>
      </c>
      <c r="B21" s="2025" t="s">
        <v>539</v>
      </c>
      <c r="C21" s="2025">
        <v>21</v>
      </c>
      <c r="D21" s="2025">
        <v>0</v>
      </c>
      <c r="E21" s="2032" t="s">
        <v>572</v>
      </c>
      <c r="F21" s="2025">
        <v>0.5</v>
      </c>
      <c r="G21" s="2026" t="s">
        <v>415</v>
      </c>
    </row>
    <row r="22" spans="1:7">
      <c r="A22" s="2026" t="s">
        <v>423</v>
      </c>
      <c r="B22" s="2025" t="s">
        <v>539</v>
      </c>
      <c r="C22" s="2025">
        <v>27</v>
      </c>
      <c r="D22" s="2025">
        <v>30</v>
      </c>
      <c r="E22" s="2032" t="s">
        <v>569</v>
      </c>
      <c r="F22" s="2027" t="s">
        <v>570</v>
      </c>
      <c r="G22" s="2026" t="s">
        <v>544</v>
      </c>
    </row>
    <row r="23" spans="1:7">
      <c r="A23" s="2026" t="s">
        <v>423</v>
      </c>
      <c r="B23" s="2025" t="s">
        <v>539</v>
      </c>
      <c r="C23" s="2025">
        <v>37</v>
      </c>
      <c r="D23" s="2025">
        <v>48</v>
      </c>
      <c r="E23" s="2032" t="s">
        <v>80</v>
      </c>
      <c r="F23" s="2025">
        <v>0.5</v>
      </c>
      <c r="G23" s="2026" t="s">
        <v>431</v>
      </c>
    </row>
    <row r="24" spans="1:7">
      <c r="A24" s="2026" t="s">
        <v>423</v>
      </c>
      <c r="B24" s="2025" t="s">
        <v>548</v>
      </c>
      <c r="C24" s="2025">
        <v>21</v>
      </c>
      <c r="D24" s="2025">
        <v>0</v>
      </c>
      <c r="E24" s="2032" t="s">
        <v>569</v>
      </c>
      <c r="F24" s="2025" t="s">
        <v>570</v>
      </c>
      <c r="G24" s="2026" t="s">
        <v>415</v>
      </c>
    </row>
    <row r="25" spans="1:7">
      <c r="A25" s="2026" t="s">
        <v>423</v>
      </c>
      <c r="B25" s="2025" t="s">
        <v>548</v>
      </c>
      <c r="C25" s="2025">
        <v>37</v>
      </c>
      <c r="D25" s="2025">
        <v>48</v>
      </c>
      <c r="E25" s="2032" t="s">
        <v>569</v>
      </c>
      <c r="F25" s="2025" t="s">
        <v>570</v>
      </c>
      <c r="G25" s="2026" t="s">
        <v>431</v>
      </c>
    </row>
    <row r="26" spans="1:7">
      <c r="A26" s="2026" t="s">
        <v>423</v>
      </c>
      <c r="B26" s="2025" t="s">
        <v>449</v>
      </c>
      <c r="C26" s="2025">
        <v>37</v>
      </c>
      <c r="D26" s="2025">
        <v>48</v>
      </c>
      <c r="E26" s="2032" t="s">
        <v>569</v>
      </c>
      <c r="F26" s="2025" t="s">
        <v>570</v>
      </c>
      <c r="G26" s="2026" t="s">
        <v>431</v>
      </c>
    </row>
    <row r="27" spans="1:7">
      <c r="A27" s="2026" t="s">
        <v>423</v>
      </c>
      <c r="B27" s="2025" t="s">
        <v>545</v>
      </c>
      <c r="C27" s="2025">
        <v>37</v>
      </c>
      <c r="D27" s="2025">
        <v>48</v>
      </c>
      <c r="E27" s="2032" t="s">
        <v>569</v>
      </c>
      <c r="F27" s="2025" t="s">
        <v>570</v>
      </c>
      <c r="G27" s="2026" t="s">
        <v>431</v>
      </c>
    </row>
    <row r="28" spans="1:7">
      <c r="A28" s="2024" t="s">
        <v>423</v>
      </c>
      <c r="B28" s="2025" t="s">
        <v>542</v>
      </c>
      <c r="C28" s="2025">
        <v>10</v>
      </c>
      <c r="D28" s="2025">
        <v>14</v>
      </c>
      <c r="E28" s="2032" t="s">
        <v>196</v>
      </c>
      <c r="F28" s="2028">
        <f ca="1">TODAY()</f>
        <v>44790</v>
      </c>
      <c r="G28" s="2026" t="s">
        <v>540</v>
      </c>
    </row>
    <row r="29" spans="1:7">
      <c r="A29" s="2026" t="s">
        <v>423</v>
      </c>
      <c r="B29" s="2025" t="s">
        <v>542</v>
      </c>
      <c r="C29" s="2025">
        <v>21</v>
      </c>
      <c r="D29" s="2025">
        <v>0</v>
      </c>
      <c r="E29" s="2032" t="s">
        <v>196</v>
      </c>
      <c r="F29" s="2028">
        <f ca="1">TODAY()</f>
        <v>44790</v>
      </c>
      <c r="G29" s="2026" t="s">
        <v>415</v>
      </c>
    </row>
    <row r="30" spans="1:7">
      <c r="A30" s="2026" t="s">
        <v>423</v>
      </c>
      <c r="B30" s="2025" t="s">
        <v>542</v>
      </c>
      <c r="C30" s="2025">
        <v>27</v>
      </c>
      <c r="D30" s="2025">
        <v>30</v>
      </c>
      <c r="E30" s="2032" t="s">
        <v>196</v>
      </c>
      <c r="F30" s="2028">
        <f ca="1">TODAY()</f>
        <v>44790</v>
      </c>
      <c r="G30" s="2026" t="s">
        <v>544</v>
      </c>
    </row>
    <row r="31" spans="1:7">
      <c r="A31" s="2026" t="s">
        <v>423</v>
      </c>
      <c r="B31" s="2025" t="s">
        <v>542</v>
      </c>
      <c r="C31" s="2025">
        <v>37</v>
      </c>
      <c r="D31" s="2025">
        <v>48</v>
      </c>
      <c r="E31" s="2032" t="s">
        <v>196</v>
      </c>
      <c r="F31" s="2028">
        <f ca="1">TODAY()</f>
        <v>44790</v>
      </c>
      <c r="G31" s="2026" t="s">
        <v>431</v>
      </c>
    </row>
    <row r="32" spans="1:7">
      <c r="A32" s="2026" t="s">
        <v>423</v>
      </c>
      <c r="B32" s="2025" t="s">
        <v>542</v>
      </c>
      <c r="C32" s="2025">
        <v>58</v>
      </c>
      <c r="D32" s="2025">
        <v>59</v>
      </c>
      <c r="E32" s="2032" t="s">
        <v>196</v>
      </c>
      <c r="F32" s="2028">
        <f ca="1">TODAY()</f>
        <v>44790</v>
      </c>
      <c r="G32" s="2026" t="s">
        <v>244</v>
      </c>
    </row>
    <row r="33" spans="1:7">
      <c r="A33" s="2026" t="s">
        <v>70</v>
      </c>
      <c r="B33" s="2025" t="s">
        <v>2170</v>
      </c>
      <c r="C33" s="2025">
        <v>48</v>
      </c>
      <c r="D33" s="2025">
        <v>0</v>
      </c>
      <c r="E33" s="2032" t="s">
        <v>569</v>
      </c>
      <c r="F33" s="2025" t="s">
        <v>570</v>
      </c>
      <c r="G33" s="2026" t="s">
        <v>2527</v>
      </c>
    </row>
    <row r="34" spans="1:7">
      <c r="A34" s="2026" t="s">
        <v>70</v>
      </c>
      <c r="B34" s="2025" t="s">
        <v>2170</v>
      </c>
      <c r="C34" s="2025">
        <v>61</v>
      </c>
      <c r="D34" s="2025">
        <v>0</v>
      </c>
      <c r="E34" s="2032" t="s">
        <v>569</v>
      </c>
      <c r="F34" s="2025" t="s">
        <v>570</v>
      </c>
      <c r="G34" s="2026" t="s">
        <v>2527</v>
      </c>
    </row>
    <row r="35" spans="1:7">
      <c r="A35" s="2026" t="s">
        <v>70</v>
      </c>
      <c r="B35" s="2025" t="s">
        <v>2170</v>
      </c>
      <c r="C35" s="2025">
        <v>73</v>
      </c>
      <c r="D35" s="2025">
        <v>0</v>
      </c>
      <c r="E35" s="2032" t="s">
        <v>569</v>
      </c>
      <c r="F35" s="2025" t="s">
        <v>570</v>
      </c>
      <c r="G35" s="2026" t="s">
        <v>2527</v>
      </c>
    </row>
    <row r="36" spans="1:7">
      <c r="A36" s="2026" t="s">
        <v>70</v>
      </c>
      <c r="B36" s="2025" t="s">
        <v>2170</v>
      </c>
      <c r="C36" s="2025">
        <v>86</v>
      </c>
      <c r="D36" s="2025">
        <v>0</v>
      </c>
      <c r="E36" s="2032" t="s">
        <v>569</v>
      </c>
      <c r="F36" s="2025" t="s">
        <v>570</v>
      </c>
      <c r="G36" s="2026" t="s">
        <v>2527</v>
      </c>
    </row>
    <row r="37" spans="1:7">
      <c r="A37" s="2026" t="s">
        <v>70</v>
      </c>
      <c r="B37" s="2025" t="s">
        <v>2170</v>
      </c>
      <c r="C37" s="2025">
        <v>99</v>
      </c>
      <c r="D37" s="2025">
        <v>0</v>
      </c>
      <c r="E37" s="2032" t="s">
        <v>569</v>
      </c>
      <c r="F37" s="2025" t="s">
        <v>570</v>
      </c>
      <c r="G37" s="2026" t="s">
        <v>2527</v>
      </c>
    </row>
    <row r="38" spans="1:7">
      <c r="A38" s="2026" t="s">
        <v>70</v>
      </c>
      <c r="B38" s="2025" t="s">
        <v>2170</v>
      </c>
      <c r="C38" s="2025">
        <v>113</v>
      </c>
      <c r="D38" s="2025">
        <v>0</v>
      </c>
      <c r="E38" s="2032" t="s">
        <v>569</v>
      </c>
      <c r="F38" s="2025" t="s">
        <v>570</v>
      </c>
      <c r="G38" s="2026" t="s">
        <v>2527</v>
      </c>
    </row>
    <row r="39" spans="1:7">
      <c r="A39" s="2026" t="s">
        <v>70</v>
      </c>
      <c r="B39" s="2025" t="s">
        <v>2170</v>
      </c>
      <c r="C39" s="2025">
        <v>127</v>
      </c>
      <c r="D39" s="2025">
        <v>0</v>
      </c>
      <c r="E39" s="2032" t="s">
        <v>569</v>
      </c>
      <c r="F39" s="2025" t="s">
        <v>570</v>
      </c>
      <c r="G39" s="2026" t="s">
        <v>2527</v>
      </c>
    </row>
    <row r="40" spans="1:7">
      <c r="A40" s="2026" t="s">
        <v>70</v>
      </c>
      <c r="B40" s="2025" t="s">
        <v>2170</v>
      </c>
      <c r="C40" s="2025">
        <v>141</v>
      </c>
      <c r="D40" s="2025">
        <v>0</v>
      </c>
      <c r="E40" s="2032" t="s">
        <v>569</v>
      </c>
      <c r="F40" s="2025" t="s">
        <v>570</v>
      </c>
      <c r="G40" s="2026" t="s">
        <v>2527</v>
      </c>
    </row>
    <row r="41" spans="1:7">
      <c r="A41" s="2026" t="s">
        <v>70</v>
      </c>
      <c r="B41" s="2025" t="s">
        <v>2170</v>
      </c>
      <c r="C41" s="2025">
        <v>155</v>
      </c>
      <c r="D41" s="2025">
        <v>0</v>
      </c>
      <c r="E41" s="2032" t="s">
        <v>569</v>
      </c>
      <c r="F41" s="2025" t="s">
        <v>570</v>
      </c>
      <c r="G41" s="2026" t="s">
        <v>2527</v>
      </c>
    </row>
    <row r="42" spans="1:7">
      <c r="A42" s="2026" t="s">
        <v>70</v>
      </c>
      <c r="B42" s="2025" t="s">
        <v>546</v>
      </c>
      <c r="C42" s="2025">
        <v>49</v>
      </c>
      <c r="D42" s="2025">
        <v>59</v>
      </c>
      <c r="E42" s="2032" t="s">
        <v>569</v>
      </c>
      <c r="F42" s="2025" t="s">
        <v>570</v>
      </c>
      <c r="G42" s="2026" t="s">
        <v>551</v>
      </c>
    </row>
    <row r="43" spans="1:7">
      <c r="A43" s="2026" t="s">
        <v>70</v>
      </c>
      <c r="B43" s="2025" t="s">
        <v>546</v>
      </c>
      <c r="C43" s="2025">
        <v>62</v>
      </c>
      <c r="D43" s="2025">
        <v>71</v>
      </c>
      <c r="E43" s="2032" t="s">
        <v>569</v>
      </c>
      <c r="F43" s="2025" t="s">
        <v>570</v>
      </c>
      <c r="G43" s="2026" t="s">
        <v>552</v>
      </c>
    </row>
    <row r="44" spans="1:7">
      <c r="A44" s="2026" t="s">
        <v>70</v>
      </c>
      <c r="B44" s="2025" t="s">
        <v>546</v>
      </c>
      <c r="C44" s="2025">
        <v>74</v>
      </c>
      <c r="D44" s="2025">
        <v>84</v>
      </c>
      <c r="E44" s="2032" t="s">
        <v>569</v>
      </c>
      <c r="F44" s="2025" t="s">
        <v>570</v>
      </c>
      <c r="G44" s="2026" t="s">
        <v>553</v>
      </c>
    </row>
    <row r="45" spans="1:7">
      <c r="A45" s="2026" t="s">
        <v>70</v>
      </c>
      <c r="B45" s="2025" t="s">
        <v>546</v>
      </c>
      <c r="C45" s="2025">
        <v>87</v>
      </c>
      <c r="D45" s="2025">
        <v>97</v>
      </c>
      <c r="E45" s="2032" t="s">
        <v>569</v>
      </c>
      <c r="F45" s="2025" t="s">
        <v>570</v>
      </c>
      <c r="G45" s="2026" t="s">
        <v>554</v>
      </c>
    </row>
    <row r="46" spans="1:7">
      <c r="A46" s="2026" t="s">
        <v>70</v>
      </c>
      <c r="B46" s="2025" t="s">
        <v>546</v>
      </c>
      <c r="C46" s="2025">
        <v>100</v>
      </c>
      <c r="D46" s="2025">
        <v>111</v>
      </c>
      <c r="E46" s="2032" t="s">
        <v>569</v>
      </c>
      <c r="F46" s="2025" t="s">
        <v>570</v>
      </c>
      <c r="G46" s="2026" t="s">
        <v>555</v>
      </c>
    </row>
    <row r="47" spans="1:7">
      <c r="A47" s="2026" t="s">
        <v>70</v>
      </c>
      <c r="B47" s="2025" t="s">
        <v>546</v>
      </c>
      <c r="C47" s="2025">
        <v>114</v>
      </c>
      <c r="D47" s="2025">
        <v>125</v>
      </c>
      <c r="E47" s="2032" t="s">
        <v>569</v>
      </c>
      <c r="F47" s="2025" t="s">
        <v>570</v>
      </c>
      <c r="G47" s="2026" t="s">
        <v>556</v>
      </c>
    </row>
    <row r="48" spans="1:7">
      <c r="A48" s="2026" t="s">
        <v>70</v>
      </c>
      <c r="B48" s="2025" t="s">
        <v>546</v>
      </c>
      <c r="C48" s="2025">
        <v>128</v>
      </c>
      <c r="D48" s="2025">
        <v>139</v>
      </c>
      <c r="E48" s="2032" t="s">
        <v>569</v>
      </c>
      <c r="F48" s="2025" t="s">
        <v>570</v>
      </c>
      <c r="G48" s="2026" t="s">
        <v>557</v>
      </c>
    </row>
    <row r="49" spans="1:7">
      <c r="A49" s="2026" t="s">
        <v>70</v>
      </c>
      <c r="B49" s="2025" t="s">
        <v>546</v>
      </c>
      <c r="C49" s="2025">
        <v>142</v>
      </c>
      <c r="D49" s="2025">
        <v>153</v>
      </c>
      <c r="E49" s="2032" t="s">
        <v>569</v>
      </c>
      <c r="F49" s="2025" t="s">
        <v>570</v>
      </c>
      <c r="G49" s="2026" t="s">
        <v>558</v>
      </c>
    </row>
    <row r="50" spans="1:7">
      <c r="A50" s="2026" t="s">
        <v>70</v>
      </c>
      <c r="B50" s="2025" t="s">
        <v>546</v>
      </c>
      <c r="C50" s="2025">
        <v>156</v>
      </c>
      <c r="D50" s="2025">
        <v>169</v>
      </c>
      <c r="E50" s="2032" t="s">
        <v>569</v>
      </c>
      <c r="F50" s="2025" t="s">
        <v>570</v>
      </c>
      <c r="G50" s="2026" t="s">
        <v>559</v>
      </c>
    </row>
    <row r="51" spans="1:7">
      <c r="A51" s="2026" t="s">
        <v>70</v>
      </c>
      <c r="B51" s="2025" t="s">
        <v>538</v>
      </c>
      <c r="C51" s="2025">
        <v>49</v>
      </c>
      <c r="D51" s="2025">
        <v>59</v>
      </c>
      <c r="E51" s="2032" t="s">
        <v>571</v>
      </c>
      <c r="F51" s="2027">
        <v>0</v>
      </c>
      <c r="G51" s="2026" t="s">
        <v>551</v>
      </c>
    </row>
    <row r="52" spans="1:7">
      <c r="A52" s="2026" t="s">
        <v>70</v>
      </c>
      <c r="B52" s="2025" t="s">
        <v>538</v>
      </c>
      <c r="C52" s="2025">
        <v>62</v>
      </c>
      <c r="D52" s="2025">
        <v>71</v>
      </c>
      <c r="E52" s="2032" t="s">
        <v>571</v>
      </c>
      <c r="F52" s="2027">
        <v>0</v>
      </c>
      <c r="G52" s="2026" t="s">
        <v>552</v>
      </c>
    </row>
    <row r="53" spans="1:7">
      <c r="A53" s="2026" t="s">
        <v>70</v>
      </c>
      <c r="B53" s="2025" t="s">
        <v>538</v>
      </c>
      <c r="C53" s="2025">
        <v>74</v>
      </c>
      <c r="D53" s="2025">
        <v>84</v>
      </c>
      <c r="E53" s="2032" t="s">
        <v>571</v>
      </c>
      <c r="F53" s="2027">
        <v>0</v>
      </c>
      <c r="G53" s="2026" t="s">
        <v>553</v>
      </c>
    </row>
    <row r="54" spans="1:7">
      <c r="A54" s="2026" t="s">
        <v>70</v>
      </c>
      <c r="B54" s="2025" t="s">
        <v>538</v>
      </c>
      <c r="C54" s="2025">
        <v>87</v>
      </c>
      <c r="D54" s="2025">
        <v>97</v>
      </c>
      <c r="E54" s="2032" t="s">
        <v>571</v>
      </c>
      <c r="F54" s="2027">
        <v>0</v>
      </c>
      <c r="G54" s="2026" t="s">
        <v>554</v>
      </c>
    </row>
    <row r="55" spans="1:7">
      <c r="A55" s="2026" t="s">
        <v>70</v>
      </c>
      <c r="B55" s="2025" t="s">
        <v>538</v>
      </c>
      <c r="C55" s="2025">
        <v>100</v>
      </c>
      <c r="D55" s="2025">
        <v>111</v>
      </c>
      <c r="E55" s="2032" t="s">
        <v>571</v>
      </c>
      <c r="F55" s="2027">
        <v>0</v>
      </c>
      <c r="G55" s="2026" t="s">
        <v>555</v>
      </c>
    </row>
    <row r="56" spans="1:7">
      <c r="A56" s="2026" t="s">
        <v>70</v>
      </c>
      <c r="B56" s="2025" t="s">
        <v>538</v>
      </c>
      <c r="C56" s="2025">
        <v>114</v>
      </c>
      <c r="D56" s="2025">
        <v>125</v>
      </c>
      <c r="E56" s="2032" t="s">
        <v>571</v>
      </c>
      <c r="F56" s="2027">
        <v>0</v>
      </c>
      <c r="G56" s="2026" t="s">
        <v>556</v>
      </c>
    </row>
    <row r="57" spans="1:7">
      <c r="A57" s="2026" t="s">
        <v>70</v>
      </c>
      <c r="B57" s="2025" t="s">
        <v>538</v>
      </c>
      <c r="C57" s="2025">
        <v>128</v>
      </c>
      <c r="D57" s="2025">
        <v>139</v>
      </c>
      <c r="E57" s="2032" t="s">
        <v>571</v>
      </c>
      <c r="F57" s="2027">
        <v>0</v>
      </c>
      <c r="G57" s="2026" t="s">
        <v>557</v>
      </c>
    </row>
    <row r="58" spans="1:7">
      <c r="A58" s="2026" t="s">
        <v>70</v>
      </c>
      <c r="B58" s="2025" t="s">
        <v>538</v>
      </c>
      <c r="C58" s="2025">
        <v>142</v>
      </c>
      <c r="D58" s="2025">
        <v>153</v>
      </c>
      <c r="E58" s="2032" t="s">
        <v>571</v>
      </c>
      <c r="F58" s="2027">
        <v>0</v>
      </c>
      <c r="G58" s="2026" t="s">
        <v>558</v>
      </c>
    </row>
    <row r="59" spans="1:7">
      <c r="A59" s="2026" t="s">
        <v>70</v>
      </c>
      <c r="B59" s="2025" t="s">
        <v>538</v>
      </c>
      <c r="C59" s="2025">
        <v>156</v>
      </c>
      <c r="D59" s="2025">
        <v>169</v>
      </c>
      <c r="E59" s="2032" t="s">
        <v>571</v>
      </c>
      <c r="F59" s="2027">
        <v>0</v>
      </c>
      <c r="G59" s="2026" t="s">
        <v>559</v>
      </c>
    </row>
    <row r="60" spans="1:7">
      <c r="A60" s="2026" t="s">
        <v>70</v>
      </c>
      <c r="B60" s="2025" t="s">
        <v>455</v>
      </c>
      <c r="C60" s="2025">
        <v>49</v>
      </c>
      <c r="D60" s="2025">
        <v>59</v>
      </c>
      <c r="E60" s="2032" t="s">
        <v>572</v>
      </c>
      <c r="F60" s="2025">
        <v>0</v>
      </c>
      <c r="G60" s="2026" t="s">
        <v>551</v>
      </c>
    </row>
    <row r="61" spans="1:7">
      <c r="A61" s="2026" t="s">
        <v>70</v>
      </c>
      <c r="B61" s="2025" t="s">
        <v>455</v>
      </c>
      <c r="C61" s="2025">
        <v>62</v>
      </c>
      <c r="D61" s="2025">
        <v>71</v>
      </c>
      <c r="E61" s="2032" t="s">
        <v>572</v>
      </c>
      <c r="F61" s="2025">
        <v>0</v>
      </c>
      <c r="G61" s="2026" t="s">
        <v>552</v>
      </c>
    </row>
    <row r="62" spans="1:7">
      <c r="A62" s="2026" t="s">
        <v>70</v>
      </c>
      <c r="B62" s="2025" t="s">
        <v>455</v>
      </c>
      <c r="C62" s="2025">
        <v>74</v>
      </c>
      <c r="D62" s="2025">
        <v>84</v>
      </c>
      <c r="E62" s="2032" t="s">
        <v>572</v>
      </c>
      <c r="F62" s="2025">
        <v>0</v>
      </c>
      <c r="G62" s="2026" t="s">
        <v>553</v>
      </c>
    </row>
    <row r="63" spans="1:7">
      <c r="A63" s="2026" t="s">
        <v>70</v>
      </c>
      <c r="B63" s="2025" t="s">
        <v>455</v>
      </c>
      <c r="C63" s="2025">
        <v>87</v>
      </c>
      <c r="D63" s="2025">
        <v>97</v>
      </c>
      <c r="E63" s="2032" t="s">
        <v>572</v>
      </c>
      <c r="F63" s="2025">
        <v>0</v>
      </c>
      <c r="G63" s="2026" t="s">
        <v>554</v>
      </c>
    </row>
    <row r="64" spans="1:7">
      <c r="A64" s="2026" t="s">
        <v>70</v>
      </c>
      <c r="B64" s="2025" t="s">
        <v>455</v>
      </c>
      <c r="C64" s="2025">
        <v>100</v>
      </c>
      <c r="D64" s="2025">
        <v>111</v>
      </c>
      <c r="E64" s="2032" t="s">
        <v>572</v>
      </c>
      <c r="F64" s="2025">
        <v>0</v>
      </c>
      <c r="G64" s="2026" t="s">
        <v>555</v>
      </c>
    </row>
    <row r="65" spans="1:13">
      <c r="A65" s="2026" t="s">
        <v>70</v>
      </c>
      <c r="B65" s="2025" t="s">
        <v>455</v>
      </c>
      <c r="C65" s="2025">
        <v>114</v>
      </c>
      <c r="D65" s="2025">
        <v>125</v>
      </c>
      <c r="E65" s="2032" t="s">
        <v>572</v>
      </c>
      <c r="F65" s="2025">
        <v>0</v>
      </c>
      <c r="G65" s="2026" t="s">
        <v>556</v>
      </c>
    </row>
    <row r="66" spans="1:13">
      <c r="A66" s="2026" t="s">
        <v>70</v>
      </c>
      <c r="B66" s="2025" t="s">
        <v>455</v>
      </c>
      <c r="C66" s="2025">
        <v>128</v>
      </c>
      <c r="D66" s="2025">
        <v>139</v>
      </c>
      <c r="E66" s="2032" t="s">
        <v>572</v>
      </c>
      <c r="F66" s="2025">
        <v>0</v>
      </c>
      <c r="G66" s="2026" t="s">
        <v>557</v>
      </c>
    </row>
    <row r="67" spans="1:13">
      <c r="A67" s="2026" t="s">
        <v>70</v>
      </c>
      <c r="B67" s="2025" t="s">
        <v>455</v>
      </c>
      <c r="C67" s="2025">
        <v>142</v>
      </c>
      <c r="D67" s="2025">
        <v>153</v>
      </c>
      <c r="E67" s="2032" t="s">
        <v>572</v>
      </c>
      <c r="F67" s="2025">
        <v>0</v>
      </c>
      <c r="G67" s="2026" t="s">
        <v>558</v>
      </c>
    </row>
    <row r="68" spans="1:13">
      <c r="A68" s="2026" t="s">
        <v>70</v>
      </c>
      <c r="B68" s="2025" t="s">
        <v>455</v>
      </c>
      <c r="C68" s="2025">
        <v>156</v>
      </c>
      <c r="D68" s="2025">
        <v>169</v>
      </c>
      <c r="E68" s="2032" t="s">
        <v>572</v>
      </c>
      <c r="F68" s="2025">
        <v>0</v>
      </c>
      <c r="G68" s="2026" t="s">
        <v>559</v>
      </c>
    </row>
    <row r="69" spans="1:13">
      <c r="A69" s="2024" t="s">
        <v>70</v>
      </c>
      <c r="B69" s="2025" t="s">
        <v>541</v>
      </c>
      <c r="C69" s="2025">
        <v>49</v>
      </c>
      <c r="D69" s="2025">
        <v>59</v>
      </c>
      <c r="E69" s="2032" t="s">
        <v>569</v>
      </c>
      <c r="F69" s="2025" t="s">
        <v>570</v>
      </c>
      <c r="G69" s="2026" t="s">
        <v>551</v>
      </c>
    </row>
    <row r="70" spans="1:13">
      <c r="A70" s="2024" t="s">
        <v>70</v>
      </c>
      <c r="B70" s="2025" t="s">
        <v>541</v>
      </c>
      <c r="C70" s="2025">
        <v>62</v>
      </c>
      <c r="D70" s="2025">
        <v>71</v>
      </c>
      <c r="E70" s="2032" t="s">
        <v>569</v>
      </c>
      <c r="F70" s="2025" t="s">
        <v>570</v>
      </c>
      <c r="G70" s="2026" t="s">
        <v>552</v>
      </c>
    </row>
    <row r="71" spans="1:13">
      <c r="A71" s="2024" t="s">
        <v>70</v>
      </c>
      <c r="B71" s="2025" t="s">
        <v>541</v>
      </c>
      <c r="C71" s="2025">
        <v>74</v>
      </c>
      <c r="D71" s="2025">
        <v>84</v>
      </c>
      <c r="E71" s="2032" t="s">
        <v>569</v>
      </c>
      <c r="F71" s="2025" t="s">
        <v>570</v>
      </c>
      <c r="G71" s="2026" t="s">
        <v>553</v>
      </c>
    </row>
    <row r="72" spans="1:13">
      <c r="A72" s="2024" t="s">
        <v>70</v>
      </c>
      <c r="B72" s="2025" t="s">
        <v>541</v>
      </c>
      <c r="C72" s="2025">
        <v>87</v>
      </c>
      <c r="D72" s="2025">
        <v>97</v>
      </c>
      <c r="E72" s="2032" t="s">
        <v>569</v>
      </c>
      <c r="F72" s="2025" t="s">
        <v>570</v>
      </c>
      <c r="G72" s="2026" t="s">
        <v>554</v>
      </c>
    </row>
    <row r="73" spans="1:13">
      <c r="A73" s="2024" t="s">
        <v>70</v>
      </c>
      <c r="B73" s="2025" t="s">
        <v>541</v>
      </c>
      <c r="C73" s="2025">
        <v>100</v>
      </c>
      <c r="D73" s="2025">
        <v>111</v>
      </c>
      <c r="E73" s="2032" t="s">
        <v>569</v>
      </c>
      <c r="F73" s="2025" t="s">
        <v>570</v>
      </c>
      <c r="G73" s="2026" t="s">
        <v>555</v>
      </c>
    </row>
    <row r="74" spans="1:13">
      <c r="A74" s="2024" t="s">
        <v>70</v>
      </c>
      <c r="B74" s="2025" t="s">
        <v>541</v>
      </c>
      <c r="C74" s="2025">
        <v>114</v>
      </c>
      <c r="D74" s="2025">
        <v>125</v>
      </c>
      <c r="E74" s="2032" t="s">
        <v>569</v>
      </c>
      <c r="F74" s="2025" t="s">
        <v>570</v>
      </c>
      <c r="G74" s="2026" t="s">
        <v>556</v>
      </c>
    </row>
    <row r="75" spans="1:13">
      <c r="A75" s="2024" t="s">
        <v>70</v>
      </c>
      <c r="B75" s="2025" t="s">
        <v>541</v>
      </c>
      <c r="C75" s="2025">
        <v>128</v>
      </c>
      <c r="D75" s="2025">
        <v>139</v>
      </c>
      <c r="E75" s="2032" t="s">
        <v>569</v>
      </c>
      <c r="F75" s="2025" t="s">
        <v>570</v>
      </c>
      <c r="G75" s="2026" t="s">
        <v>557</v>
      </c>
    </row>
    <row r="76" spans="1:13">
      <c r="A76" s="2024" t="s">
        <v>70</v>
      </c>
      <c r="B76" s="2025" t="s">
        <v>541</v>
      </c>
      <c r="C76" s="2025">
        <v>142</v>
      </c>
      <c r="D76" s="2025">
        <v>153</v>
      </c>
      <c r="E76" s="2032" t="s">
        <v>569</v>
      </c>
      <c r="F76" s="2025" t="s">
        <v>570</v>
      </c>
      <c r="G76" s="2026" t="s">
        <v>558</v>
      </c>
    </row>
    <row r="77" spans="1:13">
      <c r="A77" s="2024" t="s">
        <v>70</v>
      </c>
      <c r="B77" s="2025" t="s">
        <v>541</v>
      </c>
      <c r="C77" s="2025">
        <v>156</v>
      </c>
      <c r="D77" s="2025">
        <v>169</v>
      </c>
      <c r="E77" s="2032" t="s">
        <v>569</v>
      </c>
      <c r="F77" s="2025" t="s">
        <v>570</v>
      </c>
      <c r="G77" s="2026" t="s">
        <v>559</v>
      </c>
    </row>
    <row r="78" spans="1:13">
      <c r="A78" s="2026" t="s">
        <v>70</v>
      </c>
      <c r="B78" s="2025" t="s">
        <v>539</v>
      </c>
      <c r="C78" s="2025">
        <v>49</v>
      </c>
      <c r="D78" s="2025">
        <v>59</v>
      </c>
      <c r="E78" s="2032" t="s">
        <v>569</v>
      </c>
      <c r="F78" s="2025" t="s">
        <v>570</v>
      </c>
      <c r="G78" s="2026" t="s">
        <v>551</v>
      </c>
    </row>
    <row r="79" spans="1:13">
      <c r="A79" s="2026" t="s">
        <v>70</v>
      </c>
      <c r="B79" s="2025" t="s">
        <v>539</v>
      </c>
      <c r="C79" s="2025">
        <v>62</v>
      </c>
      <c r="D79" s="2025">
        <v>71</v>
      </c>
      <c r="E79" s="2032" t="s">
        <v>569</v>
      </c>
      <c r="F79" s="2025" t="s">
        <v>570</v>
      </c>
      <c r="G79" s="2026" t="s">
        <v>552</v>
      </c>
    </row>
    <row r="80" spans="1:13">
      <c r="A80" s="2026" t="s">
        <v>70</v>
      </c>
      <c r="B80" s="2025" t="s">
        <v>539</v>
      </c>
      <c r="C80" s="2025">
        <v>74</v>
      </c>
      <c r="D80" s="2025">
        <v>84</v>
      </c>
      <c r="E80" s="2032" t="s">
        <v>569</v>
      </c>
      <c r="F80" s="2025" t="s">
        <v>570</v>
      </c>
      <c r="G80" s="2026" t="s">
        <v>553</v>
      </c>
      <c r="M80" s="2030"/>
    </row>
    <row r="81" spans="1:13">
      <c r="A81" s="2026" t="s">
        <v>70</v>
      </c>
      <c r="B81" s="2025" t="s">
        <v>539</v>
      </c>
      <c r="C81" s="2025">
        <v>87</v>
      </c>
      <c r="D81" s="2025">
        <v>97</v>
      </c>
      <c r="E81" s="2032" t="s">
        <v>569</v>
      </c>
      <c r="F81" s="2025" t="s">
        <v>570</v>
      </c>
      <c r="G81" s="2026" t="s">
        <v>554</v>
      </c>
      <c r="M81" s="2030"/>
    </row>
    <row r="82" spans="1:13">
      <c r="A82" s="2026" t="s">
        <v>70</v>
      </c>
      <c r="B82" s="2025" t="s">
        <v>539</v>
      </c>
      <c r="C82" s="2025">
        <v>100</v>
      </c>
      <c r="D82" s="2025">
        <v>111</v>
      </c>
      <c r="E82" s="2032" t="s">
        <v>569</v>
      </c>
      <c r="F82" s="2025" t="s">
        <v>570</v>
      </c>
      <c r="G82" s="2026" t="s">
        <v>555</v>
      </c>
    </row>
    <row r="83" spans="1:13">
      <c r="A83" s="2026" t="s">
        <v>70</v>
      </c>
      <c r="B83" s="2025" t="s">
        <v>539</v>
      </c>
      <c r="C83" s="2025">
        <v>114</v>
      </c>
      <c r="D83" s="2025">
        <v>125</v>
      </c>
      <c r="E83" s="2032" t="s">
        <v>569</v>
      </c>
      <c r="F83" s="2025" t="s">
        <v>570</v>
      </c>
      <c r="G83" s="2026" t="s">
        <v>556</v>
      </c>
    </row>
    <row r="84" spans="1:13">
      <c r="A84" s="2026" t="s">
        <v>70</v>
      </c>
      <c r="B84" s="2025" t="s">
        <v>539</v>
      </c>
      <c r="C84" s="2025">
        <v>128</v>
      </c>
      <c r="D84" s="2025">
        <v>139</v>
      </c>
      <c r="E84" s="2032" t="s">
        <v>569</v>
      </c>
      <c r="F84" s="2025" t="s">
        <v>570</v>
      </c>
      <c r="G84" s="2026" t="s">
        <v>557</v>
      </c>
    </row>
    <row r="85" spans="1:13">
      <c r="A85" s="2026" t="s">
        <v>70</v>
      </c>
      <c r="B85" s="2025" t="s">
        <v>539</v>
      </c>
      <c r="C85" s="2025">
        <v>142</v>
      </c>
      <c r="D85" s="2025">
        <v>153</v>
      </c>
      <c r="E85" s="2032" t="s">
        <v>569</v>
      </c>
      <c r="F85" s="2025" t="s">
        <v>570</v>
      </c>
      <c r="G85" s="2026" t="s">
        <v>558</v>
      </c>
    </row>
    <row r="86" spans="1:13">
      <c r="A86" s="2026" t="s">
        <v>70</v>
      </c>
      <c r="B86" s="2025" t="s">
        <v>539</v>
      </c>
      <c r="C86" s="2025">
        <v>156</v>
      </c>
      <c r="D86" s="2025">
        <v>169</v>
      </c>
      <c r="E86" s="2032" t="s">
        <v>569</v>
      </c>
      <c r="F86" s="2025" t="s">
        <v>570</v>
      </c>
      <c r="G86" s="2026" t="s">
        <v>559</v>
      </c>
    </row>
    <row r="87" spans="1:13">
      <c r="A87" s="2026" t="s">
        <v>70</v>
      </c>
      <c r="B87" s="2025" t="s">
        <v>545</v>
      </c>
      <c r="C87" s="2025">
        <v>10</v>
      </c>
      <c r="D87" s="2025">
        <v>20</v>
      </c>
      <c r="E87" s="2032" t="s">
        <v>571</v>
      </c>
      <c r="F87" s="2027">
        <v>0</v>
      </c>
    </row>
    <row r="88" spans="1:13">
      <c r="A88" s="2026" t="s">
        <v>70</v>
      </c>
      <c r="B88" s="2025" t="s">
        <v>545</v>
      </c>
      <c r="C88" s="2025">
        <v>23</v>
      </c>
      <c r="D88" s="2025">
        <v>33</v>
      </c>
      <c r="E88" s="2032" t="s">
        <v>571</v>
      </c>
      <c r="F88" s="2027">
        <v>0</v>
      </c>
    </row>
    <row r="89" spans="1:13">
      <c r="A89" s="2026" t="s">
        <v>70</v>
      </c>
      <c r="B89" s="2025" t="s">
        <v>545</v>
      </c>
      <c r="C89" s="2025">
        <v>36</v>
      </c>
      <c r="D89" s="2025">
        <v>46</v>
      </c>
      <c r="E89" s="2032" t="s">
        <v>571</v>
      </c>
      <c r="F89" s="2027">
        <v>0</v>
      </c>
    </row>
    <row r="90" spans="1:13">
      <c r="A90" s="2026" t="s">
        <v>70</v>
      </c>
      <c r="B90" s="2025" t="s">
        <v>545</v>
      </c>
      <c r="C90" s="2025">
        <v>49</v>
      </c>
      <c r="D90" s="2025">
        <v>59</v>
      </c>
      <c r="E90" s="2032" t="s">
        <v>571</v>
      </c>
      <c r="F90" s="2027">
        <v>0</v>
      </c>
      <c r="G90" s="2026" t="s">
        <v>551</v>
      </c>
    </row>
    <row r="91" spans="1:13">
      <c r="A91" s="2026" t="s">
        <v>70</v>
      </c>
      <c r="B91" s="2025" t="s">
        <v>545</v>
      </c>
      <c r="C91" s="2025">
        <v>62</v>
      </c>
      <c r="D91" s="2025">
        <v>71</v>
      </c>
      <c r="E91" s="2032" t="s">
        <v>571</v>
      </c>
      <c r="F91" s="2027">
        <v>0</v>
      </c>
      <c r="G91" s="2026" t="s">
        <v>552</v>
      </c>
    </row>
    <row r="92" spans="1:13">
      <c r="A92" s="2026" t="s">
        <v>70</v>
      </c>
      <c r="B92" s="2025" t="s">
        <v>545</v>
      </c>
      <c r="C92" s="2025">
        <v>74</v>
      </c>
      <c r="D92" s="2025">
        <v>84</v>
      </c>
      <c r="E92" s="2032" t="s">
        <v>571</v>
      </c>
      <c r="F92" s="2027">
        <v>0</v>
      </c>
      <c r="G92" s="2026" t="s">
        <v>553</v>
      </c>
    </row>
    <row r="93" spans="1:13">
      <c r="A93" s="2026" t="s">
        <v>70</v>
      </c>
      <c r="B93" s="2025" t="s">
        <v>545</v>
      </c>
      <c r="C93" s="2025">
        <v>87</v>
      </c>
      <c r="D93" s="2025">
        <v>97</v>
      </c>
      <c r="E93" s="2032" t="s">
        <v>571</v>
      </c>
      <c r="F93" s="2027">
        <v>0</v>
      </c>
      <c r="G93" s="2026" t="s">
        <v>554</v>
      </c>
    </row>
    <row r="94" spans="1:13">
      <c r="A94" s="2026" t="s">
        <v>70</v>
      </c>
      <c r="B94" s="2025" t="s">
        <v>545</v>
      </c>
      <c r="C94" s="2025">
        <v>100</v>
      </c>
      <c r="D94" s="2025">
        <v>111</v>
      </c>
      <c r="E94" s="2032" t="s">
        <v>571</v>
      </c>
      <c r="F94" s="2027">
        <v>0</v>
      </c>
      <c r="G94" s="2026" t="s">
        <v>555</v>
      </c>
    </row>
    <row r="95" spans="1:13">
      <c r="A95" s="2026" t="s">
        <v>70</v>
      </c>
      <c r="B95" s="2025" t="s">
        <v>545</v>
      </c>
      <c r="C95" s="2025">
        <v>114</v>
      </c>
      <c r="D95" s="2025">
        <v>125</v>
      </c>
      <c r="E95" s="2032" t="s">
        <v>571</v>
      </c>
      <c r="F95" s="2027">
        <v>0</v>
      </c>
      <c r="G95" s="2026" t="s">
        <v>556</v>
      </c>
    </row>
    <row r="96" spans="1:13">
      <c r="A96" s="2026" t="s">
        <v>70</v>
      </c>
      <c r="B96" s="2025" t="s">
        <v>545</v>
      </c>
      <c r="C96" s="2025">
        <v>128</v>
      </c>
      <c r="D96" s="2025">
        <v>139</v>
      </c>
      <c r="E96" s="2032" t="s">
        <v>571</v>
      </c>
      <c r="F96" s="2027">
        <v>0</v>
      </c>
      <c r="G96" s="2026" t="s">
        <v>557</v>
      </c>
    </row>
    <row r="97" spans="1:7">
      <c r="A97" s="2026" t="s">
        <v>70</v>
      </c>
      <c r="B97" s="2025" t="s">
        <v>545</v>
      </c>
      <c r="C97" s="2025">
        <v>142</v>
      </c>
      <c r="D97" s="2025">
        <v>153</v>
      </c>
      <c r="E97" s="2032" t="s">
        <v>571</v>
      </c>
      <c r="F97" s="2027">
        <v>0</v>
      </c>
      <c r="G97" s="2026" t="s">
        <v>558</v>
      </c>
    </row>
    <row r="98" spans="1:7">
      <c r="A98" s="2026" t="s">
        <v>70</v>
      </c>
      <c r="B98" s="2025" t="s">
        <v>545</v>
      </c>
      <c r="C98" s="2025">
        <v>156</v>
      </c>
      <c r="D98" s="2025">
        <v>169</v>
      </c>
      <c r="E98" s="2032" t="s">
        <v>571</v>
      </c>
      <c r="F98" s="2027">
        <v>0</v>
      </c>
      <c r="G98" s="2026" t="s">
        <v>559</v>
      </c>
    </row>
    <row r="99" spans="1:7">
      <c r="A99" s="2026" t="s">
        <v>70</v>
      </c>
      <c r="B99" s="2025" t="s">
        <v>542</v>
      </c>
      <c r="C99" s="2025">
        <v>10</v>
      </c>
      <c r="D99" s="2025">
        <v>20</v>
      </c>
      <c r="E99" s="2032" t="s">
        <v>569</v>
      </c>
      <c r="F99" s="2025" t="s">
        <v>570</v>
      </c>
    </row>
    <row r="100" spans="1:7">
      <c r="A100" s="2026" t="s">
        <v>70</v>
      </c>
      <c r="B100" s="2025" t="s">
        <v>542</v>
      </c>
      <c r="C100" s="2025">
        <v>23</v>
      </c>
      <c r="D100" s="2025">
        <v>33</v>
      </c>
      <c r="E100" s="2032" t="s">
        <v>569</v>
      </c>
      <c r="F100" s="2025" t="s">
        <v>570</v>
      </c>
    </row>
    <row r="101" spans="1:7">
      <c r="A101" s="2026" t="s">
        <v>70</v>
      </c>
      <c r="B101" s="2025" t="s">
        <v>542</v>
      </c>
      <c r="C101" s="2025">
        <v>36</v>
      </c>
      <c r="D101" s="2025">
        <v>46</v>
      </c>
      <c r="E101" s="2032" t="s">
        <v>569</v>
      </c>
      <c r="F101" s="2025" t="s">
        <v>570</v>
      </c>
    </row>
    <row r="102" spans="1:7">
      <c r="A102" s="2026" t="s">
        <v>70</v>
      </c>
      <c r="B102" s="2025" t="s">
        <v>542</v>
      </c>
      <c r="C102" s="2025">
        <v>47</v>
      </c>
      <c r="D102" s="2025">
        <v>59</v>
      </c>
      <c r="E102" s="2032" t="s">
        <v>569</v>
      </c>
      <c r="F102" s="2025" t="s">
        <v>570</v>
      </c>
    </row>
    <row r="103" spans="1:7">
      <c r="A103" s="2026" t="s">
        <v>70</v>
      </c>
      <c r="B103" s="2025" t="s">
        <v>542</v>
      </c>
      <c r="C103" s="2025">
        <v>62</v>
      </c>
      <c r="D103" s="2025">
        <v>71</v>
      </c>
      <c r="E103" s="2032" t="s">
        <v>569</v>
      </c>
      <c r="F103" s="2025" t="s">
        <v>570</v>
      </c>
    </row>
    <row r="104" spans="1:7">
      <c r="A104" s="2026" t="s">
        <v>70</v>
      </c>
      <c r="B104" s="2025" t="s">
        <v>542</v>
      </c>
      <c r="C104" s="2025">
        <v>74</v>
      </c>
      <c r="D104" s="2025">
        <v>84</v>
      </c>
      <c r="E104" s="2032" t="s">
        <v>569</v>
      </c>
      <c r="F104" s="2025" t="s">
        <v>570</v>
      </c>
    </row>
    <row r="105" spans="1:7">
      <c r="A105" s="2026" t="s">
        <v>70</v>
      </c>
      <c r="B105" s="2025" t="s">
        <v>542</v>
      </c>
      <c r="C105" s="2025">
        <v>87</v>
      </c>
      <c r="D105" s="2025">
        <v>97</v>
      </c>
      <c r="E105" s="2032" t="s">
        <v>569</v>
      </c>
      <c r="F105" s="2025" t="s">
        <v>570</v>
      </c>
    </row>
    <row r="106" spans="1:7">
      <c r="A106" s="2026" t="s">
        <v>70</v>
      </c>
      <c r="B106" s="2025" t="s">
        <v>542</v>
      </c>
      <c r="C106" s="2025">
        <v>100</v>
      </c>
      <c r="D106" s="2025">
        <v>111</v>
      </c>
      <c r="E106" s="2032" t="s">
        <v>569</v>
      </c>
      <c r="F106" s="2025" t="s">
        <v>570</v>
      </c>
    </row>
    <row r="107" spans="1:7">
      <c r="A107" s="2026" t="s">
        <v>70</v>
      </c>
      <c r="B107" s="2025" t="s">
        <v>542</v>
      </c>
      <c r="C107" s="2025">
        <v>114</v>
      </c>
      <c r="D107" s="2025">
        <v>125</v>
      </c>
      <c r="E107" s="2032" t="s">
        <v>569</v>
      </c>
      <c r="F107" s="2025" t="s">
        <v>570</v>
      </c>
    </row>
    <row r="108" spans="1:7">
      <c r="A108" s="2026" t="s">
        <v>70</v>
      </c>
      <c r="B108" s="2025" t="s">
        <v>542</v>
      </c>
      <c r="C108" s="2025">
        <v>128</v>
      </c>
      <c r="D108" s="2025">
        <v>139</v>
      </c>
      <c r="E108" s="2032" t="s">
        <v>569</v>
      </c>
      <c r="F108" s="2025" t="s">
        <v>570</v>
      </c>
    </row>
    <row r="109" spans="1:7">
      <c r="A109" s="2026" t="s">
        <v>70</v>
      </c>
      <c r="B109" s="2025" t="s">
        <v>542</v>
      </c>
      <c r="C109" s="2025">
        <v>142</v>
      </c>
      <c r="D109" s="2025">
        <v>153</v>
      </c>
      <c r="E109" s="2032" t="s">
        <v>569</v>
      </c>
      <c r="F109" s="2025" t="s">
        <v>570</v>
      </c>
    </row>
    <row r="110" spans="1:7">
      <c r="A110" s="2026" t="s">
        <v>70</v>
      </c>
      <c r="B110" s="2025" t="s">
        <v>542</v>
      </c>
      <c r="C110" s="2025">
        <v>156</v>
      </c>
      <c r="D110" s="2025">
        <v>169</v>
      </c>
      <c r="E110" s="2032" t="s">
        <v>569</v>
      </c>
      <c r="F110" s="2025" t="s">
        <v>570</v>
      </c>
    </row>
    <row r="111" spans="1:7">
      <c r="A111" s="2026" t="s">
        <v>415</v>
      </c>
      <c r="B111" s="2025" t="s">
        <v>546</v>
      </c>
      <c r="C111" s="2025">
        <v>13</v>
      </c>
      <c r="D111" s="2025">
        <v>22</v>
      </c>
      <c r="E111" s="2032" t="s">
        <v>569</v>
      </c>
      <c r="F111" s="2025" t="s">
        <v>570</v>
      </c>
    </row>
    <row r="112" spans="1:7">
      <c r="A112" s="2026" t="s">
        <v>415</v>
      </c>
      <c r="B112" s="2025" t="s">
        <v>538</v>
      </c>
      <c r="C112" s="2025">
        <v>13</v>
      </c>
      <c r="D112" s="2025">
        <v>22</v>
      </c>
      <c r="E112" s="2032" t="s">
        <v>571</v>
      </c>
      <c r="F112" s="2027">
        <v>0</v>
      </c>
    </row>
    <row r="113" spans="1:7">
      <c r="A113" s="2026" t="s">
        <v>415</v>
      </c>
      <c r="B113" s="2025" t="s">
        <v>455</v>
      </c>
      <c r="C113" s="2025">
        <v>13</v>
      </c>
      <c r="D113" s="2025">
        <v>22</v>
      </c>
      <c r="E113" s="2032" t="s">
        <v>572</v>
      </c>
      <c r="F113" s="2025">
        <v>0</v>
      </c>
    </row>
    <row r="114" spans="1:7">
      <c r="A114" s="2026" t="s">
        <v>415</v>
      </c>
      <c r="B114" s="2025" t="s">
        <v>541</v>
      </c>
      <c r="C114" s="2025">
        <v>13</v>
      </c>
      <c r="D114" s="2025">
        <v>22</v>
      </c>
      <c r="E114" s="2032" t="s">
        <v>569</v>
      </c>
      <c r="F114" s="2025" t="s">
        <v>570</v>
      </c>
    </row>
    <row r="115" spans="1:7">
      <c r="A115" s="2026" t="s">
        <v>415</v>
      </c>
      <c r="B115" s="2025" t="s">
        <v>539</v>
      </c>
      <c r="C115" s="2025">
        <v>13</v>
      </c>
      <c r="D115" s="2025">
        <v>22</v>
      </c>
      <c r="E115" s="2032" t="s">
        <v>569</v>
      </c>
      <c r="F115" s="2027" t="s">
        <v>570</v>
      </c>
    </row>
    <row r="116" spans="1:7">
      <c r="A116" s="2024" t="s">
        <v>415</v>
      </c>
      <c r="B116" s="2025" t="s">
        <v>449</v>
      </c>
      <c r="C116" s="2025">
        <v>43</v>
      </c>
      <c r="D116" s="2025">
        <v>0</v>
      </c>
      <c r="E116" s="2032" t="s">
        <v>6</v>
      </c>
      <c r="F116" s="2029">
        <f ca="1">YEAR(TODAY())</f>
        <v>2022</v>
      </c>
    </row>
    <row r="117" spans="1:7">
      <c r="A117" s="2026" t="s">
        <v>415</v>
      </c>
      <c r="B117" s="2025" t="s">
        <v>449</v>
      </c>
      <c r="C117" s="2025">
        <v>46</v>
      </c>
      <c r="D117" s="2025">
        <v>47</v>
      </c>
      <c r="E117" s="2032" t="s">
        <v>571</v>
      </c>
      <c r="F117" s="2027">
        <v>0</v>
      </c>
    </row>
    <row r="118" spans="1:7">
      <c r="A118" s="2026" t="s">
        <v>415</v>
      </c>
      <c r="B118" s="2025" t="s">
        <v>449</v>
      </c>
      <c r="C118" s="2025">
        <v>53</v>
      </c>
      <c r="D118" s="2025">
        <v>0</v>
      </c>
      <c r="E118" s="2032" t="s">
        <v>80</v>
      </c>
      <c r="F118" s="2027">
        <v>0.5</v>
      </c>
    </row>
    <row r="119" spans="1:7">
      <c r="A119" s="2026" t="s">
        <v>415</v>
      </c>
      <c r="B119" s="2025" t="s">
        <v>449</v>
      </c>
      <c r="C119" s="2025">
        <v>60</v>
      </c>
      <c r="D119" s="2025">
        <v>61</v>
      </c>
      <c r="E119" s="2032" t="s">
        <v>571</v>
      </c>
      <c r="F119" s="2028">
        <v>0</v>
      </c>
    </row>
    <row r="120" spans="1:7">
      <c r="A120" s="2026" t="s">
        <v>415</v>
      </c>
      <c r="B120" s="2025" t="s">
        <v>449</v>
      </c>
      <c r="C120" s="2025">
        <v>65</v>
      </c>
      <c r="D120" s="2025">
        <v>0</v>
      </c>
      <c r="E120" s="2032" t="s">
        <v>80</v>
      </c>
      <c r="F120" s="2027">
        <v>0.5</v>
      </c>
    </row>
    <row r="121" spans="1:7">
      <c r="A121" s="2026" t="s">
        <v>415</v>
      </c>
      <c r="B121" s="2025" t="s">
        <v>449</v>
      </c>
      <c r="C121" s="2025">
        <v>74</v>
      </c>
      <c r="D121" s="2025">
        <v>0</v>
      </c>
      <c r="E121" s="2032" t="s">
        <v>571</v>
      </c>
      <c r="F121" s="2025">
        <v>0</v>
      </c>
    </row>
    <row r="122" spans="1:7">
      <c r="A122" s="2026" t="s">
        <v>415</v>
      </c>
      <c r="B122" s="2025" t="s">
        <v>449</v>
      </c>
      <c r="C122" s="2025">
        <v>213</v>
      </c>
      <c r="D122" s="2025">
        <v>0</v>
      </c>
      <c r="E122" s="2032" t="s">
        <v>80</v>
      </c>
      <c r="F122" s="2027">
        <v>0.01</v>
      </c>
    </row>
    <row r="123" spans="1:7">
      <c r="A123" s="2026" t="s">
        <v>76</v>
      </c>
      <c r="B123" s="2025" t="s">
        <v>538</v>
      </c>
      <c r="C123" s="2025">
        <v>9</v>
      </c>
      <c r="D123" s="2025">
        <v>0</v>
      </c>
      <c r="E123" s="2032" t="s">
        <v>569</v>
      </c>
      <c r="F123" s="2025" t="s">
        <v>570</v>
      </c>
      <c r="G123" s="2026" t="s">
        <v>2529</v>
      </c>
    </row>
    <row r="124" spans="1:7">
      <c r="A124" s="2026" t="s">
        <v>76</v>
      </c>
      <c r="B124" s="2025" t="s">
        <v>538</v>
      </c>
      <c r="C124" s="2025">
        <v>10</v>
      </c>
      <c r="D124" s="2025">
        <v>0</v>
      </c>
      <c r="E124" s="2032" t="s">
        <v>571</v>
      </c>
      <c r="F124" s="2027">
        <v>0</v>
      </c>
      <c r="G124" s="2026" t="s">
        <v>1336</v>
      </c>
    </row>
    <row r="125" spans="1:7">
      <c r="A125" s="2026" t="s">
        <v>76</v>
      </c>
      <c r="B125" s="2025" t="s">
        <v>538</v>
      </c>
      <c r="C125" s="2025">
        <v>11</v>
      </c>
      <c r="D125" s="2025">
        <v>0</v>
      </c>
      <c r="E125" s="2032" t="s">
        <v>572</v>
      </c>
      <c r="F125" s="2027">
        <v>0</v>
      </c>
      <c r="G125" s="2026" t="s">
        <v>2530</v>
      </c>
    </row>
    <row r="126" spans="1:7">
      <c r="A126" s="2026" t="s">
        <v>76</v>
      </c>
      <c r="B126" s="2025" t="s">
        <v>538</v>
      </c>
      <c r="C126" s="2025">
        <v>12</v>
      </c>
      <c r="D126" s="2025">
        <v>0</v>
      </c>
      <c r="E126" s="2032" t="s">
        <v>572</v>
      </c>
      <c r="F126" s="2027">
        <v>0</v>
      </c>
      <c r="G126" s="2026" t="s">
        <v>2531</v>
      </c>
    </row>
    <row r="127" spans="1:7">
      <c r="A127" s="2026" t="s">
        <v>76</v>
      </c>
      <c r="B127" s="2025" t="s">
        <v>538</v>
      </c>
      <c r="C127" s="2025">
        <v>13</v>
      </c>
      <c r="D127" s="2025">
        <v>0</v>
      </c>
      <c r="E127" s="2032" t="s">
        <v>80</v>
      </c>
      <c r="F127" s="2025">
        <v>0.5</v>
      </c>
      <c r="G127" s="2026" t="s">
        <v>2532</v>
      </c>
    </row>
    <row r="128" spans="1:7">
      <c r="A128" s="2026" t="s">
        <v>76</v>
      </c>
      <c r="B128" s="2025" t="s">
        <v>538</v>
      </c>
      <c r="C128" s="2025">
        <v>14</v>
      </c>
      <c r="D128" s="2025">
        <v>0</v>
      </c>
      <c r="E128" s="2032" t="s">
        <v>80</v>
      </c>
      <c r="F128" s="2025">
        <v>0.5</v>
      </c>
      <c r="G128" s="2026" t="s">
        <v>2533</v>
      </c>
    </row>
    <row r="129" spans="1:7">
      <c r="A129" s="2026" t="s">
        <v>76</v>
      </c>
      <c r="B129" s="2025" t="s">
        <v>455</v>
      </c>
      <c r="C129" s="2025">
        <v>9</v>
      </c>
      <c r="D129" s="2025">
        <v>0</v>
      </c>
      <c r="E129" s="2032" t="s">
        <v>569</v>
      </c>
      <c r="F129" s="2025" t="s">
        <v>570</v>
      </c>
      <c r="G129" s="2026" t="s">
        <v>2529</v>
      </c>
    </row>
    <row r="130" spans="1:7">
      <c r="A130" s="2026" t="s">
        <v>76</v>
      </c>
      <c r="B130" s="2025" t="s">
        <v>455</v>
      </c>
      <c r="C130" s="2025">
        <v>10</v>
      </c>
      <c r="D130" s="2025">
        <v>0</v>
      </c>
      <c r="E130" s="2032" t="s">
        <v>571</v>
      </c>
      <c r="F130" s="2027">
        <v>0</v>
      </c>
      <c r="G130" s="2026" t="s">
        <v>1336</v>
      </c>
    </row>
    <row r="131" spans="1:7">
      <c r="A131" s="2026" t="s">
        <v>76</v>
      </c>
      <c r="B131" s="2025" t="s">
        <v>455</v>
      </c>
      <c r="C131" s="2025">
        <v>11</v>
      </c>
      <c r="D131" s="2025">
        <v>0</v>
      </c>
      <c r="E131" s="2032" t="s">
        <v>572</v>
      </c>
      <c r="F131" s="2027">
        <v>0</v>
      </c>
      <c r="G131" s="2026" t="s">
        <v>2530</v>
      </c>
    </row>
    <row r="132" spans="1:7">
      <c r="A132" s="2026" t="s">
        <v>76</v>
      </c>
      <c r="B132" s="2025" t="s">
        <v>455</v>
      </c>
      <c r="C132" s="2025">
        <v>12</v>
      </c>
      <c r="D132" s="2025">
        <v>0</v>
      </c>
      <c r="E132" s="2032" t="s">
        <v>572</v>
      </c>
      <c r="F132" s="2027">
        <v>0</v>
      </c>
      <c r="G132" s="2026" t="s">
        <v>2531</v>
      </c>
    </row>
    <row r="133" spans="1:7">
      <c r="A133" s="2026" t="s">
        <v>76</v>
      </c>
      <c r="B133" s="2025" t="s">
        <v>455</v>
      </c>
      <c r="C133" s="2025">
        <v>13</v>
      </c>
      <c r="D133" s="2025">
        <v>0</v>
      </c>
      <c r="E133" s="2032" t="s">
        <v>80</v>
      </c>
      <c r="F133" s="2025">
        <v>0.5</v>
      </c>
      <c r="G133" s="2026" t="s">
        <v>2532</v>
      </c>
    </row>
    <row r="134" spans="1:7">
      <c r="A134" s="2026" t="s">
        <v>76</v>
      </c>
      <c r="B134" s="2025" t="s">
        <v>455</v>
      </c>
      <c r="C134" s="2025">
        <v>14</v>
      </c>
      <c r="D134" s="2025">
        <v>0</v>
      </c>
      <c r="E134" s="2032" t="s">
        <v>80</v>
      </c>
      <c r="F134" s="2025">
        <v>0.5</v>
      </c>
      <c r="G134" s="2026" t="s">
        <v>2533</v>
      </c>
    </row>
    <row r="135" spans="1:7">
      <c r="A135" s="2026" t="s">
        <v>76</v>
      </c>
      <c r="B135" s="2025" t="s">
        <v>541</v>
      </c>
      <c r="C135" s="2025">
        <v>9</v>
      </c>
      <c r="D135" s="2025">
        <v>0</v>
      </c>
      <c r="E135" s="2032" t="s">
        <v>569</v>
      </c>
      <c r="F135" s="2025" t="s">
        <v>570</v>
      </c>
      <c r="G135" s="2026" t="s">
        <v>2529</v>
      </c>
    </row>
    <row r="136" spans="1:7">
      <c r="A136" s="2026" t="s">
        <v>76</v>
      </c>
      <c r="B136" s="2025" t="s">
        <v>541</v>
      </c>
      <c r="C136" s="2025">
        <v>10</v>
      </c>
      <c r="D136" s="2025">
        <v>0</v>
      </c>
      <c r="E136" s="2032" t="s">
        <v>571</v>
      </c>
      <c r="F136" s="2027">
        <v>0</v>
      </c>
      <c r="G136" s="2026" t="s">
        <v>1336</v>
      </c>
    </row>
    <row r="137" spans="1:7">
      <c r="A137" s="2026" t="s">
        <v>76</v>
      </c>
      <c r="B137" s="2025" t="s">
        <v>541</v>
      </c>
      <c r="C137" s="2025">
        <v>11</v>
      </c>
      <c r="D137" s="2025">
        <v>0</v>
      </c>
      <c r="E137" s="2032" t="s">
        <v>572</v>
      </c>
      <c r="F137" s="2027">
        <v>0</v>
      </c>
      <c r="G137" s="2026" t="s">
        <v>2530</v>
      </c>
    </row>
    <row r="138" spans="1:7">
      <c r="A138" s="2026" t="s">
        <v>76</v>
      </c>
      <c r="B138" s="2025" t="s">
        <v>541</v>
      </c>
      <c r="C138" s="2025">
        <v>12</v>
      </c>
      <c r="D138" s="2025">
        <v>0</v>
      </c>
      <c r="E138" s="2032" t="s">
        <v>572</v>
      </c>
      <c r="F138" s="2027">
        <v>0</v>
      </c>
      <c r="G138" s="2026" t="s">
        <v>2531</v>
      </c>
    </row>
    <row r="139" spans="1:7">
      <c r="A139" s="2026" t="s">
        <v>76</v>
      </c>
      <c r="B139" s="2025" t="s">
        <v>541</v>
      </c>
      <c r="C139" s="2025">
        <v>13</v>
      </c>
      <c r="D139" s="2025">
        <v>0</v>
      </c>
      <c r="E139" s="2032" t="s">
        <v>80</v>
      </c>
      <c r="F139" s="2025">
        <v>0.5</v>
      </c>
      <c r="G139" s="2026" t="s">
        <v>2532</v>
      </c>
    </row>
    <row r="140" spans="1:7">
      <c r="A140" s="2026" t="s">
        <v>76</v>
      </c>
      <c r="B140" s="2025" t="s">
        <v>541</v>
      </c>
      <c r="C140" s="2025">
        <v>14</v>
      </c>
      <c r="D140" s="2025">
        <v>0</v>
      </c>
      <c r="E140" s="2032" t="s">
        <v>80</v>
      </c>
      <c r="F140" s="2025">
        <v>0.5</v>
      </c>
      <c r="G140" s="2026" t="s">
        <v>2533</v>
      </c>
    </row>
    <row r="141" spans="1:7">
      <c r="A141" s="2026" t="s">
        <v>76</v>
      </c>
      <c r="B141" s="2025" t="s">
        <v>539</v>
      </c>
      <c r="C141" s="2025">
        <v>9</v>
      </c>
      <c r="D141" s="2025">
        <v>0</v>
      </c>
      <c r="E141" s="2032" t="s">
        <v>569</v>
      </c>
      <c r="F141" s="2025" t="s">
        <v>570</v>
      </c>
      <c r="G141" s="2026" t="s">
        <v>2529</v>
      </c>
    </row>
    <row r="142" spans="1:7">
      <c r="A142" s="2026" t="s">
        <v>76</v>
      </c>
      <c r="B142" s="2025" t="s">
        <v>539</v>
      </c>
      <c r="C142" s="2025">
        <v>10</v>
      </c>
      <c r="D142" s="2025">
        <v>0</v>
      </c>
      <c r="E142" s="2032" t="s">
        <v>571</v>
      </c>
      <c r="F142" s="2027">
        <v>0</v>
      </c>
      <c r="G142" s="2026" t="s">
        <v>1336</v>
      </c>
    </row>
    <row r="143" spans="1:7">
      <c r="A143" s="2026" t="s">
        <v>76</v>
      </c>
      <c r="B143" s="2025" t="s">
        <v>539</v>
      </c>
      <c r="C143" s="2025">
        <v>11</v>
      </c>
      <c r="D143" s="2025">
        <v>0</v>
      </c>
      <c r="E143" s="2032" t="s">
        <v>572</v>
      </c>
      <c r="F143" s="2027">
        <v>0</v>
      </c>
      <c r="G143" s="2026" t="s">
        <v>2530</v>
      </c>
    </row>
    <row r="144" spans="1:7">
      <c r="A144" s="2026" t="s">
        <v>76</v>
      </c>
      <c r="B144" s="2025" t="s">
        <v>539</v>
      </c>
      <c r="C144" s="2025">
        <v>12</v>
      </c>
      <c r="D144" s="2025">
        <v>0</v>
      </c>
      <c r="E144" s="2032" t="s">
        <v>572</v>
      </c>
      <c r="F144" s="2027">
        <v>0</v>
      </c>
      <c r="G144" s="2026" t="s">
        <v>2531</v>
      </c>
    </row>
    <row r="145" spans="1:7">
      <c r="A145" s="2026" t="s">
        <v>76</v>
      </c>
      <c r="B145" s="2025" t="s">
        <v>539</v>
      </c>
      <c r="C145" s="2025">
        <v>13</v>
      </c>
      <c r="D145" s="2025">
        <v>0</v>
      </c>
      <c r="E145" s="2032" t="s">
        <v>80</v>
      </c>
      <c r="F145" s="2025">
        <v>0.5</v>
      </c>
      <c r="G145" s="2026" t="s">
        <v>2532</v>
      </c>
    </row>
    <row r="146" spans="1:7">
      <c r="A146" s="2026" t="s">
        <v>76</v>
      </c>
      <c r="B146" s="2025" t="s">
        <v>539</v>
      </c>
      <c r="C146" s="2025">
        <v>14</v>
      </c>
      <c r="D146" s="2025">
        <v>0</v>
      </c>
      <c r="E146" s="2032" t="s">
        <v>80</v>
      </c>
      <c r="F146" s="2025">
        <v>0.5</v>
      </c>
      <c r="G146" s="2026" t="s">
        <v>2533</v>
      </c>
    </row>
    <row r="147" spans="1:7">
      <c r="A147" s="2026" t="s">
        <v>76</v>
      </c>
      <c r="B147" s="2025" t="s">
        <v>548</v>
      </c>
      <c r="C147" s="2025">
        <v>9</v>
      </c>
      <c r="D147" s="2025">
        <v>0</v>
      </c>
      <c r="E147" s="2032" t="s">
        <v>569</v>
      </c>
      <c r="F147" s="2025" t="s">
        <v>570</v>
      </c>
      <c r="G147" s="2026" t="s">
        <v>2529</v>
      </c>
    </row>
    <row r="148" spans="1:7">
      <c r="A148" s="2026" t="s">
        <v>76</v>
      </c>
      <c r="B148" s="2025" t="s">
        <v>548</v>
      </c>
      <c r="C148" s="2025">
        <v>10</v>
      </c>
      <c r="D148" s="2025">
        <v>0</v>
      </c>
      <c r="E148" s="2032" t="s">
        <v>571</v>
      </c>
      <c r="F148" s="2027">
        <v>0</v>
      </c>
      <c r="G148" s="2026" t="s">
        <v>1336</v>
      </c>
    </row>
    <row r="149" spans="1:7">
      <c r="A149" s="2026" t="s">
        <v>76</v>
      </c>
      <c r="B149" s="2025" t="s">
        <v>548</v>
      </c>
      <c r="C149" s="2025">
        <v>11</v>
      </c>
      <c r="D149" s="2025">
        <v>0</v>
      </c>
      <c r="E149" s="2032" t="s">
        <v>572</v>
      </c>
      <c r="F149" s="2027">
        <v>0</v>
      </c>
      <c r="G149" s="2026" t="s">
        <v>2530</v>
      </c>
    </row>
    <row r="150" spans="1:7">
      <c r="A150" s="2026" t="s">
        <v>76</v>
      </c>
      <c r="B150" s="2025" t="s">
        <v>548</v>
      </c>
      <c r="C150" s="2025">
        <v>12</v>
      </c>
      <c r="D150" s="2025">
        <v>0</v>
      </c>
      <c r="E150" s="2032" t="s">
        <v>572</v>
      </c>
      <c r="F150" s="2027">
        <v>0</v>
      </c>
      <c r="G150" s="2026" t="s">
        <v>2531</v>
      </c>
    </row>
    <row r="151" spans="1:7">
      <c r="A151" s="2026" t="s">
        <v>76</v>
      </c>
      <c r="B151" s="2025" t="s">
        <v>548</v>
      </c>
      <c r="C151" s="2025">
        <v>13</v>
      </c>
      <c r="D151" s="2025">
        <v>0</v>
      </c>
      <c r="E151" s="2032" t="s">
        <v>80</v>
      </c>
      <c r="F151" s="2025">
        <v>0.5</v>
      </c>
      <c r="G151" s="2026" t="s">
        <v>2532</v>
      </c>
    </row>
    <row r="152" spans="1:7">
      <c r="A152" s="2026" t="s">
        <v>76</v>
      </c>
      <c r="B152" s="2025" t="s">
        <v>548</v>
      </c>
      <c r="C152" s="2025">
        <v>14</v>
      </c>
      <c r="D152" s="2025">
        <v>0</v>
      </c>
      <c r="E152" s="2032" t="s">
        <v>80</v>
      </c>
      <c r="F152" s="2025">
        <v>0.5</v>
      </c>
      <c r="G152" s="2026" t="s">
        <v>2533</v>
      </c>
    </row>
    <row r="153" spans="1:7">
      <c r="A153" s="2026" t="s">
        <v>76</v>
      </c>
      <c r="B153" s="2025" t="s">
        <v>449</v>
      </c>
      <c r="C153" s="2025">
        <v>9</v>
      </c>
      <c r="D153" s="2025">
        <v>0</v>
      </c>
      <c r="E153" s="2032" t="s">
        <v>569</v>
      </c>
      <c r="F153" s="2025" t="s">
        <v>570</v>
      </c>
      <c r="G153" s="2026" t="s">
        <v>2529</v>
      </c>
    </row>
    <row r="154" spans="1:7">
      <c r="A154" s="2026" t="s">
        <v>76</v>
      </c>
      <c r="B154" s="2025" t="s">
        <v>449</v>
      </c>
      <c r="C154" s="2025">
        <v>10</v>
      </c>
      <c r="D154" s="2025">
        <v>0</v>
      </c>
      <c r="E154" s="2032" t="s">
        <v>571</v>
      </c>
      <c r="F154" s="2027">
        <v>0</v>
      </c>
      <c r="G154" s="2026" t="s">
        <v>1336</v>
      </c>
    </row>
    <row r="155" spans="1:7">
      <c r="A155" s="2026" t="s">
        <v>76</v>
      </c>
      <c r="B155" s="2025" t="s">
        <v>449</v>
      </c>
      <c r="C155" s="2025">
        <v>11</v>
      </c>
      <c r="D155" s="2025">
        <v>0</v>
      </c>
      <c r="E155" s="2032" t="s">
        <v>572</v>
      </c>
      <c r="F155" s="2027">
        <v>0</v>
      </c>
      <c r="G155" s="2026" t="s">
        <v>2530</v>
      </c>
    </row>
    <row r="156" spans="1:7">
      <c r="A156" s="2026" t="s">
        <v>76</v>
      </c>
      <c r="B156" s="2025" t="s">
        <v>449</v>
      </c>
      <c r="C156" s="2025">
        <v>12</v>
      </c>
      <c r="D156" s="2025">
        <v>0</v>
      </c>
      <c r="E156" s="2032" t="s">
        <v>572</v>
      </c>
      <c r="F156" s="2027">
        <v>0</v>
      </c>
      <c r="G156" s="2026" t="s">
        <v>2531</v>
      </c>
    </row>
    <row r="157" spans="1:7">
      <c r="A157" s="2026" t="s">
        <v>76</v>
      </c>
      <c r="B157" s="2025" t="s">
        <v>449</v>
      </c>
      <c r="C157" s="2025">
        <v>13</v>
      </c>
      <c r="D157" s="2025">
        <v>0</v>
      </c>
      <c r="E157" s="2032" t="s">
        <v>80</v>
      </c>
      <c r="F157" s="2025">
        <v>0.5</v>
      </c>
      <c r="G157" s="2026" t="s">
        <v>2532</v>
      </c>
    </row>
    <row r="158" spans="1:7">
      <c r="A158" s="2026" t="s">
        <v>76</v>
      </c>
      <c r="B158" s="2025" t="s">
        <v>449</v>
      </c>
      <c r="C158" s="2025">
        <v>14</v>
      </c>
      <c r="D158" s="2025">
        <v>0</v>
      </c>
      <c r="E158" s="2032" t="s">
        <v>80</v>
      </c>
      <c r="F158" s="2025">
        <v>0.5</v>
      </c>
      <c r="G158" s="2026" t="s">
        <v>2533</v>
      </c>
    </row>
    <row r="159" spans="1:7">
      <c r="A159" s="2026" t="s">
        <v>76</v>
      </c>
      <c r="B159" s="2025" t="s">
        <v>545</v>
      </c>
      <c r="C159" s="2025">
        <v>9</v>
      </c>
      <c r="D159" s="2025">
        <v>0</v>
      </c>
      <c r="E159" s="2032" t="s">
        <v>569</v>
      </c>
      <c r="F159" s="2025" t="s">
        <v>570</v>
      </c>
      <c r="G159" s="2026" t="s">
        <v>2529</v>
      </c>
    </row>
    <row r="160" spans="1:7">
      <c r="A160" s="2026" t="s">
        <v>76</v>
      </c>
      <c r="B160" s="2025" t="s">
        <v>545</v>
      </c>
      <c r="C160" s="2025">
        <v>10</v>
      </c>
      <c r="D160" s="2025">
        <v>0</v>
      </c>
      <c r="E160" s="2032" t="s">
        <v>571</v>
      </c>
      <c r="F160" s="2027">
        <v>0</v>
      </c>
      <c r="G160" s="2026" t="s">
        <v>1336</v>
      </c>
    </row>
    <row r="161" spans="1:13">
      <c r="A161" s="2026" t="s">
        <v>76</v>
      </c>
      <c r="B161" s="2025" t="s">
        <v>545</v>
      </c>
      <c r="C161" s="2025">
        <v>11</v>
      </c>
      <c r="D161" s="2025">
        <v>0</v>
      </c>
      <c r="E161" s="2032" t="s">
        <v>572</v>
      </c>
      <c r="F161" s="2027">
        <v>0</v>
      </c>
      <c r="G161" s="2026" t="s">
        <v>2530</v>
      </c>
    </row>
    <row r="162" spans="1:13">
      <c r="A162" s="2026" t="s">
        <v>76</v>
      </c>
      <c r="B162" s="2025" t="s">
        <v>545</v>
      </c>
      <c r="C162" s="2025">
        <v>12</v>
      </c>
      <c r="D162" s="2025">
        <v>0</v>
      </c>
      <c r="E162" s="2032" t="s">
        <v>572</v>
      </c>
      <c r="F162" s="2027">
        <v>0</v>
      </c>
      <c r="G162" s="2026" t="s">
        <v>2531</v>
      </c>
    </row>
    <row r="163" spans="1:13">
      <c r="A163" s="2026" t="s">
        <v>76</v>
      </c>
      <c r="B163" s="2025" t="s">
        <v>545</v>
      </c>
      <c r="C163" s="2025">
        <v>13</v>
      </c>
      <c r="D163" s="2025">
        <v>0</v>
      </c>
      <c r="E163" s="2032" t="s">
        <v>80</v>
      </c>
      <c r="F163" s="2025">
        <v>0.5</v>
      </c>
      <c r="G163" s="2026" t="s">
        <v>2532</v>
      </c>
    </row>
    <row r="164" spans="1:13">
      <c r="A164" s="2026" t="s">
        <v>76</v>
      </c>
      <c r="B164" s="2025" t="s">
        <v>545</v>
      </c>
      <c r="C164" s="2025">
        <v>14</v>
      </c>
      <c r="D164" s="2025">
        <v>0</v>
      </c>
      <c r="E164" s="2032" t="s">
        <v>80</v>
      </c>
      <c r="F164" s="2025">
        <v>0.5</v>
      </c>
      <c r="G164" s="2026" t="s">
        <v>2533</v>
      </c>
    </row>
    <row r="165" spans="1:13">
      <c r="A165" s="2026" t="s">
        <v>76</v>
      </c>
      <c r="B165" s="2025" t="s">
        <v>550</v>
      </c>
      <c r="C165" s="2025">
        <v>9</v>
      </c>
      <c r="D165" s="2025">
        <v>0</v>
      </c>
      <c r="E165" s="2032" t="s">
        <v>569</v>
      </c>
      <c r="F165" s="2025" t="s">
        <v>570</v>
      </c>
      <c r="G165" s="2026" t="s">
        <v>2529</v>
      </c>
    </row>
    <row r="166" spans="1:13">
      <c r="A166" s="2026" t="s">
        <v>76</v>
      </c>
      <c r="B166" s="2025" t="s">
        <v>550</v>
      </c>
      <c r="C166" s="2025">
        <v>10</v>
      </c>
      <c r="D166" s="2025">
        <v>0</v>
      </c>
      <c r="E166" s="2032" t="s">
        <v>571</v>
      </c>
      <c r="F166" s="2027">
        <v>0</v>
      </c>
      <c r="G166" s="2026" t="s">
        <v>1336</v>
      </c>
    </row>
    <row r="167" spans="1:13">
      <c r="A167" s="2026" t="s">
        <v>76</v>
      </c>
      <c r="B167" s="2025" t="s">
        <v>550</v>
      </c>
      <c r="C167" s="2025">
        <v>11</v>
      </c>
      <c r="D167" s="2025">
        <v>0</v>
      </c>
      <c r="E167" s="2032" t="s">
        <v>572</v>
      </c>
      <c r="F167" s="2027">
        <v>0</v>
      </c>
      <c r="G167" s="2026" t="s">
        <v>2530</v>
      </c>
    </row>
    <row r="168" spans="1:13">
      <c r="A168" s="2026" t="s">
        <v>76</v>
      </c>
      <c r="B168" s="2025" t="s">
        <v>550</v>
      </c>
      <c r="C168" s="2025">
        <v>12</v>
      </c>
      <c r="D168" s="2025">
        <v>0</v>
      </c>
      <c r="E168" s="2032" t="s">
        <v>572</v>
      </c>
      <c r="F168" s="2027">
        <v>0</v>
      </c>
      <c r="G168" s="2026" t="s">
        <v>2531</v>
      </c>
    </row>
    <row r="169" spans="1:13">
      <c r="A169" s="2026" t="s">
        <v>76</v>
      </c>
      <c r="B169" s="2025" t="s">
        <v>550</v>
      </c>
      <c r="C169" s="2025">
        <v>13</v>
      </c>
      <c r="D169" s="2025">
        <v>0</v>
      </c>
      <c r="E169" s="2032" t="s">
        <v>80</v>
      </c>
      <c r="F169" s="2025">
        <v>0.5</v>
      </c>
      <c r="G169" s="2026" t="s">
        <v>2532</v>
      </c>
    </row>
    <row r="170" spans="1:13">
      <c r="A170" s="2026" t="s">
        <v>76</v>
      </c>
      <c r="B170" s="2025" t="s">
        <v>550</v>
      </c>
      <c r="C170" s="2025">
        <v>14</v>
      </c>
      <c r="D170" s="2025">
        <v>0</v>
      </c>
      <c r="E170" s="2032" t="s">
        <v>80</v>
      </c>
      <c r="F170" s="2025">
        <v>0.5</v>
      </c>
      <c r="G170" s="2026" t="s">
        <v>2533</v>
      </c>
    </row>
    <row r="171" spans="1:13">
      <c r="A171" s="2026" t="s">
        <v>76</v>
      </c>
      <c r="B171" s="2025" t="s">
        <v>450</v>
      </c>
      <c r="C171" s="2025">
        <v>9</v>
      </c>
      <c r="D171" s="2025">
        <v>0</v>
      </c>
      <c r="E171" s="2032" t="s">
        <v>569</v>
      </c>
      <c r="F171" s="2025" t="s">
        <v>570</v>
      </c>
      <c r="G171" s="2026" t="s">
        <v>2529</v>
      </c>
    </row>
    <row r="172" spans="1:13">
      <c r="A172" s="2026" t="s">
        <v>76</v>
      </c>
      <c r="B172" s="2025" t="s">
        <v>450</v>
      </c>
      <c r="C172" s="2025">
        <v>10</v>
      </c>
      <c r="D172" s="2025">
        <v>0</v>
      </c>
      <c r="E172" s="2032" t="s">
        <v>571</v>
      </c>
      <c r="F172" s="2027">
        <v>0</v>
      </c>
      <c r="G172" s="2026" t="s">
        <v>1336</v>
      </c>
    </row>
    <row r="173" spans="1:13">
      <c r="A173" s="2026" t="s">
        <v>76</v>
      </c>
      <c r="B173" s="2025" t="s">
        <v>450</v>
      </c>
      <c r="C173" s="2025">
        <v>11</v>
      </c>
      <c r="D173" s="2025">
        <v>0</v>
      </c>
      <c r="E173" s="2032" t="s">
        <v>572</v>
      </c>
      <c r="F173" s="2027">
        <v>0</v>
      </c>
      <c r="G173" s="2026" t="s">
        <v>2530</v>
      </c>
    </row>
    <row r="174" spans="1:13">
      <c r="A174" s="2026" t="s">
        <v>76</v>
      </c>
      <c r="B174" s="2025" t="s">
        <v>450</v>
      </c>
      <c r="C174" s="2025">
        <v>12</v>
      </c>
      <c r="D174" s="2025">
        <v>0</v>
      </c>
      <c r="E174" s="2032" t="s">
        <v>572</v>
      </c>
      <c r="F174" s="2027">
        <v>0</v>
      </c>
      <c r="G174" s="2026" t="s">
        <v>2531</v>
      </c>
    </row>
    <row r="175" spans="1:13">
      <c r="A175" s="2026" t="s">
        <v>76</v>
      </c>
      <c r="B175" s="2025" t="s">
        <v>450</v>
      </c>
      <c r="C175" s="2025">
        <v>13</v>
      </c>
      <c r="D175" s="2025">
        <v>0</v>
      </c>
      <c r="E175" s="2032" t="s">
        <v>80</v>
      </c>
      <c r="F175" s="2025">
        <v>0.5</v>
      </c>
      <c r="G175" s="2026" t="s">
        <v>2532</v>
      </c>
      <c r="M175" s="2031"/>
    </row>
    <row r="176" spans="1:13">
      <c r="A176" s="2026" t="s">
        <v>76</v>
      </c>
      <c r="B176" s="2025" t="s">
        <v>450</v>
      </c>
      <c r="C176" s="2025">
        <v>14</v>
      </c>
      <c r="D176" s="2025">
        <v>0</v>
      </c>
      <c r="E176" s="2032" t="s">
        <v>80</v>
      </c>
      <c r="F176" s="2025">
        <v>0.5</v>
      </c>
      <c r="G176" s="2026" t="s">
        <v>2533</v>
      </c>
      <c r="M176" s="2031"/>
    </row>
    <row r="177" spans="1:13">
      <c r="A177" s="2026" t="s">
        <v>76</v>
      </c>
      <c r="B177" s="2025" t="s">
        <v>542</v>
      </c>
      <c r="C177" s="2025">
        <v>9</v>
      </c>
      <c r="D177" s="2025">
        <v>0</v>
      </c>
      <c r="E177" s="2032" t="s">
        <v>569</v>
      </c>
      <c r="F177" s="2025" t="s">
        <v>570</v>
      </c>
      <c r="G177" s="2026" t="s">
        <v>2529</v>
      </c>
      <c r="M177" s="2031"/>
    </row>
    <row r="178" spans="1:13">
      <c r="A178" s="2026" t="s">
        <v>76</v>
      </c>
      <c r="B178" s="2025" t="s">
        <v>542</v>
      </c>
      <c r="C178" s="2025">
        <v>10</v>
      </c>
      <c r="D178" s="2025">
        <v>0</v>
      </c>
      <c r="E178" s="2032" t="s">
        <v>571</v>
      </c>
      <c r="F178" s="2027">
        <v>0</v>
      </c>
      <c r="G178" s="2026" t="s">
        <v>1336</v>
      </c>
    </row>
    <row r="179" spans="1:13">
      <c r="A179" s="2026" t="s">
        <v>76</v>
      </c>
      <c r="B179" s="2025" t="s">
        <v>542</v>
      </c>
      <c r="C179" s="2025">
        <v>11</v>
      </c>
      <c r="D179" s="2025">
        <v>0</v>
      </c>
      <c r="E179" s="2032" t="s">
        <v>572</v>
      </c>
      <c r="F179" s="2027">
        <v>0</v>
      </c>
      <c r="G179" s="2026" t="s">
        <v>2530</v>
      </c>
    </row>
    <row r="180" spans="1:13">
      <c r="A180" s="2026" t="s">
        <v>76</v>
      </c>
      <c r="B180" s="2025" t="s">
        <v>542</v>
      </c>
      <c r="C180" s="2025">
        <v>12</v>
      </c>
      <c r="D180" s="2025">
        <v>0</v>
      </c>
      <c r="E180" s="2032" t="s">
        <v>572</v>
      </c>
      <c r="F180" s="2027">
        <v>0</v>
      </c>
      <c r="G180" s="2026" t="s">
        <v>2531</v>
      </c>
    </row>
    <row r="181" spans="1:13">
      <c r="A181" s="2026" t="s">
        <v>76</v>
      </c>
      <c r="B181" s="2025" t="s">
        <v>542</v>
      </c>
      <c r="C181" s="2025">
        <v>13</v>
      </c>
      <c r="D181" s="2025">
        <v>0</v>
      </c>
      <c r="E181" s="2032" t="s">
        <v>80</v>
      </c>
      <c r="F181" s="2025">
        <v>0.5</v>
      </c>
      <c r="G181" s="2026" t="s">
        <v>2532</v>
      </c>
    </row>
    <row r="182" spans="1:13">
      <c r="A182" s="2026" t="s">
        <v>76</v>
      </c>
      <c r="B182" s="2025" t="s">
        <v>542</v>
      </c>
      <c r="C182" s="2025">
        <v>14</v>
      </c>
      <c r="D182" s="2025">
        <v>0</v>
      </c>
      <c r="E182" s="2032" t="s">
        <v>80</v>
      </c>
      <c r="F182" s="2025">
        <v>0.5</v>
      </c>
      <c r="G182" s="2026" t="s">
        <v>2533</v>
      </c>
    </row>
    <row r="183" spans="1:13">
      <c r="A183" s="2026" t="s">
        <v>76</v>
      </c>
      <c r="B183" s="2025" t="s">
        <v>43</v>
      </c>
      <c r="C183" s="2025">
        <v>14</v>
      </c>
      <c r="D183" s="2025">
        <v>0</v>
      </c>
      <c r="E183" s="2032" t="s">
        <v>80</v>
      </c>
      <c r="F183" s="2025">
        <v>0.5</v>
      </c>
      <c r="G183" s="2026" t="s">
        <v>243</v>
      </c>
    </row>
    <row r="184" spans="1:13">
      <c r="A184" s="2026" t="s">
        <v>76</v>
      </c>
      <c r="B184" s="2025" t="s">
        <v>43</v>
      </c>
      <c r="C184" s="2025">
        <v>16</v>
      </c>
      <c r="D184" s="2025">
        <v>140</v>
      </c>
      <c r="E184" s="2032" t="s">
        <v>571</v>
      </c>
      <c r="F184" s="2025">
        <v>0</v>
      </c>
      <c r="G184" s="2026" t="s">
        <v>243</v>
      </c>
    </row>
    <row r="185" spans="1:13">
      <c r="A185" s="2026" t="s">
        <v>76</v>
      </c>
      <c r="B185" s="2025" t="s">
        <v>543</v>
      </c>
      <c r="C185" s="2025">
        <v>14</v>
      </c>
      <c r="D185" s="2025">
        <v>0</v>
      </c>
      <c r="E185" s="2032" t="s">
        <v>80</v>
      </c>
      <c r="F185" s="2025">
        <v>0.5</v>
      </c>
      <c r="G185" s="2026" t="s">
        <v>244</v>
      </c>
    </row>
    <row r="186" spans="1:13">
      <c r="A186" s="2026" t="s">
        <v>430</v>
      </c>
      <c r="B186" s="2025" t="s">
        <v>538</v>
      </c>
      <c r="C186" s="2025">
        <v>10</v>
      </c>
      <c r="D186" s="2025">
        <v>0</v>
      </c>
      <c r="E186" s="2032" t="s">
        <v>569</v>
      </c>
      <c r="F186" s="2025" t="s">
        <v>570</v>
      </c>
      <c r="G186" s="2026" t="s">
        <v>424</v>
      </c>
    </row>
    <row r="187" spans="1:13">
      <c r="A187" s="2026" t="s">
        <v>430</v>
      </c>
      <c r="B187" s="2025" t="s">
        <v>455</v>
      </c>
      <c r="C187" s="2025">
        <v>10</v>
      </c>
      <c r="D187" s="2025">
        <v>0</v>
      </c>
      <c r="E187" s="2032" t="s">
        <v>196</v>
      </c>
      <c r="F187" s="2028">
        <f ca="1">TODAY()</f>
        <v>44790</v>
      </c>
      <c r="G187" s="2026" t="s">
        <v>1493</v>
      </c>
    </row>
    <row r="188" spans="1:13">
      <c r="A188" s="2026" t="s">
        <v>430</v>
      </c>
      <c r="B188" s="2025" t="s">
        <v>539</v>
      </c>
      <c r="C188" s="2025">
        <v>10</v>
      </c>
      <c r="D188" s="2025">
        <v>0</v>
      </c>
      <c r="E188" s="2032" t="s">
        <v>196</v>
      </c>
      <c r="F188" s="2028">
        <f ca="1">TODAY()</f>
        <v>44790</v>
      </c>
      <c r="G188" s="2026" t="s">
        <v>1494</v>
      </c>
    </row>
    <row r="189" spans="1:13">
      <c r="A189" s="2026" t="s">
        <v>430</v>
      </c>
      <c r="B189" s="2025" t="s">
        <v>538</v>
      </c>
      <c r="C189" s="2025">
        <v>15</v>
      </c>
      <c r="D189" s="2025">
        <v>0</v>
      </c>
      <c r="E189" s="2032" t="s">
        <v>569</v>
      </c>
      <c r="F189" s="2025" t="s">
        <v>570</v>
      </c>
      <c r="G189" s="2026" t="s">
        <v>425</v>
      </c>
    </row>
    <row r="190" spans="1:13">
      <c r="A190" s="2026" t="s">
        <v>430</v>
      </c>
      <c r="B190" s="2025" t="s">
        <v>455</v>
      </c>
      <c r="C190" s="2025">
        <v>15</v>
      </c>
      <c r="D190" s="2025">
        <v>0</v>
      </c>
      <c r="E190" s="2032" t="s">
        <v>196</v>
      </c>
      <c r="F190" s="2028">
        <f ca="1">TODAY()</f>
        <v>44790</v>
      </c>
      <c r="G190" s="2026" t="s">
        <v>1493</v>
      </c>
    </row>
    <row r="191" spans="1:13">
      <c r="A191" s="2026" t="s">
        <v>430</v>
      </c>
      <c r="B191" s="2025" t="s">
        <v>539</v>
      </c>
      <c r="C191" s="2025">
        <v>15</v>
      </c>
      <c r="D191" s="2025">
        <v>0</v>
      </c>
      <c r="E191" s="2032" t="s">
        <v>196</v>
      </c>
      <c r="F191" s="2028">
        <f ca="1">TODAY()</f>
        <v>44790</v>
      </c>
      <c r="G191" s="2026" t="s">
        <v>1494</v>
      </c>
    </row>
    <row r="192" spans="1:13">
      <c r="A192" s="2026" t="s">
        <v>430</v>
      </c>
      <c r="B192" s="2025" t="s">
        <v>545</v>
      </c>
      <c r="C192" s="2025">
        <v>20</v>
      </c>
      <c r="D192" s="2025">
        <v>0</v>
      </c>
      <c r="E192" s="2032" t="s">
        <v>572</v>
      </c>
      <c r="F192" s="2027">
        <v>0</v>
      </c>
    </row>
    <row r="193" spans="1:7">
      <c r="A193" s="2026" t="s">
        <v>430</v>
      </c>
      <c r="B193" s="2025" t="s">
        <v>538</v>
      </c>
      <c r="C193" s="2025">
        <v>27</v>
      </c>
      <c r="D193" s="2025">
        <v>0</v>
      </c>
      <c r="E193" s="2032" t="s">
        <v>569</v>
      </c>
      <c r="F193" s="2025" t="s">
        <v>570</v>
      </c>
    </row>
    <row r="194" spans="1:7">
      <c r="A194" s="2026" t="s">
        <v>430</v>
      </c>
      <c r="B194" s="2025" t="s">
        <v>541</v>
      </c>
      <c r="C194" s="2025">
        <v>27</v>
      </c>
      <c r="D194" s="2025">
        <v>0</v>
      </c>
      <c r="E194" s="2032" t="s">
        <v>569</v>
      </c>
      <c r="F194" s="2028" t="s">
        <v>570</v>
      </c>
    </row>
    <row r="195" spans="1:7">
      <c r="A195" s="2026" t="s">
        <v>433</v>
      </c>
      <c r="B195" s="2025" t="s">
        <v>546</v>
      </c>
      <c r="C195" s="2025">
        <v>11</v>
      </c>
      <c r="D195" s="2025">
        <v>21</v>
      </c>
      <c r="E195" s="2032" t="s">
        <v>569</v>
      </c>
      <c r="F195" s="2025" t="s">
        <v>570</v>
      </c>
    </row>
    <row r="196" spans="1:7">
      <c r="A196" s="2026" t="s">
        <v>433</v>
      </c>
      <c r="B196" s="2025" t="s">
        <v>538</v>
      </c>
      <c r="C196" s="2025">
        <v>27</v>
      </c>
      <c r="D196" s="2025">
        <v>37</v>
      </c>
      <c r="E196" s="2032" t="s">
        <v>571</v>
      </c>
      <c r="F196" s="2025">
        <v>0</v>
      </c>
    </row>
    <row r="197" spans="1:7">
      <c r="A197" s="2026" t="s">
        <v>433</v>
      </c>
      <c r="B197" s="2025" t="s">
        <v>455</v>
      </c>
      <c r="C197" s="2025">
        <v>11</v>
      </c>
      <c r="D197" s="2025">
        <v>21</v>
      </c>
      <c r="E197" s="2032" t="s">
        <v>572</v>
      </c>
      <c r="F197" s="2025">
        <v>0</v>
      </c>
    </row>
    <row r="198" spans="1:7">
      <c r="A198" s="2026" t="s">
        <v>433</v>
      </c>
      <c r="B198" s="2025" t="s">
        <v>541</v>
      </c>
      <c r="C198" s="2025">
        <v>11</v>
      </c>
      <c r="D198" s="2025">
        <v>21</v>
      </c>
      <c r="E198" s="2032" t="s">
        <v>569</v>
      </c>
      <c r="F198" s="2025" t="s">
        <v>570</v>
      </c>
    </row>
    <row r="199" spans="1:7">
      <c r="A199" s="2026" t="s">
        <v>433</v>
      </c>
      <c r="B199" s="2025" t="s">
        <v>539</v>
      </c>
      <c r="C199" s="2025">
        <v>11</v>
      </c>
      <c r="D199" s="2025">
        <v>21</v>
      </c>
      <c r="E199" s="2032" t="s">
        <v>569</v>
      </c>
      <c r="F199" s="2025" t="s">
        <v>570</v>
      </c>
    </row>
    <row r="200" spans="1:7">
      <c r="A200" s="2026" t="s">
        <v>433</v>
      </c>
      <c r="B200" s="2025" t="s">
        <v>450</v>
      </c>
      <c r="C200" s="2025">
        <v>27</v>
      </c>
      <c r="D200" s="2025">
        <v>37</v>
      </c>
      <c r="E200" s="2032" t="s">
        <v>571</v>
      </c>
      <c r="F200" s="2025">
        <v>0</v>
      </c>
    </row>
    <row r="201" spans="1:7">
      <c r="A201" s="2024" t="s">
        <v>244</v>
      </c>
      <c r="B201" s="2025" t="s">
        <v>538</v>
      </c>
      <c r="C201" s="2025">
        <v>11</v>
      </c>
      <c r="D201" s="2025">
        <v>0</v>
      </c>
      <c r="E201" s="2032" t="s">
        <v>569</v>
      </c>
      <c r="F201" s="2025" t="s">
        <v>570</v>
      </c>
      <c r="G201" s="2026" t="s">
        <v>2065</v>
      </c>
    </row>
    <row r="202" spans="1:7">
      <c r="A202" s="2024" t="s">
        <v>244</v>
      </c>
      <c r="B202" s="2025" t="s">
        <v>538</v>
      </c>
      <c r="C202" s="2025">
        <v>12</v>
      </c>
      <c r="D202" s="2025">
        <v>0</v>
      </c>
      <c r="E202" s="2032" t="s">
        <v>569</v>
      </c>
      <c r="F202" s="2025" t="s">
        <v>570</v>
      </c>
      <c r="G202" s="2026" t="s">
        <v>2066</v>
      </c>
    </row>
    <row r="203" spans="1:7">
      <c r="A203" s="2024" t="s">
        <v>244</v>
      </c>
      <c r="B203" s="2025" t="s">
        <v>538</v>
      </c>
      <c r="C203" s="2025">
        <v>13</v>
      </c>
      <c r="D203" s="2025">
        <v>0</v>
      </c>
      <c r="E203" s="2032" t="s">
        <v>196</v>
      </c>
      <c r="F203" s="2028">
        <f ca="1">TODAY()</f>
        <v>44790</v>
      </c>
      <c r="G203" s="2026" t="s">
        <v>2067</v>
      </c>
    </row>
    <row r="204" spans="1:7">
      <c r="A204" s="2024" t="s">
        <v>244</v>
      </c>
      <c r="B204" s="2025" t="s">
        <v>538</v>
      </c>
      <c r="C204" s="2025">
        <v>14</v>
      </c>
      <c r="D204" s="2025">
        <v>0</v>
      </c>
      <c r="E204" s="2032" t="s">
        <v>6</v>
      </c>
      <c r="F204" s="2025">
        <f ca="1">YEAR(TODAY())</f>
        <v>2022</v>
      </c>
      <c r="G204" s="2026" t="s">
        <v>232</v>
      </c>
    </row>
    <row r="205" spans="1:7">
      <c r="A205" s="2024" t="s">
        <v>244</v>
      </c>
      <c r="B205" s="2025" t="s">
        <v>538</v>
      </c>
      <c r="C205" s="2025">
        <v>15</v>
      </c>
      <c r="D205" s="2025">
        <v>0</v>
      </c>
      <c r="E205" s="2032" t="s">
        <v>571</v>
      </c>
      <c r="F205" s="2025">
        <v>0</v>
      </c>
      <c r="G205" s="2026" t="s">
        <v>2068</v>
      </c>
    </row>
    <row r="206" spans="1:7">
      <c r="A206" s="2024" t="s">
        <v>244</v>
      </c>
      <c r="B206" s="2025" t="s">
        <v>538</v>
      </c>
      <c r="C206" s="2025">
        <v>17</v>
      </c>
      <c r="D206" s="2025">
        <v>0</v>
      </c>
      <c r="E206" s="2032" t="s">
        <v>80</v>
      </c>
      <c r="F206" s="2025">
        <v>0.5</v>
      </c>
      <c r="G206" s="2026" t="s">
        <v>2069</v>
      </c>
    </row>
    <row r="207" spans="1:7">
      <c r="A207" s="2024" t="s">
        <v>244</v>
      </c>
      <c r="B207" s="2025" t="s">
        <v>538</v>
      </c>
      <c r="C207" s="2025">
        <v>19</v>
      </c>
      <c r="D207" s="2025">
        <v>0</v>
      </c>
      <c r="E207" s="2032" t="s">
        <v>80</v>
      </c>
      <c r="F207" s="2025">
        <v>0.5</v>
      </c>
      <c r="G207" s="2026" t="s">
        <v>2070</v>
      </c>
    </row>
    <row r="208" spans="1:7">
      <c r="A208" s="2024" t="s">
        <v>244</v>
      </c>
      <c r="B208" s="2025" t="s">
        <v>538</v>
      </c>
      <c r="C208" s="2025">
        <v>20</v>
      </c>
      <c r="D208" s="2025">
        <v>0</v>
      </c>
      <c r="E208" s="2032" t="s">
        <v>571</v>
      </c>
      <c r="F208" s="2025">
        <v>0</v>
      </c>
      <c r="G208" s="2026" t="s">
        <v>2071</v>
      </c>
    </row>
    <row r="209" spans="1:7">
      <c r="A209" s="2024" t="s">
        <v>244</v>
      </c>
      <c r="B209" s="2025" t="s">
        <v>538</v>
      </c>
      <c r="C209" s="2025">
        <v>21</v>
      </c>
      <c r="D209" s="2025">
        <v>0</v>
      </c>
      <c r="E209" s="2032" t="s">
        <v>80</v>
      </c>
      <c r="F209" s="2025">
        <v>0.5</v>
      </c>
      <c r="G209" s="2026" t="s">
        <v>2072</v>
      </c>
    </row>
    <row r="210" spans="1:7">
      <c r="A210" s="2024" t="s">
        <v>244</v>
      </c>
      <c r="B210" s="2025" t="s">
        <v>538</v>
      </c>
      <c r="C210" s="2025">
        <v>22</v>
      </c>
      <c r="D210" s="2025">
        <v>0</v>
      </c>
      <c r="E210" s="2032" t="s">
        <v>572</v>
      </c>
      <c r="F210" s="2025">
        <v>0</v>
      </c>
      <c r="G210" s="2026" t="s">
        <v>2073</v>
      </c>
    </row>
    <row r="211" spans="1:7">
      <c r="A211" s="2024" t="s">
        <v>244</v>
      </c>
      <c r="B211" s="2025" t="s">
        <v>538</v>
      </c>
      <c r="C211" s="2025">
        <v>23</v>
      </c>
      <c r="D211" s="2025">
        <v>28</v>
      </c>
      <c r="E211" s="2032" t="s">
        <v>571</v>
      </c>
      <c r="F211" s="2025">
        <v>0</v>
      </c>
    </row>
    <row r="212" spans="1:7">
      <c r="A212" s="2024" t="s">
        <v>244</v>
      </c>
      <c r="B212" s="2025" t="s">
        <v>538</v>
      </c>
      <c r="C212" s="2025">
        <v>31</v>
      </c>
      <c r="D212" s="2025">
        <v>32</v>
      </c>
      <c r="E212" s="2032" t="s">
        <v>80</v>
      </c>
      <c r="F212" s="2025">
        <v>0.5</v>
      </c>
    </row>
    <row r="213" spans="1:7">
      <c r="A213" s="2024" t="s">
        <v>244</v>
      </c>
      <c r="B213" s="2025" t="s">
        <v>541</v>
      </c>
      <c r="C213" s="2025">
        <v>14</v>
      </c>
      <c r="D213" s="2025">
        <v>25</v>
      </c>
      <c r="E213" s="2032" t="s">
        <v>6</v>
      </c>
      <c r="F213" s="2025">
        <f ca="1">YEAR(TODAY())</f>
        <v>2022</v>
      </c>
    </row>
    <row r="214" spans="1:7">
      <c r="A214" s="2024" t="s">
        <v>244</v>
      </c>
      <c r="B214" s="2025" t="s">
        <v>541</v>
      </c>
      <c r="C214" s="2025">
        <v>30</v>
      </c>
      <c r="D214" s="2025">
        <v>0</v>
      </c>
      <c r="E214" s="2032" t="s">
        <v>6</v>
      </c>
      <c r="F214" s="2025">
        <f ca="1">YEAR(TODAY())</f>
        <v>2022</v>
      </c>
    </row>
    <row r="215" spans="1:7">
      <c r="A215" s="2024" t="s">
        <v>244</v>
      </c>
      <c r="B215" s="2025" t="s">
        <v>550</v>
      </c>
      <c r="C215" s="2025">
        <v>11</v>
      </c>
      <c r="D215" s="2025">
        <v>0</v>
      </c>
      <c r="E215" s="2032" t="s">
        <v>569</v>
      </c>
      <c r="F215" s="2025" t="s">
        <v>570</v>
      </c>
      <c r="G215" s="2026" t="s">
        <v>2065</v>
      </c>
    </row>
    <row r="216" spans="1:7">
      <c r="A216" s="2024" t="s">
        <v>244</v>
      </c>
      <c r="B216" s="2025" t="s">
        <v>550</v>
      </c>
      <c r="C216" s="2025">
        <v>12</v>
      </c>
      <c r="D216" s="2025">
        <v>0</v>
      </c>
      <c r="E216" s="2032" t="s">
        <v>569</v>
      </c>
      <c r="F216" s="2025" t="s">
        <v>570</v>
      </c>
      <c r="G216" s="2026" t="s">
        <v>2066</v>
      </c>
    </row>
    <row r="217" spans="1:7">
      <c r="A217" s="2024" t="s">
        <v>244</v>
      </c>
      <c r="B217" s="2025" t="s">
        <v>550</v>
      </c>
      <c r="C217" s="2025">
        <v>13</v>
      </c>
      <c r="D217" s="2025">
        <v>0</v>
      </c>
      <c r="E217" s="2032" t="s">
        <v>196</v>
      </c>
      <c r="F217" s="2028">
        <f ca="1">TODAY()</f>
        <v>44790</v>
      </c>
      <c r="G217" s="2026" t="s">
        <v>2067</v>
      </c>
    </row>
    <row r="218" spans="1:7">
      <c r="A218" s="2024" t="s">
        <v>244</v>
      </c>
      <c r="B218" s="2025" t="s">
        <v>550</v>
      </c>
      <c r="C218" s="2025">
        <v>14</v>
      </c>
      <c r="D218" s="2025">
        <v>0</v>
      </c>
      <c r="E218" s="2032" t="s">
        <v>6</v>
      </c>
      <c r="F218" s="2025">
        <f ca="1">YEAR(TODAY())</f>
        <v>2022</v>
      </c>
      <c r="G218" s="2026" t="s">
        <v>232</v>
      </c>
    </row>
    <row r="219" spans="1:7">
      <c r="A219" s="2024" t="s">
        <v>244</v>
      </c>
      <c r="B219" s="2025" t="s">
        <v>550</v>
      </c>
      <c r="C219" s="2025">
        <v>15</v>
      </c>
      <c r="D219" s="2025">
        <v>0</v>
      </c>
      <c r="E219" s="2032" t="s">
        <v>571</v>
      </c>
      <c r="F219" s="2025">
        <v>0</v>
      </c>
      <c r="G219" s="2026" t="s">
        <v>2068</v>
      </c>
    </row>
    <row r="220" spans="1:7">
      <c r="A220" s="2024" t="s">
        <v>244</v>
      </c>
      <c r="B220" s="2025" t="s">
        <v>550</v>
      </c>
      <c r="C220" s="2025">
        <v>17</v>
      </c>
      <c r="D220" s="2025">
        <v>0</v>
      </c>
      <c r="E220" s="2032" t="s">
        <v>80</v>
      </c>
      <c r="F220" s="2025">
        <v>0.5</v>
      </c>
      <c r="G220" s="2026" t="s">
        <v>2069</v>
      </c>
    </row>
    <row r="221" spans="1:7">
      <c r="A221" s="2024" t="s">
        <v>244</v>
      </c>
      <c r="B221" s="2025" t="s">
        <v>550</v>
      </c>
      <c r="C221" s="2025">
        <v>19</v>
      </c>
      <c r="D221" s="2025">
        <v>0</v>
      </c>
      <c r="E221" s="2032" t="s">
        <v>80</v>
      </c>
      <c r="F221" s="2025">
        <v>0.5</v>
      </c>
      <c r="G221" s="2026" t="s">
        <v>2070</v>
      </c>
    </row>
    <row r="222" spans="1:7">
      <c r="A222" s="2024" t="s">
        <v>244</v>
      </c>
      <c r="B222" s="2025" t="s">
        <v>550</v>
      </c>
      <c r="C222" s="2025">
        <v>20</v>
      </c>
      <c r="D222" s="2025">
        <v>0</v>
      </c>
      <c r="E222" s="2032" t="s">
        <v>571</v>
      </c>
      <c r="F222" s="2025">
        <v>0</v>
      </c>
      <c r="G222" s="2026" t="s">
        <v>2071</v>
      </c>
    </row>
    <row r="223" spans="1:7">
      <c r="A223" s="2024" t="s">
        <v>244</v>
      </c>
      <c r="B223" s="2025" t="s">
        <v>550</v>
      </c>
      <c r="C223" s="2025">
        <v>21</v>
      </c>
      <c r="D223" s="2025">
        <v>0</v>
      </c>
      <c r="E223" s="2032" t="s">
        <v>80</v>
      </c>
      <c r="F223" s="2025">
        <v>0.5</v>
      </c>
      <c r="G223" s="2026" t="s">
        <v>2072</v>
      </c>
    </row>
    <row r="224" spans="1:7">
      <c r="A224" s="2024" t="s">
        <v>244</v>
      </c>
      <c r="B224" s="2025" t="s">
        <v>550</v>
      </c>
      <c r="C224" s="2025">
        <v>22</v>
      </c>
      <c r="D224" s="2025">
        <v>0</v>
      </c>
      <c r="E224" s="2032" t="s">
        <v>572</v>
      </c>
      <c r="F224" s="2025">
        <v>0</v>
      </c>
      <c r="G224" s="2026" t="s">
        <v>2073</v>
      </c>
    </row>
    <row r="225" spans="1:7">
      <c r="A225" s="2024" t="s">
        <v>244</v>
      </c>
      <c r="B225" s="2025" t="s">
        <v>550</v>
      </c>
      <c r="C225" s="2025">
        <v>23</v>
      </c>
      <c r="D225" s="2025">
        <v>28</v>
      </c>
      <c r="E225" s="2032" t="s">
        <v>571</v>
      </c>
      <c r="F225" s="2025">
        <v>0</v>
      </c>
    </row>
    <row r="226" spans="1:7">
      <c r="A226" s="2024" t="s">
        <v>244</v>
      </c>
      <c r="B226" s="2025" t="s">
        <v>550</v>
      </c>
      <c r="C226" s="2025">
        <v>31</v>
      </c>
      <c r="D226" s="2025">
        <v>32</v>
      </c>
      <c r="E226" s="2032" t="s">
        <v>80</v>
      </c>
      <c r="F226" s="2025">
        <v>0.5</v>
      </c>
    </row>
    <row r="227" spans="1:7">
      <c r="A227" s="2024" t="s">
        <v>244</v>
      </c>
      <c r="B227" s="2025" t="s">
        <v>542</v>
      </c>
      <c r="C227" s="2025">
        <v>14</v>
      </c>
      <c r="D227" s="2025">
        <v>25</v>
      </c>
      <c r="E227" s="2032" t="s">
        <v>6</v>
      </c>
      <c r="F227" s="2025">
        <f ca="1">YEAR(TODAY())</f>
        <v>2022</v>
      </c>
    </row>
    <row r="228" spans="1:7">
      <c r="A228" s="2024" t="s">
        <v>244</v>
      </c>
      <c r="B228" s="2025" t="s">
        <v>542</v>
      </c>
      <c r="C228" s="2025">
        <v>30</v>
      </c>
      <c r="D228" s="2025">
        <v>0</v>
      </c>
      <c r="E228" s="2032" t="s">
        <v>6</v>
      </c>
      <c r="F228" s="2025">
        <f ca="1">YEAR(TODAY())</f>
        <v>2022</v>
      </c>
    </row>
    <row r="229" spans="1:7">
      <c r="A229" s="2024" t="s">
        <v>244</v>
      </c>
      <c r="B229" s="2025" t="s">
        <v>547</v>
      </c>
      <c r="C229" s="2025">
        <v>29</v>
      </c>
      <c r="D229" s="2025">
        <v>30</v>
      </c>
      <c r="E229" s="2032" t="s">
        <v>80</v>
      </c>
      <c r="F229" s="2025">
        <v>0.05</v>
      </c>
    </row>
    <row r="230" spans="1:7">
      <c r="A230" s="2026" t="s">
        <v>434</v>
      </c>
      <c r="B230" s="2025" t="s">
        <v>538</v>
      </c>
      <c r="C230" s="2025">
        <v>15</v>
      </c>
      <c r="D230" s="2025">
        <v>0</v>
      </c>
      <c r="E230" s="2032" t="s">
        <v>80</v>
      </c>
      <c r="F230" s="2025">
        <v>0.5</v>
      </c>
    </row>
    <row r="231" spans="1:7">
      <c r="A231" s="2026" t="s">
        <v>434</v>
      </c>
      <c r="B231" s="2025" t="s">
        <v>538</v>
      </c>
      <c r="C231" s="2025">
        <v>18</v>
      </c>
      <c r="D231" s="2025">
        <v>0</v>
      </c>
      <c r="E231" s="2032" t="s">
        <v>80</v>
      </c>
      <c r="F231" s="2025">
        <v>0.5</v>
      </c>
    </row>
    <row r="232" spans="1:7">
      <c r="A232" s="2026" t="s">
        <v>434</v>
      </c>
      <c r="B232" s="2025" t="s">
        <v>436</v>
      </c>
      <c r="C232" s="2025">
        <v>9</v>
      </c>
      <c r="D232" s="2025">
        <v>48</v>
      </c>
      <c r="E232" s="2032" t="s">
        <v>571</v>
      </c>
      <c r="F232" s="2025">
        <v>0</v>
      </c>
      <c r="G232" s="2026" t="s">
        <v>1495</v>
      </c>
    </row>
    <row r="233" spans="1:7">
      <c r="A233" s="2026" t="s">
        <v>434</v>
      </c>
      <c r="B233" s="2025" t="s">
        <v>475</v>
      </c>
      <c r="C233" s="2025">
        <v>9</v>
      </c>
      <c r="D233" s="2025">
        <v>48</v>
      </c>
      <c r="E233" s="2032" t="s">
        <v>571</v>
      </c>
      <c r="F233" s="2025">
        <v>0</v>
      </c>
      <c r="G233" s="2026" t="s">
        <v>1496</v>
      </c>
    </row>
    <row r="234" spans="1:7">
      <c r="A234" s="2026" t="s">
        <v>434</v>
      </c>
      <c r="B234" s="2025" t="s">
        <v>478</v>
      </c>
      <c r="C234" s="2025">
        <v>9</v>
      </c>
      <c r="D234" s="2025">
        <v>48</v>
      </c>
      <c r="E234" s="2032" t="s">
        <v>569</v>
      </c>
      <c r="F234" s="2025" t="s">
        <v>570</v>
      </c>
      <c r="G234" s="2026" t="s">
        <v>7</v>
      </c>
    </row>
    <row r="235" spans="1:7">
      <c r="A235" s="2026" t="s">
        <v>2497</v>
      </c>
      <c r="B235" s="2025" t="s">
        <v>548</v>
      </c>
      <c r="C235" s="2025">
        <v>6</v>
      </c>
      <c r="D235" s="2025">
        <v>0</v>
      </c>
      <c r="E235" s="2032" t="s">
        <v>569</v>
      </c>
      <c r="F235" s="2025" t="s">
        <v>2369</v>
      </c>
      <c r="G235" s="2026" t="s">
        <v>2507</v>
      </c>
    </row>
    <row r="236" spans="1:7">
      <c r="A236" s="2026" t="s">
        <v>2497</v>
      </c>
      <c r="B236" s="2025" t="s">
        <v>548</v>
      </c>
      <c r="C236" s="2025">
        <v>10</v>
      </c>
      <c r="D236" s="2025">
        <v>0</v>
      </c>
      <c r="E236" s="2032" t="s">
        <v>569</v>
      </c>
      <c r="F236" s="2025" t="s">
        <v>42</v>
      </c>
      <c r="G236" s="2026" t="s">
        <v>2645</v>
      </c>
    </row>
    <row r="237" spans="1:7">
      <c r="A237" s="2026" t="s">
        <v>2497</v>
      </c>
      <c r="B237" s="2025" t="s">
        <v>548</v>
      </c>
      <c r="C237" s="2025">
        <v>14</v>
      </c>
      <c r="D237" s="2025">
        <v>0</v>
      </c>
      <c r="E237" s="2032" t="s">
        <v>572</v>
      </c>
      <c r="F237" s="2025">
        <v>100</v>
      </c>
      <c r="G237" s="2026" t="s">
        <v>2644</v>
      </c>
    </row>
    <row r="238" spans="1:7">
      <c r="A238" s="2026" t="s">
        <v>432</v>
      </c>
      <c r="B238" s="2025" t="s">
        <v>550</v>
      </c>
      <c r="C238" s="2025">
        <v>10</v>
      </c>
      <c r="D238" s="2025">
        <v>0</v>
      </c>
      <c r="E238" s="2032" t="s">
        <v>80</v>
      </c>
      <c r="F238" s="2025">
        <v>0.5</v>
      </c>
    </row>
    <row r="239" spans="1:7">
      <c r="A239" s="2026" t="s">
        <v>432</v>
      </c>
      <c r="B239" s="2025" t="s">
        <v>542</v>
      </c>
      <c r="C239" s="2025">
        <v>15</v>
      </c>
      <c r="D239" s="2025">
        <v>26</v>
      </c>
      <c r="E239" s="2032" t="s">
        <v>80</v>
      </c>
      <c r="F239" s="2025">
        <v>0.5</v>
      </c>
      <c r="G239" s="2026" t="s">
        <v>560</v>
      </c>
    </row>
    <row r="240" spans="1:7">
      <c r="A240" s="2026" t="s">
        <v>432</v>
      </c>
      <c r="B240" s="2025" t="s">
        <v>43</v>
      </c>
      <c r="C240" s="2025">
        <v>15</v>
      </c>
      <c r="D240" s="2025">
        <v>26</v>
      </c>
      <c r="E240" s="2032" t="s">
        <v>571</v>
      </c>
      <c r="F240" s="2025">
        <v>0</v>
      </c>
      <c r="G240" s="2026" t="s">
        <v>561</v>
      </c>
    </row>
    <row r="241" spans="1:7">
      <c r="A241" s="2026" t="s">
        <v>432</v>
      </c>
      <c r="B241" s="2025" t="s">
        <v>543</v>
      </c>
      <c r="C241" s="2025">
        <v>15</v>
      </c>
      <c r="D241" s="2025">
        <v>26</v>
      </c>
      <c r="E241" s="2032" t="s">
        <v>571</v>
      </c>
      <c r="F241" s="2025">
        <v>0</v>
      </c>
      <c r="G241" s="2026" t="s">
        <v>562</v>
      </c>
    </row>
    <row r="242" spans="1:7">
      <c r="A242" s="2026" t="s">
        <v>432</v>
      </c>
      <c r="B242" s="2025" t="s">
        <v>568</v>
      </c>
      <c r="C242" s="2025">
        <v>15</v>
      </c>
      <c r="D242" s="2025">
        <v>0</v>
      </c>
      <c r="E242" s="2032" t="s">
        <v>571</v>
      </c>
      <c r="F242" s="2025">
        <v>0</v>
      </c>
      <c r="G242" s="2026" t="s">
        <v>563</v>
      </c>
    </row>
    <row r="243" spans="1:7">
      <c r="A243" s="2026" t="s">
        <v>432</v>
      </c>
      <c r="B243" s="2025" t="s">
        <v>547</v>
      </c>
      <c r="C243" s="2025">
        <v>15</v>
      </c>
      <c r="D243" s="2025">
        <v>26</v>
      </c>
      <c r="E243" s="2032" t="s">
        <v>80</v>
      </c>
      <c r="F243" s="2025">
        <v>0.5</v>
      </c>
      <c r="G243" s="2026" t="s">
        <v>564</v>
      </c>
    </row>
    <row r="244" spans="1:7">
      <c r="A244" s="2026" t="s">
        <v>432</v>
      </c>
      <c r="B244" s="2025" t="s">
        <v>481</v>
      </c>
      <c r="C244" s="2025">
        <v>15</v>
      </c>
      <c r="D244" s="2025">
        <v>26</v>
      </c>
      <c r="E244" s="2032" t="s">
        <v>571</v>
      </c>
      <c r="F244" s="2025">
        <v>0</v>
      </c>
      <c r="G244" s="2026" t="s">
        <v>565</v>
      </c>
    </row>
    <row r="245" spans="1:7">
      <c r="A245" s="2026" t="s">
        <v>432</v>
      </c>
      <c r="B245" s="2025" t="s">
        <v>477</v>
      </c>
      <c r="C245" s="2025">
        <v>15</v>
      </c>
      <c r="D245" s="2025">
        <v>26</v>
      </c>
      <c r="E245" s="2032" t="s">
        <v>571</v>
      </c>
      <c r="F245" s="2025">
        <v>0</v>
      </c>
      <c r="G245" s="2026" t="s">
        <v>566</v>
      </c>
    </row>
    <row r="246" spans="1:7">
      <c r="A246" s="2026" t="s">
        <v>432</v>
      </c>
      <c r="B246" s="2025" t="s">
        <v>480</v>
      </c>
      <c r="C246" s="2025">
        <v>15</v>
      </c>
      <c r="D246" s="2025">
        <v>0</v>
      </c>
      <c r="E246" s="2032" t="s">
        <v>571</v>
      </c>
      <c r="F246" s="2025">
        <v>0</v>
      </c>
      <c r="G246" s="2026" t="s">
        <v>567</v>
      </c>
    </row>
    <row r="247" spans="1:7">
      <c r="A247" s="2026" t="s">
        <v>1298</v>
      </c>
      <c r="B247" s="2025" t="s">
        <v>546</v>
      </c>
      <c r="C247" s="2025">
        <v>21</v>
      </c>
      <c r="D247" s="2025">
        <v>30</v>
      </c>
      <c r="E247" s="2032" t="s">
        <v>569</v>
      </c>
      <c r="F247" s="2025" t="s">
        <v>570</v>
      </c>
    </row>
    <row r="248" spans="1:7">
      <c r="A248" s="2026" t="s">
        <v>1298</v>
      </c>
      <c r="B248" s="2025" t="s">
        <v>546</v>
      </c>
      <c r="C248" s="2025">
        <v>36</v>
      </c>
      <c r="D248" s="2025">
        <v>41</v>
      </c>
      <c r="E248" s="2032" t="s">
        <v>569</v>
      </c>
      <c r="F248" s="2025" t="s">
        <v>570</v>
      </c>
    </row>
    <row r="249" spans="1:7">
      <c r="A249" s="2026" t="s">
        <v>1298</v>
      </c>
      <c r="B249" s="2025" t="s">
        <v>538</v>
      </c>
      <c r="C249" s="2025">
        <v>21</v>
      </c>
      <c r="D249" s="2025">
        <v>30</v>
      </c>
      <c r="E249" s="2032" t="s">
        <v>571</v>
      </c>
      <c r="F249" s="2025">
        <v>0</v>
      </c>
    </row>
    <row r="250" spans="1:7">
      <c r="A250" s="2026" t="s">
        <v>1298</v>
      </c>
      <c r="B250" s="2025" t="s">
        <v>455</v>
      </c>
      <c r="C250" s="2025">
        <v>21</v>
      </c>
      <c r="D250" s="2025">
        <v>30</v>
      </c>
      <c r="E250" s="2032" t="s">
        <v>572</v>
      </c>
      <c r="F250" s="2025">
        <v>0</v>
      </c>
    </row>
    <row r="251" spans="1:7">
      <c r="A251" s="2026" t="s">
        <v>1298</v>
      </c>
      <c r="B251" s="2025" t="s">
        <v>541</v>
      </c>
      <c r="C251" s="2025">
        <v>21</v>
      </c>
      <c r="D251" s="2025">
        <v>30</v>
      </c>
      <c r="E251" s="2032" t="s">
        <v>569</v>
      </c>
      <c r="F251" s="2025" t="s">
        <v>570</v>
      </c>
    </row>
    <row r="252" spans="1:7">
      <c r="A252" s="2026" t="s">
        <v>1298</v>
      </c>
      <c r="B252" s="2025" t="s">
        <v>539</v>
      </c>
      <c r="C252" s="2025">
        <v>21</v>
      </c>
      <c r="D252" s="2025">
        <v>30</v>
      </c>
      <c r="E252" s="2032" t="s">
        <v>569</v>
      </c>
      <c r="F252" s="2025" t="s">
        <v>570</v>
      </c>
    </row>
    <row r="253" spans="1:7">
      <c r="E253" s="2032"/>
      <c r="F253" s="2025"/>
    </row>
    <row r="339" spans="13:13">
      <c r="M339" s="2030"/>
    </row>
    <row r="340" spans="13:13">
      <c r="M340" s="2030"/>
    </row>
    <row r="341" spans="13:13">
      <c r="M341" s="2030"/>
    </row>
    <row r="342" spans="13:13">
      <c r="M342" s="2030"/>
    </row>
    <row r="343" spans="13:13">
      <c r="M343" s="2030"/>
    </row>
    <row r="344" spans="13:13">
      <c r="M344" s="2030"/>
    </row>
    <row r="345" spans="13:13">
      <c r="M345" s="2030"/>
    </row>
    <row r="346" spans="13:13">
      <c r="M346" s="2030"/>
    </row>
    <row r="347" spans="13:13">
      <c r="M347" s="2030"/>
    </row>
    <row r="348" spans="13:13">
      <c r="M348" s="2030"/>
    </row>
    <row r="349" spans="13:13">
      <c r="M349" s="2030"/>
    </row>
    <row r="350" spans="13:13">
      <c r="M350" s="2030"/>
    </row>
    <row r="351" spans="13:13">
      <c r="M351" s="2030"/>
    </row>
    <row r="352" spans="13:13">
      <c r="M352" s="2030"/>
    </row>
    <row r="353" spans="13:13">
      <c r="M353" s="2030"/>
    </row>
    <row r="354" spans="13:13">
      <c r="M354" s="2030"/>
    </row>
    <row r="355" spans="13:13">
      <c r="M355" s="2030"/>
    </row>
    <row r="356" spans="13:13">
      <c r="M356" s="2030"/>
    </row>
    <row r="357" spans="13:13">
      <c r="M357" s="2030"/>
    </row>
    <row r="358" spans="13:13">
      <c r="M358" s="2030"/>
    </row>
    <row r="359" spans="13:13">
      <c r="M359" s="2030"/>
    </row>
    <row r="360" spans="13:13">
      <c r="M360" s="2030"/>
    </row>
    <row r="361" spans="13:13">
      <c r="M361" s="2030"/>
    </row>
    <row r="362" spans="13:13">
      <c r="M362" s="2030"/>
    </row>
    <row r="363" spans="13:13">
      <c r="M363" s="2030"/>
    </row>
    <row r="364" spans="13:13">
      <c r="M364" s="2030"/>
    </row>
    <row r="365" spans="13:13">
      <c r="M365" s="2030"/>
    </row>
    <row r="366" spans="13:13">
      <c r="M366" s="2030"/>
    </row>
    <row r="367" spans="13:13">
      <c r="M367" s="2030"/>
    </row>
    <row r="368" spans="13:13">
      <c r="M368" s="2030"/>
    </row>
    <row r="369" spans="13:13">
      <c r="M369" s="2030"/>
    </row>
    <row r="370" spans="13:13">
      <c r="M370" s="2030"/>
    </row>
    <row r="371" spans="13:13">
      <c r="M371" s="2030"/>
    </row>
    <row r="372" spans="13:13">
      <c r="M372" s="2030"/>
    </row>
    <row r="373" spans="13:13">
      <c r="M373" s="2030"/>
    </row>
    <row r="374" spans="13:13">
      <c r="M374" s="2030"/>
    </row>
    <row r="375" spans="13:13">
      <c r="M375" s="2030"/>
    </row>
    <row r="376" spans="13:13">
      <c r="M376" s="2030"/>
    </row>
    <row r="377" spans="13:13">
      <c r="M377" s="2030"/>
    </row>
    <row r="378" spans="13:13">
      <c r="M378" s="2030"/>
    </row>
    <row r="379" spans="13:13">
      <c r="M379" s="2030"/>
    </row>
    <row r="380" spans="13:13">
      <c r="M380" s="2030"/>
    </row>
    <row r="381" spans="13:13">
      <c r="M381" s="2030"/>
    </row>
    <row r="382" spans="13:13">
      <c r="M382" s="2030"/>
    </row>
    <row r="383" spans="13:13">
      <c r="M383" s="2030"/>
    </row>
    <row r="384" spans="13:13">
      <c r="M384" s="2030"/>
    </row>
    <row r="385" spans="13:13">
      <c r="M385" s="2030"/>
    </row>
    <row r="386" spans="13:13">
      <c r="M386" s="2030"/>
    </row>
    <row r="387" spans="13:13">
      <c r="M387" s="2030"/>
    </row>
    <row r="388" spans="13:13">
      <c r="M388" s="2030"/>
    </row>
    <row r="389" spans="13:13">
      <c r="M389" s="2030"/>
    </row>
    <row r="390" spans="13:13">
      <c r="M390" s="2030"/>
    </row>
    <row r="391" spans="13:13">
      <c r="M391" s="2030"/>
    </row>
    <row r="392" spans="13:13">
      <c r="M392" s="2030"/>
    </row>
    <row r="393" spans="13:13">
      <c r="M393" s="2030"/>
    </row>
    <row r="394" spans="13:13">
      <c r="M394" s="2030"/>
    </row>
    <row r="395" spans="13:13">
      <c r="M395" s="2030"/>
    </row>
    <row r="396" spans="13:13">
      <c r="M396" s="2030"/>
    </row>
    <row r="397" spans="13:13">
      <c r="M397" s="2030"/>
    </row>
    <row r="398" spans="13:13">
      <c r="M398" s="2030"/>
    </row>
    <row r="399" spans="13:13">
      <c r="M399" s="2030"/>
    </row>
    <row r="400" spans="13:13">
      <c r="M400" s="2030"/>
    </row>
    <row r="401" spans="13:13">
      <c r="M401" s="2030"/>
    </row>
    <row r="402" spans="13:13">
      <c r="M402" s="2030"/>
    </row>
    <row r="403" spans="13:13">
      <c r="M403" s="2030"/>
    </row>
    <row r="404" spans="13:13">
      <c r="M404" s="2030"/>
    </row>
    <row r="405" spans="13:13">
      <c r="M405" s="2030"/>
    </row>
    <row r="406" spans="13:13">
      <c r="M406" s="2030"/>
    </row>
    <row r="407" spans="13:13">
      <c r="M407" s="2030"/>
    </row>
    <row r="408" spans="13:13">
      <c r="M408" s="2030"/>
    </row>
    <row r="409" spans="13:13">
      <c r="M409" s="2030"/>
    </row>
    <row r="410" spans="13:13">
      <c r="M410" s="2030"/>
    </row>
    <row r="411" spans="13:13">
      <c r="M411" s="2030"/>
    </row>
    <row r="412" spans="13:13">
      <c r="M412" s="2030"/>
    </row>
    <row r="413" spans="13:13">
      <c r="M413" s="2030"/>
    </row>
    <row r="414" spans="13:13">
      <c r="M414" s="2030"/>
    </row>
    <row r="415" spans="13:13">
      <c r="M415" s="2030"/>
    </row>
    <row r="416" spans="13:13">
      <c r="M416" s="2030"/>
    </row>
    <row r="417" spans="13:13">
      <c r="M417" s="2030"/>
    </row>
    <row r="418" spans="13:13">
      <c r="M418" s="2030"/>
    </row>
    <row r="419" spans="13:13">
      <c r="M419" s="2030"/>
    </row>
    <row r="420" spans="13:13">
      <c r="M420" s="2030"/>
    </row>
    <row r="421" spans="13:13">
      <c r="M421" s="2030"/>
    </row>
    <row r="422" spans="13:13">
      <c r="M422" s="2030"/>
    </row>
    <row r="423" spans="13:13">
      <c r="M423" s="2030"/>
    </row>
    <row r="424" spans="13:13">
      <c r="M424" s="2030"/>
    </row>
    <row r="425" spans="13:13">
      <c r="M425" s="2030"/>
    </row>
    <row r="426" spans="13:13">
      <c r="M426" s="2030"/>
    </row>
    <row r="427" spans="13:13">
      <c r="M427" s="2030"/>
    </row>
    <row r="428" spans="13:13">
      <c r="M428" s="2030"/>
    </row>
    <row r="429" spans="13:13">
      <c r="M429" s="2030"/>
    </row>
    <row r="430" spans="13:13">
      <c r="M430" s="2030"/>
    </row>
    <row r="431" spans="13:13">
      <c r="M431" s="2030"/>
    </row>
    <row r="432" spans="13:13">
      <c r="M432" s="2030"/>
    </row>
    <row r="433" spans="13:13">
      <c r="M433" s="2030"/>
    </row>
    <row r="434" spans="13:13">
      <c r="M434" s="2030"/>
    </row>
    <row r="435" spans="13:13">
      <c r="M435" s="2030"/>
    </row>
    <row r="436" spans="13:13">
      <c r="M436" s="2030"/>
    </row>
    <row r="437" spans="13:13">
      <c r="M437" s="2030"/>
    </row>
    <row r="438" spans="13:13">
      <c r="M438" s="2030"/>
    </row>
    <row r="439" spans="13:13">
      <c r="M439" s="2030"/>
    </row>
    <row r="440" spans="13:13">
      <c r="M440" s="2030"/>
    </row>
    <row r="441" spans="13:13">
      <c r="M441" s="2030"/>
    </row>
    <row r="442" spans="13:13">
      <c r="M442" s="2030"/>
    </row>
    <row r="443" spans="13:13">
      <c r="M443" s="2030"/>
    </row>
    <row r="1056" spans="13:13">
      <c r="M1056" s="2030"/>
    </row>
    <row r="1057" spans="13:13">
      <c r="M1057" s="2030"/>
    </row>
    <row r="1058" spans="13:13">
      <c r="M1058" s="2030"/>
    </row>
    <row r="1059" spans="13:13">
      <c r="M1059" s="2030"/>
    </row>
    <row r="1060" spans="13:13">
      <c r="M1060" s="2030"/>
    </row>
    <row r="1061" spans="13:13">
      <c r="M1061" s="2030"/>
    </row>
    <row r="1062" spans="13:13">
      <c r="M1062" s="2030"/>
    </row>
    <row r="1063" spans="13:13">
      <c r="M1063" s="2030"/>
    </row>
    <row r="1064" spans="13:13">
      <c r="M1064" s="2030"/>
    </row>
    <row r="1065" spans="13:13">
      <c r="M1065" s="2030"/>
    </row>
    <row r="1066" spans="13:13">
      <c r="M1066" s="2030"/>
    </row>
    <row r="1108" spans="13:13">
      <c r="M1108" s="2030"/>
    </row>
    <row r="1110" spans="13:13">
      <c r="M1110" s="2030"/>
    </row>
    <row r="1111" spans="13:13">
      <c r="M1111" s="2030"/>
    </row>
    <row r="1112" spans="13:13">
      <c r="M1112" s="2030"/>
    </row>
    <row r="1113" spans="13:13">
      <c r="M1113" s="2030"/>
    </row>
    <row r="1120" spans="13:13">
      <c r="M1120" s="2030"/>
    </row>
    <row r="1121" spans="13:13">
      <c r="M1121" s="2030"/>
    </row>
    <row r="1123" spans="13:13">
      <c r="M1123" s="2030"/>
    </row>
    <row r="1126" spans="13:13">
      <c r="M1126" s="2030"/>
    </row>
    <row r="1131" spans="13:13">
      <c r="M1131" s="2030"/>
    </row>
    <row r="1136" spans="13:13">
      <c r="M1136" s="2030"/>
    </row>
    <row r="1141" spans="13:13">
      <c r="M1141" s="2030"/>
    </row>
    <row r="1146" spans="13:13">
      <c r="M1146" s="2030"/>
    </row>
    <row r="1151" spans="13:13">
      <c r="M1151" s="2030"/>
    </row>
    <row r="1156" spans="13:13">
      <c r="M1156" s="2030"/>
    </row>
    <row r="1161" spans="13:13">
      <c r="M1161" s="2030"/>
    </row>
    <row r="1166" spans="13:13">
      <c r="M1166" s="2030"/>
    </row>
    <row r="1171" spans="13:13">
      <c r="M1171" s="2030"/>
    </row>
    <row r="1176" spans="13:13">
      <c r="M1176" s="2030"/>
    </row>
    <row r="1177" spans="13:13">
      <c r="M1177" s="2030"/>
    </row>
    <row r="1178" spans="13:13">
      <c r="M1178" s="2030"/>
    </row>
    <row r="1179" spans="13:13">
      <c r="M1179" s="2030"/>
    </row>
    <row r="1180" spans="13:13">
      <c r="M1180" s="2030"/>
    </row>
    <row r="1181" spans="13:13">
      <c r="M1181" s="2030"/>
    </row>
    <row r="1182" spans="13:13">
      <c r="M1182" s="2030"/>
    </row>
    <row r="1183" spans="13:13">
      <c r="M1183" s="2030"/>
    </row>
    <row r="1184" spans="13:13">
      <c r="M1184" s="2030"/>
    </row>
    <row r="1185" spans="13:13">
      <c r="M1185" s="2030"/>
    </row>
    <row r="1186" spans="13:13">
      <c r="M1186" s="2030"/>
    </row>
    <row r="1187" spans="13:13">
      <c r="M1187" s="2030"/>
    </row>
    <row r="1188" spans="13:13">
      <c r="M1188" s="2030"/>
    </row>
    <row r="1189" spans="13:13">
      <c r="M1189" s="2030"/>
    </row>
    <row r="1190" spans="13:13">
      <c r="M1190" s="2030"/>
    </row>
    <row r="1191" spans="13:13">
      <c r="M1191" s="2030"/>
    </row>
    <row r="1192" spans="13:13">
      <c r="M1192" s="2030"/>
    </row>
    <row r="1193" spans="13:13">
      <c r="M1193" s="2030"/>
    </row>
    <row r="1194" spans="13:13">
      <c r="M1194" s="2030"/>
    </row>
    <row r="1195" spans="13:13">
      <c r="M1195" s="2030"/>
    </row>
    <row r="1196" spans="13:13">
      <c r="M1196" s="2030"/>
    </row>
    <row r="1197" spans="13:13">
      <c r="M1197" s="2030"/>
    </row>
    <row r="1198" spans="13:13">
      <c r="M1198" s="2030"/>
    </row>
    <row r="1199" spans="13:13">
      <c r="M1199" s="2030"/>
    </row>
    <row r="1200" spans="13:13">
      <c r="M1200" s="2030"/>
    </row>
    <row r="1201" spans="13:13">
      <c r="M1201" s="2030"/>
    </row>
    <row r="1202" spans="13:13">
      <c r="M1202" s="2030"/>
    </row>
    <row r="1203" spans="13:13">
      <c r="M1203" s="2030"/>
    </row>
    <row r="1204" spans="13:13">
      <c r="M1204" s="2030"/>
    </row>
    <row r="1205" spans="13:13">
      <c r="M1205" s="2030"/>
    </row>
    <row r="1206" spans="13:13">
      <c r="M1206" s="2030"/>
    </row>
    <row r="1207" spans="13:13">
      <c r="M1207" s="2030"/>
    </row>
    <row r="1208" spans="13:13">
      <c r="M1208" s="2030"/>
    </row>
    <row r="1209" spans="13:13">
      <c r="M1209" s="2030"/>
    </row>
    <row r="1210" spans="13:13">
      <c r="M1210" s="2030"/>
    </row>
    <row r="1211" spans="13:13">
      <c r="M1211" s="2030"/>
    </row>
    <row r="1212" spans="13:13">
      <c r="M1212" s="2030"/>
    </row>
    <row r="1213" spans="13:13">
      <c r="M1213" s="2030"/>
    </row>
    <row r="1214" spans="13:13">
      <c r="M1214" s="2030"/>
    </row>
    <row r="1215" spans="13:13">
      <c r="M1215" s="2030"/>
    </row>
    <row r="1216" spans="13:13">
      <c r="M1216" s="2030"/>
    </row>
    <row r="1217" spans="13:13">
      <c r="M1217" s="2030"/>
    </row>
    <row r="1218" spans="13:13">
      <c r="M1218" s="2030"/>
    </row>
    <row r="1219" spans="13:13">
      <c r="M1219" s="2030"/>
    </row>
    <row r="1220" spans="13:13">
      <c r="M1220" s="2030"/>
    </row>
    <row r="1221" spans="13:13">
      <c r="M1221" s="2030"/>
    </row>
    <row r="1222" spans="13:13">
      <c r="M1222" s="2030"/>
    </row>
    <row r="1223" spans="13:13">
      <c r="M1223" s="2030"/>
    </row>
    <row r="1224" spans="13:13">
      <c r="M1224" s="2030"/>
    </row>
    <row r="1227" spans="13:13">
      <c r="M1227" s="2031"/>
    </row>
    <row r="1228" spans="13:13">
      <c r="M1228" s="2031"/>
    </row>
    <row r="1230" spans="13:13">
      <c r="M1230" s="2031"/>
    </row>
    <row r="1231" spans="13:13">
      <c r="M1231" s="2031"/>
    </row>
    <row r="1246" spans="13:13">
      <c r="M1246" s="2030"/>
    </row>
    <row r="1247" spans="13:13">
      <c r="M1247" s="2030"/>
    </row>
    <row r="1248" spans="13:13">
      <c r="M1248" s="2030"/>
    </row>
    <row r="1249" spans="13:13">
      <c r="M1249" s="2030"/>
    </row>
    <row r="1250" spans="13:13">
      <c r="M1250" s="2030"/>
    </row>
    <row r="1251" spans="13:13">
      <c r="M1251" s="2030"/>
    </row>
    <row r="1252" spans="13:13">
      <c r="M1252" s="2030"/>
    </row>
    <row r="1253" spans="13:13">
      <c r="M1253" s="2030"/>
    </row>
    <row r="1254" spans="13:13">
      <c r="M1254" s="2030"/>
    </row>
    <row r="1255" spans="13:13">
      <c r="M1255" s="2030"/>
    </row>
    <row r="1256" spans="13:13">
      <c r="M1256" s="2030"/>
    </row>
    <row r="1290" spans="13:13">
      <c r="M1290" s="2030"/>
    </row>
    <row r="1291" spans="13:13">
      <c r="M1291" s="2030"/>
    </row>
    <row r="1292" spans="13:13">
      <c r="M1292" s="2030"/>
    </row>
    <row r="1293" spans="13:13">
      <c r="M1293" s="2030"/>
    </row>
    <row r="1294" spans="13:13">
      <c r="M1294" s="2030"/>
    </row>
    <row r="1295" spans="13:13">
      <c r="M1295" s="2030"/>
    </row>
    <row r="1296" spans="13:13">
      <c r="M1296" s="2030"/>
    </row>
    <row r="1297" spans="13:13">
      <c r="M1297" s="2030"/>
    </row>
    <row r="1298" spans="13:13">
      <c r="M1298" s="2030"/>
    </row>
    <row r="1299" spans="13:13">
      <c r="M1299" s="2030"/>
    </row>
    <row r="1300" spans="13:13">
      <c r="M1300" s="2030"/>
    </row>
    <row r="1303" spans="13:13">
      <c r="M1303" s="2030"/>
    </row>
    <row r="1304" spans="13:13">
      <c r="M1304" s="2030"/>
    </row>
    <row r="1305" spans="13:13">
      <c r="M1305" s="2030"/>
    </row>
    <row r="1306" spans="13:13">
      <c r="M1306" s="2030"/>
    </row>
    <row r="1307" spans="13:13">
      <c r="M1307" s="2030"/>
    </row>
    <row r="1308" spans="13:13">
      <c r="M1308" s="2030"/>
    </row>
    <row r="1309" spans="13:13">
      <c r="M1309" s="2030"/>
    </row>
    <row r="1310" spans="13:13">
      <c r="M1310" s="2030"/>
    </row>
    <row r="1311" spans="13:13">
      <c r="M1311" s="2030"/>
    </row>
    <row r="1312" spans="13:13">
      <c r="M1312" s="2030"/>
    </row>
    <row r="1313" spans="13:13">
      <c r="M1313" s="2030"/>
    </row>
    <row r="1314" spans="13:13">
      <c r="M1314" s="2030"/>
    </row>
    <row r="1315" spans="13:13">
      <c r="M1315" s="2030"/>
    </row>
    <row r="1316" spans="13:13">
      <c r="M1316" s="2030"/>
    </row>
    <row r="1317" spans="13:13">
      <c r="M1317" s="2030"/>
    </row>
    <row r="1318" spans="13:13">
      <c r="M1318" s="2030"/>
    </row>
    <row r="1319" spans="13:13">
      <c r="M1319" s="2030"/>
    </row>
    <row r="1320" spans="13:13">
      <c r="M1320" s="2030"/>
    </row>
    <row r="1321" spans="13:13">
      <c r="M1321" s="2030"/>
    </row>
    <row r="1344" spans="13:13">
      <c r="M1344" s="2030"/>
    </row>
    <row r="1346" spans="13:13">
      <c r="M1346" s="2030"/>
    </row>
    <row r="1348" spans="13:13">
      <c r="M1348" s="2030"/>
    </row>
    <row r="1436" spans="13:13">
      <c r="M1436" s="2030"/>
    </row>
    <row r="1448" spans="13:13">
      <c r="M1448" s="2030"/>
    </row>
    <row r="1449" spans="13:13">
      <c r="M1449" s="2030"/>
    </row>
    <row r="1450" spans="13:13">
      <c r="M1450" s="2030"/>
    </row>
    <row r="1451" spans="13:13">
      <c r="M1451" s="2030"/>
    </row>
    <row r="1452" spans="13:13">
      <c r="M1452" s="2030"/>
    </row>
    <row r="1453" spans="13:13">
      <c r="M1453" s="2030"/>
    </row>
    <row r="1454" spans="13:13">
      <c r="M1454" s="2030"/>
    </row>
    <row r="1455" spans="13:13">
      <c r="M1455" s="2030"/>
    </row>
    <row r="1456" spans="13:13">
      <c r="M1456" s="2030"/>
    </row>
    <row r="1457" spans="13:13">
      <c r="M1457" s="2030"/>
    </row>
    <row r="1458" spans="13:13">
      <c r="M1458" s="2030"/>
    </row>
    <row r="1459" spans="13:13">
      <c r="M1459" s="2030"/>
    </row>
    <row r="1460" spans="13:13">
      <c r="M1460" s="2030"/>
    </row>
    <row r="1473" spans="13:13">
      <c r="M1473" s="2030"/>
    </row>
    <row r="1485" spans="13:13">
      <c r="M1485" s="2030"/>
    </row>
    <row r="1486" spans="13:13">
      <c r="M1486" s="2030"/>
    </row>
    <row r="1487" spans="13:13">
      <c r="M1487" s="2030"/>
    </row>
    <row r="1488" spans="13:13">
      <c r="M1488" s="2030"/>
    </row>
    <row r="1489" spans="13:13">
      <c r="M1489" s="2030"/>
    </row>
    <row r="1490" spans="13:13">
      <c r="M1490" s="2030"/>
    </row>
    <row r="1491" spans="13:13">
      <c r="M1491" s="2030"/>
    </row>
    <row r="1492" spans="13:13">
      <c r="M1492" s="2030"/>
    </row>
    <row r="1493" spans="13:13">
      <c r="M1493" s="2030"/>
    </row>
    <row r="1494" spans="13:13">
      <c r="M1494" s="2030"/>
    </row>
    <row r="1495" spans="13:13">
      <c r="M1495" s="2030"/>
    </row>
    <row r="1496" spans="13:13">
      <c r="M1496" s="2030"/>
    </row>
    <row r="1497" spans="13:13">
      <c r="M1497" s="2030"/>
    </row>
    <row r="1514" spans="13:13">
      <c r="M1514" s="2030"/>
    </row>
    <row r="1515" spans="13:13">
      <c r="M1515" s="2030"/>
    </row>
    <row r="1516" spans="13:13">
      <c r="M1516" s="2030"/>
    </row>
    <row r="1517" spans="13:13">
      <c r="M1517" s="2030"/>
    </row>
    <row r="1518" spans="13:13">
      <c r="M1518" s="2030"/>
    </row>
    <row r="1519" spans="13:13">
      <c r="M1519" s="2030"/>
    </row>
    <row r="1520" spans="13:13">
      <c r="M1520" s="2030"/>
    </row>
    <row r="1521" spans="13:13">
      <c r="M1521" s="2030"/>
    </row>
    <row r="1522" spans="13:13">
      <c r="M1522" s="2030"/>
    </row>
    <row r="1523" spans="13:13">
      <c r="M1523" s="2030"/>
    </row>
    <row r="1556" spans="13:13">
      <c r="M1556" s="2031"/>
    </row>
    <row r="1558" spans="13:13">
      <c r="M1558" s="2030"/>
    </row>
    <row r="1561" spans="13:13">
      <c r="M1561" s="2030"/>
    </row>
    <row r="1564" spans="13:13">
      <c r="M1564" s="2030"/>
    </row>
    <row r="1565" spans="13:13">
      <c r="M1565" s="2030"/>
    </row>
    <row r="1566" spans="13:13">
      <c r="M1566" s="2030"/>
    </row>
    <row r="1567" spans="13:13">
      <c r="M1567" s="2030"/>
    </row>
    <row r="1585" spans="13:13">
      <c r="M1585" s="2031"/>
    </row>
    <row r="1587" spans="13:13">
      <c r="M1587" s="2030"/>
    </row>
    <row r="1590" spans="13:13">
      <c r="M1590" s="2030"/>
    </row>
    <row r="1593" spans="13:13">
      <c r="M1593" s="2030"/>
    </row>
    <row r="1594" spans="13:13">
      <c r="M1594" s="2030"/>
    </row>
    <row r="1595" spans="13:13">
      <c r="M1595" s="2030"/>
    </row>
    <row r="1596" spans="13:13">
      <c r="M1596" s="2030"/>
    </row>
    <row r="1611" spans="13:13">
      <c r="M1611" s="2030"/>
    </row>
    <row r="1612" spans="13:13">
      <c r="M1612" s="2030"/>
    </row>
    <row r="1613" spans="13:13">
      <c r="M1613" s="2030"/>
    </row>
    <row r="1614" spans="13:13">
      <c r="M1614" s="2030"/>
    </row>
    <row r="1615" spans="13:13">
      <c r="M1615" s="2030"/>
    </row>
    <row r="1616" spans="13:13">
      <c r="M1616" s="2030"/>
    </row>
    <row r="1617" spans="13:13">
      <c r="M1617" s="2030"/>
    </row>
    <row r="1618" spans="13:13">
      <c r="M1618" s="2030"/>
    </row>
    <row r="1619" spans="13:13">
      <c r="M1619" s="2030"/>
    </row>
    <row r="1620" spans="13:13">
      <c r="M1620" s="2030"/>
    </row>
    <row r="1621" spans="13:13">
      <c r="M1621" s="2030"/>
    </row>
    <row r="1622" spans="13:13">
      <c r="M1622" s="2030"/>
    </row>
    <row r="1623" spans="13:13">
      <c r="M1623" s="2030"/>
    </row>
    <row r="1624" spans="13:13">
      <c r="M1624" s="2030"/>
    </row>
    <row r="1625" spans="13:13">
      <c r="M1625" s="2030"/>
    </row>
    <row r="1626" spans="13:13">
      <c r="M1626" s="2030"/>
    </row>
    <row r="1627" spans="13:13">
      <c r="M1627" s="2030"/>
    </row>
    <row r="1628" spans="13:13">
      <c r="M1628" s="2030"/>
    </row>
    <row r="1629" spans="13:13">
      <c r="M1629" s="2030"/>
    </row>
    <row r="1630" spans="13:13">
      <c r="M1630" s="2030"/>
    </row>
    <row r="1676" spans="13:13">
      <c r="M1676" s="2030"/>
    </row>
    <row r="1677" spans="13:13">
      <c r="M1677" s="2030"/>
    </row>
    <row r="1678" spans="13:13">
      <c r="M1678" s="2030"/>
    </row>
    <row r="1679" spans="13:13">
      <c r="M1679" s="2030"/>
    </row>
    <row r="1680" spans="13:13">
      <c r="M1680" s="2030"/>
    </row>
    <row r="1681" spans="13:13">
      <c r="M1681" s="2030"/>
    </row>
    <row r="1682" spans="13:13">
      <c r="M1682" s="2030"/>
    </row>
    <row r="1683" spans="13:13">
      <c r="M1683" s="2030"/>
    </row>
    <row r="1684" spans="13:13">
      <c r="M1684" s="2030"/>
    </row>
    <row r="1685" spans="13:13">
      <c r="M1685" s="2030"/>
    </row>
    <row r="1686" spans="13:13">
      <c r="M1686" s="2030"/>
    </row>
    <row r="1687" spans="13:13">
      <c r="M1687" s="2030"/>
    </row>
    <row r="1688" spans="13:13">
      <c r="M1688" s="2030"/>
    </row>
    <row r="1689" spans="13:13">
      <c r="M1689" s="2030"/>
    </row>
    <row r="1690" spans="13:13">
      <c r="M1690" s="2030"/>
    </row>
    <row r="1691" spans="13:13">
      <c r="M1691" s="2030"/>
    </row>
    <row r="1692" spans="13:13">
      <c r="M1692" s="2030"/>
    </row>
    <row r="1693" spans="13:13">
      <c r="M1693" s="2030"/>
    </row>
    <row r="1694" spans="13:13">
      <c r="M1694" s="2030"/>
    </row>
    <row r="1695" spans="13:13">
      <c r="M1695" s="2030"/>
    </row>
    <row r="1696" spans="13:13">
      <c r="M1696" s="2030"/>
    </row>
    <row r="1697" spans="13:13">
      <c r="M1697" s="2030"/>
    </row>
    <row r="1698" spans="13:13">
      <c r="M1698" s="2030"/>
    </row>
    <row r="1699" spans="13:13">
      <c r="M1699" s="2030"/>
    </row>
    <row r="1700" spans="13:13">
      <c r="M1700" s="2030"/>
    </row>
    <row r="1701" spans="13:13">
      <c r="M1701" s="2030"/>
    </row>
    <row r="1702" spans="13:13">
      <c r="M1702" s="2030"/>
    </row>
    <row r="1703" spans="13:13">
      <c r="M1703" s="2030"/>
    </row>
    <row r="1704" spans="13:13">
      <c r="M1704" s="2030"/>
    </row>
    <row r="1705" spans="13:13">
      <c r="M1705" s="2030"/>
    </row>
    <row r="1706" spans="13:13">
      <c r="M1706" s="2030"/>
    </row>
    <row r="1707" spans="13:13">
      <c r="M1707" s="2030"/>
    </row>
    <row r="1708" spans="13:13">
      <c r="M1708" s="2030"/>
    </row>
    <row r="1709" spans="13:13">
      <c r="M1709" s="2030"/>
    </row>
    <row r="1710" spans="13:13">
      <c r="M1710" s="2030"/>
    </row>
    <row r="1711" spans="13:13">
      <c r="M1711" s="2030"/>
    </row>
    <row r="1712" spans="13:13">
      <c r="M1712" s="2030"/>
    </row>
    <row r="1713" spans="13:13">
      <c r="M1713" s="2030"/>
    </row>
    <row r="1714" spans="13:13">
      <c r="M1714" s="2030"/>
    </row>
    <row r="1715" spans="13:13">
      <c r="M1715" s="2030"/>
    </row>
    <row r="1716" spans="13:13">
      <c r="M1716" s="2030"/>
    </row>
    <row r="1717" spans="13:13">
      <c r="M1717" s="2030"/>
    </row>
    <row r="1718" spans="13:13">
      <c r="M1718" s="2030"/>
    </row>
    <row r="1719" spans="13:13">
      <c r="M1719" s="2030"/>
    </row>
    <row r="1720" spans="13:13">
      <c r="M1720" s="2030"/>
    </row>
    <row r="1766" spans="13:13">
      <c r="M1766" s="2030"/>
    </row>
    <row r="1767" spans="13:13">
      <c r="M1767" s="2030"/>
    </row>
    <row r="1768" spans="13:13">
      <c r="M1768" s="2030"/>
    </row>
    <row r="1769" spans="13:13">
      <c r="M1769" s="2030"/>
    </row>
    <row r="1770" spans="13:13">
      <c r="M1770" s="2030"/>
    </row>
    <row r="1771" spans="13:13">
      <c r="M1771" s="2030"/>
    </row>
    <row r="1772" spans="13:13">
      <c r="M1772" s="2030"/>
    </row>
    <row r="1773" spans="13:13">
      <c r="M1773" s="2030"/>
    </row>
    <row r="1774" spans="13:13">
      <c r="M1774" s="2030"/>
    </row>
    <row r="1775" spans="13:13">
      <c r="M1775" s="2030"/>
    </row>
    <row r="1776" spans="13:13">
      <c r="M1776" s="2030"/>
    </row>
    <row r="1777" spans="13:13">
      <c r="M1777" s="2030"/>
    </row>
    <row r="1778" spans="13:13">
      <c r="M1778" s="2030"/>
    </row>
    <row r="1779" spans="13:13">
      <c r="M1779" s="2030"/>
    </row>
    <row r="1780" spans="13:13">
      <c r="M1780" s="2030"/>
    </row>
    <row r="1781" spans="13:13">
      <c r="M1781" s="2030"/>
    </row>
    <row r="1782" spans="13:13">
      <c r="M1782" s="2030"/>
    </row>
    <row r="1783" spans="13:13">
      <c r="M1783" s="2030"/>
    </row>
    <row r="1784" spans="13:13">
      <c r="M1784" s="2030"/>
    </row>
    <row r="1785" spans="13:13">
      <c r="M1785" s="2030"/>
    </row>
    <row r="1786" spans="13:13">
      <c r="M1786" s="2030"/>
    </row>
    <row r="1787" spans="13:13">
      <c r="M1787" s="2030"/>
    </row>
    <row r="1788" spans="13:13">
      <c r="M1788" s="2030"/>
    </row>
    <row r="1789" spans="13:13">
      <c r="M1789" s="2030"/>
    </row>
    <row r="1790" spans="13:13">
      <c r="M1790" s="2030"/>
    </row>
    <row r="1791" spans="13:13">
      <c r="M1791" s="2030"/>
    </row>
    <row r="1792" spans="13:13">
      <c r="M1792" s="2030"/>
    </row>
    <row r="1793" spans="13:13">
      <c r="M1793" s="2030"/>
    </row>
    <row r="1794" spans="13:13">
      <c r="M1794" s="2030"/>
    </row>
    <row r="1795" spans="13:13">
      <c r="M1795" s="2030"/>
    </row>
    <row r="1796" spans="13:13">
      <c r="M1796" s="2030"/>
    </row>
    <row r="1797" spans="13:13">
      <c r="M1797" s="2030"/>
    </row>
    <row r="1798" spans="13:13">
      <c r="M1798" s="2030"/>
    </row>
    <row r="1799" spans="13:13">
      <c r="M1799" s="2030"/>
    </row>
    <row r="1800" spans="13:13">
      <c r="M1800" s="2030"/>
    </row>
    <row r="1801" spans="13:13">
      <c r="M1801" s="2030"/>
    </row>
    <row r="1802" spans="13:13">
      <c r="M1802" s="2030"/>
    </row>
    <row r="1803" spans="13:13">
      <c r="M1803" s="2030"/>
    </row>
    <row r="1804" spans="13:13">
      <c r="M1804" s="2030"/>
    </row>
    <row r="1805" spans="13:13">
      <c r="M1805" s="2030"/>
    </row>
    <row r="1806" spans="13:13">
      <c r="M1806" s="2030"/>
    </row>
    <row r="1807" spans="13:13">
      <c r="M1807" s="2030"/>
    </row>
    <row r="1808" spans="13:13">
      <c r="M1808" s="2030"/>
    </row>
    <row r="1809" spans="13:13">
      <c r="M1809" s="2030"/>
    </row>
    <row r="1810" spans="13:13">
      <c r="M1810" s="2030"/>
    </row>
    <row r="1856" spans="13:13">
      <c r="M1856" s="2030"/>
    </row>
    <row r="1857" spans="13:13">
      <c r="M1857" s="2030"/>
    </row>
    <row r="1858" spans="13:13">
      <c r="M1858" s="2030"/>
    </row>
    <row r="1859" spans="13:13">
      <c r="M1859" s="2030"/>
    </row>
    <row r="1860" spans="13:13">
      <c r="M1860" s="2030"/>
    </row>
    <row r="1861" spans="13:13">
      <c r="M1861" s="2030"/>
    </row>
    <row r="1862" spans="13:13">
      <c r="M1862" s="2030"/>
    </row>
    <row r="1863" spans="13:13">
      <c r="M1863" s="2030"/>
    </row>
    <row r="1864" spans="13:13">
      <c r="M1864" s="2030"/>
    </row>
    <row r="1865" spans="13:13">
      <c r="M1865" s="2030"/>
    </row>
    <row r="1866" spans="13:13">
      <c r="M1866" s="2030"/>
    </row>
    <row r="1867" spans="13:13">
      <c r="M1867" s="2030"/>
    </row>
    <row r="1868" spans="13:13">
      <c r="M1868" s="2030"/>
    </row>
    <row r="1869" spans="13:13">
      <c r="M1869" s="2030"/>
    </row>
    <row r="1870" spans="13:13">
      <c r="M1870" s="2030"/>
    </row>
    <row r="1871" spans="13:13">
      <c r="M1871" s="2030"/>
    </row>
    <row r="1872" spans="13:13">
      <c r="M1872" s="2030"/>
    </row>
    <row r="1873" spans="13:13">
      <c r="M1873" s="2030"/>
    </row>
    <row r="1874" spans="13:13">
      <c r="M1874" s="2030"/>
    </row>
    <row r="1875" spans="13:13">
      <c r="M1875" s="2030"/>
    </row>
    <row r="1876" spans="13:13">
      <c r="M1876" s="2030"/>
    </row>
    <row r="1877" spans="13:13">
      <c r="M1877" s="2030"/>
    </row>
    <row r="1878" spans="13:13">
      <c r="M1878" s="2030"/>
    </row>
    <row r="1879" spans="13:13">
      <c r="M1879" s="2030"/>
    </row>
    <row r="1880" spans="13:13">
      <c r="M1880" s="2030"/>
    </row>
    <row r="1881" spans="13:13">
      <c r="M1881" s="2030"/>
    </row>
    <row r="1882" spans="13:13">
      <c r="M1882" s="2030"/>
    </row>
    <row r="1883" spans="13:13">
      <c r="M1883" s="2030"/>
    </row>
    <row r="1884" spans="13:13">
      <c r="M1884" s="2030"/>
    </row>
    <row r="1885" spans="13:13">
      <c r="M1885" s="2030"/>
    </row>
    <row r="1886" spans="13:13">
      <c r="M1886" s="2030"/>
    </row>
    <row r="1887" spans="13:13">
      <c r="M1887" s="2030"/>
    </row>
    <row r="1888" spans="13:13">
      <c r="M1888" s="2030"/>
    </row>
    <row r="1889" spans="13:13">
      <c r="M1889" s="2030"/>
    </row>
    <row r="1890" spans="13:13">
      <c r="M1890" s="2030"/>
    </row>
    <row r="1891" spans="13:13">
      <c r="M1891" s="2030"/>
    </row>
    <row r="1892" spans="13:13">
      <c r="M1892" s="2030"/>
    </row>
    <row r="1893" spans="13:13">
      <c r="M1893" s="2030"/>
    </row>
    <row r="1894" spans="13:13">
      <c r="M1894" s="2030"/>
    </row>
    <row r="1895" spans="13:13">
      <c r="M1895" s="2030"/>
    </row>
    <row r="1896" spans="13:13">
      <c r="M1896" s="2030"/>
    </row>
    <row r="1897" spans="13:13">
      <c r="M1897" s="2030"/>
    </row>
    <row r="1898" spans="13:13">
      <c r="M1898" s="2030"/>
    </row>
    <row r="1899" spans="13:13">
      <c r="M1899" s="2030"/>
    </row>
    <row r="1900" spans="13:13">
      <c r="M1900" s="2030"/>
    </row>
    <row r="1946" spans="13:13">
      <c r="M1946" s="2030"/>
    </row>
    <row r="1947" spans="13:13">
      <c r="M1947" s="2030"/>
    </row>
    <row r="1948" spans="13:13">
      <c r="M1948" s="2030"/>
    </row>
    <row r="1949" spans="13:13">
      <c r="M1949" s="2030"/>
    </row>
    <row r="1950" spans="13:13">
      <c r="M1950" s="2030"/>
    </row>
    <row r="1951" spans="13:13">
      <c r="M1951" s="2030"/>
    </row>
    <row r="1952" spans="13:13">
      <c r="M1952" s="2030"/>
    </row>
    <row r="1953" spans="13:13">
      <c r="M1953" s="2030"/>
    </row>
    <row r="1954" spans="13:13">
      <c r="M1954" s="2030"/>
    </row>
    <row r="1955" spans="13:13">
      <c r="M1955" s="2030"/>
    </row>
    <row r="1956" spans="13:13">
      <c r="M1956" s="2030"/>
    </row>
    <row r="1957" spans="13:13">
      <c r="M1957" s="2030"/>
    </row>
    <row r="1958" spans="13:13">
      <c r="M1958" s="2030"/>
    </row>
    <row r="1959" spans="13:13">
      <c r="M1959" s="2030"/>
    </row>
    <row r="1960" spans="13:13">
      <c r="M1960" s="2030"/>
    </row>
    <row r="1961" spans="13:13">
      <c r="M1961" s="2030"/>
    </row>
    <row r="1962" spans="13:13">
      <c r="M1962" s="2030"/>
    </row>
    <row r="1963" spans="13:13">
      <c r="M1963" s="2030"/>
    </row>
    <row r="1964" spans="13:13">
      <c r="M1964" s="2030"/>
    </row>
    <row r="1965" spans="13:13">
      <c r="M1965" s="2030"/>
    </row>
    <row r="1966" spans="13:13">
      <c r="M1966" s="2030"/>
    </row>
    <row r="1967" spans="13:13">
      <c r="M1967" s="2030"/>
    </row>
    <row r="1968" spans="13:13">
      <c r="M1968" s="2030"/>
    </row>
    <row r="1969" spans="13:13">
      <c r="M1969" s="2030"/>
    </row>
    <row r="1970" spans="13:13">
      <c r="M1970" s="2030"/>
    </row>
    <row r="1971" spans="13:13">
      <c r="M1971" s="2030"/>
    </row>
    <row r="1972" spans="13:13">
      <c r="M1972" s="2030"/>
    </row>
    <row r="1973" spans="13:13">
      <c r="M1973" s="2030"/>
    </row>
    <row r="1974" spans="13:13">
      <c r="M1974" s="2030"/>
    </row>
    <row r="1975" spans="13:13">
      <c r="M1975" s="2030"/>
    </row>
    <row r="1976" spans="13:13">
      <c r="M1976" s="2030"/>
    </row>
    <row r="1977" spans="13:13">
      <c r="M1977" s="2030"/>
    </row>
    <row r="1978" spans="13:13">
      <c r="M1978" s="2030"/>
    </row>
    <row r="1979" spans="13:13">
      <c r="M1979" s="2030"/>
    </row>
    <row r="1980" spans="13:13">
      <c r="M1980" s="2030"/>
    </row>
    <row r="1981" spans="13:13">
      <c r="M1981" s="2030"/>
    </row>
    <row r="1982" spans="13:13">
      <c r="M1982" s="2030"/>
    </row>
    <row r="1983" spans="13:13">
      <c r="M1983" s="2030"/>
    </row>
    <row r="1984" spans="13:13">
      <c r="M1984" s="2030"/>
    </row>
    <row r="1985" spans="13:13">
      <c r="M1985" s="2030"/>
    </row>
    <row r="1986" spans="13:13">
      <c r="M1986" s="2030"/>
    </row>
    <row r="1987" spans="13:13">
      <c r="M1987" s="2030"/>
    </row>
    <row r="1988" spans="13:13">
      <c r="M1988" s="2030"/>
    </row>
    <row r="1989" spans="13:13">
      <c r="M1989" s="2030"/>
    </row>
    <row r="1990" spans="13:13">
      <c r="M1990" s="2030"/>
    </row>
    <row r="2024" spans="13:13">
      <c r="M2024" s="2030"/>
    </row>
    <row r="2025" spans="13:13">
      <c r="M2025" s="2030"/>
    </row>
    <row r="2026" spans="13:13">
      <c r="M2026" s="2030"/>
    </row>
    <row r="2027" spans="13:13">
      <c r="M2027" s="2030"/>
    </row>
    <row r="2028" spans="13:13">
      <c r="M2028" s="2030"/>
    </row>
    <row r="2029" spans="13:13">
      <c r="M2029" s="2030"/>
    </row>
    <row r="2030" spans="13:13">
      <c r="M2030" s="2030"/>
    </row>
    <row r="2031" spans="13:13">
      <c r="M2031" s="2030"/>
    </row>
    <row r="2032" spans="13:13">
      <c r="M2032" s="2030"/>
    </row>
    <row r="2033" spans="13:13">
      <c r="M2033" s="2030"/>
    </row>
    <row r="2034" spans="13:13">
      <c r="M2034" s="2030"/>
    </row>
    <row r="2035" spans="13:13">
      <c r="M2035" s="2030"/>
    </row>
    <row r="2036" spans="13:13">
      <c r="M2036" s="2030"/>
    </row>
    <row r="2037" spans="13:13">
      <c r="M2037" s="2030"/>
    </row>
    <row r="2038" spans="13:13">
      <c r="M2038" s="2030"/>
    </row>
    <row r="2039" spans="13:13">
      <c r="M2039" s="2030"/>
    </row>
    <row r="2040" spans="13:13">
      <c r="M2040" s="2030"/>
    </row>
    <row r="2041" spans="13:13">
      <c r="M2041" s="2030"/>
    </row>
    <row r="2042" spans="13:13">
      <c r="M2042" s="2030"/>
    </row>
    <row r="2043" spans="13:13">
      <c r="M2043" s="2030"/>
    </row>
    <row r="2044" spans="13:13">
      <c r="M2044" s="2030"/>
    </row>
    <row r="2045" spans="13:13">
      <c r="M2045" s="2030"/>
    </row>
    <row r="2241" spans="13:13">
      <c r="M2241" s="2031"/>
    </row>
    <row r="2275" spans="13:13">
      <c r="M2275" s="2030"/>
    </row>
    <row r="2276" spans="13:13">
      <c r="M2276" s="2030"/>
    </row>
    <row r="2277" spans="13:13">
      <c r="M2277" s="2030"/>
    </row>
    <row r="2278" spans="13:13">
      <c r="M2278" s="2030"/>
    </row>
    <row r="2279" spans="13:13">
      <c r="M2279" s="2030"/>
    </row>
    <row r="2280" spans="13:13">
      <c r="M2280" s="2030"/>
    </row>
    <row r="2281" spans="13:13">
      <c r="M2281" s="2030"/>
    </row>
    <row r="2282" spans="13:13">
      <c r="M2282" s="2030"/>
    </row>
    <row r="2283" spans="13:13">
      <c r="M2283" s="2030"/>
    </row>
    <row r="2284" spans="13:13">
      <c r="M2284" s="2030"/>
    </row>
    <row r="2285" spans="13:13">
      <c r="M2285" s="2030"/>
    </row>
    <row r="2286" spans="13:13">
      <c r="M2286" s="2030"/>
    </row>
    <row r="2287" spans="13:13">
      <c r="M2287" s="2030"/>
    </row>
    <row r="2288" spans="13:13">
      <c r="M2288" s="2030"/>
    </row>
    <row r="2289" spans="13:13">
      <c r="M2289" s="2030"/>
    </row>
    <row r="2290" spans="13:13">
      <c r="M2290" s="2030"/>
    </row>
    <row r="2291" spans="13:13">
      <c r="M2291" s="2030"/>
    </row>
    <row r="2292" spans="13:13">
      <c r="M2292" s="2030"/>
    </row>
    <row r="2293" spans="13:13">
      <c r="M2293" s="2030"/>
    </row>
    <row r="2347" spans="13:13">
      <c r="M2347" s="2030"/>
    </row>
    <row r="2349" spans="13:13">
      <c r="M2349" s="2030"/>
    </row>
    <row r="2351" spans="13:13">
      <c r="M2351" s="2030"/>
    </row>
    <row r="2602" spans="13:13">
      <c r="M2602" s="2030"/>
    </row>
    <row r="2614" spans="13:13">
      <c r="M2614" s="2030"/>
    </row>
    <row r="2615" spans="13:13">
      <c r="M2615" s="2030"/>
    </row>
    <row r="2616" spans="13:13">
      <c r="M2616" s="2030"/>
    </row>
    <row r="2617" spans="13:13">
      <c r="M2617" s="2030"/>
    </row>
    <row r="2618" spans="13:13">
      <c r="M2618" s="2030"/>
    </row>
    <row r="2619" spans="13:13">
      <c r="M2619" s="2030"/>
    </row>
    <row r="2620" spans="13:13">
      <c r="M2620" s="2030"/>
    </row>
    <row r="2621" spans="13:13">
      <c r="M2621" s="2030"/>
    </row>
    <row r="2622" spans="13:13">
      <c r="M2622" s="2030"/>
    </row>
    <row r="2623" spans="13:13">
      <c r="M2623" s="2030"/>
    </row>
    <row r="2624" spans="13:13">
      <c r="M2624" s="2030"/>
    </row>
    <row r="2625" spans="13:13">
      <c r="M2625" s="2030"/>
    </row>
    <row r="2626" spans="13:13">
      <c r="M2626" s="2030"/>
    </row>
    <row r="2639" spans="13:13">
      <c r="M2639" s="2030"/>
    </row>
    <row r="2651" spans="13:13">
      <c r="M2651" s="2030"/>
    </row>
    <row r="2652" spans="13:13">
      <c r="M2652" s="2030"/>
    </row>
    <row r="2653" spans="13:13">
      <c r="M2653" s="2030"/>
    </row>
    <row r="2654" spans="13:13">
      <c r="M2654" s="2030"/>
    </row>
    <row r="2655" spans="13:13">
      <c r="M2655" s="2030"/>
    </row>
    <row r="2656" spans="13:13">
      <c r="M2656" s="2030"/>
    </row>
    <row r="2657" spans="13:13">
      <c r="M2657" s="2030"/>
    </row>
    <row r="2658" spans="13:13">
      <c r="M2658" s="2030"/>
    </row>
    <row r="2659" spans="13:13">
      <c r="M2659" s="2030"/>
    </row>
    <row r="2660" spans="13:13">
      <c r="M2660" s="2030"/>
    </row>
    <row r="2661" spans="13:13">
      <c r="M2661" s="2030"/>
    </row>
    <row r="2662" spans="13:13">
      <c r="M2662" s="2030"/>
    </row>
    <row r="2663" spans="13:13">
      <c r="M2663" s="2030"/>
    </row>
    <row r="2678" spans="13:13">
      <c r="M2678" s="2030"/>
    </row>
    <row r="2679" spans="13:13">
      <c r="M2679" s="2030"/>
    </row>
    <row r="2680" spans="13:13">
      <c r="M2680" s="2030"/>
    </row>
    <row r="2681" spans="13:13">
      <c r="M2681" s="2030"/>
    </row>
    <row r="2696" spans="13:13">
      <c r="M2696" s="2030"/>
    </row>
    <row r="2697" spans="13:13">
      <c r="M2697" s="2030"/>
    </row>
    <row r="2698" spans="13:13">
      <c r="M2698" s="2030"/>
    </row>
    <row r="2699" spans="13:13">
      <c r="M2699" s="2030"/>
    </row>
    <row r="2715" spans="13:13">
      <c r="M2715" s="2030"/>
    </row>
    <row r="2716" spans="13:13">
      <c r="M2716" s="2030"/>
    </row>
    <row r="2717" spans="13:13">
      <c r="M2717" s="2030"/>
    </row>
    <row r="2718" spans="13:13">
      <c r="M2718" s="2030"/>
    </row>
    <row r="2719" spans="13:13">
      <c r="M2719" s="2030"/>
    </row>
    <row r="2720" spans="13:13">
      <c r="M2720" s="2030"/>
    </row>
    <row r="2721" spans="13:13">
      <c r="M2721" s="2030"/>
    </row>
    <row r="2722" spans="13:13">
      <c r="M2722" s="2030"/>
    </row>
    <row r="2723" spans="13:13">
      <c r="M2723" s="2030"/>
    </row>
    <row r="2724" spans="13:13">
      <c r="M2724" s="2030"/>
    </row>
    <row r="2725" spans="13:13">
      <c r="M2725" s="2030"/>
    </row>
    <row r="2726" spans="13:13">
      <c r="M2726" s="2030"/>
    </row>
    <row r="2727" spans="13:13">
      <c r="M2727" s="2030"/>
    </row>
    <row r="2732" spans="13:13">
      <c r="M2732" s="2030"/>
    </row>
    <row r="2733" spans="13:13">
      <c r="M2733" s="2030"/>
    </row>
    <row r="2734" spans="13:13">
      <c r="M2734" s="2030"/>
    </row>
  </sheetData>
  <sheetProtection algorithmName="SHA-512" hashValue="iDMc8la7MoS8iuD+mYA1bexQ2PYeyJXcxx+Dcc0QzH2EEQ3yFxTVNyIBaWlYZt0nOJyhEZaYGE0Ym5TbaAbsGw==" saltValue="Mapi0n4s6/GG+3JWWSTupQ==" spinCount="100000" sheet="1" objects="1" scenarios="1" formatCells="0" formatColumns="0" formatRows="0" selectLockedCells="1"/>
  <sortState xmlns:xlrd2="http://schemas.microsoft.com/office/spreadsheetml/2017/richdata2" ref="A1:J328">
    <sortCondition ref="A1:A328"/>
    <sortCondition ref="B1:B328"/>
    <sortCondition ref="C1:C328"/>
  </sortState>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25" zoomScaleNormal="125" workbookViewId="0">
      <selection activeCell="A5" sqref="A5:E1650"/>
    </sheetView>
  </sheetViews>
  <sheetFormatPr baseColWidth="10" defaultRowHeight="16"/>
  <cols>
    <col min="1" max="1" width="13.5703125" style="1365" customWidth="1"/>
    <col min="2" max="2" width="10.7109375" style="1365"/>
    <col min="3" max="3" width="55.7109375" style="1365" customWidth="1"/>
    <col min="4" max="5" width="10.7109375" style="1365"/>
    <col min="6" max="6" width="2.5703125" style="1365" customWidth="1"/>
    <col min="7" max="16384" width="10.7109375" style="1365"/>
  </cols>
  <sheetData>
    <row r="1" spans="1:6" ht="8" customHeight="1">
      <c r="A1" s="1731"/>
      <c r="B1" s="1731"/>
      <c r="C1" s="1731"/>
      <c r="D1" s="1731"/>
      <c r="E1" s="1731"/>
      <c r="F1" s="1731"/>
    </row>
    <row r="2" spans="1:6" ht="40" customHeight="1">
      <c r="B2" s="1555" t="s">
        <v>2275</v>
      </c>
    </row>
    <row r="3" spans="1:6" ht="141" customHeight="1">
      <c r="A3" s="1807" t="s">
        <v>1348</v>
      </c>
      <c r="B3" s="2401" t="s">
        <v>2408</v>
      </c>
      <c r="C3" s="2401"/>
      <c r="D3" s="2401"/>
      <c r="E3" s="2401"/>
    </row>
    <row r="4" spans="1:6">
      <c r="A4" s="1362" t="s">
        <v>2276</v>
      </c>
      <c r="B4" s="1363" t="s">
        <v>2191</v>
      </c>
      <c r="C4" s="1363" t="s">
        <v>219</v>
      </c>
      <c r="D4" s="1363" t="s">
        <v>2277</v>
      </c>
      <c r="E4" s="1364" t="s">
        <v>2192</v>
      </c>
    </row>
    <row r="5" spans="1:6" s="1732" customFormat="1">
      <c r="A5" s="1655" t="s">
        <v>423</v>
      </c>
      <c r="B5" s="1655" t="s">
        <v>1155</v>
      </c>
      <c r="C5" s="1655" t="s">
        <v>83</v>
      </c>
      <c r="D5" s="1655" t="s">
        <v>42</v>
      </c>
      <c r="E5" s="1655" t="s">
        <v>569</v>
      </c>
    </row>
    <row r="6" spans="1:6" s="1732" customFormat="1">
      <c r="A6" s="1655" t="s">
        <v>423</v>
      </c>
      <c r="B6" s="1655" t="s">
        <v>1156</v>
      </c>
      <c r="C6" s="1655" t="s">
        <v>2303</v>
      </c>
      <c r="D6" s="1655" t="s">
        <v>42</v>
      </c>
      <c r="E6" s="1655" t="s">
        <v>569</v>
      </c>
    </row>
    <row r="7" spans="1:6" s="1732" customFormat="1">
      <c r="A7" s="1655" t="s">
        <v>423</v>
      </c>
      <c r="B7" s="1655" t="s">
        <v>1157</v>
      </c>
      <c r="C7" s="1655" t="s">
        <v>570</v>
      </c>
      <c r="D7" s="1655" t="s">
        <v>43</v>
      </c>
      <c r="E7" s="1655" t="s">
        <v>569</v>
      </c>
    </row>
    <row r="8" spans="1:6" s="1732" customFormat="1">
      <c r="A8" s="1655" t="s">
        <v>423</v>
      </c>
      <c r="B8" s="1655" t="s">
        <v>1158</v>
      </c>
      <c r="C8" s="1655" t="s">
        <v>570</v>
      </c>
      <c r="D8" s="1655" t="s">
        <v>43</v>
      </c>
      <c r="E8" s="1655" t="s">
        <v>569</v>
      </c>
    </row>
    <row r="9" spans="1:6" s="1732" customFormat="1">
      <c r="A9" s="1655" t="s">
        <v>423</v>
      </c>
      <c r="B9" s="1655" t="s">
        <v>1159</v>
      </c>
      <c r="C9" s="1655" t="s">
        <v>570</v>
      </c>
      <c r="D9" s="1655" t="s">
        <v>43</v>
      </c>
      <c r="E9" s="1655" t="s">
        <v>569</v>
      </c>
    </row>
    <row r="10" spans="1:6" s="1732" customFormat="1">
      <c r="A10" s="1655" t="s">
        <v>423</v>
      </c>
      <c r="B10" s="1655" t="s">
        <v>1255</v>
      </c>
      <c r="C10" s="1655" t="s">
        <v>381</v>
      </c>
      <c r="D10" s="1655" t="s">
        <v>42</v>
      </c>
      <c r="E10" s="1655" t="s">
        <v>569</v>
      </c>
    </row>
    <row r="11" spans="1:6" s="1732" customFormat="1">
      <c r="A11" s="1655" t="s">
        <v>423</v>
      </c>
      <c r="B11" s="1655" t="s">
        <v>1261</v>
      </c>
      <c r="C11" s="1655" t="s">
        <v>2297</v>
      </c>
      <c r="D11" s="1655" t="s">
        <v>42</v>
      </c>
      <c r="E11" s="1655" t="s">
        <v>569</v>
      </c>
    </row>
    <row r="12" spans="1:6" s="1732" customFormat="1">
      <c r="A12" s="1655" t="s">
        <v>423</v>
      </c>
      <c r="B12" s="1655" t="s">
        <v>1497</v>
      </c>
      <c r="C12" s="1655" t="s">
        <v>2299</v>
      </c>
      <c r="D12" s="1655" t="s">
        <v>42</v>
      </c>
      <c r="E12" s="1655" t="s">
        <v>569</v>
      </c>
    </row>
    <row r="13" spans="1:6" s="1732" customFormat="1">
      <c r="A13" s="1655" t="s">
        <v>423</v>
      </c>
      <c r="B13" s="1655" t="s">
        <v>1498</v>
      </c>
      <c r="C13" s="1655" t="s">
        <v>570</v>
      </c>
      <c r="D13" s="1655" t="s">
        <v>43</v>
      </c>
      <c r="E13" s="1655" t="s">
        <v>569</v>
      </c>
    </row>
    <row r="14" spans="1:6" s="1732" customFormat="1">
      <c r="A14" s="1655" t="s">
        <v>423</v>
      </c>
      <c r="B14" s="1655" t="s">
        <v>1499</v>
      </c>
      <c r="C14" s="1655" t="s">
        <v>570</v>
      </c>
      <c r="D14" s="1655" t="s">
        <v>43</v>
      </c>
      <c r="E14" s="1655" t="s">
        <v>569</v>
      </c>
    </row>
    <row r="15" spans="1:6" s="1732" customFormat="1">
      <c r="A15" s="1655" t="s">
        <v>423</v>
      </c>
      <c r="B15" s="1655" t="s">
        <v>1500</v>
      </c>
      <c r="C15" s="1655" t="s">
        <v>2295</v>
      </c>
      <c r="D15" s="1655" t="s">
        <v>42</v>
      </c>
      <c r="E15" s="1655" t="s">
        <v>569</v>
      </c>
    </row>
    <row r="16" spans="1:6" s="1732" customFormat="1">
      <c r="A16" s="1655" t="s">
        <v>423</v>
      </c>
      <c r="B16" s="1655" t="s">
        <v>1501</v>
      </c>
      <c r="C16" s="1655" t="s">
        <v>2296</v>
      </c>
      <c r="D16" s="1655" t="s">
        <v>42</v>
      </c>
      <c r="E16" s="1655" t="s">
        <v>569</v>
      </c>
    </row>
    <row r="17" spans="1:5" s="1732" customFormat="1">
      <c r="A17" s="1655" t="s">
        <v>423</v>
      </c>
      <c r="B17" s="1655" t="s">
        <v>1502</v>
      </c>
      <c r="C17" s="1655" t="s">
        <v>2296</v>
      </c>
      <c r="D17" s="1655" t="s">
        <v>42</v>
      </c>
      <c r="E17" s="1655" t="s">
        <v>569</v>
      </c>
    </row>
    <row r="18" spans="1:5" s="1732" customFormat="1">
      <c r="A18" s="1655" t="s">
        <v>423</v>
      </c>
      <c r="B18" s="1655" t="s">
        <v>1503</v>
      </c>
      <c r="C18" s="1655" t="s">
        <v>570</v>
      </c>
      <c r="D18" s="1655" t="s">
        <v>43</v>
      </c>
      <c r="E18" s="1655" t="s">
        <v>569</v>
      </c>
    </row>
    <row r="19" spans="1:5" s="1732" customFormat="1">
      <c r="A19" s="1655" t="s">
        <v>423</v>
      </c>
      <c r="B19" s="1655" t="s">
        <v>1504</v>
      </c>
      <c r="C19" s="1655" t="s">
        <v>570</v>
      </c>
      <c r="D19" s="1655" t="s">
        <v>43</v>
      </c>
      <c r="E19" s="1655" t="s">
        <v>569</v>
      </c>
    </row>
    <row r="20" spans="1:5" s="1732" customFormat="1">
      <c r="A20" s="1655" t="s">
        <v>423</v>
      </c>
      <c r="B20" s="1655" t="s">
        <v>1505</v>
      </c>
      <c r="C20" s="1655" t="s">
        <v>570</v>
      </c>
      <c r="D20" s="1655" t="s">
        <v>43</v>
      </c>
      <c r="E20" s="1655" t="s">
        <v>569</v>
      </c>
    </row>
    <row r="21" spans="1:5" s="1732" customFormat="1">
      <c r="A21" s="1655" t="s">
        <v>423</v>
      </c>
      <c r="B21" s="1655" t="s">
        <v>1506</v>
      </c>
      <c r="C21" s="1655" t="s">
        <v>570</v>
      </c>
      <c r="D21" s="1655" t="s">
        <v>43</v>
      </c>
      <c r="E21" s="1655" t="s">
        <v>569</v>
      </c>
    </row>
    <row r="22" spans="1:5" s="1732" customFormat="1">
      <c r="A22" s="1655" t="s">
        <v>423</v>
      </c>
      <c r="B22" s="1655" t="s">
        <v>1507</v>
      </c>
      <c r="C22" s="1655" t="s">
        <v>570</v>
      </c>
      <c r="D22" s="1655" t="s">
        <v>43</v>
      </c>
      <c r="E22" s="1655" t="s">
        <v>569</v>
      </c>
    </row>
    <row r="23" spans="1:5" s="1732" customFormat="1">
      <c r="A23" s="1655" t="s">
        <v>423</v>
      </c>
      <c r="B23" s="1655" t="s">
        <v>1508</v>
      </c>
      <c r="C23" s="1655" t="s">
        <v>570</v>
      </c>
      <c r="D23" s="1655" t="s">
        <v>43</v>
      </c>
      <c r="E23" s="1655" t="s">
        <v>569</v>
      </c>
    </row>
    <row r="24" spans="1:5" s="1732" customFormat="1">
      <c r="A24" s="1655" t="s">
        <v>423</v>
      </c>
      <c r="B24" s="1655" t="s">
        <v>1509</v>
      </c>
      <c r="C24" s="1655" t="s">
        <v>570</v>
      </c>
      <c r="D24" s="1655" t="s">
        <v>43</v>
      </c>
      <c r="E24" s="1655" t="s">
        <v>569</v>
      </c>
    </row>
    <row r="25" spans="1:5" s="1732" customFormat="1">
      <c r="A25" s="1655" t="s">
        <v>423</v>
      </c>
      <c r="B25" s="1655" t="s">
        <v>674</v>
      </c>
      <c r="C25" s="1655" t="s">
        <v>570</v>
      </c>
      <c r="D25" s="1655" t="s">
        <v>43</v>
      </c>
      <c r="E25" s="1655" t="s">
        <v>569</v>
      </c>
    </row>
    <row r="26" spans="1:5" s="1732" customFormat="1">
      <c r="A26" s="1655" t="s">
        <v>423</v>
      </c>
      <c r="B26" s="1655" t="s">
        <v>675</v>
      </c>
      <c r="C26" s="1655" t="s">
        <v>570</v>
      </c>
      <c r="D26" s="1655" t="s">
        <v>43</v>
      </c>
      <c r="E26" s="1655" t="s">
        <v>569</v>
      </c>
    </row>
    <row r="27" spans="1:5" s="1732" customFormat="1">
      <c r="A27" s="1655" t="s">
        <v>423</v>
      </c>
      <c r="B27" s="1655" t="s">
        <v>683</v>
      </c>
      <c r="C27" s="1655" t="s">
        <v>570</v>
      </c>
      <c r="D27" s="1655" t="s">
        <v>43</v>
      </c>
      <c r="E27" s="1655" t="s">
        <v>569</v>
      </c>
    </row>
    <row r="28" spans="1:5" s="1732" customFormat="1">
      <c r="A28" s="1655" t="s">
        <v>423</v>
      </c>
      <c r="B28" s="1655" t="s">
        <v>684</v>
      </c>
      <c r="C28" s="1655" t="s">
        <v>570</v>
      </c>
      <c r="D28" s="1655" t="s">
        <v>43</v>
      </c>
      <c r="E28" s="1655" t="s">
        <v>569</v>
      </c>
    </row>
    <row r="29" spans="1:5" s="1732" customFormat="1">
      <c r="A29" s="1655" t="s">
        <v>423</v>
      </c>
      <c r="B29" s="1655" t="s">
        <v>1162</v>
      </c>
      <c r="C29" s="1655" t="s">
        <v>81</v>
      </c>
      <c r="D29" s="1655" t="s">
        <v>42</v>
      </c>
      <c r="E29" s="1655" t="s">
        <v>569</v>
      </c>
    </row>
    <row r="30" spans="1:5" s="1732" customFormat="1">
      <c r="A30" s="1655" t="s">
        <v>423</v>
      </c>
      <c r="B30" s="1655" t="s">
        <v>1163</v>
      </c>
      <c r="C30" s="1655" t="s">
        <v>2</v>
      </c>
      <c r="D30" s="1655" t="s">
        <v>42</v>
      </c>
      <c r="E30" s="1655" t="s">
        <v>569</v>
      </c>
    </row>
    <row r="31" spans="1:5" s="1732" customFormat="1">
      <c r="A31" s="1655" t="s">
        <v>423</v>
      </c>
      <c r="B31" s="1655" t="s">
        <v>573</v>
      </c>
      <c r="C31" s="1655" t="s">
        <v>570</v>
      </c>
      <c r="D31" s="1655" t="s">
        <v>43</v>
      </c>
      <c r="E31" s="1655" t="s">
        <v>569</v>
      </c>
    </row>
    <row r="32" spans="1:5" s="1732" customFormat="1">
      <c r="A32" s="1655" t="s">
        <v>423</v>
      </c>
      <c r="B32" s="1655" t="s">
        <v>1164</v>
      </c>
      <c r="C32" s="1655" t="s">
        <v>570</v>
      </c>
      <c r="D32" s="1655" t="s">
        <v>43</v>
      </c>
      <c r="E32" s="1655" t="s">
        <v>569</v>
      </c>
    </row>
    <row r="33" spans="1:5" s="1732" customFormat="1">
      <c r="A33" s="1655" t="s">
        <v>423</v>
      </c>
      <c r="B33" s="1655" t="s">
        <v>1165</v>
      </c>
      <c r="C33" s="1655" t="s">
        <v>570</v>
      </c>
      <c r="D33" s="1655" t="s">
        <v>43</v>
      </c>
      <c r="E33" s="1655" t="s">
        <v>569</v>
      </c>
    </row>
    <row r="34" spans="1:5" s="1732" customFormat="1">
      <c r="A34" s="1655" t="s">
        <v>423</v>
      </c>
      <c r="B34" s="1655" t="s">
        <v>1266</v>
      </c>
      <c r="C34" s="1655" t="s">
        <v>2302</v>
      </c>
      <c r="D34" s="1655" t="s">
        <v>42</v>
      </c>
      <c r="E34" s="1655" t="s">
        <v>569</v>
      </c>
    </row>
    <row r="35" spans="1:5" s="1732" customFormat="1">
      <c r="A35" s="1655" t="s">
        <v>423</v>
      </c>
      <c r="B35" s="1655" t="s">
        <v>578</v>
      </c>
      <c r="C35" s="1655" t="s">
        <v>2298</v>
      </c>
      <c r="D35" s="1655" t="s">
        <v>42</v>
      </c>
      <c r="E35" s="1655" t="s">
        <v>569</v>
      </c>
    </row>
    <row r="36" spans="1:5" s="1732" customFormat="1">
      <c r="A36" s="1655" t="s">
        <v>423</v>
      </c>
      <c r="B36" s="1655" t="s">
        <v>579</v>
      </c>
      <c r="C36" s="1655" t="s">
        <v>2300</v>
      </c>
      <c r="D36" s="1655" t="s">
        <v>42</v>
      </c>
      <c r="E36" s="1655" t="s">
        <v>569</v>
      </c>
    </row>
    <row r="37" spans="1:5" s="1732" customFormat="1">
      <c r="A37" s="1655" t="s">
        <v>423</v>
      </c>
      <c r="B37" s="1655" t="s">
        <v>580</v>
      </c>
      <c r="C37" s="1655" t="s">
        <v>570</v>
      </c>
      <c r="D37" s="1655" t="s">
        <v>43</v>
      </c>
      <c r="E37" s="1655" t="s">
        <v>569</v>
      </c>
    </row>
    <row r="38" spans="1:5" s="1732" customFormat="1">
      <c r="A38" s="1655" t="s">
        <v>423</v>
      </c>
      <c r="B38" s="1655" t="s">
        <v>581</v>
      </c>
      <c r="C38" s="1655" t="s">
        <v>570</v>
      </c>
      <c r="D38" s="1655" t="s">
        <v>43</v>
      </c>
      <c r="E38" s="1655" t="s">
        <v>569</v>
      </c>
    </row>
    <row r="39" spans="1:5" s="1732" customFormat="1">
      <c r="A39" s="1655" t="s">
        <v>423</v>
      </c>
      <c r="B39" s="1655" t="s">
        <v>1510</v>
      </c>
      <c r="C39" s="1655" t="s">
        <v>2288</v>
      </c>
      <c r="D39" s="1655" t="s">
        <v>42</v>
      </c>
      <c r="E39" s="1655" t="s">
        <v>569</v>
      </c>
    </row>
    <row r="40" spans="1:5" s="1732" customFormat="1">
      <c r="A40" s="1655" t="s">
        <v>423</v>
      </c>
      <c r="B40" s="1655" t="s">
        <v>1511</v>
      </c>
      <c r="C40" s="1655" t="s">
        <v>2288</v>
      </c>
      <c r="D40" s="1655" t="s">
        <v>42</v>
      </c>
      <c r="E40" s="1655" t="s">
        <v>569</v>
      </c>
    </row>
    <row r="41" spans="1:5" s="1732" customFormat="1">
      <c r="A41" s="1655" t="s">
        <v>423</v>
      </c>
      <c r="B41" s="1655" t="s">
        <v>1512</v>
      </c>
      <c r="C41" s="1655" t="s">
        <v>2301</v>
      </c>
      <c r="D41" s="1655" t="s">
        <v>42</v>
      </c>
      <c r="E41" s="1655" t="s">
        <v>569</v>
      </c>
    </row>
    <row r="42" spans="1:5" s="1732" customFormat="1">
      <c r="A42" s="1655" t="s">
        <v>423</v>
      </c>
      <c r="B42" s="1655" t="s">
        <v>586</v>
      </c>
      <c r="C42" s="1655" t="s">
        <v>570</v>
      </c>
      <c r="D42" s="1655" t="s">
        <v>43</v>
      </c>
      <c r="E42" s="1655" t="s">
        <v>569</v>
      </c>
    </row>
    <row r="43" spans="1:5" s="1732" customFormat="1">
      <c r="A43" s="1655" t="s">
        <v>423</v>
      </c>
      <c r="B43" s="1655" t="s">
        <v>587</v>
      </c>
      <c r="C43" s="1655" t="s">
        <v>570</v>
      </c>
      <c r="D43" s="1655" t="s">
        <v>43</v>
      </c>
      <c r="E43" s="1655" t="s">
        <v>569</v>
      </c>
    </row>
    <row r="44" spans="1:5" s="1732" customFormat="1">
      <c r="A44" s="1655" t="s">
        <v>423</v>
      </c>
      <c r="B44" s="1655" t="s">
        <v>588</v>
      </c>
      <c r="C44" s="1655" t="s">
        <v>570</v>
      </c>
      <c r="D44" s="1655" t="s">
        <v>43</v>
      </c>
      <c r="E44" s="1655" t="s">
        <v>569</v>
      </c>
    </row>
    <row r="45" spans="1:5" s="1732" customFormat="1">
      <c r="A45" s="1655" t="s">
        <v>423</v>
      </c>
      <c r="B45" s="1655" t="s">
        <v>1513</v>
      </c>
      <c r="C45" s="1655" t="s">
        <v>570</v>
      </c>
      <c r="D45" s="1655" t="s">
        <v>43</v>
      </c>
      <c r="E45" s="1655" t="s">
        <v>569</v>
      </c>
    </row>
    <row r="46" spans="1:5" s="1732" customFormat="1">
      <c r="A46" s="1655" t="s">
        <v>423</v>
      </c>
      <c r="B46" s="1655" t="s">
        <v>1514</v>
      </c>
      <c r="C46" s="1655" t="s">
        <v>570</v>
      </c>
      <c r="D46" s="1655" t="s">
        <v>43</v>
      </c>
      <c r="E46" s="1655" t="s">
        <v>569</v>
      </c>
    </row>
    <row r="47" spans="1:5" s="1732" customFormat="1">
      <c r="A47" s="1655" t="s">
        <v>423</v>
      </c>
      <c r="B47" s="1655" t="s">
        <v>1515</v>
      </c>
      <c r="C47" s="1655" t="s">
        <v>570</v>
      </c>
      <c r="D47" s="1655" t="s">
        <v>43</v>
      </c>
      <c r="E47" s="1655" t="s">
        <v>569</v>
      </c>
    </row>
    <row r="48" spans="1:5" s="1732" customFormat="1">
      <c r="A48" s="1655" t="s">
        <v>423</v>
      </c>
      <c r="B48" s="1655" t="s">
        <v>1516</v>
      </c>
      <c r="C48" s="1655" t="s">
        <v>570</v>
      </c>
      <c r="D48" s="1655" t="s">
        <v>43</v>
      </c>
      <c r="E48" s="1655" t="s">
        <v>569</v>
      </c>
    </row>
    <row r="49" spans="1:5" s="1732" customFormat="1">
      <c r="A49" s="1655" t="s">
        <v>423</v>
      </c>
      <c r="B49" s="1655" t="s">
        <v>725</v>
      </c>
      <c r="C49" s="1655" t="s">
        <v>570</v>
      </c>
      <c r="D49" s="1655" t="s">
        <v>43</v>
      </c>
      <c r="E49" s="1655" t="s">
        <v>569</v>
      </c>
    </row>
    <row r="50" spans="1:5" s="1732" customFormat="1">
      <c r="A50" s="1655" t="s">
        <v>423</v>
      </c>
      <c r="B50" s="1655" t="s">
        <v>726</v>
      </c>
      <c r="C50" s="1655" t="s">
        <v>570</v>
      </c>
      <c r="D50" s="1655" t="s">
        <v>43</v>
      </c>
      <c r="E50" s="1655" t="s">
        <v>569</v>
      </c>
    </row>
    <row r="51" spans="1:5" s="1732" customFormat="1">
      <c r="A51" s="1655" t="s">
        <v>423</v>
      </c>
      <c r="B51" s="1655" t="s">
        <v>734</v>
      </c>
      <c r="C51" s="1655" t="s">
        <v>570</v>
      </c>
      <c r="D51" s="1655" t="s">
        <v>43</v>
      </c>
      <c r="E51" s="1655" t="s">
        <v>569</v>
      </c>
    </row>
    <row r="52" spans="1:5" s="1732" customFormat="1">
      <c r="A52" s="1655" t="s">
        <v>423</v>
      </c>
      <c r="B52" s="1655" t="s">
        <v>735</v>
      </c>
      <c r="C52" s="1655" t="s">
        <v>570</v>
      </c>
      <c r="D52" s="1655" t="s">
        <v>43</v>
      </c>
      <c r="E52" s="1655" t="s">
        <v>569</v>
      </c>
    </row>
    <row r="53" spans="1:5" s="1732" customFormat="1">
      <c r="A53" s="1655" t="s">
        <v>423</v>
      </c>
      <c r="B53" s="1655" t="s">
        <v>1168</v>
      </c>
      <c r="C53" s="1655">
        <v>4000</v>
      </c>
      <c r="D53" s="1655" t="s">
        <v>42</v>
      </c>
      <c r="E53" s="1655" t="s">
        <v>571</v>
      </c>
    </row>
    <row r="54" spans="1:5" s="1732" customFormat="1">
      <c r="A54" s="1655" t="s">
        <v>423</v>
      </c>
      <c r="B54" s="1655" t="s">
        <v>1169</v>
      </c>
      <c r="C54" s="1655">
        <v>8000</v>
      </c>
      <c r="D54" s="1655" t="s">
        <v>42</v>
      </c>
      <c r="E54" s="1655" t="s">
        <v>571</v>
      </c>
    </row>
    <row r="55" spans="1:5" s="1732" customFormat="1">
      <c r="A55" s="1655" t="s">
        <v>423</v>
      </c>
      <c r="B55" s="1655" t="s">
        <v>589</v>
      </c>
      <c r="C55" s="1655">
        <v>0</v>
      </c>
      <c r="D55" s="1655" t="s">
        <v>42</v>
      </c>
      <c r="E55" s="1655" t="s">
        <v>571</v>
      </c>
    </row>
    <row r="56" spans="1:5" s="1732" customFormat="1">
      <c r="A56" s="1655" t="s">
        <v>423</v>
      </c>
      <c r="B56" s="1655" t="s">
        <v>1170</v>
      </c>
      <c r="C56" s="1655">
        <v>0</v>
      </c>
      <c r="D56" s="1655" t="s">
        <v>42</v>
      </c>
      <c r="E56" s="1655" t="s">
        <v>571</v>
      </c>
    </row>
    <row r="57" spans="1:5" s="1732" customFormat="1">
      <c r="A57" s="1655" t="s">
        <v>423</v>
      </c>
      <c r="B57" s="1655" t="s">
        <v>1171</v>
      </c>
      <c r="C57" s="1655">
        <v>0</v>
      </c>
      <c r="D57" s="1655" t="s">
        <v>42</v>
      </c>
      <c r="E57" s="1655" t="s">
        <v>571</v>
      </c>
    </row>
    <row r="58" spans="1:5" s="1732" customFormat="1">
      <c r="A58" s="1655" t="s">
        <v>423</v>
      </c>
      <c r="B58" s="1655" t="s">
        <v>1271</v>
      </c>
      <c r="C58" s="1655">
        <v>450000</v>
      </c>
      <c r="D58" s="1655" t="s">
        <v>42</v>
      </c>
      <c r="E58" s="1655" t="s">
        <v>571</v>
      </c>
    </row>
    <row r="59" spans="1:5" s="1732" customFormat="1">
      <c r="A59" s="1655" t="s">
        <v>423</v>
      </c>
      <c r="B59" s="1655" t="s">
        <v>594</v>
      </c>
      <c r="C59" s="1655">
        <v>35000</v>
      </c>
      <c r="D59" s="1655" t="s">
        <v>42</v>
      </c>
      <c r="E59" s="1655" t="s">
        <v>571</v>
      </c>
    </row>
    <row r="60" spans="1:5" s="1732" customFormat="1">
      <c r="A60" s="1655" t="s">
        <v>423</v>
      </c>
      <c r="B60" s="1655" t="s">
        <v>595</v>
      </c>
      <c r="C60" s="1655">
        <v>41000</v>
      </c>
      <c r="D60" s="1655" t="s">
        <v>42</v>
      </c>
      <c r="E60" s="1655" t="s">
        <v>571</v>
      </c>
    </row>
    <row r="61" spans="1:5" s="1732" customFormat="1">
      <c r="A61" s="1655" t="s">
        <v>423</v>
      </c>
      <c r="B61" s="1655" t="s">
        <v>596</v>
      </c>
      <c r="C61" s="1655">
        <v>0</v>
      </c>
      <c r="D61" s="1655" t="s">
        <v>42</v>
      </c>
      <c r="E61" s="1655" t="s">
        <v>571</v>
      </c>
    </row>
    <row r="62" spans="1:5" s="1732" customFormat="1">
      <c r="A62" s="1655" t="s">
        <v>423</v>
      </c>
      <c r="B62" s="1655" t="s">
        <v>597</v>
      </c>
      <c r="C62" s="1655">
        <v>0</v>
      </c>
      <c r="D62" s="1655" t="s">
        <v>42</v>
      </c>
      <c r="E62" s="1655" t="s">
        <v>571</v>
      </c>
    </row>
    <row r="63" spans="1:5" s="1732" customFormat="1">
      <c r="A63" s="1655" t="s">
        <v>423</v>
      </c>
      <c r="B63" s="1655" t="s">
        <v>1517</v>
      </c>
      <c r="C63" s="1655">
        <v>250000</v>
      </c>
      <c r="D63" s="1655" t="s">
        <v>42</v>
      </c>
      <c r="E63" s="1655" t="s">
        <v>571</v>
      </c>
    </row>
    <row r="64" spans="1:5" s="1732" customFormat="1">
      <c r="A64" s="1655" t="s">
        <v>423</v>
      </c>
      <c r="B64" s="1655" t="s">
        <v>1518</v>
      </c>
      <c r="C64" s="1655">
        <v>225000</v>
      </c>
      <c r="D64" s="1655" t="s">
        <v>42</v>
      </c>
      <c r="E64" s="1655" t="s">
        <v>571</v>
      </c>
    </row>
    <row r="65" spans="1:5" s="1732" customFormat="1">
      <c r="A65" s="1655" t="s">
        <v>423</v>
      </c>
      <c r="B65" s="1655" t="s">
        <v>1519</v>
      </c>
      <c r="C65" s="1655">
        <v>75000</v>
      </c>
      <c r="D65" s="1655" t="s">
        <v>42</v>
      </c>
      <c r="E65" s="1655" t="s">
        <v>571</v>
      </c>
    </row>
    <row r="66" spans="1:5" s="1732" customFormat="1">
      <c r="A66" s="1655" t="s">
        <v>423</v>
      </c>
      <c r="B66" s="1655" t="s">
        <v>598</v>
      </c>
      <c r="C66" s="1655">
        <v>0</v>
      </c>
      <c r="D66" s="1655" t="s">
        <v>42</v>
      </c>
      <c r="E66" s="1655" t="s">
        <v>571</v>
      </c>
    </row>
    <row r="67" spans="1:5" s="1732" customFormat="1">
      <c r="A67" s="1655" t="s">
        <v>423</v>
      </c>
      <c r="B67" s="1655" t="s">
        <v>599</v>
      </c>
      <c r="C67" s="1655">
        <v>0</v>
      </c>
      <c r="D67" s="1655" t="s">
        <v>42</v>
      </c>
      <c r="E67" s="1655" t="s">
        <v>571</v>
      </c>
    </row>
    <row r="68" spans="1:5" s="1732" customFormat="1">
      <c r="A68" s="1655" t="s">
        <v>423</v>
      </c>
      <c r="B68" s="1655" t="s">
        <v>600</v>
      </c>
      <c r="C68" s="1655">
        <v>0</v>
      </c>
      <c r="D68" s="1655" t="s">
        <v>42</v>
      </c>
      <c r="E68" s="1655" t="s">
        <v>571</v>
      </c>
    </row>
    <row r="69" spans="1:5" s="1732" customFormat="1">
      <c r="A69" s="1655" t="s">
        <v>423</v>
      </c>
      <c r="B69" s="1655" t="s">
        <v>1520</v>
      </c>
      <c r="C69" s="1655">
        <v>0</v>
      </c>
      <c r="D69" s="1655" t="s">
        <v>42</v>
      </c>
      <c r="E69" s="1655" t="s">
        <v>571</v>
      </c>
    </row>
    <row r="70" spans="1:5" s="1732" customFormat="1">
      <c r="A70" s="1655" t="s">
        <v>423</v>
      </c>
      <c r="B70" s="1655" t="s">
        <v>1521</v>
      </c>
      <c r="C70" s="1655">
        <v>0</v>
      </c>
      <c r="D70" s="1655" t="s">
        <v>42</v>
      </c>
      <c r="E70" s="1655" t="s">
        <v>571</v>
      </c>
    </row>
    <row r="71" spans="1:5" s="1732" customFormat="1">
      <c r="A71" s="1655" t="s">
        <v>423</v>
      </c>
      <c r="B71" s="1655" t="s">
        <v>1522</v>
      </c>
      <c r="C71" s="1655">
        <v>0</v>
      </c>
      <c r="D71" s="1655" t="s">
        <v>42</v>
      </c>
      <c r="E71" s="1655" t="s">
        <v>571</v>
      </c>
    </row>
    <row r="72" spans="1:5" s="1732" customFormat="1">
      <c r="A72" s="1655" t="s">
        <v>423</v>
      </c>
      <c r="B72" s="1655" t="s">
        <v>1523</v>
      </c>
      <c r="C72" s="1655">
        <v>0</v>
      </c>
      <c r="D72" s="1655" t="s">
        <v>42</v>
      </c>
      <c r="E72" s="1655" t="s">
        <v>571</v>
      </c>
    </row>
    <row r="73" spans="1:5" s="1732" customFormat="1">
      <c r="A73" s="1655" t="s">
        <v>423</v>
      </c>
      <c r="B73" s="1655" t="s">
        <v>776</v>
      </c>
      <c r="C73" s="1655">
        <v>0</v>
      </c>
      <c r="D73" s="1655" t="s">
        <v>42</v>
      </c>
      <c r="E73" s="1655" t="s">
        <v>571</v>
      </c>
    </row>
    <row r="74" spans="1:5" s="1732" customFormat="1">
      <c r="A74" s="1655" t="s">
        <v>423</v>
      </c>
      <c r="B74" s="1655" t="s">
        <v>777</v>
      </c>
      <c r="C74" s="1655">
        <v>0</v>
      </c>
      <c r="D74" s="1655" t="s">
        <v>42</v>
      </c>
      <c r="E74" s="1655" t="s">
        <v>571</v>
      </c>
    </row>
    <row r="75" spans="1:5" s="1732" customFormat="1">
      <c r="A75" s="1655" t="s">
        <v>423</v>
      </c>
      <c r="B75" s="1655" t="s">
        <v>785</v>
      </c>
      <c r="C75" s="1656">
        <v>0</v>
      </c>
      <c r="D75" s="1655" t="s">
        <v>42</v>
      </c>
      <c r="E75" s="1655" t="s">
        <v>571</v>
      </c>
    </row>
    <row r="76" spans="1:5" s="1732" customFormat="1">
      <c r="A76" s="1655" t="s">
        <v>423</v>
      </c>
      <c r="B76" s="1655" t="s">
        <v>786</v>
      </c>
      <c r="C76" s="1656">
        <v>0</v>
      </c>
      <c r="D76" s="1655" t="s">
        <v>42</v>
      </c>
      <c r="E76" s="1655" t="s">
        <v>571</v>
      </c>
    </row>
    <row r="77" spans="1:5" s="1732" customFormat="1">
      <c r="A77" s="1655" t="s">
        <v>423</v>
      </c>
      <c r="B77" s="1655" t="s">
        <v>1175</v>
      </c>
      <c r="C77" s="1655" t="s">
        <v>570</v>
      </c>
      <c r="D77" s="1655" t="s">
        <v>43</v>
      </c>
      <c r="E77" s="1655" t="s">
        <v>569</v>
      </c>
    </row>
    <row r="78" spans="1:5" s="1732" customFormat="1">
      <c r="A78" s="1655" t="s">
        <v>423</v>
      </c>
      <c r="B78" s="1655" t="s">
        <v>1176</v>
      </c>
      <c r="C78" s="1655" t="s">
        <v>570</v>
      </c>
      <c r="D78" s="1655" t="s">
        <v>43</v>
      </c>
      <c r="E78" s="1655" t="s">
        <v>569</v>
      </c>
    </row>
    <row r="79" spans="1:5" s="1732" customFormat="1">
      <c r="A79" s="1655" t="s">
        <v>423</v>
      </c>
      <c r="B79" s="1655" t="s">
        <v>1177</v>
      </c>
      <c r="C79" s="1655" t="s">
        <v>570</v>
      </c>
      <c r="D79" s="1655" t="s">
        <v>43</v>
      </c>
      <c r="E79" s="1655" t="s">
        <v>569</v>
      </c>
    </row>
    <row r="80" spans="1:5" s="1732" customFormat="1">
      <c r="A80" s="1655" t="s">
        <v>423</v>
      </c>
      <c r="B80" s="1655" t="s">
        <v>1178</v>
      </c>
      <c r="C80" s="1655" t="s">
        <v>570</v>
      </c>
      <c r="D80" s="1655" t="s">
        <v>43</v>
      </c>
      <c r="E80" s="1655" t="s">
        <v>569</v>
      </c>
    </row>
    <row r="81" spans="1:5" s="1732" customFormat="1">
      <c r="A81" s="1655" t="s">
        <v>423</v>
      </c>
      <c r="B81" s="1655" t="s">
        <v>1179</v>
      </c>
      <c r="C81" s="1655" t="s">
        <v>570</v>
      </c>
      <c r="D81" s="1655" t="s">
        <v>43</v>
      </c>
      <c r="E81" s="1655" t="s">
        <v>569</v>
      </c>
    </row>
    <row r="82" spans="1:5" s="1732" customFormat="1">
      <c r="A82" s="1655" t="s">
        <v>423</v>
      </c>
      <c r="B82" s="1655" t="s">
        <v>1186</v>
      </c>
      <c r="C82" s="1655">
        <v>1300</v>
      </c>
      <c r="D82" s="1655" t="s">
        <v>42</v>
      </c>
      <c r="E82" s="1655" t="s">
        <v>571</v>
      </c>
    </row>
    <row r="83" spans="1:5" s="1732" customFormat="1">
      <c r="A83" s="1655" t="s">
        <v>423</v>
      </c>
      <c r="B83" s="1655" t="s">
        <v>605</v>
      </c>
      <c r="C83" s="1655">
        <v>350</v>
      </c>
      <c r="D83" s="1655" t="s">
        <v>42</v>
      </c>
      <c r="E83" s="1655" t="s">
        <v>571</v>
      </c>
    </row>
    <row r="84" spans="1:5" s="1732" customFormat="1">
      <c r="A84" s="1655" t="s">
        <v>423</v>
      </c>
      <c r="B84" s="1655" t="s">
        <v>606</v>
      </c>
      <c r="C84" s="1655">
        <v>450</v>
      </c>
      <c r="D84" s="1655" t="s">
        <v>42</v>
      </c>
      <c r="E84" s="1655" t="s">
        <v>571</v>
      </c>
    </row>
    <row r="85" spans="1:5" s="1732" customFormat="1">
      <c r="A85" s="1655" t="s">
        <v>423</v>
      </c>
      <c r="B85" s="1655" t="s">
        <v>607</v>
      </c>
      <c r="C85" s="1655">
        <v>0</v>
      </c>
      <c r="D85" s="1655" t="s">
        <v>42</v>
      </c>
      <c r="E85" s="1655" t="s">
        <v>571</v>
      </c>
    </row>
    <row r="86" spans="1:5" s="1732" customFormat="1">
      <c r="A86" s="1655" t="s">
        <v>423</v>
      </c>
      <c r="B86" s="1655" t="s">
        <v>608</v>
      </c>
      <c r="C86" s="1655">
        <v>0</v>
      </c>
      <c r="D86" s="1655" t="s">
        <v>42</v>
      </c>
      <c r="E86" s="1655" t="s">
        <v>571</v>
      </c>
    </row>
    <row r="87" spans="1:5" s="1732" customFormat="1">
      <c r="A87" s="1655" t="s">
        <v>423</v>
      </c>
      <c r="B87" s="1655" t="s">
        <v>1188</v>
      </c>
      <c r="C87" s="1655">
        <v>2000</v>
      </c>
      <c r="D87" s="1655" t="s">
        <v>42</v>
      </c>
      <c r="E87" s="1655" t="s">
        <v>571</v>
      </c>
    </row>
    <row r="88" spans="1:5" s="1732" customFormat="1">
      <c r="A88" s="1655" t="s">
        <v>423</v>
      </c>
      <c r="B88" s="1655" t="s">
        <v>1189</v>
      </c>
      <c r="C88" s="1655">
        <v>1500</v>
      </c>
      <c r="D88" s="1655" t="s">
        <v>42</v>
      </c>
      <c r="E88" s="1655" t="s">
        <v>571</v>
      </c>
    </row>
    <row r="89" spans="1:5" s="1732" customFormat="1">
      <c r="A89" s="1655" t="s">
        <v>423</v>
      </c>
      <c r="B89" s="1655" t="s">
        <v>1190</v>
      </c>
      <c r="C89" s="1655">
        <v>250</v>
      </c>
      <c r="D89" s="1655" t="s">
        <v>42</v>
      </c>
      <c r="E89" s="1655" t="s">
        <v>571</v>
      </c>
    </row>
    <row r="90" spans="1:5" s="1732" customFormat="1">
      <c r="A90" s="1655" t="s">
        <v>423</v>
      </c>
      <c r="B90" s="1655" t="s">
        <v>609</v>
      </c>
      <c r="C90" s="1655">
        <v>0</v>
      </c>
      <c r="D90" s="1655" t="s">
        <v>42</v>
      </c>
      <c r="E90" s="1655" t="s">
        <v>571</v>
      </c>
    </row>
    <row r="91" spans="1:5" s="1732" customFormat="1">
      <c r="A91" s="1655" t="s">
        <v>423</v>
      </c>
      <c r="B91" s="1655" t="s">
        <v>610</v>
      </c>
      <c r="C91" s="1655">
        <v>0</v>
      </c>
      <c r="D91" s="1655" t="s">
        <v>42</v>
      </c>
      <c r="E91" s="1655" t="s">
        <v>571</v>
      </c>
    </row>
    <row r="92" spans="1:5" s="1732" customFormat="1">
      <c r="A92" s="1655" t="s">
        <v>423</v>
      </c>
      <c r="B92" s="1655" t="s">
        <v>611</v>
      </c>
      <c r="C92" s="1655">
        <v>0</v>
      </c>
      <c r="D92" s="1655" t="s">
        <v>42</v>
      </c>
      <c r="E92" s="1655" t="s">
        <v>571</v>
      </c>
    </row>
    <row r="93" spans="1:5" s="1732" customFormat="1">
      <c r="A93" s="1655" t="s">
        <v>423</v>
      </c>
      <c r="B93" s="1655" t="s">
        <v>1191</v>
      </c>
      <c r="C93" s="1655">
        <v>0</v>
      </c>
      <c r="D93" s="1655" t="s">
        <v>42</v>
      </c>
      <c r="E93" s="1655" t="s">
        <v>571</v>
      </c>
    </row>
    <row r="94" spans="1:5" s="1732" customFormat="1">
      <c r="A94" s="1655" t="s">
        <v>423</v>
      </c>
      <c r="B94" s="1655" t="s">
        <v>1192</v>
      </c>
      <c r="C94" s="1655">
        <v>0</v>
      </c>
      <c r="D94" s="1655" t="s">
        <v>42</v>
      </c>
      <c r="E94" s="1655" t="s">
        <v>571</v>
      </c>
    </row>
    <row r="95" spans="1:5" s="1732" customFormat="1">
      <c r="A95" s="1655" t="s">
        <v>423</v>
      </c>
      <c r="B95" s="1655" t="s">
        <v>1193</v>
      </c>
      <c r="C95" s="1655">
        <v>0</v>
      </c>
      <c r="D95" s="1655" t="s">
        <v>42</v>
      </c>
      <c r="E95" s="1655" t="s">
        <v>571</v>
      </c>
    </row>
    <row r="96" spans="1:5" s="1732" customFormat="1">
      <c r="A96" s="1655" t="s">
        <v>423</v>
      </c>
      <c r="B96" s="1655" t="s">
        <v>1194</v>
      </c>
      <c r="C96" s="1655">
        <v>0</v>
      </c>
      <c r="D96" s="1655" t="s">
        <v>42</v>
      </c>
      <c r="E96" s="1655" t="s">
        <v>571</v>
      </c>
    </row>
    <row r="97" spans="1:5" s="1732" customFormat="1">
      <c r="A97" s="1655" t="s">
        <v>423</v>
      </c>
      <c r="B97" s="1655" t="s">
        <v>827</v>
      </c>
      <c r="C97" s="1655">
        <v>0</v>
      </c>
      <c r="D97" s="1655" t="s">
        <v>42</v>
      </c>
      <c r="E97" s="1655" t="s">
        <v>571</v>
      </c>
    </row>
    <row r="98" spans="1:5" s="1732" customFormat="1">
      <c r="A98" s="1655" t="s">
        <v>423</v>
      </c>
      <c r="B98" s="1655" t="s">
        <v>828</v>
      </c>
      <c r="C98" s="1655">
        <v>0</v>
      </c>
      <c r="D98" s="1655" t="s">
        <v>42</v>
      </c>
      <c r="E98" s="1655" t="s">
        <v>571</v>
      </c>
    </row>
    <row r="99" spans="1:5" s="1732" customFormat="1">
      <c r="A99" s="1655" t="s">
        <v>423</v>
      </c>
      <c r="B99" s="1655" t="s">
        <v>836</v>
      </c>
      <c r="C99" s="1655" t="s">
        <v>570</v>
      </c>
      <c r="D99" s="1655" t="s">
        <v>43</v>
      </c>
      <c r="E99" s="1655" t="s">
        <v>569</v>
      </c>
    </row>
    <row r="100" spans="1:5" s="1732" customFormat="1">
      <c r="A100" s="1655" t="s">
        <v>423</v>
      </c>
      <c r="B100" s="1655" t="s">
        <v>837</v>
      </c>
      <c r="C100" s="1655" t="s">
        <v>570</v>
      </c>
      <c r="D100" s="1655" t="s">
        <v>43</v>
      </c>
      <c r="E100" s="1655" t="s">
        <v>569</v>
      </c>
    </row>
    <row r="101" spans="1:5" s="1732" customFormat="1">
      <c r="A101" s="1655" t="s">
        <v>423</v>
      </c>
      <c r="B101" s="1655" t="s">
        <v>1207</v>
      </c>
      <c r="C101" s="1655">
        <v>12</v>
      </c>
      <c r="D101" s="1655" t="s">
        <v>42</v>
      </c>
      <c r="E101" s="1655" t="s">
        <v>572</v>
      </c>
    </row>
    <row r="102" spans="1:5" s="1732" customFormat="1">
      <c r="A102" s="1655" t="s">
        <v>423</v>
      </c>
      <c r="B102" s="1655" t="s">
        <v>1213</v>
      </c>
      <c r="C102" s="1655" t="s">
        <v>570</v>
      </c>
      <c r="D102" s="1655" t="s">
        <v>43</v>
      </c>
      <c r="E102" s="1655" t="s">
        <v>569</v>
      </c>
    </row>
    <row r="103" spans="1:5" s="1732" customFormat="1">
      <c r="A103" s="1655" t="s">
        <v>423</v>
      </c>
      <c r="B103" s="1655" t="s">
        <v>1214</v>
      </c>
      <c r="C103" s="1655" t="s">
        <v>570</v>
      </c>
      <c r="D103" s="1655" t="s">
        <v>43</v>
      </c>
      <c r="E103" s="1655" t="s">
        <v>569</v>
      </c>
    </row>
    <row r="104" spans="1:5" s="1732" customFormat="1">
      <c r="A104" s="1655" t="s">
        <v>423</v>
      </c>
      <c r="B104" s="1655" t="s">
        <v>1215</v>
      </c>
      <c r="C104" s="1655" t="s">
        <v>570</v>
      </c>
      <c r="D104" s="1655" t="s">
        <v>43</v>
      </c>
      <c r="E104" s="1655" t="s">
        <v>569</v>
      </c>
    </row>
    <row r="105" spans="1:5" s="1732" customFormat="1">
      <c r="A105" s="1655" t="s">
        <v>423</v>
      </c>
      <c r="B105" s="1655" t="s">
        <v>1216</v>
      </c>
      <c r="C105" s="1655" t="s">
        <v>570</v>
      </c>
      <c r="D105" s="1655" t="s">
        <v>43</v>
      </c>
      <c r="E105" s="1655" t="s">
        <v>569</v>
      </c>
    </row>
    <row r="106" spans="1:5" s="1732" customFormat="1">
      <c r="A106" s="1655" t="s">
        <v>423</v>
      </c>
      <c r="B106" s="1655" t="s">
        <v>1217</v>
      </c>
      <c r="C106" s="1655">
        <v>5.5E-2</v>
      </c>
      <c r="D106" s="1655" t="s">
        <v>42</v>
      </c>
      <c r="E106" s="1655" t="s">
        <v>80</v>
      </c>
    </row>
    <row r="107" spans="1:5" s="1732" customFormat="1">
      <c r="A107" s="1655" t="s">
        <v>423</v>
      </c>
      <c r="B107" s="1655" t="s">
        <v>1218</v>
      </c>
      <c r="C107" s="1655">
        <v>0.05</v>
      </c>
      <c r="D107" s="1655" t="s">
        <v>42</v>
      </c>
      <c r="E107" s="1655" t="s">
        <v>80</v>
      </c>
    </row>
    <row r="108" spans="1:5" s="1732" customFormat="1">
      <c r="A108" s="1655" t="s">
        <v>423</v>
      </c>
      <c r="B108" s="1655" t="s">
        <v>1219</v>
      </c>
      <c r="C108" s="1655">
        <v>0.06</v>
      </c>
      <c r="D108" s="1655" t="s">
        <v>42</v>
      </c>
      <c r="E108" s="1655" t="s">
        <v>80</v>
      </c>
    </row>
    <row r="109" spans="1:5" s="1732" customFormat="1">
      <c r="A109" s="1655" t="s">
        <v>423</v>
      </c>
      <c r="B109" s="1655" t="s">
        <v>1220</v>
      </c>
      <c r="C109" s="1655">
        <v>0</v>
      </c>
      <c r="D109" s="1655" t="s">
        <v>42</v>
      </c>
      <c r="E109" s="1655" t="s">
        <v>80</v>
      </c>
    </row>
    <row r="110" spans="1:5" s="1732" customFormat="1">
      <c r="A110" s="1655" t="s">
        <v>423</v>
      </c>
      <c r="B110" s="1655" t="s">
        <v>1221</v>
      </c>
      <c r="C110" s="1655">
        <v>0</v>
      </c>
      <c r="D110" s="1655" t="s">
        <v>42</v>
      </c>
      <c r="E110" s="1655" t="s">
        <v>80</v>
      </c>
    </row>
    <row r="111" spans="1:5" s="1732" customFormat="1">
      <c r="A111" s="1655" t="s">
        <v>423</v>
      </c>
      <c r="B111" s="1655" t="s">
        <v>1222</v>
      </c>
      <c r="C111" s="1655">
        <v>0</v>
      </c>
      <c r="D111" s="1655" t="s">
        <v>42</v>
      </c>
      <c r="E111" s="1655" t="s">
        <v>80</v>
      </c>
    </row>
    <row r="112" spans="1:5" s="1732" customFormat="1">
      <c r="A112" s="1655" t="s">
        <v>423</v>
      </c>
      <c r="B112" s="1655" t="s">
        <v>1223</v>
      </c>
      <c r="C112" s="1655">
        <v>0</v>
      </c>
      <c r="D112" s="1655" t="s">
        <v>42</v>
      </c>
      <c r="E112" s="1655" t="s">
        <v>80</v>
      </c>
    </row>
    <row r="113" spans="1:5" s="1732" customFormat="1">
      <c r="A113" s="1655" t="s">
        <v>423</v>
      </c>
      <c r="B113" s="1655" t="s">
        <v>1224</v>
      </c>
      <c r="C113" s="1655">
        <v>0</v>
      </c>
      <c r="D113" s="1655" t="s">
        <v>42</v>
      </c>
      <c r="E113" s="1655" t="s">
        <v>80</v>
      </c>
    </row>
    <row r="114" spans="1:5" s="1732" customFormat="1">
      <c r="A114" s="1655" t="s">
        <v>423</v>
      </c>
      <c r="B114" s="1655" t="s">
        <v>1225</v>
      </c>
      <c r="C114" s="1655">
        <v>0</v>
      </c>
      <c r="D114" s="1655" t="s">
        <v>42</v>
      </c>
      <c r="E114" s="1655" t="s">
        <v>80</v>
      </c>
    </row>
    <row r="115" spans="1:5" s="1732" customFormat="1">
      <c r="A115" s="1655" t="s">
        <v>423</v>
      </c>
      <c r="B115" s="1655" t="s">
        <v>612</v>
      </c>
      <c r="C115" s="1655">
        <v>0</v>
      </c>
      <c r="D115" s="1655" t="s">
        <v>42</v>
      </c>
      <c r="E115" s="1655" t="s">
        <v>80</v>
      </c>
    </row>
    <row r="116" spans="1:5" s="1732" customFormat="1">
      <c r="A116" s="1655" t="s">
        <v>423</v>
      </c>
      <c r="B116" s="1655" t="s">
        <v>613</v>
      </c>
      <c r="C116" s="1655">
        <v>0</v>
      </c>
      <c r="D116" s="1655" t="s">
        <v>42</v>
      </c>
      <c r="E116" s="1655" t="s">
        <v>80</v>
      </c>
    </row>
    <row r="117" spans="1:5" s="1732" customFormat="1">
      <c r="A117" s="1655" t="s">
        <v>423</v>
      </c>
      <c r="B117" s="1655" t="s">
        <v>1226</v>
      </c>
      <c r="C117" s="1655">
        <v>0</v>
      </c>
      <c r="D117" s="1655" t="s">
        <v>42</v>
      </c>
      <c r="E117" s="1655" t="s">
        <v>80</v>
      </c>
    </row>
    <row r="118" spans="1:5" s="1732" customFormat="1">
      <c r="A118" s="1655" t="s">
        <v>423</v>
      </c>
      <c r="B118" s="1655" t="s">
        <v>1235</v>
      </c>
      <c r="C118" s="1655">
        <v>1.8499999999999999E-2</v>
      </c>
      <c r="D118" s="1655" t="s">
        <v>42</v>
      </c>
      <c r="E118" s="1655" t="s">
        <v>569</v>
      </c>
    </row>
    <row r="119" spans="1:5" s="1732" customFormat="1">
      <c r="A119" s="1655" t="s">
        <v>423</v>
      </c>
      <c r="B119" s="1655" t="s">
        <v>1236</v>
      </c>
      <c r="C119" s="1655" t="s">
        <v>452</v>
      </c>
      <c r="D119" s="1655" t="s">
        <v>42</v>
      </c>
      <c r="E119" s="1655" t="s">
        <v>569</v>
      </c>
    </row>
    <row r="120" spans="1:5" s="1732" customFormat="1">
      <c r="A120" s="1655" t="s">
        <v>423</v>
      </c>
      <c r="B120" s="1655" t="s">
        <v>1237</v>
      </c>
      <c r="C120" s="1655" t="s">
        <v>452</v>
      </c>
      <c r="D120" s="1655" t="s">
        <v>42</v>
      </c>
      <c r="E120" s="1655" t="s">
        <v>569</v>
      </c>
    </row>
    <row r="121" spans="1:5" s="1732" customFormat="1">
      <c r="A121" s="1655" t="s">
        <v>423</v>
      </c>
      <c r="B121" s="1655" t="s">
        <v>1238</v>
      </c>
      <c r="C121" s="1655" t="s">
        <v>1491</v>
      </c>
      <c r="D121" s="1655" t="s">
        <v>42</v>
      </c>
      <c r="E121" s="1655" t="s">
        <v>569</v>
      </c>
    </row>
    <row r="122" spans="1:5" s="1732" customFormat="1">
      <c r="A122" s="1655" t="s">
        <v>423</v>
      </c>
      <c r="B122" s="1655" t="s">
        <v>1239</v>
      </c>
      <c r="C122" s="1655" t="s">
        <v>570</v>
      </c>
      <c r="D122" s="1655" t="s">
        <v>43</v>
      </c>
      <c r="E122" s="1655" t="s">
        <v>569</v>
      </c>
    </row>
    <row r="123" spans="1:5" s="1732" customFormat="1">
      <c r="A123" s="1655" t="s">
        <v>423</v>
      </c>
      <c r="B123" s="1655" t="s">
        <v>1240</v>
      </c>
      <c r="C123" s="1655" t="s">
        <v>570</v>
      </c>
      <c r="D123" s="1655" t="s">
        <v>43</v>
      </c>
      <c r="E123" s="1655" t="s">
        <v>569</v>
      </c>
    </row>
    <row r="124" spans="1:5" s="1732" customFormat="1">
      <c r="A124" s="1655" t="s">
        <v>423</v>
      </c>
      <c r="B124" s="1655" t="s">
        <v>1241</v>
      </c>
      <c r="C124" s="1655" t="s">
        <v>570</v>
      </c>
      <c r="D124" s="1655" t="s">
        <v>43</v>
      </c>
      <c r="E124" s="1655" t="s">
        <v>569</v>
      </c>
    </row>
    <row r="125" spans="1:5" s="1732" customFormat="1">
      <c r="A125" s="1655" t="s">
        <v>423</v>
      </c>
      <c r="B125" s="1655" t="s">
        <v>1242</v>
      </c>
      <c r="C125" s="1655" t="s">
        <v>570</v>
      </c>
      <c r="D125" s="1655" t="s">
        <v>43</v>
      </c>
      <c r="E125" s="1655" t="s">
        <v>569</v>
      </c>
    </row>
    <row r="126" spans="1:5" s="1732" customFormat="1">
      <c r="A126" s="1655" t="s">
        <v>423</v>
      </c>
      <c r="B126" s="1655" t="s">
        <v>1243</v>
      </c>
      <c r="C126" s="1655" t="s">
        <v>570</v>
      </c>
      <c r="D126" s="1655" t="s">
        <v>43</v>
      </c>
      <c r="E126" s="1655" t="s">
        <v>569</v>
      </c>
    </row>
    <row r="127" spans="1:5" s="1732" customFormat="1">
      <c r="A127" s="1655" t="s">
        <v>423</v>
      </c>
      <c r="B127" s="1655" t="s">
        <v>1244</v>
      </c>
      <c r="C127" s="1655" t="s">
        <v>570</v>
      </c>
      <c r="D127" s="1655" t="s">
        <v>43</v>
      </c>
      <c r="E127" s="1655" t="s">
        <v>569</v>
      </c>
    </row>
    <row r="128" spans="1:5" s="1732" customFormat="1">
      <c r="A128" s="1655" t="s">
        <v>423</v>
      </c>
      <c r="B128" s="1655" t="s">
        <v>1245</v>
      </c>
      <c r="C128" s="1655" t="s">
        <v>570</v>
      </c>
      <c r="D128" s="1655" t="s">
        <v>43</v>
      </c>
      <c r="E128" s="1655" t="s">
        <v>569</v>
      </c>
    </row>
    <row r="129" spans="1:5" s="1732" customFormat="1">
      <c r="A129" s="1655" t="s">
        <v>423</v>
      </c>
      <c r="B129" s="1655" t="s">
        <v>1246</v>
      </c>
      <c r="C129" s="1655" t="s">
        <v>570</v>
      </c>
      <c r="D129" s="1655" t="s">
        <v>43</v>
      </c>
      <c r="E129" s="1655" t="s">
        <v>569</v>
      </c>
    </row>
    <row r="130" spans="1:5" s="1732" customFormat="1">
      <c r="A130" s="1655" t="s">
        <v>423</v>
      </c>
      <c r="B130" s="1655" t="s">
        <v>1247</v>
      </c>
      <c r="C130" s="1655" t="s">
        <v>570</v>
      </c>
      <c r="D130" s="1655" t="s">
        <v>43</v>
      </c>
      <c r="E130" s="1655" t="s">
        <v>569</v>
      </c>
    </row>
    <row r="131" spans="1:5" s="1732" customFormat="1">
      <c r="A131" s="1655" t="s">
        <v>423</v>
      </c>
      <c r="B131" s="1655" t="s">
        <v>883</v>
      </c>
      <c r="C131" s="1655" t="s">
        <v>200</v>
      </c>
      <c r="D131" s="1655" t="s">
        <v>42</v>
      </c>
      <c r="E131" s="1655" t="s">
        <v>569</v>
      </c>
    </row>
    <row r="132" spans="1:5" s="1732" customFormat="1">
      <c r="A132" s="1655" t="s">
        <v>423</v>
      </c>
      <c r="B132" s="1655" t="s">
        <v>884</v>
      </c>
      <c r="C132" s="1655" t="s">
        <v>201</v>
      </c>
      <c r="D132" s="1655" t="s">
        <v>42</v>
      </c>
      <c r="E132" s="1655" t="s">
        <v>569</v>
      </c>
    </row>
    <row r="133" spans="1:5" s="1732" customFormat="1">
      <c r="A133" s="1655" t="s">
        <v>423</v>
      </c>
      <c r="B133" s="1655" t="s">
        <v>885</v>
      </c>
      <c r="C133" s="1655" t="s">
        <v>201</v>
      </c>
      <c r="D133" s="1655" t="s">
        <v>42</v>
      </c>
      <c r="E133" s="1655" t="s">
        <v>569</v>
      </c>
    </row>
    <row r="134" spans="1:5" s="1732" customFormat="1">
      <c r="A134" s="1655" t="s">
        <v>423</v>
      </c>
      <c r="B134" s="1655" t="s">
        <v>886</v>
      </c>
      <c r="C134" s="1655" t="s">
        <v>570</v>
      </c>
      <c r="D134" s="1655" t="s">
        <v>43</v>
      </c>
      <c r="E134" s="1655" t="s">
        <v>569</v>
      </c>
    </row>
    <row r="135" spans="1:5" s="1732" customFormat="1">
      <c r="A135" s="1655" t="s">
        <v>423</v>
      </c>
      <c r="B135" s="1655" t="s">
        <v>887</v>
      </c>
      <c r="C135" s="1655" t="s">
        <v>570</v>
      </c>
      <c r="D135" s="1655" t="s">
        <v>43</v>
      </c>
      <c r="E135" s="1655" t="s">
        <v>569</v>
      </c>
    </row>
    <row r="136" spans="1:5" s="1732" customFormat="1">
      <c r="A136" s="1655" t="s">
        <v>423</v>
      </c>
      <c r="B136" s="1655" t="s">
        <v>888</v>
      </c>
      <c r="C136" s="1655" t="s">
        <v>570</v>
      </c>
      <c r="D136" s="1655" t="s">
        <v>43</v>
      </c>
      <c r="E136" s="1655" t="s">
        <v>569</v>
      </c>
    </row>
    <row r="137" spans="1:5" s="1732" customFormat="1">
      <c r="A137" s="1655" t="s">
        <v>423</v>
      </c>
      <c r="B137" s="1655" t="s">
        <v>889</v>
      </c>
      <c r="C137" s="1655" t="s">
        <v>570</v>
      </c>
      <c r="D137" s="1655" t="s">
        <v>43</v>
      </c>
      <c r="E137" s="1655" t="s">
        <v>569</v>
      </c>
    </row>
    <row r="138" spans="1:5" s="1732" customFormat="1">
      <c r="A138" s="1655" t="s">
        <v>423</v>
      </c>
      <c r="B138" s="1655" t="s">
        <v>890</v>
      </c>
      <c r="C138" s="1655" t="s">
        <v>570</v>
      </c>
      <c r="D138" s="1655" t="s">
        <v>43</v>
      </c>
      <c r="E138" s="1655" t="s">
        <v>569</v>
      </c>
    </row>
    <row r="139" spans="1:5" s="1732" customFormat="1">
      <c r="A139" s="1655" t="s">
        <v>423</v>
      </c>
      <c r="B139" s="1655" t="s">
        <v>1135</v>
      </c>
      <c r="C139" s="1655" t="s">
        <v>570</v>
      </c>
      <c r="D139" s="1655" t="s">
        <v>43</v>
      </c>
      <c r="E139" s="1655" t="s">
        <v>569</v>
      </c>
    </row>
    <row r="140" spans="1:5" s="1732" customFormat="1">
      <c r="A140" s="1655" t="s">
        <v>423</v>
      </c>
      <c r="B140" s="1655" t="s">
        <v>614</v>
      </c>
      <c r="C140" s="1655" t="s">
        <v>570</v>
      </c>
      <c r="D140" s="1655" t="s">
        <v>43</v>
      </c>
      <c r="E140" s="1655" t="s">
        <v>569</v>
      </c>
    </row>
    <row r="141" spans="1:5" s="1732" customFormat="1">
      <c r="A141" s="1655" t="s">
        <v>423</v>
      </c>
      <c r="B141" s="1655" t="s">
        <v>615</v>
      </c>
      <c r="C141" s="1655" t="s">
        <v>570</v>
      </c>
      <c r="D141" s="1655" t="s">
        <v>43</v>
      </c>
      <c r="E141" s="1655" t="s">
        <v>569</v>
      </c>
    </row>
    <row r="142" spans="1:5" s="1732" customFormat="1">
      <c r="A142" s="1655" t="s">
        <v>423</v>
      </c>
      <c r="B142" s="1655" t="s">
        <v>891</v>
      </c>
      <c r="C142" s="1655" t="s">
        <v>570</v>
      </c>
      <c r="D142" s="1655" t="s">
        <v>43</v>
      </c>
      <c r="E142" s="1655" t="s">
        <v>569</v>
      </c>
    </row>
    <row r="143" spans="1:5" s="1732" customFormat="1">
      <c r="A143" s="1655" t="s">
        <v>423</v>
      </c>
      <c r="B143" s="1655" t="s">
        <v>916</v>
      </c>
      <c r="C143" s="1655" t="s">
        <v>570</v>
      </c>
      <c r="D143" s="1655" t="s">
        <v>43</v>
      </c>
      <c r="E143" s="1655" t="s">
        <v>569</v>
      </c>
    </row>
    <row r="144" spans="1:5" s="1732" customFormat="1">
      <c r="A144" s="1655" t="s">
        <v>423</v>
      </c>
      <c r="B144" s="1655" t="s">
        <v>917</v>
      </c>
      <c r="C144" s="1655" t="s">
        <v>570</v>
      </c>
      <c r="D144" s="1655" t="s">
        <v>43</v>
      </c>
      <c r="E144" s="1655" t="s">
        <v>569</v>
      </c>
    </row>
    <row r="145" spans="1:5" s="1732" customFormat="1">
      <c r="A145" s="1655" t="s">
        <v>423</v>
      </c>
      <c r="B145" s="1655" t="s">
        <v>918</v>
      </c>
      <c r="C145" s="1655" t="s">
        <v>570</v>
      </c>
      <c r="D145" s="1655" t="s">
        <v>43</v>
      </c>
      <c r="E145" s="1655" t="s">
        <v>569</v>
      </c>
    </row>
    <row r="146" spans="1:5" s="1732" customFormat="1">
      <c r="A146" s="1655" t="s">
        <v>423</v>
      </c>
      <c r="B146" s="1655" t="s">
        <v>919</v>
      </c>
      <c r="C146" s="1655" t="s">
        <v>570</v>
      </c>
      <c r="D146" s="1655" t="s">
        <v>43</v>
      </c>
      <c r="E146" s="1655" t="s">
        <v>569</v>
      </c>
    </row>
    <row r="147" spans="1:5" s="1732" customFormat="1">
      <c r="A147" s="1655" t="s">
        <v>423</v>
      </c>
      <c r="B147" s="1655" t="s">
        <v>920</v>
      </c>
      <c r="C147" s="1655" t="s">
        <v>570</v>
      </c>
      <c r="D147" s="1655" t="s">
        <v>43</v>
      </c>
      <c r="E147" s="1655" t="s">
        <v>569</v>
      </c>
    </row>
    <row r="148" spans="1:5" s="1732" customFormat="1">
      <c r="A148" s="1655" t="s">
        <v>423</v>
      </c>
      <c r="B148" s="1655" t="s">
        <v>921</v>
      </c>
      <c r="C148" s="1655" t="s">
        <v>570</v>
      </c>
      <c r="D148" s="1655" t="s">
        <v>43</v>
      </c>
      <c r="E148" s="1655" t="s">
        <v>569</v>
      </c>
    </row>
    <row r="149" spans="1:5" s="1732" customFormat="1">
      <c r="A149" s="1655" t="s">
        <v>423</v>
      </c>
      <c r="B149" s="1655" t="s">
        <v>922</v>
      </c>
      <c r="C149" s="1655" t="s">
        <v>570</v>
      </c>
      <c r="D149" s="1655" t="s">
        <v>43</v>
      </c>
      <c r="E149" s="1655" t="s">
        <v>569</v>
      </c>
    </row>
    <row r="150" spans="1:5" s="1732" customFormat="1">
      <c r="A150" s="1655" t="s">
        <v>423</v>
      </c>
      <c r="B150" s="1655" t="s">
        <v>923</v>
      </c>
      <c r="C150" s="1655" t="s">
        <v>570</v>
      </c>
      <c r="D150" s="1655" t="s">
        <v>43</v>
      </c>
      <c r="E150" s="1655" t="s">
        <v>569</v>
      </c>
    </row>
    <row r="151" spans="1:5" s="1732" customFormat="1">
      <c r="A151" s="1655" t="s">
        <v>423</v>
      </c>
      <c r="B151" s="1655" t="s">
        <v>1138</v>
      </c>
      <c r="C151" s="1655" t="s">
        <v>570</v>
      </c>
      <c r="D151" s="1655" t="s">
        <v>43</v>
      </c>
      <c r="E151" s="1655" t="s">
        <v>569</v>
      </c>
    </row>
    <row r="152" spans="1:5" s="1732" customFormat="1">
      <c r="A152" s="1655" t="s">
        <v>423</v>
      </c>
      <c r="B152" s="1655" t="s">
        <v>1139</v>
      </c>
      <c r="C152" s="1655" t="s">
        <v>570</v>
      </c>
      <c r="D152" s="1655" t="s">
        <v>43</v>
      </c>
      <c r="E152" s="1655" t="s">
        <v>569</v>
      </c>
    </row>
    <row r="153" spans="1:5" s="1732" customFormat="1">
      <c r="A153" s="1655" t="s">
        <v>423</v>
      </c>
      <c r="B153" s="1655" t="s">
        <v>924</v>
      </c>
      <c r="C153" s="1655" t="s">
        <v>570</v>
      </c>
      <c r="D153" s="1655" t="s">
        <v>43</v>
      </c>
      <c r="E153" s="1655" t="s">
        <v>569</v>
      </c>
    </row>
    <row r="154" spans="1:5" s="1732" customFormat="1">
      <c r="A154" s="1655" t="s">
        <v>423</v>
      </c>
      <c r="B154" s="1655" t="s">
        <v>925</v>
      </c>
      <c r="C154" s="1655" t="s">
        <v>570</v>
      </c>
      <c r="D154" s="1655" t="s">
        <v>43</v>
      </c>
      <c r="E154" s="1655" t="s">
        <v>569</v>
      </c>
    </row>
    <row r="155" spans="1:5" s="1732" customFormat="1">
      <c r="A155" s="1655" t="s">
        <v>423</v>
      </c>
      <c r="B155" s="1655" t="s">
        <v>976</v>
      </c>
      <c r="C155" s="1655" t="s">
        <v>570</v>
      </c>
      <c r="D155" s="1655" t="s">
        <v>43</v>
      </c>
      <c r="E155" s="1655" t="s">
        <v>196</v>
      </c>
    </row>
    <row r="156" spans="1:5" s="1732" customFormat="1">
      <c r="A156" s="1655" t="s">
        <v>423</v>
      </c>
      <c r="B156" s="1655" t="s">
        <v>977</v>
      </c>
      <c r="C156" s="1655" t="s">
        <v>570</v>
      </c>
      <c r="D156" s="1655" t="s">
        <v>43</v>
      </c>
      <c r="E156" s="1655" t="s">
        <v>196</v>
      </c>
    </row>
    <row r="157" spans="1:5" s="1732" customFormat="1">
      <c r="A157" s="1655" t="s">
        <v>423</v>
      </c>
      <c r="B157" s="1655" t="s">
        <v>624</v>
      </c>
      <c r="C157" s="1655" t="s">
        <v>570</v>
      </c>
      <c r="D157" s="1655" t="s">
        <v>43</v>
      </c>
      <c r="E157" s="1655" t="s">
        <v>196</v>
      </c>
    </row>
    <row r="158" spans="1:5" s="1732" customFormat="1">
      <c r="A158" s="1655" t="s">
        <v>423</v>
      </c>
      <c r="B158" s="1655" t="s">
        <v>978</v>
      </c>
      <c r="C158" s="1655" t="s">
        <v>570</v>
      </c>
      <c r="D158" s="1655" t="s">
        <v>43</v>
      </c>
      <c r="E158" s="1655" t="s">
        <v>196</v>
      </c>
    </row>
    <row r="159" spans="1:5" s="1732" customFormat="1">
      <c r="A159" s="1655" t="s">
        <v>423</v>
      </c>
      <c r="B159" s="1655" t="s">
        <v>979</v>
      </c>
      <c r="C159" s="1655" t="s">
        <v>570</v>
      </c>
      <c r="D159" s="1655" t="s">
        <v>43</v>
      </c>
      <c r="E159" s="1655" t="s">
        <v>196</v>
      </c>
    </row>
    <row r="160" spans="1:5" s="1732" customFormat="1">
      <c r="A160" s="1655" t="s">
        <v>423</v>
      </c>
      <c r="B160" s="1655" t="s">
        <v>981</v>
      </c>
      <c r="C160" s="1655" t="s">
        <v>570</v>
      </c>
      <c r="D160" s="1655" t="s">
        <v>43</v>
      </c>
      <c r="E160" s="1655" t="s">
        <v>196</v>
      </c>
    </row>
    <row r="161" spans="1:5" s="1732" customFormat="1">
      <c r="A161" s="1655" t="s">
        <v>423</v>
      </c>
      <c r="B161" s="1655" t="s">
        <v>633</v>
      </c>
      <c r="C161" s="1655" t="s">
        <v>570</v>
      </c>
      <c r="D161" s="1655" t="s">
        <v>43</v>
      </c>
      <c r="E161" s="1655" t="s">
        <v>196</v>
      </c>
    </row>
    <row r="162" spans="1:5" s="1732" customFormat="1">
      <c r="A162" s="1655" t="s">
        <v>423</v>
      </c>
      <c r="B162" s="1655" t="s">
        <v>634</v>
      </c>
      <c r="C162" s="1655" t="s">
        <v>570</v>
      </c>
      <c r="D162" s="1655" t="s">
        <v>43</v>
      </c>
      <c r="E162" s="1655" t="s">
        <v>196</v>
      </c>
    </row>
    <row r="163" spans="1:5" s="1732" customFormat="1">
      <c r="A163" s="1655" t="s">
        <v>423</v>
      </c>
      <c r="B163" s="1655" t="s">
        <v>635</v>
      </c>
      <c r="C163" s="1655" t="s">
        <v>570</v>
      </c>
      <c r="D163" s="1655" t="s">
        <v>43</v>
      </c>
      <c r="E163" s="1655" t="s">
        <v>196</v>
      </c>
    </row>
    <row r="164" spans="1:5" s="1732" customFormat="1">
      <c r="A164" s="1655" t="s">
        <v>423</v>
      </c>
      <c r="B164" s="1655" t="s">
        <v>636</v>
      </c>
      <c r="C164" s="1655" t="s">
        <v>570</v>
      </c>
      <c r="D164" s="1655" t="s">
        <v>43</v>
      </c>
      <c r="E164" s="1655" t="s">
        <v>196</v>
      </c>
    </row>
    <row r="165" spans="1:5" s="1732" customFormat="1">
      <c r="A165" s="1655" t="s">
        <v>423</v>
      </c>
      <c r="B165" s="1655" t="s">
        <v>984</v>
      </c>
      <c r="C165" s="1657">
        <v>44566</v>
      </c>
      <c r="D165" s="1655" t="s">
        <v>42</v>
      </c>
      <c r="E165" s="1655" t="s">
        <v>196</v>
      </c>
    </row>
    <row r="166" spans="1:5" s="1732" customFormat="1">
      <c r="A166" s="1655" t="s">
        <v>423</v>
      </c>
      <c r="B166" s="1655" t="s">
        <v>985</v>
      </c>
      <c r="C166" s="1657">
        <v>44566</v>
      </c>
      <c r="D166" s="1655" t="s">
        <v>42</v>
      </c>
      <c r="E166" s="1655" t="s">
        <v>196</v>
      </c>
    </row>
    <row r="167" spans="1:5" s="1732" customFormat="1">
      <c r="A167" s="1655" t="s">
        <v>423</v>
      </c>
      <c r="B167" s="1655" t="s">
        <v>986</v>
      </c>
      <c r="C167" s="1657">
        <v>44566</v>
      </c>
      <c r="D167" s="1655" t="s">
        <v>42</v>
      </c>
      <c r="E167" s="1655" t="s">
        <v>196</v>
      </c>
    </row>
    <row r="168" spans="1:5" s="1732" customFormat="1">
      <c r="A168" s="1655" t="s">
        <v>423</v>
      </c>
      <c r="B168" s="1655" t="s">
        <v>640</v>
      </c>
      <c r="C168" s="1655" t="s">
        <v>570</v>
      </c>
      <c r="D168" s="1655" t="s">
        <v>43</v>
      </c>
      <c r="E168" s="1655" t="s">
        <v>196</v>
      </c>
    </row>
    <row r="169" spans="1:5" s="1732" customFormat="1">
      <c r="A169" s="1655" t="s">
        <v>423</v>
      </c>
      <c r="B169" s="1655" t="s">
        <v>641</v>
      </c>
      <c r="C169" s="1655" t="s">
        <v>570</v>
      </c>
      <c r="D169" s="1655" t="s">
        <v>43</v>
      </c>
      <c r="E169" s="1655" t="s">
        <v>196</v>
      </c>
    </row>
    <row r="170" spans="1:5" s="1732" customFormat="1">
      <c r="A170" s="1655" t="s">
        <v>423</v>
      </c>
      <c r="B170" s="1655" t="s">
        <v>642</v>
      </c>
      <c r="C170" s="1655" t="s">
        <v>570</v>
      </c>
      <c r="D170" s="1655" t="s">
        <v>43</v>
      </c>
      <c r="E170" s="1655" t="s">
        <v>196</v>
      </c>
    </row>
    <row r="171" spans="1:5" s="1732" customFormat="1">
      <c r="A171" s="1655" t="s">
        <v>423</v>
      </c>
      <c r="B171" s="1655" t="s">
        <v>987</v>
      </c>
      <c r="C171" s="1655" t="s">
        <v>0</v>
      </c>
      <c r="D171" s="1655" t="s">
        <v>42</v>
      </c>
      <c r="E171" s="1655" t="s">
        <v>196</v>
      </c>
    </row>
    <row r="172" spans="1:5" s="1732" customFormat="1">
      <c r="A172" s="1655" t="s">
        <v>423</v>
      </c>
      <c r="B172" s="1655" t="s">
        <v>988</v>
      </c>
      <c r="C172" s="1655" t="s">
        <v>0</v>
      </c>
      <c r="D172" s="1655" t="s">
        <v>42</v>
      </c>
      <c r="E172" s="1655" t="s">
        <v>196</v>
      </c>
    </row>
    <row r="173" spans="1:5" s="1732" customFormat="1">
      <c r="A173" s="1655" t="s">
        <v>423</v>
      </c>
      <c r="B173" s="1655" t="s">
        <v>1090</v>
      </c>
      <c r="C173" s="1655" t="s">
        <v>0</v>
      </c>
      <c r="D173" s="1655" t="s">
        <v>42</v>
      </c>
      <c r="E173" s="1655" t="s">
        <v>196</v>
      </c>
    </row>
    <row r="174" spans="1:5" s="1732" customFormat="1">
      <c r="A174" s="1655" t="s">
        <v>423</v>
      </c>
      <c r="B174" s="1655" t="s">
        <v>643</v>
      </c>
      <c r="C174" s="1655" t="s">
        <v>0</v>
      </c>
      <c r="D174" s="1655" t="s">
        <v>42</v>
      </c>
      <c r="E174" s="1655" t="s">
        <v>196</v>
      </c>
    </row>
    <row r="175" spans="1:5" s="1732" customFormat="1">
      <c r="A175" s="1655" t="s">
        <v>423</v>
      </c>
      <c r="B175" s="1655" t="s">
        <v>644</v>
      </c>
      <c r="C175" s="1655" t="s">
        <v>0</v>
      </c>
      <c r="D175" s="1655" t="s">
        <v>42</v>
      </c>
      <c r="E175" s="1655" t="s">
        <v>196</v>
      </c>
    </row>
    <row r="176" spans="1:5" s="1732" customFormat="1">
      <c r="A176" s="1655" t="s">
        <v>423</v>
      </c>
      <c r="B176" s="1655" t="s">
        <v>989</v>
      </c>
      <c r="C176" s="1655" t="s">
        <v>0</v>
      </c>
      <c r="D176" s="1655" t="s">
        <v>42</v>
      </c>
      <c r="E176" s="1655" t="s">
        <v>196</v>
      </c>
    </row>
    <row r="177" spans="1:5" s="1732" customFormat="1">
      <c r="A177" s="1655" t="s">
        <v>423</v>
      </c>
      <c r="B177" s="1655" t="s">
        <v>997</v>
      </c>
      <c r="C177" s="1655" t="s">
        <v>570</v>
      </c>
      <c r="D177" s="1655" t="s">
        <v>43</v>
      </c>
      <c r="E177" s="1655" t="s">
        <v>196</v>
      </c>
    </row>
    <row r="178" spans="1:5" s="1732" customFormat="1">
      <c r="A178" s="1655" t="s">
        <v>423</v>
      </c>
      <c r="B178" s="1655" t="s">
        <v>998</v>
      </c>
      <c r="C178" s="1655" t="s">
        <v>570</v>
      </c>
      <c r="D178" s="1655" t="s">
        <v>43</v>
      </c>
      <c r="E178" s="1655" t="s">
        <v>196</v>
      </c>
    </row>
    <row r="179" spans="1:5" s="1732" customFormat="1">
      <c r="A179" s="1655" t="s">
        <v>70</v>
      </c>
      <c r="B179" s="1655" t="s">
        <v>2621</v>
      </c>
      <c r="C179" s="1655" t="s">
        <v>2638</v>
      </c>
      <c r="D179" s="1655" t="s">
        <v>42</v>
      </c>
      <c r="E179" s="1655" t="s">
        <v>569</v>
      </c>
    </row>
    <row r="180" spans="1:5" s="1732" customFormat="1">
      <c r="A180" s="1655" t="s">
        <v>70</v>
      </c>
      <c r="B180" s="1655" t="s">
        <v>2622</v>
      </c>
      <c r="C180" s="1655" t="s">
        <v>418</v>
      </c>
      <c r="D180" s="1655" t="s">
        <v>42</v>
      </c>
      <c r="E180" s="1655" t="s">
        <v>569</v>
      </c>
    </row>
    <row r="181" spans="1:5" s="1732" customFormat="1">
      <c r="A181" s="1655" t="s">
        <v>70</v>
      </c>
      <c r="B181" s="1655" t="s">
        <v>2623</v>
      </c>
      <c r="C181" s="1655" t="s">
        <v>2587</v>
      </c>
      <c r="D181" s="1655" t="s">
        <v>42</v>
      </c>
      <c r="E181" s="1655" t="s">
        <v>569</v>
      </c>
    </row>
    <row r="182" spans="1:5" s="1732" customFormat="1">
      <c r="A182" s="1655" t="s">
        <v>70</v>
      </c>
      <c r="B182" s="1655" t="s">
        <v>2624</v>
      </c>
      <c r="C182" s="1655" t="s">
        <v>2637</v>
      </c>
      <c r="D182" s="1655" t="s">
        <v>42</v>
      </c>
      <c r="E182" s="1655" t="s">
        <v>569</v>
      </c>
    </row>
    <row r="183" spans="1:5" s="1732" customFormat="1">
      <c r="A183" s="1655" t="s">
        <v>70</v>
      </c>
      <c r="B183" s="1655" t="s">
        <v>2625</v>
      </c>
      <c r="C183" s="1655" t="s">
        <v>2634</v>
      </c>
      <c r="D183" s="1655" t="s">
        <v>42</v>
      </c>
      <c r="E183" s="1655" t="s">
        <v>569</v>
      </c>
    </row>
    <row r="184" spans="1:5" s="1732" customFormat="1">
      <c r="A184" s="1655" t="s">
        <v>70</v>
      </c>
      <c r="B184" s="1655" t="s">
        <v>2626</v>
      </c>
      <c r="C184" s="1655" t="s">
        <v>419</v>
      </c>
      <c r="D184" s="1655" t="s">
        <v>42</v>
      </c>
      <c r="E184" s="1655" t="s">
        <v>569</v>
      </c>
    </row>
    <row r="185" spans="1:5" s="1732" customFormat="1">
      <c r="A185" s="1655" t="s">
        <v>70</v>
      </c>
      <c r="B185" s="1655" t="s">
        <v>2627</v>
      </c>
      <c r="C185" s="1655" t="s">
        <v>51</v>
      </c>
      <c r="D185" s="1655" t="s">
        <v>42</v>
      </c>
      <c r="E185" s="1655" t="s">
        <v>569</v>
      </c>
    </row>
    <row r="186" spans="1:5" s="1732" customFormat="1">
      <c r="A186" s="1655" t="s">
        <v>70</v>
      </c>
      <c r="B186" s="1655" t="s">
        <v>2628</v>
      </c>
      <c r="C186" s="1655" t="s">
        <v>51</v>
      </c>
      <c r="D186" s="1655" t="s">
        <v>42</v>
      </c>
      <c r="E186" s="1655" t="s">
        <v>569</v>
      </c>
    </row>
    <row r="187" spans="1:5" s="1732" customFormat="1">
      <c r="A187" s="1655" t="s">
        <v>70</v>
      </c>
      <c r="B187" s="1655" t="s">
        <v>2629</v>
      </c>
      <c r="C187" s="1655" t="s">
        <v>51</v>
      </c>
      <c r="D187" s="1655" t="s">
        <v>42</v>
      </c>
      <c r="E187" s="1655" t="s">
        <v>569</v>
      </c>
    </row>
    <row r="188" spans="1:5" s="1732" customFormat="1">
      <c r="A188" s="1655" t="s">
        <v>70</v>
      </c>
      <c r="B188" s="1655" t="s">
        <v>676</v>
      </c>
      <c r="C188" s="1655" t="s">
        <v>2641</v>
      </c>
      <c r="D188" s="1655" t="s">
        <v>42</v>
      </c>
      <c r="E188" s="1655" t="s">
        <v>569</v>
      </c>
    </row>
    <row r="189" spans="1:5" s="1732" customFormat="1">
      <c r="A189" s="1655" t="s">
        <v>70</v>
      </c>
      <c r="B189" s="1655" t="s">
        <v>1524</v>
      </c>
      <c r="C189" s="1655" t="s">
        <v>2642</v>
      </c>
      <c r="D189" s="1655" t="s">
        <v>42</v>
      </c>
      <c r="E189" s="1655" t="s">
        <v>569</v>
      </c>
    </row>
    <row r="190" spans="1:5" s="1732" customFormat="1">
      <c r="A190" s="1655" t="s">
        <v>70</v>
      </c>
      <c r="B190" s="1655" t="s">
        <v>1525</v>
      </c>
      <c r="C190" s="1655" t="s">
        <v>2639</v>
      </c>
      <c r="D190" s="1655" t="s">
        <v>42</v>
      </c>
      <c r="E190" s="1655" t="s">
        <v>569</v>
      </c>
    </row>
    <row r="191" spans="1:5" s="1732" customFormat="1">
      <c r="A191" s="1655" t="s">
        <v>70</v>
      </c>
      <c r="B191" s="1655" t="s">
        <v>677</v>
      </c>
      <c r="C191" s="1655" t="s">
        <v>2640</v>
      </c>
      <c r="D191" s="1655" t="s">
        <v>42</v>
      </c>
      <c r="E191" s="1655" t="s">
        <v>569</v>
      </c>
    </row>
    <row r="192" spans="1:5" s="1732" customFormat="1">
      <c r="A192" s="1655" t="s">
        <v>70</v>
      </c>
      <c r="B192" s="1655" t="s">
        <v>678</v>
      </c>
      <c r="C192" s="1655" t="s">
        <v>23</v>
      </c>
      <c r="D192" s="1655" t="s">
        <v>42</v>
      </c>
      <c r="E192" s="1655" t="s">
        <v>569</v>
      </c>
    </row>
    <row r="193" spans="1:5" s="1732" customFormat="1">
      <c r="A193" s="1655" t="s">
        <v>70</v>
      </c>
      <c r="B193" s="1655" t="s">
        <v>679</v>
      </c>
      <c r="C193" s="1655" t="s">
        <v>12</v>
      </c>
      <c r="D193" s="1655" t="s">
        <v>42</v>
      </c>
      <c r="E193" s="1655" t="s">
        <v>569</v>
      </c>
    </row>
    <row r="194" spans="1:5" s="1732" customFormat="1">
      <c r="A194" s="1655" t="s">
        <v>70</v>
      </c>
      <c r="B194" s="1655" t="s">
        <v>680</v>
      </c>
      <c r="C194" s="1655" t="s">
        <v>12</v>
      </c>
      <c r="D194" s="1655" t="s">
        <v>42</v>
      </c>
      <c r="E194" s="1655" t="s">
        <v>569</v>
      </c>
    </row>
    <row r="195" spans="1:5" s="1732" customFormat="1">
      <c r="A195" s="1655" t="s">
        <v>70</v>
      </c>
      <c r="B195" s="1655" t="s">
        <v>681</v>
      </c>
      <c r="C195" s="1655" t="s">
        <v>38</v>
      </c>
      <c r="D195" s="1655" t="s">
        <v>42</v>
      </c>
      <c r="E195" s="1655" t="s">
        <v>569</v>
      </c>
    </row>
    <row r="196" spans="1:5" s="1732" customFormat="1">
      <c r="A196" s="1655" t="s">
        <v>70</v>
      </c>
      <c r="B196" s="1655" t="s">
        <v>682</v>
      </c>
      <c r="C196" s="1655" t="s">
        <v>39</v>
      </c>
      <c r="D196" s="1655" t="s">
        <v>42</v>
      </c>
      <c r="E196" s="1655" t="s">
        <v>569</v>
      </c>
    </row>
    <row r="197" spans="1:5" s="1732" customFormat="1">
      <c r="A197" s="1655" t="s">
        <v>70</v>
      </c>
      <c r="B197" s="1655" t="s">
        <v>683</v>
      </c>
      <c r="C197" s="1655" t="s">
        <v>12</v>
      </c>
      <c r="D197" s="1655" t="s">
        <v>42</v>
      </c>
      <c r="E197" s="1655" t="s">
        <v>569</v>
      </c>
    </row>
    <row r="198" spans="1:5" s="1732" customFormat="1">
      <c r="A198" s="1655" t="s">
        <v>70</v>
      </c>
      <c r="B198" s="1655" t="s">
        <v>684</v>
      </c>
      <c r="C198" s="1655" t="s">
        <v>12</v>
      </c>
      <c r="D198" s="1655" t="s">
        <v>42</v>
      </c>
      <c r="E198" s="1655" t="s">
        <v>569</v>
      </c>
    </row>
    <row r="199" spans="1:5" s="1732" customFormat="1">
      <c r="A199" s="1655" t="s">
        <v>70</v>
      </c>
      <c r="B199" s="1655" t="s">
        <v>1526</v>
      </c>
      <c r="C199" s="1655" t="s">
        <v>13</v>
      </c>
      <c r="D199" s="1655" t="s">
        <v>42</v>
      </c>
      <c r="E199" s="1655" t="s">
        <v>569</v>
      </c>
    </row>
    <row r="200" spans="1:5" s="1732" customFormat="1">
      <c r="A200" s="1655" t="s">
        <v>70</v>
      </c>
      <c r="B200" s="1655" t="s">
        <v>1527</v>
      </c>
      <c r="C200" s="1655" t="s">
        <v>2290</v>
      </c>
      <c r="D200" s="1655" t="s">
        <v>42</v>
      </c>
      <c r="E200" s="1655" t="s">
        <v>569</v>
      </c>
    </row>
    <row r="201" spans="1:5" s="1732" customFormat="1">
      <c r="A201" s="1655" t="s">
        <v>70</v>
      </c>
      <c r="B201" s="1655" t="s">
        <v>685</v>
      </c>
      <c r="C201" s="1655" t="s">
        <v>14</v>
      </c>
      <c r="D201" s="1655" t="s">
        <v>42</v>
      </c>
      <c r="E201" s="1655" t="s">
        <v>569</v>
      </c>
    </row>
    <row r="202" spans="1:5" s="1732" customFormat="1">
      <c r="A202" s="1655" t="s">
        <v>70</v>
      </c>
      <c r="B202" s="1655" t="s">
        <v>686</v>
      </c>
      <c r="C202" s="1655" t="s">
        <v>12</v>
      </c>
      <c r="D202" s="1655" t="s">
        <v>42</v>
      </c>
      <c r="E202" s="1655" t="s">
        <v>569</v>
      </c>
    </row>
    <row r="203" spans="1:5" s="1732" customFormat="1">
      <c r="A203" s="1655" t="s">
        <v>70</v>
      </c>
      <c r="B203" s="1655" t="s">
        <v>687</v>
      </c>
      <c r="C203" s="1655" t="s">
        <v>2291</v>
      </c>
      <c r="D203" s="1655" t="s">
        <v>42</v>
      </c>
      <c r="E203" s="1655" t="s">
        <v>569</v>
      </c>
    </row>
    <row r="204" spans="1:5" s="1732" customFormat="1">
      <c r="A204" s="1655" t="s">
        <v>70</v>
      </c>
      <c r="B204" s="1655" t="s">
        <v>1528</v>
      </c>
      <c r="C204" s="1655" t="s">
        <v>15</v>
      </c>
      <c r="D204" s="1655" t="s">
        <v>42</v>
      </c>
      <c r="E204" s="1655" t="s">
        <v>569</v>
      </c>
    </row>
    <row r="205" spans="1:5" s="1732" customFormat="1">
      <c r="A205" s="1655" t="s">
        <v>70</v>
      </c>
      <c r="B205" s="1655" t="s">
        <v>1529</v>
      </c>
      <c r="C205" s="1655" t="s">
        <v>16</v>
      </c>
      <c r="D205" s="1655" t="s">
        <v>42</v>
      </c>
      <c r="E205" s="1655" t="s">
        <v>569</v>
      </c>
    </row>
    <row r="206" spans="1:5" s="1732" customFormat="1">
      <c r="A206" s="1655" t="s">
        <v>70</v>
      </c>
      <c r="B206" s="1655" t="s">
        <v>688</v>
      </c>
      <c r="C206" s="1655" t="s">
        <v>17</v>
      </c>
      <c r="D206" s="1655" t="s">
        <v>42</v>
      </c>
      <c r="E206" s="1655" t="s">
        <v>569</v>
      </c>
    </row>
    <row r="207" spans="1:5" s="1732" customFormat="1">
      <c r="A207" s="1655" t="s">
        <v>70</v>
      </c>
      <c r="B207" s="1655" t="s">
        <v>689</v>
      </c>
      <c r="C207" s="1655" t="s">
        <v>34</v>
      </c>
      <c r="D207" s="1655" t="s">
        <v>42</v>
      </c>
      <c r="E207" s="1655" t="s">
        <v>569</v>
      </c>
    </row>
    <row r="208" spans="1:5" s="1732" customFormat="1">
      <c r="A208" s="1655" t="s">
        <v>70</v>
      </c>
      <c r="B208" s="1655" t="s">
        <v>690</v>
      </c>
      <c r="C208" s="1655" t="s">
        <v>12</v>
      </c>
      <c r="D208" s="1655" t="s">
        <v>42</v>
      </c>
      <c r="E208" s="1655" t="s">
        <v>569</v>
      </c>
    </row>
    <row r="209" spans="1:5" s="1732" customFormat="1">
      <c r="A209" s="1655" t="s">
        <v>70</v>
      </c>
      <c r="B209" s="1655" t="s">
        <v>1530</v>
      </c>
      <c r="C209" s="1655" t="s">
        <v>5</v>
      </c>
      <c r="D209" s="1655" t="s">
        <v>42</v>
      </c>
      <c r="E209" s="1655" t="s">
        <v>569</v>
      </c>
    </row>
    <row r="210" spans="1:5" s="1732" customFormat="1">
      <c r="A210" s="1655" t="s">
        <v>70</v>
      </c>
      <c r="B210" s="1655" t="s">
        <v>691</v>
      </c>
      <c r="C210" s="1655" t="s">
        <v>22</v>
      </c>
      <c r="D210" s="1655" t="s">
        <v>42</v>
      </c>
      <c r="E210" s="1655" t="s">
        <v>569</v>
      </c>
    </row>
    <row r="211" spans="1:5" s="1732" customFormat="1">
      <c r="A211" s="1655" t="s">
        <v>70</v>
      </c>
      <c r="B211" s="1655" t="s">
        <v>692</v>
      </c>
      <c r="C211" s="1655" t="s">
        <v>22</v>
      </c>
      <c r="D211" s="1655" t="s">
        <v>42</v>
      </c>
      <c r="E211" s="1655" t="s">
        <v>569</v>
      </c>
    </row>
    <row r="212" spans="1:5" s="1732" customFormat="1">
      <c r="A212" s="1655" t="s">
        <v>70</v>
      </c>
      <c r="B212" s="1655" t="s">
        <v>693</v>
      </c>
      <c r="C212" s="1655" t="s">
        <v>52</v>
      </c>
      <c r="D212" s="1655" t="s">
        <v>42</v>
      </c>
      <c r="E212" s="1655" t="s">
        <v>569</v>
      </c>
    </row>
    <row r="213" spans="1:5" s="1732" customFormat="1">
      <c r="A213" s="1655" t="s">
        <v>70</v>
      </c>
      <c r="B213" s="1655" t="s">
        <v>694</v>
      </c>
      <c r="C213" s="1655" t="s">
        <v>274</v>
      </c>
      <c r="D213" s="1655" t="s">
        <v>42</v>
      </c>
      <c r="E213" s="1655" t="s">
        <v>569</v>
      </c>
    </row>
    <row r="214" spans="1:5" s="1732" customFormat="1">
      <c r="A214" s="1655" t="s">
        <v>70</v>
      </c>
      <c r="B214" s="1655" t="s">
        <v>1531</v>
      </c>
      <c r="C214" s="1655" t="s">
        <v>12</v>
      </c>
      <c r="D214" s="1655" t="s">
        <v>42</v>
      </c>
      <c r="E214" s="1655" t="s">
        <v>569</v>
      </c>
    </row>
    <row r="215" spans="1:5" s="1732" customFormat="1">
      <c r="A215" s="1655" t="s">
        <v>70</v>
      </c>
      <c r="B215" s="1655" t="s">
        <v>1532</v>
      </c>
      <c r="C215" s="1655" t="s">
        <v>12</v>
      </c>
      <c r="D215" s="1655" t="s">
        <v>42</v>
      </c>
      <c r="E215" s="1655" t="s">
        <v>569</v>
      </c>
    </row>
    <row r="216" spans="1:5" s="1732" customFormat="1">
      <c r="A216" s="1655" t="s">
        <v>70</v>
      </c>
      <c r="B216" s="1655" t="s">
        <v>695</v>
      </c>
      <c r="C216" s="1655" t="s">
        <v>12</v>
      </c>
      <c r="D216" s="1655" t="s">
        <v>42</v>
      </c>
      <c r="E216" s="1655" t="s">
        <v>569</v>
      </c>
    </row>
    <row r="217" spans="1:5" s="1732" customFormat="1">
      <c r="A217" s="1655" t="s">
        <v>70</v>
      </c>
      <c r="B217" s="1655" t="s">
        <v>696</v>
      </c>
      <c r="C217" s="1655" t="s">
        <v>12</v>
      </c>
      <c r="D217" s="1655" t="s">
        <v>42</v>
      </c>
      <c r="E217" s="1655" t="s">
        <v>569</v>
      </c>
    </row>
    <row r="218" spans="1:5" s="1732" customFormat="1">
      <c r="A218" s="1655" t="s">
        <v>70</v>
      </c>
      <c r="B218" s="1655" t="s">
        <v>697</v>
      </c>
      <c r="C218" s="1655" t="s">
        <v>12</v>
      </c>
      <c r="D218" s="1655" t="s">
        <v>42</v>
      </c>
      <c r="E218" s="1655" t="s">
        <v>569</v>
      </c>
    </row>
    <row r="219" spans="1:5" s="1732" customFormat="1">
      <c r="A219" s="1655" t="s">
        <v>70</v>
      </c>
      <c r="B219" s="1655" t="s">
        <v>698</v>
      </c>
      <c r="C219" s="1655" t="s">
        <v>12</v>
      </c>
      <c r="D219" s="1655" t="s">
        <v>42</v>
      </c>
      <c r="E219" s="1655" t="s">
        <v>569</v>
      </c>
    </row>
    <row r="220" spans="1:5" s="1732" customFormat="1">
      <c r="A220" s="1655" t="s">
        <v>70</v>
      </c>
      <c r="B220" s="1655" t="s">
        <v>699</v>
      </c>
      <c r="C220" s="1655" t="s">
        <v>18</v>
      </c>
      <c r="D220" s="1655" t="s">
        <v>42</v>
      </c>
      <c r="E220" s="1655" t="s">
        <v>569</v>
      </c>
    </row>
    <row r="221" spans="1:5" s="1732" customFormat="1">
      <c r="A221" s="1655" t="s">
        <v>70</v>
      </c>
      <c r="B221" s="1655" t="s">
        <v>700</v>
      </c>
      <c r="C221" s="1655" t="s">
        <v>19</v>
      </c>
      <c r="D221" s="1655" t="s">
        <v>42</v>
      </c>
      <c r="E221" s="1655" t="s">
        <v>569</v>
      </c>
    </row>
    <row r="222" spans="1:5" s="1732" customFormat="1">
      <c r="A222" s="1655" t="s">
        <v>70</v>
      </c>
      <c r="B222" s="1655" t="s">
        <v>701</v>
      </c>
      <c r="C222" s="1655" t="s">
        <v>20</v>
      </c>
      <c r="D222" s="1655" t="s">
        <v>42</v>
      </c>
      <c r="E222" s="1655" t="s">
        <v>569</v>
      </c>
    </row>
    <row r="223" spans="1:5" s="1732" customFormat="1">
      <c r="A223" s="1655" t="s">
        <v>70</v>
      </c>
      <c r="B223" s="1655" t="s">
        <v>702</v>
      </c>
      <c r="C223" s="1655" t="s">
        <v>12</v>
      </c>
      <c r="D223" s="1655" t="s">
        <v>42</v>
      </c>
      <c r="E223" s="1655" t="s">
        <v>569</v>
      </c>
    </row>
    <row r="224" spans="1:5" s="1732" customFormat="1">
      <c r="A224" s="1655" t="s">
        <v>70</v>
      </c>
      <c r="B224" s="1655" t="s">
        <v>703</v>
      </c>
      <c r="C224" s="1655" t="s">
        <v>12</v>
      </c>
      <c r="D224" s="1655" t="s">
        <v>42</v>
      </c>
      <c r="E224" s="1655" t="s">
        <v>569</v>
      </c>
    </row>
    <row r="225" spans="1:5" s="1732" customFormat="1">
      <c r="A225" s="1655" t="s">
        <v>70</v>
      </c>
      <c r="B225" s="1655" t="s">
        <v>704</v>
      </c>
      <c r="C225" s="1655" t="s">
        <v>12</v>
      </c>
      <c r="D225" s="1655" t="s">
        <v>42</v>
      </c>
      <c r="E225" s="1655" t="s">
        <v>569</v>
      </c>
    </row>
    <row r="226" spans="1:5" s="1732" customFormat="1">
      <c r="A226" s="1655" t="s">
        <v>70</v>
      </c>
      <c r="B226" s="1655" t="s">
        <v>1533</v>
      </c>
      <c r="C226" s="1655" t="s">
        <v>12</v>
      </c>
      <c r="D226" s="1655" t="s">
        <v>42</v>
      </c>
      <c r="E226" s="1655" t="s">
        <v>569</v>
      </c>
    </row>
    <row r="227" spans="1:5" s="1732" customFormat="1">
      <c r="A227" s="1655" t="s">
        <v>70</v>
      </c>
      <c r="B227" s="1655" t="s">
        <v>1534</v>
      </c>
      <c r="C227" s="1655" t="s">
        <v>12</v>
      </c>
      <c r="D227" s="1655" t="s">
        <v>42</v>
      </c>
      <c r="E227" s="1655" t="s">
        <v>569</v>
      </c>
    </row>
    <row r="228" spans="1:5" s="1732" customFormat="1">
      <c r="A228" s="1655" t="s">
        <v>70</v>
      </c>
      <c r="B228" s="1655" t="s">
        <v>705</v>
      </c>
      <c r="C228" s="1655" t="s">
        <v>12</v>
      </c>
      <c r="D228" s="1655" t="s">
        <v>42</v>
      </c>
      <c r="E228" s="1655" t="s">
        <v>569</v>
      </c>
    </row>
    <row r="229" spans="1:5" s="1732" customFormat="1">
      <c r="A229" s="1655" t="s">
        <v>70</v>
      </c>
      <c r="B229" s="1655" t="s">
        <v>706</v>
      </c>
      <c r="C229" s="1655" t="s">
        <v>12</v>
      </c>
      <c r="D229" s="1655" t="s">
        <v>42</v>
      </c>
      <c r="E229" s="1655" t="s">
        <v>569</v>
      </c>
    </row>
    <row r="230" spans="1:5" s="1732" customFormat="1">
      <c r="A230" s="1655" t="s">
        <v>70</v>
      </c>
      <c r="B230" s="1655" t="s">
        <v>707</v>
      </c>
      <c r="C230" s="1655" t="s">
        <v>12</v>
      </c>
      <c r="D230" s="1655" t="s">
        <v>42</v>
      </c>
      <c r="E230" s="1655" t="s">
        <v>569</v>
      </c>
    </row>
    <row r="231" spans="1:5" s="1732" customFormat="1">
      <c r="A231" s="1655" t="s">
        <v>70</v>
      </c>
      <c r="B231" s="1655" t="s">
        <v>1535</v>
      </c>
      <c r="C231" s="1655" t="s">
        <v>2294</v>
      </c>
      <c r="D231" s="1655" t="s">
        <v>42</v>
      </c>
      <c r="E231" s="1655" t="s">
        <v>569</v>
      </c>
    </row>
    <row r="232" spans="1:5" s="1732" customFormat="1">
      <c r="A232" s="1655" t="s">
        <v>70</v>
      </c>
      <c r="B232" s="1655" t="s">
        <v>708</v>
      </c>
      <c r="C232" s="1655" t="s">
        <v>31</v>
      </c>
      <c r="D232" s="1655" t="s">
        <v>42</v>
      </c>
      <c r="E232" s="1655" t="s">
        <v>569</v>
      </c>
    </row>
    <row r="233" spans="1:5" s="1732" customFormat="1">
      <c r="A233" s="1655" t="s">
        <v>70</v>
      </c>
      <c r="B233" s="1655" t="s">
        <v>709</v>
      </c>
      <c r="C233" s="1655" t="s">
        <v>2293</v>
      </c>
      <c r="D233" s="1655" t="s">
        <v>42</v>
      </c>
      <c r="E233" s="1655" t="s">
        <v>569</v>
      </c>
    </row>
    <row r="234" spans="1:5" s="1732" customFormat="1">
      <c r="A234" s="1655" t="s">
        <v>70</v>
      </c>
      <c r="B234" s="1655" t="s">
        <v>710</v>
      </c>
      <c r="C234" s="1655" t="s">
        <v>35</v>
      </c>
      <c r="D234" s="1655" t="s">
        <v>42</v>
      </c>
      <c r="E234" s="1655" t="s">
        <v>569</v>
      </c>
    </row>
    <row r="235" spans="1:5" s="1732" customFormat="1">
      <c r="A235" s="1655" t="s">
        <v>70</v>
      </c>
      <c r="B235" s="1655" t="s">
        <v>711</v>
      </c>
      <c r="C235" s="1655" t="s">
        <v>205</v>
      </c>
      <c r="D235" s="1655" t="s">
        <v>42</v>
      </c>
      <c r="E235" s="1655" t="s">
        <v>569</v>
      </c>
    </row>
    <row r="236" spans="1:5" s="1732" customFormat="1">
      <c r="A236" s="1655" t="s">
        <v>70</v>
      </c>
      <c r="B236" s="1655" t="s">
        <v>712</v>
      </c>
      <c r="C236" s="1655" t="s">
        <v>2420</v>
      </c>
      <c r="D236" s="1655" t="s">
        <v>42</v>
      </c>
      <c r="E236" s="1655" t="s">
        <v>569</v>
      </c>
    </row>
    <row r="237" spans="1:5" s="1732" customFormat="1">
      <c r="A237" s="1655" t="s">
        <v>70</v>
      </c>
      <c r="B237" s="1655" t="s">
        <v>713</v>
      </c>
      <c r="C237" s="1655" t="s">
        <v>2636</v>
      </c>
      <c r="D237" s="1655" t="s">
        <v>42</v>
      </c>
      <c r="E237" s="1655" t="s">
        <v>569</v>
      </c>
    </row>
    <row r="238" spans="1:5" s="1732" customFormat="1">
      <c r="A238" s="1655" t="s">
        <v>70</v>
      </c>
      <c r="B238" s="1655" t="s">
        <v>714</v>
      </c>
      <c r="C238" s="1655" t="s">
        <v>2635</v>
      </c>
      <c r="D238" s="1655" t="s">
        <v>42</v>
      </c>
      <c r="E238" s="1655" t="s">
        <v>569</v>
      </c>
    </row>
    <row r="239" spans="1:5" s="1732" customFormat="1">
      <c r="A239" s="1655" t="s">
        <v>70</v>
      </c>
      <c r="B239" s="1655" t="s">
        <v>715</v>
      </c>
      <c r="C239" s="1655" t="s">
        <v>2643</v>
      </c>
      <c r="D239" s="1655" t="s">
        <v>42</v>
      </c>
      <c r="E239" s="1655" t="s">
        <v>569</v>
      </c>
    </row>
    <row r="240" spans="1:5" s="1732" customFormat="1">
      <c r="A240" s="1655" t="s">
        <v>70</v>
      </c>
      <c r="B240" s="1655" t="s">
        <v>716</v>
      </c>
      <c r="C240" s="1655" t="s">
        <v>12</v>
      </c>
      <c r="D240" s="1655" t="s">
        <v>42</v>
      </c>
      <c r="E240" s="1655" t="s">
        <v>569</v>
      </c>
    </row>
    <row r="241" spans="1:5" s="1732" customFormat="1">
      <c r="A241" s="1655" t="s">
        <v>70</v>
      </c>
      <c r="B241" s="1655" t="s">
        <v>1536</v>
      </c>
      <c r="C241" s="1655" t="s">
        <v>12</v>
      </c>
      <c r="D241" s="1655" t="s">
        <v>42</v>
      </c>
      <c r="E241" s="1655" t="s">
        <v>569</v>
      </c>
    </row>
    <row r="242" spans="1:5" s="1732" customFormat="1">
      <c r="A242" s="1655" t="s">
        <v>70</v>
      </c>
      <c r="B242" s="1655" t="s">
        <v>1537</v>
      </c>
      <c r="C242" s="1655" t="s">
        <v>12</v>
      </c>
      <c r="D242" s="1655" t="s">
        <v>42</v>
      </c>
      <c r="E242" s="1655" t="s">
        <v>569</v>
      </c>
    </row>
    <row r="243" spans="1:5" s="1732" customFormat="1">
      <c r="A243" s="1655" t="s">
        <v>70</v>
      </c>
      <c r="B243" s="1655" t="s">
        <v>717</v>
      </c>
      <c r="C243" s="1655" t="s">
        <v>25</v>
      </c>
      <c r="D243" s="1655" t="s">
        <v>42</v>
      </c>
      <c r="E243" s="1655" t="s">
        <v>569</v>
      </c>
    </row>
    <row r="244" spans="1:5" s="1732" customFormat="1">
      <c r="A244" s="1655" t="s">
        <v>70</v>
      </c>
      <c r="B244" s="1655" t="s">
        <v>718</v>
      </c>
      <c r="C244" s="1655" t="s">
        <v>2633</v>
      </c>
      <c r="D244" s="1655" t="s">
        <v>42</v>
      </c>
      <c r="E244" s="1655" t="s">
        <v>569</v>
      </c>
    </row>
    <row r="245" spans="1:5" s="1732" customFormat="1">
      <c r="A245" s="1655" t="s">
        <v>70</v>
      </c>
      <c r="B245" s="1655" t="s">
        <v>719</v>
      </c>
      <c r="C245" s="1655" t="s">
        <v>29</v>
      </c>
      <c r="D245" s="1655" t="s">
        <v>42</v>
      </c>
      <c r="E245" s="1655" t="s">
        <v>569</v>
      </c>
    </row>
    <row r="246" spans="1:5" s="1732" customFormat="1">
      <c r="A246" s="1655" t="s">
        <v>70</v>
      </c>
      <c r="B246" s="1655" t="s">
        <v>720</v>
      </c>
      <c r="C246" s="1655" t="s">
        <v>30</v>
      </c>
      <c r="D246" s="1655" t="s">
        <v>42</v>
      </c>
      <c r="E246" s="1655" t="s">
        <v>569</v>
      </c>
    </row>
    <row r="247" spans="1:5" s="1732" customFormat="1">
      <c r="A247" s="1655" t="s">
        <v>70</v>
      </c>
      <c r="B247" s="1655" t="s">
        <v>721</v>
      </c>
      <c r="C247" s="1655" t="s">
        <v>12</v>
      </c>
      <c r="D247" s="1655" t="s">
        <v>42</v>
      </c>
      <c r="E247" s="1655" t="s">
        <v>569</v>
      </c>
    </row>
    <row r="248" spans="1:5" s="1732" customFormat="1">
      <c r="A248" s="1655" t="s">
        <v>70</v>
      </c>
      <c r="B248" s="1655" t="s">
        <v>722</v>
      </c>
      <c r="C248" s="1655" t="s">
        <v>12</v>
      </c>
      <c r="D248" s="1655" t="s">
        <v>42</v>
      </c>
      <c r="E248" s="1655" t="s">
        <v>569</v>
      </c>
    </row>
    <row r="249" spans="1:5" s="1732" customFormat="1">
      <c r="A249" s="1655" t="s">
        <v>70</v>
      </c>
      <c r="B249" s="1655" t="s">
        <v>723</v>
      </c>
      <c r="C249" s="1655" t="s">
        <v>12</v>
      </c>
      <c r="D249" s="1655" t="s">
        <v>42</v>
      </c>
      <c r="E249" s="1655" t="s">
        <v>569</v>
      </c>
    </row>
    <row r="250" spans="1:5" s="1732" customFormat="1">
      <c r="A250" s="1655" t="s">
        <v>70</v>
      </c>
      <c r="B250" s="1655" t="s">
        <v>724</v>
      </c>
      <c r="C250" s="1655" t="s">
        <v>12</v>
      </c>
      <c r="D250" s="1655" t="s">
        <v>42</v>
      </c>
      <c r="E250" s="1655" t="s">
        <v>569</v>
      </c>
    </row>
    <row r="251" spans="1:5" s="1732" customFormat="1">
      <c r="A251" s="1655" t="s">
        <v>70</v>
      </c>
      <c r="B251" s="1655" t="s">
        <v>1538</v>
      </c>
      <c r="C251" s="1655" t="s">
        <v>12</v>
      </c>
      <c r="D251" s="1655" t="s">
        <v>42</v>
      </c>
      <c r="E251" s="1655" t="s">
        <v>569</v>
      </c>
    </row>
    <row r="252" spans="1:5" s="1732" customFormat="1">
      <c r="A252" s="1655" t="s">
        <v>70</v>
      </c>
      <c r="B252" s="1655" t="s">
        <v>1539</v>
      </c>
      <c r="C252" s="1655" t="s">
        <v>12</v>
      </c>
      <c r="D252" s="1655" t="s">
        <v>42</v>
      </c>
      <c r="E252" s="1655" t="s">
        <v>569</v>
      </c>
    </row>
    <row r="253" spans="1:5" s="1732" customFormat="1">
      <c r="A253" s="1655" t="s">
        <v>70</v>
      </c>
      <c r="B253" s="1655" t="s">
        <v>1540</v>
      </c>
      <c r="C253" s="1655" t="s">
        <v>12</v>
      </c>
      <c r="D253" s="1655" t="s">
        <v>42</v>
      </c>
      <c r="E253" s="1655" t="s">
        <v>569</v>
      </c>
    </row>
    <row r="254" spans="1:5" s="1732" customFormat="1">
      <c r="A254" s="1655" t="s">
        <v>70</v>
      </c>
      <c r="B254" s="1655" t="s">
        <v>1541</v>
      </c>
      <c r="C254" s="1655" t="s">
        <v>12</v>
      </c>
      <c r="D254" s="1655" t="s">
        <v>42</v>
      </c>
      <c r="E254" s="1655" t="s">
        <v>569</v>
      </c>
    </row>
    <row r="255" spans="1:5" s="1732" customFormat="1">
      <c r="A255" s="1655" t="s">
        <v>70</v>
      </c>
      <c r="B255" s="1655" t="s">
        <v>1542</v>
      </c>
      <c r="C255" s="1655" t="s">
        <v>12</v>
      </c>
      <c r="D255" s="1655" t="s">
        <v>42</v>
      </c>
      <c r="E255" s="1655" t="s">
        <v>569</v>
      </c>
    </row>
    <row r="256" spans="1:5" s="1732" customFormat="1">
      <c r="A256" s="1655" t="s">
        <v>70</v>
      </c>
      <c r="B256" s="1655" t="s">
        <v>1543</v>
      </c>
      <c r="C256" s="1655" t="s">
        <v>12</v>
      </c>
      <c r="D256" s="1655" t="s">
        <v>42</v>
      </c>
      <c r="E256" s="1655" t="s">
        <v>569</v>
      </c>
    </row>
    <row r="257" spans="1:5" s="1732" customFormat="1">
      <c r="A257" s="1655" t="s">
        <v>70</v>
      </c>
      <c r="B257" s="1655" t="s">
        <v>1544</v>
      </c>
      <c r="C257" s="1655" t="s">
        <v>12</v>
      </c>
      <c r="D257" s="1655" t="s">
        <v>42</v>
      </c>
      <c r="E257" s="1655" t="s">
        <v>569</v>
      </c>
    </row>
    <row r="258" spans="1:5" s="1732" customFormat="1">
      <c r="A258" s="1655" t="s">
        <v>70</v>
      </c>
      <c r="B258" s="1655" t="s">
        <v>1545</v>
      </c>
      <c r="C258" s="1655" t="s">
        <v>12</v>
      </c>
      <c r="D258" s="1655" t="s">
        <v>42</v>
      </c>
      <c r="E258" s="1655" t="s">
        <v>569</v>
      </c>
    </row>
    <row r="259" spans="1:5" s="1732" customFormat="1">
      <c r="A259" s="1655" t="s">
        <v>70</v>
      </c>
      <c r="B259" s="1655" t="s">
        <v>1546</v>
      </c>
      <c r="C259" s="1655" t="s">
        <v>12</v>
      </c>
      <c r="D259" s="1655" t="s">
        <v>42</v>
      </c>
      <c r="E259" s="1655" t="s">
        <v>569</v>
      </c>
    </row>
    <row r="260" spans="1:5" s="1732" customFormat="1">
      <c r="A260" s="1655" t="s">
        <v>70</v>
      </c>
      <c r="B260" s="1655" t="s">
        <v>1547</v>
      </c>
      <c r="C260" s="1655" t="s">
        <v>12</v>
      </c>
      <c r="D260" s="1655" t="s">
        <v>42</v>
      </c>
      <c r="E260" s="1655" t="s">
        <v>569</v>
      </c>
    </row>
    <row r="261" spans="1:5" s="1732" customFormat="1">
      <c r="A261" s="1655" t="s">
        <v>70</v>
      </c>
      <c r="B261" s="1655" t="s">
        <v>1548</v>
      </c>
      <c r="C261" s="1655" t="s">
        <v>275</v>
      </c>
      <c r="D261" s="1655" t="s">
        <v>42</v>
      </c>
      <c r="E261" s="1655" t="s">
        <v>569</v>
      </c>
    </row>
    <row r="262" spans="1:5" s="1732" customFormat="1">
      <c r="A262" s="1655" t="s">
        <v>70</v>
      </c>
      <c r="B262" s="1655" t="s">
        <v>1549</v>
      </c>
      <c r="C262" s="1655" t="s">
        <v>12</v>
      </c>
      <c r="D262" s="1655" t="s">
        <v>42</v>
      </c>
      <c r="E262" s="1655" t="s">
        <v>569</v>
      </c>
    </row>
    <row r="263" spans="1:5" s="1732" customFormat="1">
      <c r="A263" s="1655" t="s">
        <v>70</v>
      </c>
      <c r="B263" s="1655" t="s">
        <v>1550</v>
      </c>
      <c r="C263" s="1655" t="s">
        <v>12</v>
      </c>
      <c r="D263" s="1655" t="s">
        <v>42</v>
      </c>
      <c r="E263" s="1655" t="s">
        <v>569</v>
      </c>
    </row>
    <row r="264" spans="1:5" s="1732" customFormat="1">
      <c r="A264" s="1655" t="s">
        <v>70</v>
      </c>
      <c r="B264" s="1655" t="s">
        <v>1551</v>
      </c>
      <c r="C264" s="1655" t="s">
        <v>12</v>
      </c>
      <c r="D264" s="1655" t="s">
        <v>42</v>
      </c>
      <c r="E264" s="1655" t="s">
        <v>569</v>
      </c>
    </row>
    <row r="265" spans="1:5" s="1732" customFormat="1">
      <c r="A265" s="1655" t="s">
        <v>70</v>
      </c>
      <c r="B265" s="1655" t="s">
        <v>1552</v>
      </c>
      <c r="C265" s="1655" t="s">
        <v>12</v>
      </c>
      <c r="D265" s="1655" t="s">
        <v>42</v>
      </c>
      <c r="E265" s="1655" t="s">
        <v>569</v>
      </c>
    </row>
    <row r="266" spans="1:5" s="1732" customFormat="1">
      <c r="A266" s="1655" t="s">
        <v>70</v>
      </c>
      <c r="B266" s="1655" t="s">
        <v>1553</v>
      </c>
      <c r="C266" s="1655" t="s">
        <v>12</v>
      </c>
      <c r="D266" s="1655" t="s">
        <v>42</v>
      </c>
      <c r="E266" s="1655" t="s">
        <v>569</v>
      </c>
    </row>
    <row r="267" spans="1:5" s="1732" customFormat="1">
      <c r="A267" s="1655" t="s">
        <v>70</v>
      </c>
      <c r="B267" s="1655" t="s">
        <v>1554</v>
      </c>
      <c r="C267" s="1655" t="s">
        <v>12</v>
      </c>
      <c r="D267" s="1655" t="s">
        <v>42</v>
      </c>
      <c r="E267" s="1655" t="s">
        <v>569</v>
      </c>
    </row>
    <row r="268" spans="1:5" s="1732" customFormat="1">
      <c r="A268" s="1655" t="s">
        <v>70</v>
      </c>
      <c r="B268" s="1655" t="s">
        <v>1555</v>
      </c>
      <c r="C268" s="1655" t="s">
        <v>12</v>
      </c>
      <c r="D268" s="1655" t="s">
        <v>42</v>
      </c>
      <c r="E268" s="1655" t="s">
        <v>569</v>
      </c>
    </row>
    <row r="269" spans="1:5" s="1732" customFormat="1">
      <c r="A269" s="1655" t="s">
        <v>70</v>
      </c>
      <c r="B269" s="1655" t="s">
        <v>1556</v>
      </c>
      <c r="C269" s="1655" t="s">
        <v>12</v>
      </c>
      <c r="D269" s="1655" t="s">
        <v>42</v>
      </c>
      <c r="E269" s="1655" t="s">
        <v>569</v>
      </c>
    </row>
    <row r="270" spans="1:5" s="1732" customFormat="1">
      <c r="A270" s="1655" t="s">
        <v>70</v>
      </c>
      <c r="B270" s="1655" t="s">
        <v>1557</v>
      </c>
      <c r="C270" s="1655" t="s">
        <v>12</v>
      </c>
      <c r="D270" s="1655" t="s">
        <v>42</v>
      </c>
      <c r="E270" s="1655" t="s">
        <v>569</v>
      </c>
    </row>
    <row r="271" spans="1:5" s="1732" customFormat="1">
      <c r="A271" s="1655" t="s">
        <v>70</v>
      </c>
      <c r="B271" s="1655" t="s">
        <v>1558</v>
      </c>
      <c r="C271" s="1655" t="s">
        <v>12</v>
      </c>
      <c r="D271" s="1655" t="s">
        <v>42</v>
      </c>
      <c r="E271" s="1655" t="s">
        <v>569</v>
      </c>
    </row>
    <row r="272" spans="1:5" s="1732" customFormat="1">
      <c r="A272" s="1655" t="s">
        <v>70</v>
      </c>
      <c r="B272" s="1655" t="s">
        <v>1559</v>
      </c>
      <c r="C272" s="1655" t="s">
        <v>12</v>
      </c>
      <c r="D272" s="1655" t="s">
        <v>42</v>
      </c>
      <c r="E272" s="1655" t="s">
        <v>569</v>
      </c>
    </row>
    <row r="273" spans="1:5" s="1732" customFormat="1">
      <c r="A273" s="1655" t="s">
        <v>70</v>
      </c>
      <c r="B273" s="1655" t="s">
        <v>1560</v>
      </c>
      <c r="C273" s="1655" t="s">
        <v>275</v>
      </c>
      <c r="D273" s="1655" t="s">
        <v>42</v>
      </c>
      <c r="E273" s="1655" t="s">
        <v>569</v>
      </c>
    </row>
    <row r="274" spans="1:5" s="1732" customFormat="1">
      <c r="A274" s="1655" t="s">
        <v>70</v>
      </c>
      <c r="B274" s="1655" t="s">
        <v>1561</v>
      </c>
      <c r="C274" s="1655" t="s">
        <v>12</v>
      </c>
      <c r="D274" s="1655" t="s">
        <v>42</v>
      </c>
      <c r="E274" s="1655" t="s">
        <v>569</v>
      </c>
    </row>
    <row r="275" spans="1:5" s="1732" customFormat="1">
      <c r="A275" s="1655" t="s">
        <v>70</v>
      </c>
      <c r="B275" s="1655" t="s">
        <v>1562</v>
      </c>
      <c r="C275" s="1655" t="s">
        <v>12</v>
      </c>
      <c r="D275" s="1655" t="s">
        <v>42</v>
      </c>
      <c r="E275" s="1655" t="s">
        <v>569</v>
      </c>
    </row>
    <row r="276" spans="1:5" s="1732" customFormat="1">
      <c r="A276" s="1655" t="s">
        <v>70</v>
      </c>
      <c r="B276" s="1655" t="s">
        <v>1563</v>
      </c>
      <c r="C276" s="1655" t="s">
        <v>12</v>
      </c>
      <c r="D276" s="1655" t="s">
        <v>42</v>
      </c>
      <c r="E276" s="1655" t="s">
        <v>569</v>
      </c>
    </row>
    <row r="277" spans="1:5" s="1732" customFormat="1">
      <c r="A277" s="1655" t="s">
        <v>70</v>
      </c>
      <c r="B277" s="1655" t="s">
        <v>1564</v>
      </c>
      <c r="C277" s="1655" t="s">
        <v>12</v>
      </c>
      <c r="D277" s="1655" t="s">
        <v>42</v>
      </c>
      <c r="E277" s="1655" t="s">
        <v>569</v>
      </c>
    </row>
    <row r="278" spans="1:5" s="1732" customFormat="1">
      <c r="A278" s="1655" t="s">
        <v>70</v>
      </c>
      <c r="B278" s="1655" t="s">
        <v>1565</v>
      </c>
      <c r="C278" s="1655" t="s">
        <v>12</v>
      </c>
      <c r="D278" s="1655" t="s">
        <v>42</v>
      </c>
      <c r="E278" s="1655" t="s">
        <v>569</v>
      </c>
    </row>
    <row r="279" spans="1:5" s="1732" customFormat="1">
      <c r="A279" s="1655" t="s">
        <v>70</v>
      </c>
      <c r="B279" s="1655" t="s">
        <v>1566</v>
      </c>
      <c r="C279" s="1655" t="s">
        <v>12</v>
      </c>
      <c r="D279" s="1655" t="s">
        <v>42</v>
      </c>
      <c r="E279" s="1655" t="s">
        <v>569</v>
      </c>
    </row>
    <row r="280" spans="1:5" s="1732" customFormat="1">
      <c r="A280" s="1655" t="s">
        <v>70</v>
      </c>
      <c r="B280" s="1655" t="s">
        <v>1567</v>
      </c>
      <c r="C280" s="1655" t="s">
        <v>12</v>
      </c>
      <c r="D280" s="1655" t="s">
        <v>42</v>
      </c>
      <c r="E280" s="1655" t="s">
        <v>569</v>
      </c>
    </row>
    <row r="281" spans="1:5" s="1732" customFormat="1">
      <c r="A281" s="1655" t="s">
        <v>70</v>
      </c>
      <c r="B281" s="1655" t="s">
        <v>1568</v>
      </c>
      <c r="C281" s="1655" t="s">
        <v>12</v>
      </c>
      <c r="D281" s="1655" t="s">
        <v>42</v>
      </c>
      <c r="E281" s="1655" t="s">
        <v>569</v>
      </c>
    </row>
    <row r="282" spans="1:5" s="1732" customFormat="1">
      <c r="A282" s="1655" t="s">
        <v>70</v>
      </c>
      <c r="B282" s="1655" t="s">
        <v>1569</v>
      </c>
      <c r="C282" s="1655" t="s">
        <v>12</v>
      </c>
      <c r="D282" s="1655" t="s">
        <v>42</v>
      </c>
      <c r="E282" s="1655" t="s">
        <v>569</v>
      </c>
    </row>
    <row r="283" spans="1:5" s="1732" customFormat="1">
      <c r="A283" s="1655" t="s">
        <v>70</v>
      </c>
      <c r="B283" s="1655" t="s">
        <v>1570</v>
      </c>
      <c r="C283" s="1655" t="s">
        <v>12</v>
      </c>
      <c r="D283" s="1655" t="s">
        <v>42</v>
      </c>
      <c r="E283" s="1655" t="s">
        <v>569</v>
      </c>
    </row>
    <row r="284" spans="1:5" s="1732" customFormat="1">
      <c r="A284" s="1655" t="s">
        <v>70</v>
      </c>
      <c r="B284" s="1655" t="s">
        <v>1571</v>
      </c>
      <c r="C284" s="1656" t="s">
        <v>12</v>
      </c>
      <c r="D284" s="1655" t="s">
        <v>42</v>
      </c>
      <c r="E284" s="1655" t="s">
        <v>569</v>
      </c>
    </row>
    <row r="285" spans="1:5" s="1732" customFormat="1">
      <c r="A285" s="1655" t="s">
        <v>70</v>
      </c>
      <c r="B285" s="1655" t="s">
        <v>1572</v>
      </c>
      <c r="C285" s="1656" t="s">
        <v>12</v>
      </c>
      <c r="D285" s="1655" t="s">
        <v>42</v>
      </c>
      <c r="E285" s="1655" t="s">
        <v>569</v>
      </c>
    </row>
    <row r="286" spans="1:5" s="1732" customFormat="1">
      <c r="A286" s="1655" t="s">
        <v>70</v>
      </c>
      <c r="B286" s="1655" t="s">
        <v>1573</v>
      </c>
      <c r="C286" s="1656" t="s">
        <v>12</v>
      </c>
      <c r="D286" s="1655" t="s">
        <v>42</v>
      </c>
      <c r="E286" s="1655" t="s">
        <v>569</v>
      </c>
    </row>
    <row r="287" spans="1:5" s="1732" customFormat="1">
      <c r="A287" s="1655" t="s">
        <v>70</v>
      </c>
      <c r="B287" s="1655" t="s">
        <v>1574</v>
      </c>
      <c r="C287" s="1656" t="s">
        <v>12</v>
      </c>
      <c r="D287" s="1655" t="s">
        <v>42</v>
      </c>
      <c r="E287" s="1655" t="s">
        <v>569</v>
      </c>
    </row>
    <row r="288" spans="1:5" s="1732" customFormat="1">
      <c r="A288" s="1655" t="s">
        <v>70</v>
      </c>
      <c r="B288" s="1655" t="s">
        <v>1575</v>
      </c>
      <c r="C288" s="1656" t="s">
        <v>12</v>
      </c>
      <c r="D288" s="1655" t="s">
        <v>42</v>
      </c>
      <c r="E288" s="1655" t="s">
        <v>569</v>
      </c>
    </row>
    <row r="289" spans="1:5" s="1732" customFormat="1">
      <c r="A289" s="1655" t="s">
        <v>70</v>
      </c>
      <c r="B289" s="1655" t="s">
        <v>1576</v>
      </c>
      <c r="C289" s="1656" t="s">
        <v>12</v>
      </c>
      <c r="D289" s="1655" t="s">
        <v>42</v>
      </c>
      <c r="E289" s="1655" t="s">
        <v>569</v>
      </c>
    </row>
    <row r="290" spans="1:5" s="1732" customFormat="1">
      <c r="A290" s="1655" t="s">
        <v>70</v>
      </c>
      <c r="B290" s="1655" t="s">
        <v>1577</v>
      </c>
      <c r="C290" s="1656" t="s">
        <v>12</v>
      </c>
      <c r="D290" s="1655" t="s">
        <v>42</v>
      </c>
      <c r="E290" s="1655" t="s">
        <v>569</v>
      </c>
    </row>
    <row r="291" spans="1:5" s="1732" customFormat="1">
      <c r="A291" s="1655" t="s">
        <v>70</v>
      </c>
      <c r="B291" s="1655" t="s">
        <v>1578</v>
      </c>
      <c r="C291" s="1656" t="s">
        <v>12</v>
      </c>
      <c r="D291" s="1655" t="s">
        <v>42</v>
      </c>
      <c r="E291" s="1655" t="s">
        <v>569</v>
      </c>
    </row>
    <row r="292" spans="1:5" s="1732" customFormat="1">
      <c r="A292" s="1655" t="s">
        <v>70</v>
      </c>
      <c r="B292" s="1655" t="s">
        <v>1579</v>
      </c>
      <c r="C292" s="1656" t="s">
        <v>12</v>
      </c>
      <c r="D292" s="1655" t="s">
        <v>42</v>
      </c>
      <c r="E292" s="1655" t="s">
        <v>569</v>
      </c>
    </row>
    <row r="293" spans="1:5" s="1732" customFormat="1">
      <c r="A293" s="1655" t="s">
        <v>70</v>
      </c>
      <c r="B293" s="1655" t="s">
        <v>727</v>
      </c>
      <c r="C293" s="1656">
        <v>75</v>
      </c>
      <c r="D293" s="1655" t="s">
        <v>42</v>
      </c>
      <c r="E293" s="1655" t="s">
        <v>571</v>
      </c>
    </row>
    <row r="294" spans="1:5" s="1732" customFormat="1">
      <c r="A294" s="1655" t="s">
        <v>70</v>
      </c>
      <c r="B294" s="1655" t="s">
        <v>1580</v>
      </c>
      <c r="C294" s="1656">
        <v>400</v>
      </c>
      <c r="D294" s="1655" t="s">
        <v>42</v>
      </c>
      <c r="E294" s="1655" t="s">
        <v>571</v>
      </c>
    </row>
    <row r="295" spans="1:5" s="1732" customFormat="1">
      <c r="A295" s="1655" t="s">
        <v>70</v>
      </c>
      <c r="B295" s="1655" t="s">
        <v>1581</v>
      </c>
      <c r="C295" s="1656">
        <v>100</v>
      </c>
      <c r="D295" s="1655" t="s">
        <v>42</v>
      </c>
      <c r="E295" s="1655" t="s">
        <v>571</v>
      </c>
    </row>
    <row r="296" spans="1:5" s="1732" customFormat="1">
      <c r="A296" s="1655" t="s">
        <v>70</v>
      </c>
      <c r="B296" s="1655" t="s">
        <v>728</v>
      </c>
      <c r="C296" s="1656">
        <v>130</v>
      </c>
      <c r="D296" s="1655" t="s">
        <v>42</v>
      </c>
      <c r="E296" s="1655" t="s">
        <v>571</v>
      </c>
    </row>
    <row r="297" spans="1:5" s="1732" customFormat="1">
      <c r="A297" s="1655" t="s">
        <v>70</v>
      </c>
      <c r="B297" s="1655" t="s">
        <v>729</v>
      </c>
      <c r="C297" s="1656">
        <v>1000</v>
      </c>
      <c r="D297" s="1655" t="s">
        <v>42</v>
      </c>
      <c r="E297" s="1655" t="s">
        <v>571</v>
      </c>
    </row>
    <row r="298" spans="1:5" s="1732" customFormat="1">
      <c r="A298" s="1655" t="s">
        <v>70</v>
      </c>
      <c r="B298" s="1655" t="s">
        <v>730</v>
      </c>
      <c r="C298" s="1656">
        <v>0</v>
      </c>
      <c r="D298" s="1655" t="s">
        <v>42</v>
      </c>
      <c r="E298" s="1655" t="s">
        <v>571</v>
      </c>
    </row>
    <row r="299" spans="1:5" s="1732" customFormat="1">
      <c r="A299" s="1655" t="s">
        <v>70</v>
      </c>
      <c r="B299" s="1655" t="s">
        <v>731</v>
      </c>
      <c r="C299" s="1656">
        <v>0</v>
      </c>
      <c r="D299" s="1655" t="s">
        <v>42</v>
      </c>
      <c r="E299" s="1655" t="s">
        <v>571</v>
      </c>
    </row>
    <row r="300" spans="1:5" s="1732" customFormat="1">
      <c r="A300" s="1655" t="s">
        <v>70</v>
      </c>
      <c r="B300" s="1655" t="s">
        <v>732</v>
      </c>
      <c r="C300" s="1656">
        <v>200</v>
      </c>
      <c r="D300" s="1655" t="s">
        <v>42</v>
      </c>
      <c r="E300" s="1655" t="s">
        <v>571</v>
      </c>
    </row>
    <row r="301" spans="1:5" s="1732" customFormat="1">
      <c r="A301" s="1655" t="s">
        <v>70</v>
      </c>
      <c r="B301" s="1655" t="s">
        <v>733</v>
      </c>
      <c r="C301" s="1656">
        <v>350</v>
      </c>
      <c r="D301" s="1655" t="s">
        <v>42</v>
      </c>
      <c r="E301" s="1655" t="s">
        <v>571</v>
      </c>
    </row>
    <row r="302" spans="1:5" s="1732" customFormat="1">
      <c r="A302" s="1655" t="s">
        <v>70</v>
      </c>
      <c r="B302" s="1655" t="s">
        <v>734</v>
      </c>
      <c r="C302" s="1656">
        <v>0</v>
      </c>
      <c r="D302" s="1655" t="s">
        <v>42</v>
      </c>
      <c r="E302" s="1655" t="s">
        <v>571</v>
      </c>
    </row>
    <row r="303" spans="1:5" s="1732" customFormat="1">
      <c r="A303" s="1655" t="s">
        <v>70</v>
      </c>
      <c r="B303" s="1655" t="s">
        <v>735</v>
      </c>
      <c r="C303" s="1656">
        <v>0</v>
      </c>
      <c r="D303" s="1655" t="s">
        <v>42</v>
      </c>
      <c r="E303" s="1655" t="s">
        <v>571</v>
      </c>
    </row>
    <row r="304" spans="1:5" s="1732" customFormat="1">
      <c r="A304" s="1655" t="s">
        <v>70</v>
      </c>
      <c r="B304" s="1655" t="s">
        <v>1582</v>
      </c>
      <c r="C304" s="1656">
        <v>0</v>
      </c>
      <c r="D304" s="1655" t="s">
        <v>42</v>
      </c>
      <c r="E304" s="1655" t="s">
        <v>571</v>
      </c>
    </row>
    <row r="305" spans="1:5" s="1732" customFormat="1">
      <c r="A305" s="1655" t="s">
        <v>70</v>
      </c>
      <c r="B305" s="1655" t="s">
        <v>1583</v>
      </c>
      <c r="C305" s="1656">
        <v>150</v>
      </c>
      <c r="D305" s="1655" t="s">
        <v>42</v>
      </c>
      <c r="E305" s="1655" t="s">
        <v>571</v>
      </c>
    </row>
    <row r="306" spans="1:5" s="1732" customFormat="1">
      <c r="A306" s="1655" t="s">
        <v>70</v>
      </c>
      <c r="B306" s="1655" t="s">
        <v>736</v>
      </c>
      <c r="C306" s="1656">
        <v>50</v>
      </c>
      <c r="D306" s="1655" t="s">
        <v>42</v>
      </c>
      <c r="E306" s="1655" t="s">
        <v>571</v>
      </c>
    </row>
    <row r="307" spans="1:5" s="1732" customFormat="1">
      <c r="A307" s="1655" t="s">
        <v>70</v>
      </c>
      <c r="B307" s="1655" t="s">
        <v>737</v>
      </c>
      <c r="C307" s="1656">
        <v>0</v>
      </c>
      <c r="D307" s="1655" t="s">
        <v>42</v>
      </c>
      <c r="E307" s="1655" t="s">
        <v>571</v>
      </c>
    </row>
    <row r="308" spans="1:5" s="1732" customFormat="1">
      <c r="A308" s="1655" t="s">
        <v>70</v>
      </c>
      <c r="B308" s="1655" t="s">
        <v>738</v>
      </c>
      <c r="C308" s="1656">
        <v>80</v>
      </c>
      <c r="D308" s="1655" t="s">
        <v>42</v>
      </c>
      <c r="E308" s="1655" t="s">
        <v>571</v>
      </c>
    </row>
    <row r="309" spans="1:5" s="1732" customFormat="1">
      <c r="A309" s="1655" t="s">
        <v>70</v>
      </c>
      <c r="B309" s="1655" t="s">
        <v>1584</v>
      </c>
      <c r="C309" s="1656">
        <v>45</v>
      </c>
      <c r="D309" s="1655" t="s">
        <v>42</v>
      </c>
      <c r="E309" s="1655" t="s">
        <v>571</v>
      </c>
    </row>
    <row r="310" spans="1:5" s="1732" customFormat="1">
      <c r="A310" s="1655" t="s">
        <v>70</v>
      </c>
      <c r="B310" s="1655" t="s">
        <v>1585</v>
      </c>
      <c r="C310" s="1656">
        <v>25</v>
      </c>
      <c r="D310" s="1655" t="s">
        <v>42</v>
      </c>
      <c r="E310" s="1655" t="s">
        <v>571</v>
      </c>
    </row>
    <row r="311" spans="1:5" s="1732" customFormat="1">
      <c r="A311" s="1655" t="s">
        <v>70</v>
      </c>
      <c r="B311" s="1655" t="s">
        <v>739</v>
      </c>
      <c r="C311" s="1656">
        <v>45</v>
      </c>
      <c r="D311" s="1655" t="s">
        <v>42</v>
      </c>
      <c r="E311" s="1655" t="s">
        <v>571</v>
      </c>
    </row>
    <row r="312" spans="1:5" s="1732" customFormat="1">
      <c r="A312" s="1655" t="s">
        <v>70</v>
      </c>
      <c r="B312" s="1655" t="s">
        <v>740</v>
      </c>
      <c r="C312" s="1656">
        <v>125</v>
      </c>
      <c r="D312" s="1655" t="s">
        <v>42</v>
      </c>
      <c r="E312" s="1655" t="s">
        <v>571</v>
      </c>
    </row>
    <row r="313" spans="1:5" s="1732" customFormat="1">
      <c r="A313" s="1655" t="s">
        <v>70</v>
      </c>
      <c r="B313" s="1655" t="s">
        <v>741</v>
      </c>
      <c r="C313" s="1656">
        <v>0</v>
      </c>
      <c r="D313" s="1655" t="s">
        <v>42</v>
      </c>
      <c r="E313" s="1655" t="s">
        <v>571</v>
      </c>
    </row>
    <row r="314" spans="1:5" s="1732" customFormat="1">
      <c r="A314" s="1655" t="s">
        <v>70</v>
      </c>
      <c r="B314" s="1655" t="s">
        <v>1586</v>
      </c>
      <c r="C314" s="1656">
        <v>200</v>
      </c>
      <c r="D314" s="1655" t="s">
        <v>42</v>
      </c>
      <c r="E314" s="1655" t="s">
        <v>571</v>
      </c>
    </row>
    <row r="315" spans="1:5" s="1732" customFormat="1">
      <c r="A315" s="1655" t="s">
        <v>70</v>
      </c>
      <c r="B315" s="1655" t="s">
        <v>742</v>
      </c>
      <c r="C315" s="1656">
        <v>50</v>
      </c>
      <c r="D315" s="1655" t="s">
        <v>42</v>
      </c>
      <c r="E315" s="1655" t="s">
        <v>571</v>
      </c>
    </row>
    <row r="316" spans="1:5" s="1732" customFormat="1">
      <c r="A316" s="1655" t="s">
        <v>70</v>
      </c>
      <c r="B316" s="1655" t="s">
        <v>743</v>
      </c>
      <c r="C316" s="1656">
        <v>125</v>
      </c>
      <c r="D316" s="1655" t="s">
        <v>42</v>
      </c>
      <c r="E316" s="1655" t="s">
        <v>571</v>
      </c>
    </row>
    <row r="317" spans="1:5" s="1732" customFormat="1">
      <c r="A317" s="1655" t="s">
        <v>70</v>
      </c>
      <c r="B317" s="1655" t="s">
        <v>744</v>
      </c>
      <c r="C317" s="1656">
        <v>130</v>
      </c>
      <c r="D317" s="1655" t="s">
        <v>42</v>
      </c>
      <c r="E317" s="1655" t="s">
        <v>571</v>
      </c>
    </row>
    <row r="318" spans="1:5" s="1732" customFormat="1">
      <c r="A318" s="1655" t="s">
        <v>70</v>
      </c>
      <c r="B318" s="1655" t="s">
        <v>745</v>
      </c>
      <c r="C318" s="1656">
        <v>260</v>
      </c>
      <c r="D318" s="1655" t="s">
        <v>42</v>
      </c>
      <c r="E318" s="1655" t="s">
        <v>571</v>
      </c>
    </row>
    <row r="319" spans="1:5" s="1732" customFormat="1">
      <c r="A319" s="1655" t="s">
        <v>70</v>
      </c>
      <c r="B319" s="1655" t="s">
        <v>1587</v>
      </c>
      <c r="C319" s="1656">
        <v>0</v>
      </c>
      <c r="D319" s="1655" t="s">
        <v>42</v>
      </c>
      <c r="E319" s="1655" t="s">
        <v>571</v>
      </c>
    </row>
    <row r="320" spans="1:5" s="1732" customFormat="1">
      <c r="A320" s="1655" t="s">
        <v>70</v>
      </c>
      <c r="B320" s="1655" t="s">
        <v>1588</v>
      </c>
      <c r="C320" s="1656">
        <v>0</v>
      </c>
      <c r="D320" s="1655" t="s">
        <v>42</v>
      </c>
      <c r="E320" s="1655" t="s">
        <v>571</v>
      </c>
    </row>
    <row r="321" spans="1:5" s="1732" customFormat="1">
      <c r="A321" s="1655" t="s">
        <v>70</v>
      </c>
      <c r="B321" s="1655" t="s">
        <v>746</v>
      </c>
      <c r="C321" s="1656">
        <v>0</v>
      </c>
      <c r="D321" s="1655" t="s">
        <v>42</v>
      </c>
      <c r="E321" s="1655" t="s">
        <v>571</v>
      </c>
    </row>
    <row r="322" spans="1:5" s="1732" customFormat="1">
      <c r="A322" s="1655" t="s">
        <v>70</v>
      </c>
      <c r="B322" s="1655" t="s">
        <v>747</v>
      </c>
      <c r="C322" s="1656">
        <v>0</v>
      </c>
      <c r="D322" s="1655" t="s">
        <v>42</v>
      </c>
      <c r="E322" s="1655" t="s">
        <v>571</v>
      </c>
    </row>
    <row r="323" spans="1:5" s="1732" customFormat="1">
      <c r="A323" s="1655" t="s">
        <v>70</v>
      </c>
      <c r="B323" s="1655" t="s">
        <v>748</v>
      </c>
      <c r="C323" s="1656">
        <v>0</v>
      </c>
      <c r="D323" s="1655" t="s">
        <v>42</v>
      </c>
      <c r="E323" s="1655" t="s">
        <v>571</v>
      </c>
    </row>
    <row r="324" spans="1:5" s="1732" customFormat="1">
      <c r="A324" s="1655" t="s">
        <v>70</v>
      </c>
      <c r="B324" s="1655" t="s">
        <v>749</v>
      </c>
      <c r="C324" s="1656">
        <v>0</v>
      </c>
      <c r="D324" s="1655" t="s">
        <v>42</v>
      </c>
      <c r="E324" s="1655" t="s">
        <v>571</v>
      </c>
    </row>
    <row r="325" spans="1:5" s="1732" customFormat="1">
      <c r="A325" s="1655" t="s">
        <v>70</v>
      </c>
      <c r="B325" s="1655" t="s">
        <v>750</v>
      </c>
      <c r="C325" s="1656">
        <v>450</v>
      </c>
      <c r="D325" s="1655" t="s">
        <v>42</v>
      </c>
      <c r="E325" s="1655" t="s">
        <v>571</v>
      </c>
    </row>
    <row r="326" spans="1:5" s="1732" customFormat="1">
      <c r="A326" s="1655" t="s">
        <v>70</v>
      </c>
      <c r="B326" s="1655" t="s">
        <v>751</v>
      </c>
      <c r="C326" s="1656">
        <v>700</v>
      </c>
      <c r="D326" s="1655" t="s">
        <v>42</v>
      </c>
      <c r="E326" s="1655" t="s">
        <v>571</v>
      </c>
    </row>
    <row r="327" spans="1:5" s="1732" customFormat="1">
      <c r="A327" s="1655" t="s">
        <v>70</v>
      </c>
      <c r="B327" s="1655" t="s">
        <v>752</v>
      </c>
      <c r="C327" s="1656">
        <v>190</v>
      </c>
      <c r="D327" s="1655" t="s">
        <v>42</v>
      </c>
      <c r="E327" s="1655" t="s">
        <v>571</v>
      </c>
    </row>
    <row r="328" spans="1:5" s="1732" customFormat="1">
      <c r="A328" s="1655" t="s">
        <v>70</v>
      </c>
      <c r="B328" s="1655" t="s">
        <v>753</v>
      </c>
      <c r="C328" s="1656">
        <v>0</v>
      </c>
      <c r="D328" s="1655" t="s">
        <v>42</v>
      </c>
      <c r="E328" s="1655" t="s">
        <v>571</v>
      </c>
    </row>
    <row r="329" spans="1:5" s="1732" customFormat="1">
      <c r="A329" s="1655" t="s">
        <v>70</v>
      </c>
      <c r="B329" s="1655" t="s">
        <v>754</v>
      </c>
      <c r="C329" s="1656">
        <v>0</v>
      </c>
      <c r="D329" s="1655" t="s">
        <v>42</v>
      </c>
      <c r="E329" s="1655" t="s">
        <v>571</v>
      </c>
    </row>
    <row r="330" spans="1:5" s="1732" customFormat="1">
      <c r="A330" s="1655" t="s">
        <v>70</v>
      </c>
      <c r="B330" s="1655" t="s">
        <v>755</v>
      </c>
      <c r="C330" s="1656">
        <v>0</v>
      </c>
      <c r="D330" s="1655" t="s">
        <v>42</v>
      </c>
      <c r="E330" s="1655" t="s">
        <v>571</v>
      </c>
    </row>
    <row r="331" spans="1:5" s="1732" customFormat="1">
      <c r="A331" s="1655" t="s">
        <v>70</v>
      </c>
      <c r="B331" s="1655" t="s">
        <v>1589</v>
      </c>
      <c r="C331" s="1656">
        <v>0</v>
      </c>
      <c r="D331" s="1655" t="s">
        <v>42</v>
      </c>
      <c r="E331" s="1655" t="s">
        <v>571</v>
      </c>
    </row>
    <row r="332" spans="1:5" s="1732" customFormat="1">
      <c r="A332" s="1655" t="s">
        <v>70</v>
      </c>
      <c r="B332" s="1655" t="s">
        <v>1590</v>
      </c>
      <c r="C332" s="1656">
        <v>0</v>
      </c>
      <c r="D332" s="1655" t="s">
        <v>42</v>
      </c>
      <c r="E332" s="1655" t="s">
        <v>571</v>
      </c>
    </row>
    <row r="333" spans="1:5" s="1732" customFormat="1">
      <c r="A333" s="1655" t="s">
        <v>70</v>
      </c>
      <c r="B333" s="1655" t="s">
        <v>756</v>
      </c>
      <c r="C333" s="1656">
        <v>0</v>
      </c>
      <c r="D333" s="1655" t="s">
        <v>42</v>
      </c>
      <c r="E333" s="1655" t="s">
        <v>571</v>
      </c>
    </row>
    <row r="334" spans="1:5" s="1732" customFormat="1">
      <c r="A334" s="1655" t="s">
        <v>70</v>
      </c>
      <c r="B334" s="1655" t="s">
        <v>757</v>
      </c>
      <c r="C334" s="1656">
        <v>0</v>
      </c>
      <c r="D334" s="1655" t="s">
        <v>42</v>
      </c>
      <c r="E334" s="1655" t="s">
        <v>571</v>
      </c>
    </row>
    <row r="335" spans="1:5" s="1732" customFormat="1">
      <c r="A335" s="1655" t="s">
        <v>70</v>
      </c>
      <c r="B335" s="1655" t="s">
        <v>758</v>
      </c>
      <c r="C335" s="1656">
        <v>0</v>
      </c>
      <c r="D335" s="1655" t="s">
        <v>42</v>
      </c>
      <c r="E335" s="1655" t="s">
        <v>571</v>
      </c>
    </row>
    <row r="336" spans="1:5" s="1732" customFormat="1">
      <c r="A336" s="1655" t="s">
        <v>70</v>
      </c>
      <c r="B336" s="1655" t="s">
        <v>1591</v>
      </c>
      <c r="C336" s="1656">
        <v>12</v>
      </c>
      <c r="D336" s="1655" t="s">
        <v>42</v>
      </c>
      <c r="E336" s="1655" t="s">
        <v>571</v>
      </c>
    </row>
    <row r="337" spans="1:5" s="1732" customFormat="1">
      <c r="A337" s="1655" t="s">
        <v>70</v>
      </c>
      <c r="B337" s="1655" t="s">
        <v>759</v>
      </c>
      <c r="C337" s="1656">
        <v>70</v>
      </c>
      <c r="D337" s="1655" t="s">
        <v>42</v>
      </c>
      <c r="E337" s="1655" t="s">
        <v>571</v>
      </c>
    </row>
    <row r="338" spans="1:5" s="1732" customFormat="1">
      <c r="A338" s="1655" t="s">
        <v>70</v>
      </c>
      <c r="B338" s="1655" t="s">
        <v>760</v>
      </c>
      <c r="C338" s="1656">
        <v>15</v>
      </c>
      <c r="D338" s="1655" t="s">
        <v>42</v>
      </c>
      <c r="E338" s="1655" t="s">
        <v>571</v>
      </c>
    </row>
    <row r="339" spans="1:5" s="1732" customFormat="1">
      <c r="A339" s="1655" t="s">
        <v>70</v>
      </c>
      <c r="B339" s="1655" t="s">
        <v>761</v>
      </c>
      <c r="C339" s="1656">
        <v>120</v>
      </c>
      <c r="D339" s="1655" t="s">
        <v>42</v>
      </c>
      <c r="E339" s="1655" t="s">
        <v>571</v>
      </c>
    </row>
    <row r="340" spans="1:5" s="1732" customFormat="1">
      <c r="A340" s="1655" t="s">
        <v>70</v>
      </c>
      <c r="B340" s="1655" t="s">
        <v>762</v>
      </c>
      <c r="C340" s="1656">
        <v>15</v>
      </c>
      <c r="D340" s="1655" t="s">
        <v>42</v>
      </c>
      <c r="E340" s="1655" t="s">
        <v>571</v>
      </c>
    </row>
    <row r="341" spans="1:5" s="1732" customFormat="1">
      <c r="A341" s="1655" t="s">
        <v>70</v>
      </c>
      <c r="B341" s="1655" t="s">
        <v>763</v>
      </c>
      <c r="C341" s="1656">
        <v>0</v>
      </c>
      <c r="D341" s="1655" t="s">
        <v>42</v>
      </c>
      <c r="E341" s="1655" t="s">
        <v>571</v>
      </c>
    </row>
    <row r="342" spans="1:5" s="1732" customFormat="1">
      <c r="A342" s="1655" t="s">
        <v>70</v>
      </c>
      <c r="B342" s="1655" t="s">
        <v>764</v>
      </c>
      <c r="C342" s="1656">
        <v>20</v>
      </c>
      <c r="D342" s="1655" t="s">
        <v>42</v>
      </c>
      <c r="E342" s="1655" t="s">
        <v>571</v>
      </c>
    </row>
    <row r="343" spans="1:5" s="1732" customFormat="1">
      <c r="A343" s="1655" t="s">
        <v>70</v>
      </c>
      <c r="B343" s="1655" t="s">
        <v>765</v>
      </c>
      <c r="C343" s="1656">
        <v>16</v>
      </c>
      <c r="D343" s="1655" t="s">
        <v>42</v>
      </c>
      <c r="E343" s="1655" t="s">
        <v>571</v>
      </c>
    </row>
    <row r="344" spans="1:5" s="1732" customFormat="1">
      <c r="A344" s="1655" t="s">
        <v>70</v>
      </c>
      <c r="B344" s="1655" t="s">
        <v>766</v>
      </c>
      <c r="C344" s="1656">
        <v>120</v>
      </c>
      <c r="D344" s="1655" t="s">
        <v>42</v>
      </c>
      <c r="E344" s="1655" t="s">
        <v>571</v>
      </c>
    </row>
    <row r="345" spans="1:5" s="1732" customFormat="1">
      <c r="A345" s="1655" t="s">
        <v>70</v>
      </c>
      <c r="B345" s="1655" t="s">
        <v>767</v>
      </c>
      <c r="C345" s="1656">
        <v>0</v>
      </c>
      <c r="D345" s="1655" t="s">
        <v>42</v>
      </c>
      <c r="E345" s="1655" t="s">
        <v>571</v>
      </c>
    </row>
    <row r="346" spans="1:5" s="1732" customFormat="1">
      <c r="A346" s="1655" t="s">
        <v>70</v>
      </c>
      <c r="B346" s="1655" t="s">
        <v>1592</v>
      </c>
      <c r="C346" s="1656">
        <v>0</v>
      </c>
      <c r="D346" s="1655" t="s">
        <v>42</v>
      </c>
      <c r="E346" s="1655" t="s">
        <v>571</v>
      </c>
    </row>
    <row r="347" spans="1:5" s="1732" customFormat="1">
      <c r="A347" s="1655" t="s">
        <v>70</v>
      </c>
      <c r="B347" s="1655" t="s">
        <v>1593</v>
      </c>
      <c r="C347" s="1656">
        <v>0</v>
      </c>
      <c r="D347" s="1655" t="s">
        <v>42</v>
      </c>
      <c r="E347" s="1655" t="s">
        <v>571</v>
      </c>
    </row>
    <row r="348" spans="1:5" s="1732" customFormat="1">
      <c r="A348" s="1655" t="s">
        <v>70</v>
      </c>
      <c r="B348" s="1655" t="s">
        <v>768</v>
      </c>
      <c r="C348" s="1656">
        <v>500</v>
      </c>
      <c r="D348" s="1655" t="s">
        <v>42</v>
      </c>
      <c r="E348" s="1655" t="s">
        <v>571</v>
      </c>
    </row>
    <row r="349" spans="1:5" s="1732" customFormat="1">
      <c r="A349" s="1655" t="s">
        <v>70</v>
      </c>
      <c r="B349" s="1655" t="s">
        <v>769</v>
      </c>
      <c r="C349" s="1656">
        <v>250</v>
      </c>
      <c r="D349" s="1655" t="s">
        <v>42</v>
      </c>
      <c r="E349" s="1655" t="s">
        <v>571</v>
      </c>
    </row>
    <row r="350" spans="1:5" s="1732" customFormat="1">
      <c r="A350" s="1655" t="s">
        <v>70</v>
      </c>
      <c r="B350" s="1655" t="s">
        <v>770</v>
      </c>
      <c r="C350" s="1656">
        <v>1000</v>
      </c>
      <c r="D350" s="1655" t="s">
        <v>42</v>
      </c>
      <c r="E350" s="1655" t="s">
        <v>571</v>
      </c>
    </row>
    <row r="351" spans="1:5" s="1732" customFormat="1">
      <c r="A351" s="1655" t="s">
        <v>70</v>
      </c>
      <c r="B351" s="1655" t="s">
        <v>771</v>
      </c>
      <c r="C351" s="1656">
        <v>2500</v>
      </c>
      <c r="D351" s="1655" t="s">
        <v>42</v>
      </c>
      <c r="E351" s="1655" t="s">
        <v>571</v>
      </c>
    </row>
    <row r="352" spans="1:5" s="1732" customFormat="1">
      <c r="A352" s="1655" t="s">
        <v>70</v>
      </c>
      <c r="B352" s="1655" t="s">
        <v>772</v>
      </c>
      <c r="C352" s="1656">
        <v>0</v>
      </c>
      <c r="D352" s="1655" t="s">
        <v>42</v>
      </c>
      <c r="E352" s="1655" t="s">
        <v>571</v>
      </c>
    </row>
    <row r="353" spans="1:5" s="1732" customFormat="1">
      <c r="A353" s="1655" t="s">
        <v>70</v>
      </c>
      <c r="B353" s="1655" t="s">
        <v>773</v>
      </c>
      <c r="C353" s="1656">
        <v>0</v>
      </c>
      <c r="D353" s="1655" t="s">
        <v>42</v>
      </c>
      <c r="E353" s="1655" t="s">
        <v>571</v>
      </c>
    </row>
    <row r="354" spans="1:5" s="1732" customFormat="1">
      <c r="A354" s="1655" t="s">
        <v>70</v>
      </c>
      <c r="B354" s="1655" t="s">
        <v>774</v>
      </c>
      <c r="C354" s="1656">
        <v>0</v>
      </c>
      <c r="D354" s="1655" t="s">
        <v>42</v>
      </c>
      <c r="E354" s="1655" t="s">
        <v>571</v>
      </c>
    </row>
    <row r="355" spans="1:5" s="1732" customFormat="1">
      <c r="A355" s="1655" t="s">
        <v>70</v>
      </c>
      <c r="B355" s="1655" t="s">
        <v>775</v>
      </c>
      <c r="C355" s="1656">
        <v>0</v>
      </c>
      <c r="D355" s="1655" t="s">
        <v>42</v>
      </c>
      <c r="E355" s="1655" t="s">
        <v>571</v>
      </c>
    </row>
    <row r="356" spans="1:5" s="1732" customFormat="1">
      <c r="A356" s="1655" t="s">
        <v>70</v>
      </c>
      <c r="B356" s="1655" t="s">
        <v>1594</v>
      </c>
      <c r="C356" s="1656">
        <v>0</v>
      </c>
      <c r="D356" s="1655" t="s">
        <v>42</v>
      </c>
      <c r="E356" s="1655" t="s">
        <v>571</v>
      </c>
    </row>
    <row r="357" spans="1:5" s="1732" customFormat="1">
      <c r="A357" s="1655" t="s">
        <v>70</v>
      </c>
      <c r="B357" s="1655" t="s">
        <v>1595</v>
      </c>
      <c r="C357" s="1656">
        <v>0</v>
      </c>
      <c r="D357" s="1655" t="s">
        <v>42</v>
      </c>
      <c r="E357" s="1655" t="s">
        <v>571</v>
      </c>
    </row>
    <row r="358" spans="1:5" s="1732" customFormat="1">
      <c r="A358" s="1655" t="s">
        <v>70</v>
      </c>
      <c r="B358" s="1655" t="s">
        <v>1596</v>
      </c>
      <c r="C358" s="1656">
        <v>0</v>
      </c>
      <c r="D358" s="1655" t="s">
        <v>42</v>
      </c>
      <c r="E358" s="1655" t="s">
        <v>571</v>
      </c>
    </row>
    <row r="359" spans="1:5" s="1732" customFormat="1">
      <c r="A359" s="1655" t="s">
        <v>70</v>
      </c>
      <c r="B359" s="1655" t="s">
        <v>1597</v>
      </c>
      <c r="C359" s="1656">
        <v>0</v>
      </c>
      <c r="D359" s="1655" t="s">
        <v>42</v>
      </c>
      <c r="E359" s="1655" t="s">
        <v>571</v>
      </c>
    </row>
    <row r="360" spans="1:5" s="1732" customFormat="1">
      <c r="A360" s="1655" t="s">
        <v>70</v>
      </c>
      <c r="B360" s="1655" t="s">
        <v>1598</v>
      </c>
      <c r="C360" s="1656">
        <v>0</v>
      </c>
      <c r="D360" s="1655" t="s">
        <v>42</v>
      </c>
      <c r="E360" s="1655" t="s">
        <v>571</v>
      </c>
    </row>
    <row r="361" spans="1:5" s="1732" customFormat="1">
      <c r="A361" s="1655" t="s">
        <v>70</v>
      </c>
      <c r="B361" s="1655" t="s">
        <v>1599</v>
      </c>
      <c r="C361" s="1656">
        <v>0</v>
      </c>
      <c r="D361" s="1655" t="s">
        <v>42</v>
      </c>
      <c r="E361" s="1655" t="s">
        <v>571</v>
      </c>
    </row>
    <row r="362" spans="1:5" s="1732" customFormat="1">
      <c r="A362" s="1655" t="s">
        <v>70</v>
      </c>
      <c r="B362" s="1655" t="s">
        <v>1600</v>
      </c>
      <c r="C362" s="1656">
        <v>0</v>
      </c>
      <c r="D362" s="1655" t="s">
        <v>42</v>
      </c>
      <c r="E362" s="1655" t="s">
        <v>571</v>
      </c>
    </row>
    <row r="363" spans="1:5" s="1732" customFormat="1">
      <c r="A363" s="1655" t="s">
        <v>70</v>
      </c>
      <c r="B363" s="1655" t="s">
        <v>1601</v>
      </c>
      <c r="C363" s="1656">
        <v>0</v>
      </c>
      <c r="D363" s="1655" t="s">
        <v>42</v>
      </c>
      <c r="E363" s="1655" t="s">
        <v>571</v>
      </c>
    </row>
    <row r="364" spans="1:5" s="1732" customFormat="1">
      <c r="A364" s="1655" t="s">
        <v>70</v>
      </c>
      <c r="B364" s="1655" t="s">
        <v>1602</v>
      </c>
      <c r="C364" s="1656">
        <v>0</v>
      </c>
      <c r="D364" s="1655" t="s">
        <v>42</v>
      </c>
      <c r="E364" s="1655" t="s">
        <v>571</v>
      </c>
    </row>
    <row r="365" spans="1:5" s="1732" customFormat="1">
      <c r="A365" s="1655" t="s">
        <v>70</v>
      </c>
      <c r="B365" s="1655" t="s">
        <v>1603</v>
      </c>
      <c r="C365" s="1656">
        <v>0</v>
      </c>
      <c r="D365" s="1655" t="s">
        <v>42</v>
      </c>
      <c r="E365" s="1655" t="s">
        <v>571</v>
      </c>
    </row>
    <row r="366" spans="1:5" s="1732" customFormat="1">
      <c r="A366" s="1655" t="s">
        <v>70</v>
      </c>
      <c r="B366" s="1655" t="s">
        <v>1604</v>
      </c>
      <c r="C366" s="1656">
        <v>0</v>
      </c>
      <c r="D366" s="1655" t="s">
        <v>42</v>
      </c>
      <c r="E366" s="1655" t="s">
        <v>571</v>
      </c>
    </row>
    <row r="367" spans="1:5" s="1732" customFormat="1">
      <c r="A367" s="1655" t="s">
        <v>70</v>
      </c>
      <c r="B367" s="1655" t="s">
        <v>1605</v>
      </c>
      <c r="C367" s="1656">
        <v>0</v>
      </c>
      <c r="D367" s="1655" t="s">
        <v>42</v>
      </c>
      <c r="E367" s="1655" t="s">
        <v>571</v>
      </c>
    </row>
    <row r="368" spans="1:5" s="1732" customFormat="1">
      <c r="A368" s="1655" t="s">
        <v>70</v>
      </c>
      <c r="B368" s="1655" t="s">
        <v>1606</v>
      </c>
      <c r="C368" s="1656">
        <v>0</v>
      </c>
      <c r="D368" s="1655" t="s">
        <v>42</v>
      </c>
      <c r="E368" s="1655" t="s">
        <v>571</v>
      </c>
    </row>
    <row r="369" spans="1:5" s="1732" customFormat="1">
      <c r="A369" s="1655" t="s">
        <v>70</v>
      </c>
      <c r="B369" s="1655" t="s">
        <v>1607</v>
      </c>
      <c r="C369" s="1656">
        <v>0</v>
      </c>
      <c r="D369" s="1655" t="s">
        <v>42</v>
      </c>
      <c r="E369" s="1655" t="s">
        <v>571</v>
      </c>
    </row>
    <row r="370" spans="1:5" s="1732" customFormat="1">
      <c r="A370" s="1655" t="s">
        <v>70</v>
      </c>
      <c r="B370" s="1655" t="s">
        <v>1608</v>
      </c>
      <c r="C370" s="1656">
        <v>0</v>
      </c>
      <c r="D370" s="1655" t="s">
        <v>42</v>
      </c>
      <c r="E370" s="1655" t="s">
        <v>571</v>
      </c>
    </row>
    <row r="371" spans="1:5" s="1732" customFormat="1">
      <c r="A371" s="1655" t="s">
        <v>70</v>
      </c>
      <c r="B371" s="1655" t="s">
        <v>1609</v>
      </c>
      <c r="C371" s="1656">
        <v>0</v>
      </c>
      <c r="D371" s="1655" t="s">
        <v>42</v>
      </c>
      <c r="E371" s="1655" t="s">
        <v>571</v>
      </c>
    </row>
    <row r="372" spans="1:5" s="1732" customFormat="1">
      <c r="A372" s="1655" t="s">
        <v>70</v>
      </c>
      <c r="B372" s="1655" t="s">
        <v>1610</v>
      </c>
      <c r="C372" s="1656">
        <v>0</v>
      </c>
      <c r="D372" s="1655" t="s">
        <v>42</v>
      </c>
      <c r="E372" s="1655" t="s">
        <v>571</v>
      </c>
    </row>
    <row r="373" spans="1:5" s="1732" customFormat="1">
      <c r="A373" s="1655" t="s">
        <v>70</v>
      </c>
      <c r="B373" s="1655" t="s">
        <v>1611</v>
      </c>
      <c r="C373" s="1656">
        <v>0</v>
      </c>
      <c r="D373" s="1655" t="s">
        <v>42</v>
      </c>
      <c r="E373" s="1655" t="s">
        <v>571</v>
      </c>
    </row>
    <row r="374" spans="1:5" s="1732" customFormat="1">
      <c r="A374" s="1655" t="s">
        <v>70</v>
      </c>
      <c r="B374" s="1655" t="s">
        <v>1612</v>
      </c>
      <c r="C374" s="1656">
        <v>0</v>
      </c>
      <c r="D374" s="1655" t="s">
        <v>42</v>
      </c>
      <c r="E374" s="1655" t="s">
        <v>571</v>
      </c>
    </row>
    <row r="375" spans="1:5" s="1732" customFormat="1">
      <c r="A375" s="1655" t="s">
        <v>70</v>
      </c>
      <c r="B375" s="1655" t="s">
        <v>1613</v>
      </c>
      <c r="C375" s="1656">
        <v>0</v>
      </c>
      <c r="D375" s="1655" t="s">
        <v>42</v>
      </c>
      <c r="E375" s="1655" t="s">
        <v>571</v>
      </c>
    </row>
    <row r="376" spans="1:5" s="1732" customFormat="1">
      <c r="A376" s="1655" t="s">
        <v>70</v>
      </c>
      <c r="B376" s="1655" t="s">
        <v>1614</v>
      </c>
      <c r="C376" s="1656">
        <v>0</v>
      </c>
      <c r="D376" s="1655" t="s">
        <v>42</v>
      </c>
      <c r="E376" s="1655" t="s">
        <v>571</v>
      </c>
    </row>
    <row r="377" spans="1:5" s="1732" customFormat="1">
      <c r="A377" s="1655" t="s">
        <v>70</v>
      </c>
      <c r="B377" s="1655" t="s">
        <v>1615</v>
      </c>
      <c r="C377" s="1656">
        <v>0</v>
      </c>
      <c r="D377" s="1655" t="s">
        <v>42</v>
      </c>
      <c r="E377" s="1655" t="s">
        <v>571</v>
      </c>
    </row>
    <row r="378" spans="1:5" s="1732" customFormat="1">
      <c r="A378" s="1655" t="s">
        <v>70</v>
      </c>
      <c r="B378" s="1655" t="s">
        <v>1616</v>
      </c>
      <c r="C378" s="1656">
        <v>0</v>
      </c>
      <c r="D378" s="1655" t="s">
        <v>42</v>
      </c>
      <c r="E378" s="1655" t="s">
        <v>571</v>
      </c>
    </row>
    <row r="379" spans="1:5" s="1732" customFormat="1">
      <c r="A379" s="1655" t="s">
        <v>70</v>
      </c>
      <c r="B379" s="1655" t="s">
        <v>1617</v>
      </c>
      <c r="C379" s="1656">
        <v>0</v>
      </c>
      <c r="D379" s="1655" t="s">
        <v>42</v>
      </c>
      <c r="E379" s="1655" t="s">
        <v>571</v>
      </c>
    </row>
    <row r="380" spans="1:5" s="1732" customFormat="1">
      <c r="A380" s="1655" t="s">
        <v>70</v>
      </c>
      <c r="B380" s="1655" t="s">
        <v>1618</v>
      </c>
      <c r="C380" s="1656">
        <v>0</v>
      </c>
      <c r="D380" s="1655" t="s">
        <v>42</v>
      </c>
      <c r="E380" s="1655" t="s">
        <v>571</v>
      </c>
    </row>
    <row r="381" spans="1:5" s="1732" customFormat="1">
      <c r="A381" s="1655" t="s">
        <v>70</v>
      </c>
      <c r="B381" s="1655" t="s">
        <v>1619</v>
      </c>
      <c r="C381" s="1656">
        <v>0</v>
      </c>
      <c r="D381" s="1655" t="s">
        <v>42</v>
      </c>
      <c r="E381" s="1655" t="s">
        <v>571</v>
      </c>
    </row>
    <row r="382" spans="1:5" s="1732" customFormat="1">
      <c r="A382" s="1655" t="s">
        <v>70</v>
      </c>
      <c r="B382" s="1655" t="s">
        <v>1620</v>
      </c>
      <c r="C382" s="1656">
        <v>0</v>
      </c>
      <c r="D382" s="1655" t="s">
        <v>42</v>
      </c>
      <c r="E382" s="1655" t="s">
        <v>571</v>
      </c>
    </row>
    <row r="383" spans="1:5" s="1732" customFormat="1">
      <c r="A383" s="1655" t="s">
        <v>70</v>
      </c>
      <c r="B383" s="1655" t="s">
        <v>1621</v>
      </c>
      <c r="C383" s="1656">
        <v>0</v>
      </c>
      <c r="D383" s="1655" t="s">
        <v>42</v>
      </c>
      <c r="E383" s="1655" t="s">
        <v>571</v>
      </c>
    </row>
    <row r="384" spans="1:5" s="1732" customFormat="1">
      <c r="A384" s="1655" t="s">
        <v>70</v>
      </c>
      <c r="B384" s="1655" t="s">
        <v>1622</v>
      </c>
      <c r="C384" s="1656">
        <v>0</v>
      </c>
      <c r="D384" s="1655" t="s">
        <v>42</v>
      </c>
      <c r="E384" s="1655" t="s">
        <v>571</v>
      </c>
    </row>
    <row r="385" spans="1:5" s="1732" customFormat="1">
      <c r="A385" s="1655" t="s">
        <v>70</v>
      </c>
      <c r="B385" s="1655" t="s">
        <v>1623</v>
      </c>
      <c r="C385" s="1656">
        <v>0</v>
      </c>
      <c r="D385" s="1655" t="s">
        <v>42</v>
      </c>
      <c r="E385" s="1655" t="s">
        <v>571</v>
      </c>
    </row>
    <row r="386" spans="1:5" s="1732" customFormat="1">
      <c r="A386" s="1655" t="s">
        <v>70</v>
      </c>
      <c r="B386" s="1655" t="s">
        <v>1624</v>
      </c>
      <c r="C386" s="1656">
        <v>0</v>
      </c>
      <c r="D386" s="1655" t="s">
        <v>42</v>
      </c>
      <c r="E386" s="1655" t="s">
        <v>571</v>
      </c>
    </row>
    <row r="387" spans="1:5" s="1732" customFormat="1">
      <c r="A387" s="1655" t="s">
        <v>70</v>
      </c>
      <c r="B387" s="1655" t="s">
        <v>1625</v>
      </c>
      <c r="C387" s="1656">
        <v>0</v>
      </c>
      <c r="D387" s="1655" t="s">
        <v>42</v>
      </c>
      <c r="E387" s="1655" t="s">
        <v>571</v>
      </c>
    </row>
    <row r="388" spans="1:5" s="1732" customFormat="1">
      <c r="A388" s="1655" t="s">
        <v>70</v>
      </c>
      <c r="B388" s="1655" t="s">
        <v>1626</v>
      </c>
      <c r="C388" s="1656">
        <v>0</v>
      </c>
      <c r="D388" s="1655" t="s">
        <v>42</v>
      </c>
      <c r="E388" s="1655" t="s">
        <v>571</v>
      </c>
    </row>
    <row r="389" spans="1:5" s="1732" customFormat="1">
      <c r="A389" s="1655" t="s">
        <v>70</v>
      </c>
      <c r="B389" s="1655" t="s">
        <v>1627</v>
      </c>
      <c r="C389" s="1656">
        <v>0</v>
      </c>
      <c r="D389" s="1655" t="s">
        <v>42</v>
      </c>
      <c r="E389" s="1655" t="s">
        <v>571</v>
      </c>
    </row>
    <row r="390" spans="1:5" s="1732" customFormat="1">
      <c r="A390" s="1655" t="s">
        <v>70</v>
      </c>
      <c r="B390" s="1655" t="s">
        <v>1628</v>
      </c>
      <c r="C390" s="1656">
        <v>0</v>
      </c>
      <c r="D390" s="1655" t="s">
        <v>42</v>
      </c>
      <c r="E390" s="1655" t="s">
        <v>571</v>
      </c>
    </row>
    <row r="391" spans="1:5" s="1732" customFormat="1">
      <c r="A391" s="1655" t="s">
        <v>70</v>
      </c>
      <c r="B391" s="1655" t="s">
        <v>1629</v>
      </c>
      <c r="C391" s="1656">
        <v>0</v>
      </c>
      <c r="D391" s="1655" t="s">
        <v>42</v>
      </c>
      <c r="E391" s="1655" t="s">
        <v>571</v>
      </c>
    </row>
    <row r="392" spans="1:5" s="1732" customFormat="1">
      <c r="A392" s="1655" t="s">
        <v>70</v>
      </c>
      <c r="B392" s="1655" t="s">
        <v>1630</v>
      </c>
      <c r="C392" s="1656">
        <v>0</v>
      </c>
      <c r="D392" s="1655" t="s">
        <v>42</v>
      </c>
      <c r="E392" s="1655" t="s">
        <v>571</v>
      </c>
    </row>
    <row r="393" spans="1:5" s="1732" customFormat="1">
      <c r="A393" s="1655" t="s">
        <v>70</v>
      </c>
      <c r="B393" s="1655" t="s">
        <v>1631</v>
      </c>
      <c r="C393" s="1656">
        <v>0</v>
      </c>
      <c r="D393" s="1655" t="s">
        <v>42</v>
      </c>
      <c r="E393" s="1655" t="s">
        <v>571</v>
      </c>
    </row>
    <row r="394" spans="1:5" s="1732" customFormat="1">
      <c r="A394" s="1655" t="s">
        <v>70</v>
      </c>
      <c r="B394" s="1655" t="s">
        <v>1632</v>
      </c>
      <c r="C394" s="1656">
        <v>0</v>
      </c>
      <c r="D394" s="1655" t="s">
        <v>42</v>
      </c>
      <c r="E394" s="1655" t="s">
        <v>571</v>
      </c>
    </row>
    <row r="395" spans="1:5" s="1732" customFormat="1">
      <c r="A395" s="1655" t="s">
        <v>70</v>
      </c>
      <c r="B395" s="1655" t="s">
        <v>1633</v>
      </c>
      <c r="C395" s="1656">
        <v>0</v>
      </c>
      <c r="D395" s="1655" t="s">
        <v>42</v>
      </c>
      <c r="E395" s="1655" t="s">
        <v>571</v>
      </c>
    </row>
    <row r="396" spans="1:5" s="1732" customFormat="1">
      <c r="A396" s="1655" t="s">
        <v>70</v>
      </c>
      <c r="B396" s="1655" t="s">
        <v>1634</v>
      </c>
      <c r="C396" s="1656">
        <v>0</v>
      </c>
      <c r="D396" s="1655" t="s">
        <v>42</v>
      </c>
      <c r="E396" s="1655" t="s">
        <v>571</v>
      </c>
    </row>
    <row r="397" spans="1:5" s="1732" customFormat="1">
      <c r="A397" s="1655" t="s">
        <v>70</v>
      </c>
      <c r="B397" s="1655" t="s">
        <v>1635</v>
      </c>
      <c r="C397" s="1656">
        <v>0</v>
      </c>
      <c r="D397" s="1655" t="s">
        <v>42</v>
      </c>
      <c r="E397" s="1655" t="s">
        <v>571</v>
      </c>
    </row>
    <row r="398" spans="1:5" s="1732" customFormat="1">
      <c r="A398" s="1655" t="s">
        <v>70</v>
      </c>
      <c r="B398" s="1655" t="s">
        <v>778</v>
      </c>
      <c r="C398" s="1655">
        <v>4</v>
      </c>
      <c r="D398" s="1655" t="s">
        <v>42</v>
      </c>
      <c r="E398" s="1655" t="s">
        <v>572</v>
      </c>
    </row>
    <row r="399" spans="1:5" s="1732" customFormat="1">
      <c r="A399" s="1655" t="s">
        <v>70</v>
      </c>
      <c r="B399" s="1655" t="s">
        <v>1636</v>
      </c>
      <c r="C399" s="1655">
        <v>2</v>
      </c>
      <c r="D399" s="1655" t="s">
        <v>42</v>
      </c>
      <c r="E399" s="1655" t="s">
        <v>572</v>
      </c>
    </row>
    <row r="400" spans="1:5" s="1732" customFormat="1">
      <c r="A400" s="1655" t="s">
        <v>70</v>
      </c>
      <c r="B400" s="1655" t="s">
        <v>1637</v>
      </c>
      <c r="C400" s="1655">
        <v>12</v>
      </c>
      <c r="D400" s="1655" t="s">
        <v>42</v>
      </c>
      <c r="E400" s="1655" t="s">
        <v>572</v>
      </c>
    </row>
    <row r="401" spans="1:5" s="1732" customFormat="1">
      <c r="A401" s="1655" t="s">
        <v>70</v>
      </c>
      <c r="B401" s="1655" t="s">
        <v>779</v>
      </c>
      <c r="C401" s="1655">
        <v>12</v>
      </c>
      <c r="D401" s="1655" t="s">
        <v>42</v>
      </c>
      <c r="E401" s="1655" t="s">
        <v>572</v>
      </c>
    </row>
    <row r="402" spans="1:5" s="1732" customFormat="1">
      <c r="A402" s="1655" t="s">
        <v>70</v>
      </c>
      <c r="B402" s="1655" t="s">
        <v>780</v>
      </c>
      <c r="C402" s="1655">
        <v>1</v>
      </c>
      <c r="D402" s="1655" t="s">
        <v>42</v>
      </c>
      <c r="E402" s="1655" t="s">
        <v>572</v>
      </c>
    </row>
    <row r="403" spans="1:5" s="1732" customFormat="1">
      <c r="A403" s="1655" t="s">
        <v>70</v>
      </c>
      <c r="B403" s="1655" t="s">
        <v>781</v>
      </c>
      <c r="C403" s="1655">
        <v>0</v>
      </c>
      <c r="D403" s="1655" t="s">
        <v>42</v>
      </c>
      <c r="E403" s="1655" t="s">
        <v>572</v>
      </c>
    </row>
    <row r="404" spans="1:5" s="1732" customFormat="1">
      <c r="A404" s="1655" t="s">
        <v>70</v>
      </c>
      <c r="B404" s="1655" t="s">
        <v>782</v>
      </c>
      <c r="C404" s="1655">
        <v>0</v>
      </c>
      <c r="D404" s="1655" t="s">
        <v>42</v>
      </c>
      <c r="E404" s="1655" t="s">
        <v>572</v>
      </c>
    </row>
    <row r="405" spans="1:5" s="1732" customFormat="1">
      <c r="A405" s="1655" t="s">
        <v>70</v>
      </c>
      <c r="B405" s="1655" t="s">
        <v>783</v>
      </c>
      <c r="C405" s="1655">
        <v>2</v>
      </c>
      <c r="D405" s="1655" t="s">
        <v>42</v>
      </c>
      <c r="E405" s="1655" t="s">
        <v>572</v>
      </c>
    </row>
    <row r="406" spans="1:5" s="1732" customFormat="1">
      <c r="A406" s="1655" t="s">
        <v>70</v>
      </c>
      <c r="B406" s="1655" t="s">
        <v>784</v>
      </c>
      <c r="C406" s="1655">
        <v>3</v>
      </c>
      <c r="D406" s="1655" t="s">
        <v>42</v>
      </c>
      <c r="E406" s="1655" t="s">
        <v>572</v>
      </c>
    </row>
    <row r="407" spans="1:5" s="1732" customFormat="1">
      <c r="A407" s="1655" t="s">
        <v>70</v>
      </c>
      <c r="B407" s="1655" t="s">
        <v>785</v>
      </c>
      <c r="C407" s="1655">
        <v>0</v>
      </c>
      <c r="D407" s="1655" t="s">
        <v>42</v>
      </c>
      <c r="E407" s="1655" t="s">
        <v>572</v>
      </c>
    </row>
    <row r="408" spans="1:5" s="1732" customFormat="1">
      <c r="A408" s="1655" t="s">
        <v>70</v>
      </c>
      <c r="B408" s="1655" t="s">
        <v>786</v>
      </c>
      <c r="C408" s="1655">
        <v>0</v>
      </c>
      <c r="D408" s="1655" t="s">
        <v>42</v>
      </c>
      <c r="E408" s="1655" t="s">
        <v>572</v>
      </c>
    </row>
    <row r="409" spans="1:5" s="1732" customFormat="1">
      <c r="A409" s="1655" t="s">
        <v>70</v>
      </c>
      <c r="B409" s="1655" t="s">
        <v>1638</v>
      </c>
      <c r="C409" s="1655">
        <v>0</v>
      </c>
      <c r="D409" s="1655" t="s">
        <v>42</v>
      </c>
      <c r="E409" s="1655" t="s">
        <v>572</v>
      </c>
    </row>
    <row r="410" spans="1:5" s="1732" customFormat="1">
      <c r="A410" s="1655" t="s">
        <v>70</v>
      </c>
      <c r="B410" s="1655" t="s">
        <v>1639</v>
      </c>
      <c r="C410" s="1655">
        <v>12</v>
      </c>
      <c r="D410" s="1655" t="s">
        <v>42</v>
      </c>
      <c r="E410" s="1655" t="s">
        <v>572</v>
      </c>
    </row>
    <row r="411" spans="1:5" s="1732" customFormat="1">
      <c r="A411" s="1655" t="s">
        <v>70</v>
      </c>
      <c r="B411" s="1655" t="s">
        <v>787</v>
      </c>
      <c r="C411" s="1655">
        <v>12</v>
      </c>
      <c r="D411" s="1655" t="s">
        <v>42</v>
      </c>
      <c r="E411" s="1655" t="s">
        <v>572</v>
      </c>
    </row>
    <row r="412" spans="1:5" s="1732" customFormat="1">
      <c r="A412" s="1655" t="s">
        <v>70</v>
      </c>
      <c r="B412" s="1655" t="s">
        <v>788</v>
      </c>
      <c r="C412" s="1655">
        <v>0</v>
      </c>
      <c r="D412" s="1655" t="s">
        <v>42</v>
      </c>
      <c r="E412" s="1655" t="s">
        <v>572</v>
      </c>
    </row>
    <row r="413" spans="1:5" s="1732" customFormat="1">
      <c r="A413" s="1655" t="s">
        <v>70</v>
      </c>
      <c r="B413" s="1655" t="s">
        <v>789</v>
      </c>
      <c r="C413" s="1655">
        <v>12</v>
      </c>
      <c r="D413" s="1655" t="s">
        <v>42</v>
      </c>
      <c r="E413" s="1655" t="s">
        <v>572</v>
      </c>
    </row>
    <row r="414" spans="1:5" s="1732" customFormat="1">
      <c r="A414" s="1655" t="s">
        <v>70</v>
      </c>
      <c r="B414" s="1655" t="s">
        <v>1640</v>
      </c>
      <c r="C414" s="1655">
        <v>12</v>
      </c>
      <c r="D414" s="1655" t="s">
        <v>42</v>
      </c>
      <c r="E414" s="1655" t="s">
        <v>572</v>
      </c>
    </row>
    <row r="415" spans="1:5" s="1732" customFormat="1">
      <c r="A415" s="1655" t="s">
        <v>70</v>
      </c>
      <c r="B415" s="1655" t="s">
        <v>1641</v>
      </c>
      <c r="C415" s="1655">
        <v>12</v>
      </c>
      <c r="D415" s="1655" t="s">
        <v>42</v>
      </c>
      <c r="E415" s="1655" t="s">
        <v>572</v>
      </c>
    </row>
    <row r="416" spans="1:5" s="1732" customFormat="1">
      <c r="A416" s="1655" t="s">
        <v>70</v>
      </c>
      <c r="B416" s="1655" t="s">
        <v>790</v>
      </c>
      <c r="C416" s="1655">
        <v>12</v>
      </c>
      <c r="D416" s="1655" t="s">
        <v>42</v>
      </c>
      <c r="E416" s="1655" t="s">
        <v>572</v>
      </c>
    </row>
    <row r="417" spans="1:5" s="1732" customFormat="1">
      <c r="A417" s="1655" t="s">
        <v>70</v>
      </c>
      <c r="B417" s="1655" t="s">
        <v>791</v>
      </c>
      <c r="C417" s="1655">
        <v>12</v>
      </c>
      <c r="D417" s="1655" t="s">
        <v>42</v>
      </c>
      <c r="E417" s="1655" t="s">
        <v>572</v>
      </c>
    </row>
    <row r="418" spans="1:5" s="1732" customFormat="1">
      <c r="A418" s="1655" t="s">
        <v>70</v>
      </c>
      <c r="B418" s="1655" t="s">
        <v>792</v>
      </c>
      <c r="C418" s="1655">
        <v>0</v>
      </c>
      <c r="D418" s="1655" t="s">
        <v>42</v>
      </c>
      <c r="E418" s="1655" t="s">
        <v>572</v>
      </c>
    </row>
    <row r="419" spans="1:5" s="1732" customFormat="1">
      <c r="A419" s="1655" t="s">
        <v>70</v>
      </c>
      <c r="B419" s="1655" t="s">
        <v>1642</v>
      </c>
      <c r="C419" s="1655">
        <v>12</v>
      </c>
      <c r="D419" s="1655" t="s">
        <v>42</v>
      </c>
      <c r="E419" s="1655" t="s">
        <v>572</v>
      </c>
    </row>
    <row r="420" spans="1:5" s="1732" customFormat="1">
      <c r="A420" s="1655" t="s">
        <v>70</v>
      </c>
      <c r="B420" s="1655" t="s">
        <v>793</v>
      </c>
      <c r="C420" s="1655">
        <v>12</v>
      </c>
      <c r="D420" s="1655" t="s">
        <v>42</v>
      </c>
      <c r="E420" s="1655" t="s">
        <v>572</v>
      </c>
    </row>
    <row r="421" spans="1:5" s="1732" customFormat="1">
      <c r="A421" s="1655" t="s">
        <v>70</v>
      </c>
      <c r="B421" s="1655" t="s">
        <v>794</v>
      </c>
      <c r="C421" s="1655">
        <v>9</v>
      </c>
      <c r="D421" s="1655" t="s">
        <v>42</v>
      </c>
      <c r="E421" s="1655" t="s">
        <v>572</v>
      </c>
    </row>
    <row r="422" spans="1:5" s="1732" customFormat="1">
      <c r="A422" s="1655" t="s">
        <v>70</v>
      </c>
      <c r="B422" s="1655" t="s">
        <v>795</v>
      </c>
      <c r="C422" s="1655">
        <v>12</v>
      </c>
      <c r="D422" s="1655" t="s">
        <v>42</v>
      </c>
      <c r="E422" s="1655" t="s">
        <v>572</v>
      </c>
    </row>
    <row r="423" spans="1:5" s="1732" customFormat="1">
      <c r="A423" s="1655" t="s">
        <v>70</v>
      </c>
      <c r="B423" s="1655" t="s">
        <v>796</v>
      </c>
      <c r="C423" s="1655">
        <v>12</v>
      </c>
      <c r="D423" s="1655" t="s">
        <v>42</v>
      </c>
      <c r="E423" s="1655" t="s">
        <v>572</v>
      </c>
    </row>
    <row r="424" spans="1:5" s="1732" customFormat="1">
      <c r="A424" s="1655" t="s">
        <v>70</v>
      </c>
      <c r="B424" s="1655" t="s">
        <v>1643</v>
      </c>
      <c r="C424" s="1655">
        <v>0</v>
      </c>
      <c r="D424" s="1655" t="s">
        <v>42</v>
      </c>
      <c r="E424" s="1655" t="s">
        <v>572</v>
      </c>
    </row>
    <row r="425" spans="1:5" s="1732" customFormat="1">
      <c r="A425" s="1655" t="s">
        <v>70</v>
      </c>
      <c r="B425" s="1655" t="s">
        <v>1644</v>
      </c>
      <c r="C425" s="1655">
        <v>0</v>
      </c>
      <c r="D425" s="1655" t="s">
        <v>42</v>
      </c>
      <c r="E425" s="1655" t="s">
        <v>572</v>
      </c>
    </row>
    <row r="426" spans="1:5" s="1732" customFormat="1">
      <c r="A426" s="1655" t="s">
        <v>70</v>
      </c>
      <c r="B426" s="1655" t="s">
        <v>797</v>
      </c>
      <c r="C426" s="1655">
        <v>0</v>
      </c>
      <c r="D426" s="1655" t="s">
        <v>42</v>
      </c>
      <c r="E426" s="1655" t="s">
        <v>572</v>
      </c>
    </row>
    <row r="427" spans="1:5" s="1732" customFormat="1">
      <c r="A427" s="1655" t="s">
        <v>70</v>
      </c>
      <c r="B427" s="1655" t="s">
        <v>798</v>
      </c>
      <c r="C427" s="1655">
        <v>0</v>
      </c>
      <c r="D427" s="1655" t="s">
        <v>42</v>
      </c>
      <c r="E427" s="1655" t="s">
        <v>572</v>
      </c>
    </row>
    <row r="428" spans="1:5" s="1732" customFormat="1">
      <c r="A428" s="1655" t="s">
        <v>70</v>
      </c>
      <c r="B428" s="1655" t="s">
        <v>799</v>
      </c>
      <c r="C428" s="1655">
        <v>0</v>
      </c>
      <c r="D428" s="1655" t="s">
        <v>42</v>
      </c>
      <c r="E428" s="1655" t="s">
        <v>572</v>
      </c>
    </row>
    <row r="429" spans="1:5" s="1732" customFormat="1">
      <c r="A429" s="1655" t="s">
        <v>70</v>
      </c>
      <c r="B429" s="1655" t="s">
        <v>800</v>
      </c>
      <c r="C429" s="1655">
        <v>0</v>
      </c>
      <c r="D429" s="1655" t="s">
        <v>42</v>
      </c>
      <c r="E429" s="1655" t="s">
        <v>572</v>
      </c>
    </row>
    <row r="430" spans="1:5" s="1732" customFormat="1">
      <c r="A430" s="1655" t="s">
        <v>70</v>
      </c>
      <c r="B430" s="1655" t="s">
        <v>801</v>
      </c>
      <c r="C430" s="1655">
        <v>26</v>
      </c>
      <c r="D430" s="1655" t="s">
        <v>42</v>
      </c>
      <c r="E430" s="1655" t="s">
        <v>572</v>
      </c>
    </row>
    <row r="431" spans="1:5" s="1732" customFormat="1">
      <c r="A431" s="1655" t="s">
        <v>70</v>
      </c>
      <c r="B431" s="1655" t="s">
        <v>802</v>
      </c>
      <c r="C431" s="1655">
        <v>12</v>
      </c>
      <c r="D431" s="1655" t="s">
        <v>42</v>
      </c>
      <c r="E431" s="1655" t="s">
        <v>572</v>
      </c>
    </row>
    <row r="432" spans="1:5" s="1732" customFormat="1">
      <c r="A432" s="1655" t="s">
        <v>70</v>
      </c>
      <c r="B432" s="1655" t="s">
        <v>803</v>
      </c>
      <c r="C432" s="1655">
        <v>24</v>
      </c>
      <c r="D432" s="1655" t="s">
        <v>42</v>
      </c>
      <c r="E432" s="1655" t="s">
        <v>572</v>
      </c>
    </row>
    <row r="433" spans="1:5" s="1732" customFormat="1">
      <c r="A433" s="1655" t="s">
        <v>70</v>
      </c>
      <c r="B433" s="1655" t="s">
        <v>804</v>
      </c>
      <c r="C433" s="1655">
        <v>0</v>
      </c>
      <c r="D433" s="1655" t="s">
        <v>42</v>
      </c>
      <c r="E433" s="1655" t="s">
        <v>572</v>
      </c>
    </row>
    <row r="434" spans="1:5" s="1732" customFormat="1">
      <c r="A434" s="1655" t="s">
        <v>70</v>
      </c>
      <c r="B434" s="1655" t="s">
        <v>805</v>
      </c>
      <c r="C434" s="1655">
        <v>0</v>
      </c>
      <c r="D434" s="1655" t="s">
        <v>42</v>
      </c>
      <c r="E434" s="1655" t="s">
        <v>572</v>
      </c>
    </row>
    <row r="435" spans="1:5" s="1732" customFormat="1">
      <c r="A435" s="1655" t="s">
        <v>70</v>
      </c>
      <c r="B435" s="1655" t="s">
        <v>806</v>
      </c>
      <c r="C435" s="1655">
        <v>0</v>
      </c>
      <c r="D435" s="1655" t="s">
        <v>42</v>
      </c>
      <c r="E435" s="1655" t="s">
        <v>572</v>
      </c>
    </row>
    <row r="436" spans="1:5" s="1732" customFormat="1">
      <c r="A436" s="1655" t="s">
        <v>70</v>
      </c>
      <c r="B436" s="1655" t="s">
        <v>1645</v>
      </c>
      <c r="C436" s="1655">
        <v>0</v>
      </c>
      <c r="D436" s="1655" t="s">
        <v>42</v>
      </c>
      <c r="E436" s="1655" t="s">
        <v>572</v>
      </c>
    </row>
    <row r="437" spans="1:5" s="1732" customFormat="1">
      <c r="A437" s="1655" t="s">
        <v>70</v>
      </c>
      <c r="B437" s="1655" t="s">
        <v>1646</v>
      </c>
      <c r="C437" s="1655">
        <v>0</v>
      </c>
      <c r="D437" s="1655" t="s">
        <v>42</v>
      </c>
      <c r="E437" s="1655" t="s">
        <v>572</v>
      </c>
    </row>
    <row r="438" spans="1:5" s="1732" customFormat="1">
      <c r="A438" s="1655" t="s">
        <v>70</v>
      </c>
      <c r="B438" s="1655" t="s">
        <v>807</v>
      </c>
      <c r="C438" s="1655">
        <v>0</v>
      </c>
      <c r="D438" s="1655" t="s">
        <v>42</v>
      </c>
      <c r="E438" s="1655" t="s">
        <v>572</v>
      </c>
    </row>
    <row r="439" spans="1:5" s="1732" customFormat="1">
      <c r="A439" s="1655" t="s">
        <v>70</v>
      </c>
      <c r="B439" s="1655" t="s">
        <v>808</v>
      </c>
      <c r="C439" s="1655">
        <v>0</v>
      </c>
      <c r="D439" s="1655" t="s">
        <v>42</v>
      </c>
      <c r="E439" s="1655" t="s">
        <v>572</v>
      </c>
    </row>
    <row r="440" spans="1:5" s="1732" customFormat="1">
      <c r="A440" s="1655" t="s">
        <v>70</v>
      </c>
      <c r="B440" s="1655" t="s">
        <v>809</v>
      </c>
      <c r="C440" s="1655">
        <v>0</v>
      </c>
      <c r="D440" s="1655" t="s">
        <v>42</v>
      </c>
      <c r="E440" s="1655" t="s">
        <v>572</v>
      </c>
    </row>
    <row r="441" spans="1:5" s="1732" customFormat="1">
      <c r="A441" s="1655" t="s">
        <v>70</v>
      </c>
      <c r="B441" s="1655" t="s">
        <v>1647</v>
      </c>
      <c r="C441" s="1655">
        <v>12</v>
      </c>
      <c r="D441" s="1655" t="s">
        <v>42</v>
      </c>
      <c r="E441" s="1655" t="s">
        <v>572</v>
      </c>
    </row>
    <row r="442" spans="1:5" s="1732" customFormat="1">
      <c r="A442" s="1655" t="s">
        <v>70</v>
      </c>
      <c r="B442" s="1655" t="s">
        <v>810</v>
      </c>
      <c r="C442" s="1655">
        <v>12</v>
      </c>
      <c r="D442" s="1655" t="s">
        <v>42</v>
      </c>
      <c r="E442" s="1655" t="s">
        <v>572</v>
      </c>
    </row>
    <row r="443" spans="1:5" s="1732" customFormat="1">
      <c r="A443" s="1655" t="s">
        <v>70</v>
      </c>
      <c r="B443" s="1655" t="s">
        <v>811</v>
      </c>
      <c r="C443" s="1655">
        <v>12</v>
      </c>
      <c r="D443" s="1655" t="s">
        <v>42</v>
      </c>
      <c r="E443" s="1655" t="s">
        <v>572</v>
      </c>
    </row>
    <row r="444" spans="1:5" s="1732" customFormat="1">
      <c r="A444" s="1655" t="s">
        <v>70</v>
      </c>
      <c r="B444" s="1655" t="s">
        <v>812</v>
      </c>
      <c r="C444" s="1655">
        <v>1</v>
      </c>
      <c r="D444" s="1655" t="s">
        <v>42</v>
      </c>
      <c r="E444" s="1655" t="s">
        <v>572</v>
      </c>
    </row>
    <row r="445" spans="1:5" s="1732" customFormat="1">
      <c r="A445" s="1655" t="s">
        <v>70</v>
      </c>
      <c r="B445" s="1655" t="s">
        <v>813</v>
      </c>
      <c r="C445" s="1655">
        <v>12</v>
      </c>
      <c r="D445" s="1655" t="s">
        <v>42</v>
      </c>
      <c r="E445" s="1655" t="s">
        <v>572</v>
      </c>
    </row>
    <row r="446" spans="1:5" s="1732" customFormat="1">
      <c r="A446" s="1655" t="s">
        <v>70</v>
      </c>
      <c r="B446" s="1655" t="s">
        <v>814</v>
      </c>
      <c r="C446" s="1655">
        <v>0</v>
      </c>
      <c r="D446" s="1655" t="s">
        <v>42</v>
      </c>
      <c r="E446" s="1655" t="s">
        <v>572</v>
      </c>
    </row>
    <row r="447" spans="1:5" s="1732" customFormat="1">
      <c r="A447" s="1655" t="s">
        <v>70</v>
      </c>
      <c r="B447" s="1655" t="s">
        <v>815</v>
      </c>
      <c r="C447" s="1655">
        <v>12</v>
      </c>
      <c r="D447" s="1655" t="s">
        <v>42</v>
      </c>
      <c r="E447" s="1655" t="s">
        <v>572</v>
      </c>
    </row>
    <row r="448" spans="1:5" s="1732" customFormat="1">
      <c r="A448" s="1655" t="s">
        <v>70</v>
      </c>
      <c r="B448" s="1655" t="s">
        <v>816</v>
      </c>
      <c r="C448" s="1655">
        <v>12</v>
      </c>
      <c r="D448" s="1655" t="s">
        <v>42</v>
      </c>
      <c r="E448" s="1655" t="s">
        <v>572</v>
      </c>
    </row>
    <row r="449" spans="1:5" s="1732" customFormat="1">
      <c r="A449" s="1655" t="s">
        <v>70</v>
      </c>
      <c r="B449" s="1655" t="s">
        <v>817</v>
      </c>
      <c r="C449" s="1655">
        <v>12</v>
      </c>
      <c r="D449" s="1655" t="s">
        <v>42</v>
      </c>
      <c r="E449" s="1655" t="s">
        <v>572</v>
      </c>
    </row>
    <row r="450" spans="1:5" s="1732" customFormat="1">
      <c r="A450" s="1655" t="s">
        <v>70</v>
      </c>
      <c r="B450" s="1655" t="s">
        <v>818</v>
      </c>
      <c r="C450" s="1655">
        <v>0</v>
      </c>
      <c r="D450" s="1655" t="s">
        <v>42</v>
      </c>
      <c r="E450" s="1655" t="s">
        <v>572</v>
      </c>
    </row>
    <row r="451" spans="1:5" s="1732" customFormat="1">
      <c r="A451" s="1655" t="s">
        <v>70</v>
      </c>
      <c r="B451" s="1655" t="s">
        <v>1648</v>
      </c>
      <c r="C451" s="1655">
        <v>0</v>
      </c>
      <c r="D451" s="1655" t="s">
        <v>42</v>
      </c>
      <c r="E451" s="1655" t="s">
        <v>572</v>
      </c>
    </row>
    <row r="452" spans="1:5" s="1732" customFormat="1">
      <c r="A452" s="1655" t="s">
        <v>70</v>
      </c>
      <c r="B452" s="1655" t="s">
        <v>1649</v>
      </c>
      <c r="C452" s="1655">
        <v>0</v>
      </c>
      <c r="D452" s="1655" t="s">
        <v>42</v>
      </c>
      <c r="E452" s="1655" t="s">
        <v>572</v>
      </c>
    </row>
    <row r="453" spans="1:5" s="1732" customFormat="1">
      <c r="A453" s="1655" t="s">
        <v>70</v>
      </c>
      <c r="B453" s="1655" t="s">
        <v>819</v>
      </c>
      <c r="C453" s="1655">
        <v>12</v>
      </c>
      <c r="D453" s="1655" t="s">
        <v>42</v>
      </c>
      <c r="E453" s="1655" t="s">
        <v>572</v>
      </c>
    </row>
    <row r="454" spans="1:5" s="1732" customFormat="1">
      <c r="A454" s="1655" t="s">
        <v>70</v>
      </c>
      <c r="B454" s="1655" t="s">
        <v>820</v>
      </c>
      <c r="C454" s="1655">
        <v>12</v>
      </c>
      <c r="D454" s="1655" t="s">
        <v>42</v>
      </c>
      <c r="E454" s="1655" t="s">
        <v>572</v>
      </c>
    </row>
    <row r="455" spans="1:5" s="1732" customFormat="1">
      <c r="A455" s="1655" t="s">
        <v>70</v>
      </c>
      <c r="B455" s="1655" t="s">
        <v>821</v>
      </c>
      <c r="C455" s="1655">
        <v>1</v>
      </c>
      <c r="D455" s="1655" t="s">
        <v>42</v>
      </c>
      <c r="E455" s="1655" t="s">
        <v>572</v>
      </c>
    </row>
    <row r="456" spans="1:5" s="1732" customFormat="1">
      <c r="A456" s="1655" t="s">
        <v>70</v>
      </c>
      <c r="B456" s="1655" t="s">
        <v>822</v>
      </c>
      <c r="C456" s="1655">
        <v>1</v>
      </c>
      <c r="D456" s="1655" t="s">
        <v>42</v>
      </c>
      <c r="E456" s="1655" t="s">
        <v>572</v>
      </c>
    </row>
    <row r="457" spans="1:5" s="1732" customFormat="1">
      <c r="A457" s="1655" t="s">
        <v>70</v>
      </c>
      <c r="B457" s="1655" t="s">
        <v>823</v>
      </c>
      <c r="C457" s="1655">
        <v>0</v>
      </c>
      <c r="D457" s="1655" t="s">
        <v>42</v>
      </c>
      <c r="E457" s="1655" t="s">
        <v>572</v>
      </c>
    </row>
    <row r="458" spans="1:5" s="1732" customFormat="1">
      <c r="A458" s="1655" t="s">
        <v>70</v>
      </c>
      <c r="B458" s="1655" t="s">
        <v>824</v>
      </c>
      <c r="C458" s="1655">
        <v>0</v>
      </c>
      <c r="D458" s="1655" t="s">
        <v>42</v>
      </c>
      <c r="E458" s="1655" t="s">
        <v>572</v>
      </c>
    </row>
    <row r="459" spans="1:5" s="1732" customFormat="1">
      <c r="A459" s="1655" t="s">
        <v>70</v>
      </c>
      <c r="B459" s="1655" t="s">
        <v>825</v>
      </c>
      <c r="C459" s="1655">
        <v>0</v>
      </c>
      <c r="D459" s="1655" t="s">
        <v>42</v>
      </c>
      <c r="E459" s="1655" t="s">
        <v>572</v>
      </c>
    </row>
    <row r="460" spans="1:5" s="1732" customFormat="1">
      <c r="A460" s="1655" t="s">
        <v>70</v>
      </c>
      <c r="B460" s="1655" t="s">
        <v>826</v>
      </c>
      <c r="C460" s="1655">
        <v>0</v>
      </c>
      <c r="D460" s="1655" t="s">
        <v>42</v>
      </c>
      <c r="E460" s="1655" t="s">
        <v>572</v>
      </c>
    </row>
    <row r="461" spans="1:5" s="1732" customFormat="1">
      <c r="A461" s="1655" t="s">
        <v>70</v>
      </c>
      <c r="B461" s="1655" t="s">
        <v>1650</v>
      </c>
      <c r="C461" s="1655">
        <v>0</v>
      </c>
      <c r="D461" s="1655" t="s">
        <v>42</v>
      </c>
      <c r="E461" s="1655" t="s">
        <v>572</v>
      </c>
    </row>
    <row r="462" spans="1:5" s="1732" customFormat="1">
      <c r="A462" s="1655" t="s">
        <v>70</v>
      </c>
      <c r="B462" s="1655" t="s">
        <v>1651</v>
      </c>
      <c r="C462" s="1655">
        <v>0</v>
      </c>
      <c r="D462" s="1655" t="s">
        <v>42</v>
      </c>
      <c r="E462" s="1655" t="s">
        <v>572</v>
      </c>
    </row>
    <row r="463" spans="1:5" s="1732" customFormat="1">
      <c r="A463" s="1655" t="s">
        <v>70</v>
      </c>
      <c r="B463" s="1655" t="s">
        <v>1652</v>
      </c>
      <c r="C463" s="1655">
        <v>0</v>
      </c>
      <c r="D463" s="1655" t="s">
        <v>42</v>
      </c>
      <c r="E463" s="1655" t="s">
        <v>572</v>
      </c>
    </row>
    <row r="464" spans="1:5" s="1732" customFormat="1">
      <c r="A464" s="1655" t="s">
        <v>70</v>
      </c>
      <c r="B464" s="1655" t="s">
        <v>1653</v>
      </c>
      <c r="C464" s="1655">
        <v>0</v>
      </c>
      <c r="D464" s="1655" t="s">
        <v>42</v>
      </c>
      <c r="E464" s="1655" t="s">
        <v>572</v>
      </c>
    </row>
    <row r="465" spans="1:5" s="1732" customFormat="1">
      <c r="A465" s="1655" t="s">
        <v>70</v>
      </c>
      <c r="B465" s="1655" t="s">
        <v>1654</v>
      </c>
      <c r="C465" s="1655">
        <v>0</v>
      </c>
      <c r="D465" s="1655" t="s">
        <v>42</v>
      </c>
      <c r="E465" s="1655" t="s">
        <v>572</v>
      </c>
    </row>
    <row r="466" spans="1:5" s="1732" customFormat="1">
      <c r="A466" s="1655" t="s">
        <v>70</v>
      </c>
      <c r="B466" s="1655" t="s">
        <v>1655</v>
      </c>
      <c r="C466" s="1655">
        <v>0</v>
      </c>
      <c r="D466" s="1655" t="s">
        <v>42</v>
      </c>
      <c r="E466" s="1655" t="s">
        <v>572</v>
      </c>
    </row>
    <row r="467" spans="1:5" s="1732" customFormat="1">
      <c r="A467" s="1655" t="s">
        <v>70</v>
      </c>
      <c r="B467" s="1655" t="s">
        <v>1656</v>
      </c>
      <c r="C467" s="1655">
        <v>0</v>
      </c>
      <c r="D467" s="1655" t="s">
        <v>42</v>
      </c>
      <c r="E467" s="1655" t="s">
        <v>572</v>
      </c>
    </row>
    <row r="468" spans="1:5" s="1732" customFormat="1">
      <c r="A468" s="1655" t="s">
        <v>70</v>
      </c>
      <c r="B468" s="1655" t="s">
        <v>1657</v>
      </c>
      <c r="C468" s="1655">
        <v>0</v>
      </c>
      <c r="D468" s="1655" t="s">
        <v>42</v>
      </c>
      <c r="E468" s="1655" t="s">
        <v>572</v>
      </c>
    </row>
    <row r="469" spans="1:5" s="1732" customFormat="1">
      <c r="A469" s="1655" t="s">
        <v>70</v>
      </c>
      <c r="B469" s="1655" t="s">
        <v>1658</v>
      </c>
      <c r="C469" s="1655">
        <v>0</v>
      </c>
      <c r="D469" s="1655" t="s">
        <v>42</v>
      </c>
      <c r="E469" s="1655" t="s">
        <v>572</v>
      </c>
    </row>
    <row r="470" spans="1:5" s="1732" customFormat="1">
      <c r="A470" s="1655" t="s">
        <v>70</v>
      </c>
      <c r="B470" s="1655" t="s">
        <v>1659</v>
      </c>
      <c r="C470" s="1655">
        <v>0</v>
      </c>
      <c r="D470" s="1655" t="s">
        <v>42</v>
      </c>
      <c r="E470" s="1655" t="s">
        <v>572</v>
      </c>
    </row>
    <row r="471" spans="1:5" s="1732" customFormat="1">
      <c r="A471" s="1655" t="s">
        <v>70</v>
      </c>
      <c r="B471" s="1655" t="s">
        <v>1660</v>
      </c>
      <c r="C471" s="1655">
        <v>0</v>
      </c>
      <c r="D471" s="1655" t="s">
        <v>42</v>
      </c>
      <c r="E471" s="1655" t="s">
        <v>572</v>
      </c>
    </row>
    <row r="472" spans="1:5" s="1732" customFormat="1">
      <c r="A472" s="1655" t="s">
        <v>70</v>
      </c>
      <c r="B472" s="1655" t="s">
        <v>1661</v>
      </c>
      <c r="C472" s="1655">
        <v>0</v>
      </c>
      <c r="D472" s="1655" t="s">
        <v>42</v>
      </c>
      <c r="E472" s="1655" t="s">
        <v>572</v>
      </c>
    </row>
    <row r="473" spans="1:5" s="1732" customFormat="1">
      <c r="A473" s="1655" t="s">
        <v>70</v>
      </c>
      <c r="B473" s="1655" t="s">
        <v>1662</v>
      </c>
      <c r="C473" s="1655">
        <v>0</v>
      </c>
      <c r="D473" s="1655" t="s">
        <v>42</v>
      </c>
      <c r="E473" s="1655" t="s">
        <v>572</v>
      </c>
    </row>
    <row r="474" spans="1:5" s="1732" customFormat="1">
      <c r="A474" s="1655" t="s">
        <v>70</v>
      </c>
      <c r="B474" s="1655" t="s">
        <v>1663</v>
      </c>
      <c r="C474" s="1655">
        <v>0</v>
      </c>
      <c r="D474" s="1655" t="s">
        <v>42</v>
      </c>
      <c r="E474" s="1655" t="s">
        <v>572</v>
      </c>
    </row>
    <row r="475" spans="1:5" s="1732" customFormat="1">
      <c r="A475" s="1655" t="s">
        <v>70</v>
      </c>
      <c r="B475" s="1655" t="s">
        <v>1664</v>
      </c>
      <c r="C475" s="1655">
        <v>0</v>
      </c>
      <c r="D475" s="1655" t="s">
        <v>42</v>
      </c>
      <c r="E475" s="1655" t="s">
        <v>572</v>
      </c>
    </row>
    <row r="476" spans="1:5" s="1732" customFormat="1">
      <c r="A476" s="1655" t="s">
        <v>70</v>
      </c>
      <c r="B476" s="1655" t="s">
        <v>1665</v>
      </c>
      <c r="C476" s="1655">
        <v>0</v>
      </c>
      <c r="D476" s="1655" t="s">
        <v>42</v>
      </c>
      <c r="E476" s="1655" t="s">
        <v>572</v>
      </c>
    </row>
    <row r="477" spans="1:5" s="1732" customFormat="1">
      <c r="A477" s="1655" t="s">
        <v>70</v>
      </c>
      <c r="B477" s="1655" t="s">
        <v>1666</v>
      </c>
      <c r="C477" s="1655">
        <v>0</v>
      </c>
      <c r="D477" s="1655" t="s">
        <v>42</v>
      </c>
      <c r="E477" s="1655" t="s">
        <v>572</v>
      </c>
    </row>
    <row r="478" spans="1:5" s="1732" customFormat="1">
      <c r="A478" s="1655" t="s">
        <v>70</v>
      </c>
      <c r="B478" s="1655" t="s">
        <v>1667</v>
      </c>
      <c r="C478" s="1655">
        <v>0</v>
      </c>
      <c r="D478" s="1655" t="s">
        <v>42</v>
      </c>
      <c r="E478" s="1655" t="s">
        <v>572</v>
      </c>
    </row>
    <row r="479" spans="1:5" s="1732" customFormat="1">
      <c r="A479" s="1655" t="s">
        <v>70</v>
      </c>
      <c r="B479" s="1655" t="s">
        <v>1668</v>
      </c>
      <c r="C479" s="1655">
        <v>0</v>
      </c>
      <c r="D479" s="1655" t="s">
        <v>42</v>
      </c>
      <c r="E479" s="1655" t="s">
        <v>572</v>
      </c>
    </row>
    <row r="480" spans="1:5" s="1732" customFormat="1">
      <c r="A480" s="1655" t="s">
        <v>70</v>
      </c>
      <c r="B480" s="1655" t="s">
        <v>1669</v>
      </c>
      <c r="C480" s="1655">
        <v>0</v>
      </c>
      <c r="D480" s="1655" t="s">
        <v>42</v>
      </c>
      <c r="E480" s="1655" t="s">
        <v>572</v>
      </c>
    </row>
    <row r="481" spans="1:5" s="1732" customFormat="1">
      <c r="A481" s="1655" t="s">
        <v>70</v>
      </c>
      <c r="B481" s="1655" t="s">
        <v>1670</v>
      </c>
      <c r="C481" s="1655">
        <v>0</v>
      </c>
      <c r="D481" s="1655" t="s">
        <v>42</v>
      </c>
      <c r="E481" s="1655" t="s">
        <v>572</v>
      </c>
    </row>
    <row r="482" spans="1:5" s="1732" customFormat="1">
      <c r="A482" s="1655" t="s">
        <v>70</v>
      </c>
      <c r="B482" s="1655" t="s">
        <v>1671</v>
      </c>
      <c r="C482" s="1655">
        <v>0</v>
      </c>
      <c r="D482" s="1655" t="s">
        <v>42</v>
      </c>
      <c r="E482" s="1655" t="s">
        <v>572</v>
      </c>
    </row>
    <row r="483" spans="1:5" s="1732" customFormat="1">
      <c r="A483" s="1655" t="s">
        <v>70</v>
      </c>
      <c r="B483" s="1655" t="s">
        <v>1672</v>
      </c>
      <c r="C483" s="1655">
        <v>0</v>
      </c>
      <c r="D483" s="1655" t="s">
        <v>42</v>
      </c>
      <c r="E483" s="1655" t="s">
        <v>572</v>
      </c>
    </row>
    <row r="484" spans="1:5" s="1732" customFormat="1">
      <c r="A484" s="1655" t="s">
        <v>70</v>
      </c>
      <c r="B484" s="1655" t="s">
        <v>1673</v>
      </c>
      <c r="C484" s="1655">
        <v>0</v>
      </c>
      <c r="D484" s="1655" t="s">
        <v>42</v>
      </c>
      <c r="E484" s="1655" t="s">
        <v>572</v>
      </c>
    </row>
    <row r="485" spans="1:5" s="1732" customFormat="1">
      <c r="A485" s="1655" t="s">
        <v>70</v>
      </c>
      <c r="B485" s="1655" t="s">
        <v>1674</v>
      </c>
      <c r="C485" s="1655">
        <v>0</v>
      </c>
      <c r="D485" s="1655" t="s">
        <v>42</v>
      </c>
      <c r="E485" s="1655" t="s">
        <v>572</v>
      </c>
    </row>
    <row r="486" spans="1:5" s="1732" customFormat="1">
      <c r="A486" s="1655" t="s">
        <v>70</v>
      </c>
      <c r="B486" s="1655" t="s">
        <v>1675</v>
      </c>
      <c r="C486" s="1655">
        <v>0</v>
      </c>
      <c r="D486" s="1655" t="s">
        <v>42</v>
      </c>
      <c r="E486" s="1655" t="s">
        <v>572</v>
      </c>
    </row>
    <row r="487" spans="1:5" s="1732" customFormat="1">
      <c r="A487" s="1655" t="s">
        <v>70</v>
      </c>
      <c r="B487" s="1655" t="s">
        <v>1676</v>
      </c>
      <c r="C487" s="1655">
        <v>0</v>
      </c>
      <c r="D487" s="1655" t="s">
        <v>42</v>
      </c>
      <c r="E487" s="1655" t="s">
        <v>572</v>
      </c>
    </row>
    <row r="488" spans="1:5" s="1732" customFormat="1">
      <c r="A488" s="1655" t="s">
        <v>70</v>
      </c>
      <c r="B488" s="1655" t="s">
        <v>1677</v>
      </c>
      <c r="C488" s="1655">
        <v>0</v>
      </c>
      <c r="D488" s="1655" t="s">
        <v>42</v>
      </c>
      <c r="E488" s="1655" t="s">
        <v>572</v>
      </c>
    </row>
    <row r="489" spans="1:5" s="1732" customFormat="1">
      <c r="A489" s="1655" t="s">
        <v>70</v>
      </c>
      <c r="B489" s="1655" t="s">
        <v>1678</v>
      </c>
      <c r="C489" s="1655">
        <v>0</v>
      </c>
      <c r="D489" s="1655" t="s">
        <v>42</v>
      </c>
      <c r="E489" s="1655" t="s">
        <v>572</v>
      </c>
    </row>
    <row r="490" spans="1:5" s="1732" customFormat="1">
      <c r="A490" s="1655" t="s">
        <v>70</v>
      </c>
      <c r="B490" s="1655" t="s">
        <v>1679</v>
      </c>
      <c r="C490" s="1655">
        <v>0</v>
      </c>
      <c r="D490" s="1655" t="s">
        <v>42</v>
      </c>
      <c r="E490" s="1655" t="s">
        <v>572</v>
      </c>
    </row>
    <row r="491" spans="1:5" s="1732" customFormat="1">
      <c r="A491" s="1655" t="s">
        <v>70</v>
      </c>
      <c r="B491" s="1655" t="s">
        <v>1680</v>
      </c>
      <c r="C491" s="1655">
        <v>0</v>
      </c>
      <c r="D491" s="1655" t="s">
        <v>42</v>
      </c>
      <c r="E491" s="1655" t="s">
        <v>572</v>
      </c>
    </row>
    <row r="492" spans="1:5" s="1732" customFormat="1">
      <c r="A492" s="1655" t="s">
        <v>70</v>
      </c>
      <c r="B492" s="1655" t="s">
        <v>1681</v>
      </c>
      <c r="C492" s="1655">
        <v>0</v>
      </c>
      <c r="D492" s="1655" t="s">
        <v>42</v>
      </c>
      <c r="E492" s="1655" t="s">
        <v>572</v>
      </c>
    </row>
    <row r="493" spans="1:5" s="1732" customFormat="1">
      <c r="A493" s="1655" t="s">
        <v>70</v>
      </c>
      <c r="B493" s="1655" t="s">
        <v>1682</v>
      </c>
      <c r="C493" s="1655">
        <v>0</v>
      </c>
      <c r="D493" s="1655" t="s">
        <v>42</v>
      </c>
      <c r="E493" s="1655" t="s">
        <v>572</v>
      </c>
    </row>
    <row r="494" spans="1:5" s="1732" customFormat="1">
      <c r="A494" s="1655" t="s">
        <v>70</v>
      </c>
      <c r="B494" s="1655" t="s">
        <v>1683</v>
      </c>
      <c r="C494" s="1655">
        <v>0</v>
      </c>
      <c r="D494" s="1655" t="s">
        <v>42</v>
      </c>
      <c r="E494" s="1655" t="s">
        <v>572</v>
      </c>
    </row>
    <row r="495" spans="1:5" s="1732" customFormat="1">
      <c r="A495" s="1655" t="s">
        <v>70</v>
      </c>
      <c r="B495" s="1655" t="s">
        <v>1684</v>
      </c>
      <c r="C495" s="1655">
        <v>0</v>
      </c>
      <c r="D495" s="1655" t="s">
        <v>42</v>
      </c>
      <c r="E495" s="1655" t="s">
        <v>572</v>
      </c>
    </row>
    <row r="496" spans="1:5" s="1732" customFormat="1">
      <c r="A496" s="1655" t="s">
        <v>70</v>
      </c>
      <c r="B496" s="1655" t="s">
        <v>1685</v>
      </c>
      <c r="C496" s="1655">
        <v>0</v>
      </c>
      <c r="D496" s="1655" t="s">
        <v>42</v>
      </c>
      <c r="E496" s="1655" t="s">
        <v>572</v>
      </c>
    </row>
    <row r="497" spans="1:5" s="1732" customFormat="1">
      <c r="A497" s="1655" t="s">
        <v>70</v>
      </c>
      <c r="B497" s="1655" t="s">
        <v>1686</v>
      </c>
      <c r="C497" s="1655">
        <v>0</v>
      </c>
      <c r="D497" s="1655" t="s">
        <v>42</v>
      </c>
      <c r="E497" s="1655" t="s">
        <v>572</v>
      </c>
    </row>
    <row r="498" spans="1:5" s="1732" customFormat="1">
      <c r="A498" s="1655" t="s">
        <v>70</v>
      </c>
      <c r="B498" s="1655" t="s">
        <v>1687</v>
      </c>
      <c r="C498" s="1655">
        <v>0</v>
      </c>
      <c r="D498" s="1655" t="s">
        <v>42</v>
      </c>
      <c r="E498" s="1655" t="s">
        <v>572</v>
      </c>
    </row>
    <row r="499" spans="1:5" s="1732" customFormat="1">
      <c r="A499" s="1655" t="s">
        <v>70</v>
      </c>
      <c r="B499" s="1655" t="s">
        <v>1688</v>
      </c>
      <c r="C499" s="1655">
        <v>0</v>
      </c>
      <c r="D499" s="1655" t="s">
        <v>42</v>
      </c>
      <c r="E499" s="1655" t="s">
        <v>572</v>
      </c>
    </row>
    <row r="500" spans="1:5" s="1732" customFormat="1">
      <c r="A500" s="1655" t="s">
        <v>70</v>
      </c>
      <c r="B500" s="1655" t="s">
        <v>1689</v>
      </c>
      <c r="C500" s="1655">
        <v>0</v>
      </c>
      <c r="D500" s="1655" t="s">
        <v>42</v>
      </c>
      <c r="E500" s="1655" t="s">
        <v>572</v>
      </c>
    </row>
    <row r="501" spans="1:5" s="1732" customFormat="1">
      <c r="A501" s="1655" t="s">
        <v>70</v>
      </c>
      <c r="B501" s="1655" t="s">
        <v>1690</v>
      </c>
      <c r="C501" s="1655">
        <v>0</v>
      </c>
      <c r="D501" s="1655" t="s">
        <v>42</v>
      </c>
      <c r="E501" s="1655" t="s">
        <v>572</v>
      </c>
    </row>
    <row r="502" spans="1:5" s="1732" customFormat="1">
      <c r="A502" s="1655" t="s">
        <v>70</v>
      </c>
      <c r="B502" s="1655" t="s">
        <v>1691</v>
      </c>
      <c r="C502" s="1655">
        <v>0</v>
      </c>
      <c r="D502" s="1655" t="s">
        <v>42</v>
      </c>
      <c r="E502" s="1655" t="s">
        <v>572</v>
      </c>
    </row>
    <row r="503" spans="1:5" s="1732" customFormat="1">
      <c r="A503" s="1655" t="s">
        <v>70</v>
      </c>
      <c r="B503" s="1655" t="s">
        <v>829</v>
      </c>
      <c r="C503" s="1655" t="s">
        <v>42</v>
      </c>
      <c r="D503" s="1655" t="s">
        <v>42</v>
      </c>
      <c r="E503" s="1655" t="s">
        <v>569</v>
      </c>
    </row>
    <row r="504" spans="1:5" s="1732" customFormat="1">
      <c r="A504" s="1655" t="s">
        <v>70</v>
      </c>
      <c r="B504" s="1655" t="s">
        <v>1195</v>
      </c>
      <c r="C504" s="1655" t="s">
        <v>42</v>
      </c>
      <c r="D504" s="1655" t="s">
        <v>42</v>
      </c>
      <c r="E504" s="1655" t="s">
        <v>569</v>
      </c>
    </row>
    <row r="505" spans="1:5" s="1732" customFormat="1">
      <c r="A505" s="1655" t="s">
        <v>70</v>
      </c>
      <c r="B505" s="1655" t="s">
        <v>1196</v>
      </c>
      <c r="C505" s="1655" t="s">
        <v>42</v>
      </c>
      <c r="D505" s="1655" t="s">
        <v>42</v>
      </c>
      <c r="E505" s="1655" t="s">
        <v>569</v>
      </c>
    </row>
    <row r="506" spans="1:5" s="1732" customFormat="1">
      <c r="A506" s="1655" t="s">
        <v>70</v>
      </c>
      <c r="B506" s="1655" t="s">
        <v>830</v>
      </c>
      <c r="C506" s="1655" t="s">
        <v>42</v>
      </c>
      <c r="D506" s="1655" t="s">
        <v>42</v>
      </c>
      <c r="E506" s="1655" t="s">
        <v>569</v>
      </c>
    </row>
    <row r="507" spans="1:5" s="1732" customFormat="1">
      <c r="A507" s="1655" t="s">
        <v>70</v>
      </c>
      <c r="B507" s="1655" t="s">
        <v>831</v>
      </c>
      <c r="C507" s="1655" t="s">
        <v>42</v>
      </c>
      <c r="D507" s="1655" t="s">
        <v>42</v>
      </c>
      <c r="E507" s="1655" t="s">
        <v>569</v>
      </c>
    </row>
    <row r="508" spans="1:5" s="1732" customFormat="1">
      <c r="A508" s="1655" t="s">
        <v>70</v>
      </c>
      <c r="B508" s="1655" t="s">
        <v>832</v>
      </c>
      <c r="C508" s="1655" t="s">
        <v>42</v>
      </c>
      <c r="D508" s="1655" t="s">
        <v>42</v>
      </c>
      <c r="E508" s="1655" t="s">
        <v>569</v>
      </c>
    </row>
    <row r="509" spans="1:5" s="1732" customFormat="1">
      <c r="A509" s="1655" t="s">
        <v>70</v>
      </c>
      <c r="B509" s="1655" t="s">
        <v>833</v>
      </c>
      <c r="C509" s="1655" t="s">
        <v>42</v>
      </c>
      <c r="D509" s="1655" t="s">
        <v>42</v>
      </c>
      <c r="E509" s="1655" t="s">
        <v>569</v>
      </c>
    </row>
    <row r="510" spans="1:5" s="1732" customFormat="1">
      <c r="A510" s="1655" t="s">
        <v>70</v>
      </c>
      <c r="B510" s="1655" t="s">
        <v>834</v>
      </c>
      <c r="C510" s="1655" t="s">
        <v>42</v>
      </c>
      <c r="D510" s="1655" t="s">
        <v>42</v>
      </c>
      <c r="E510" s="1655" t="s">
        <v>569</v>
      </c>
    </row>
    <row r="511" spans="1:5" s="1732" customFormat="1">
      <c r="A511" s="1655" t="s">
        <v>70</v>
      </c>
      <c r="B511" s="1655" t="s">
        <v>835</v>
      </c>
      <c r="C511" s="1655" t="s">
        <v>42</v>
      </c>
      <c r="D511" s="1655" t="s">
        <v>42</v>
      </c>
      <c r="E511" s="1655" t="s">
        <v>569</v>
      </c>
    </row>
    <row r="512" spans="1:5" s="1732" customFormat="1">
      <c r="A512" s="1655" t="s">
        <v>70</v>
      </c>
      <c r="B512" s="1655" t="s">
        <v>836</v>
      </c>
      <c r="C512" s="1655" t="s">
        <v>42</v>
      </c>
      <c r="D512" s="1655" t="s">
        <v>42</v>
      </c>
      <c r="E512" s="1655" t="s">
        <v>569</v>
      </c>
    </row>
    <row r="513" spans="1:5" s="1732" customFormat="1">
      <c r="A513" s="1655" t="s">
        <v>70</v>
      </c>
      <c r="B513" s="1655" t="s">
        <v>837</v>
      </c>
      <c r="C513" s="1655" t="s">
        <v>42</v>
      </c>
      <c r="D513" s="1655" t="s">
        <v>42</v>
      </c>
      <c r="E513" s="1655" t="s">
        <v>569</v>
      </c>
    </row>
    <row r="514" spans="1:5" s="1732" customFormat="1">
      <c r="A514" s="1655" t="s">
        <v>70</v>
      </c>
      <c r="B514" s="1655" t="s">
        <v>1692</v>
      </c>
      <c r="C514" s="1655" t="s">
        <v>42</v>
      </c>
      <c r="D514" s="1655" t="s">
        <v>42</v>
      </c>
      <c r="E514" s="1655" t="s">
        <v>569</v>
      </c>
    </row>
    <row r="515" spans="1:5" s="1732" customFormat="1">
      <c r="A515" s="1655" t="s">
        <v>70</v>
      </c>
      <c r="B515" s="1655" t="s">
        <v>1693</v>
      </c>
      <c r="C515" s="1655" t="s">
        <v>42</v>
      </c>
      <c r="D515" s="1655" t="s">
        <v>42</v>
      </c>
      <c r="E515" s="1655" t="s">
        <v>569</v>
      </c>
    </row>
    <row r="516" spans="1:5" s="1732" customFormat="1">
      <c r="A516" s="1655" t="s">
        <v>70</v>
      </c>
      <c r="B516" s="1655" t="s">
        <v>838</v>
      </c>
      <c r="C516" s="1655" t="s">
        <v>42</v>
      </c>
      <c r="D516" s="1655" t="s">
        <v>42</v>
      </c>
      <c r="E516" s="1655" t="s">
        <v>569</v>
      </c>
    </row>
    <row r="517" spans="1:5" s="1732" customFormat="1">
      <c r="A517" s="1655" t="s">
        <v>70</v>
      </c>
      <c r="B517" s="1655" t="s">
        <v>839</v>
      </c>
      <c r="C517" s="1655" t="s">
        <v>42</v>
      </c>
      <c r="D517" s="1655" t="s">
        <v>42</v>
      </c>
      <c r="E517" s="1655" t="s">
        <v>569</v>
      </c>
    </row>
    <row r="518" spans="1:5" s="1732" customFormat="1">
      <c r="A518" s="1655" t="s">
        <v>70</v>
      </c>
      <c r="B518" s="1655" t="s">
        <v>840</v>
      </c>
      <c r="C518" s="1655" t="s">
        <v>42</v>
      </c>
      <c r="D518" s="1655" t="s">
        <v>42</v>
      </c>
      <c r="E518" s="1655" t="s">
        <v>569</v>
      </c>
    </row>
    <row r="519" spans="1:5" s="1732" customFormat="1">
      <c r="A519" s="1655" t="s">
        <v>70</v>
      </c>
      <c r="B519" s="1655" t="s">
        <v>1694</v>
      </c>
      <c r="C519" s="1655" t="s">
        <v>42</v>
      </c>
      <c r="D519" s="1655" t="s">
        <v>42</v>
      </c>
      <c r="E519" s="1655" t="s">
        <v>569</v>
      </c>
    </row>
    <row r="520" spans="1:5" s="1732" customFormat="1">
      <c r="A520" s="1655" t="s">
        <v>70</v>
      </c>
      <c r="B520" s="1655" t="s">
        <v>1695</v>
      </c>
      <c r="C520" s="1655" t="s">
        <v>42</v>
      </c>
      <c r="D520" s="1655" t="s">
        <v>42</v>
      </c>
      <c r="E520" s="1655" t="s">
        <v>569</v>
      </c>
    </row>
    <row r="521" spans="1:5" s="1732" customFormat="1">
      <c r="A521" s="1655" t="s">
        <v>70</v>
      </c>
      <c r="B521" s="1655" t="s">
        <v>841</v>
      </c>
      <c r="C521" s="1655" t="s">
        <v>42</v>
      </c>
      <c r="D521" s="1655" t="s">
        <v>42</v>
      </c>
      <c r="E521" s="1655" t="s">
        <v>569</v>
      </c>
    </row>
    <row r="522" spans="1:5" s="1732" customFormat="1">
      <c r="A522" s="1655" t="s">
        <v>70</v>
      </c>
      <c r="B522" s="1655" t="s">
        <v>842</v>
      </c>
      <c r="C522" s="1655" t="s">
        <v>42</v>
      </c>
      <c r="D522" s="1655" t="s">
        <v>42</v>
      </c>
      <c r="E522" s="1655" t="s">
        <v>569</v>
      </c>
    </row>
    <row r="523" spans="1:5" s="1732" customFormat="1">
      <c r="A523" s="1655" t="s">
        <v>70</v>
      </c>
      <c r="B523" s="1655" t="s">
        <v>843</v>
      </c>
      <c r="C523" s="1655" t="s">
        <v>43</v>
      </c>
      <c r="D523" s="1655" t="s">
        <v>42</v>
      </c>
      <c r="E523" s="1655" t="s">
        <v>569</v>
      </c>
    </row>
    <row r="524" spans="1:5" s="1732" customFormat="1">
      <c r="A524" s="1655" t="s">
        <v>70</v>
      </c>
      <c r="B524" s="1655" t="s">
        <v>1696</v>
      </c>
      <c r="C524" s="1655" t="s">
        <v>42</v>
      </c>
      <c r="D524" s="1655" t="s">
        <v>42</v>
      </c>
      <c r="E524" s="1655" t="s">
        <v>569</v>
      </c>
    </row>
    <row r="525" spans="1:5" s="1732" customFormat="1">
      <c r="A525" s="1655" t="s">
        <v>70</v>
      </c>
      <c r="B525" s="1655" t="s">
        <v>844</v>
      </c>
      <c r="C525" s="1655" t="s">
        <v>42</v>
      </c>
      <c r="D525" s="1655" t="s">
        <v>42</v>
      </c>
      <c r="E525" s="1655" t="s">
        <v>569</v>
      </c>
    </row>
    <row r="526" spans="1:5" s="1732" customFormat="1">
      <c r="A526" s="1655" t="s">
        <v>70</v>
      </c>
      <c r="B526" s="1655" t="s">
        <v>845</v>
      </c>
      <c r="C526" s="1655" t="s">
        <v>42</v>
      </c>
      <c r="D526" s="1655" t="s">
        <v>42</v>
      </c>
      <c r="E526" s="1655" t="s">
        <v>569</v>
      </c>
    </row>
    <row r="527" spans="1:5" s="1732" customFormat="1">
      <c r="A527" s="1655" t="s">
        <v>70</v>
      </c>
      <c r="B527" s="1655" t="s">
        <v>846</v>
      </c>
      <c r="C527" s="1655" t="s">
        <v>42</v>
      </c>
      <c r="D527" s="1655" t="s">
        <v>42</v>
      </c>
      <c r="E527" s="1655" t="s">
        <v>569</v>
      </c>
    </row>
    <row r="528" spans="1:5" s="1732" customFormat="1">
      <c r="A528" s="1655" t="s">
        <v>70</v>
      </c>
      <c r="B528" s="1655" t="s">
        <v>847</v>
      </c>
      <c r="C528" s="1655" t="s">
        <v>42</v>
      </c>
      <c r="D528" s="1655" t="s">
        <v>42</v>
      </c>
      <c r="E528" s="1655" t="s">
        <v>569</v>
      </c>
    </row>
    <row r="529" spans="1:5" s="1732" customFormat="1">
      <c r="A529" s="1655" t="s">
        <v>70</v>
      </c>
      <c r="B529" s="1655" t="s">
        <v>1697</v>
      </c>
      <c r="C529" s="1655" t="s">
        <v>42</v>
      </c>
      <c r="D529" s="1655" t="s">
        <v>42</v>
      </c>
      <c r="E529" s="1655" t="s">
        <v>569</v>
      </c>
    </row>
    <row r="530" spans="1:5" s="1732" customFormat="1">
      <c r="A530" s="1655" t="s">
        <v>70</v>
      </c>
      <c r="B530" s="1655" t="s">
        <v>1698</v>
      </c>
      <c r="C530" s="1655" t="s">
        <v>42</v>
      </c>
      <c r="D530" s="1655" t="s">
        <v>42</v>
      </c>
      <c r="E530" s="1655" t="s">
        <v>569</v>
      </c>
    </row>
    <row r="531" spans="1:5" s="1732" customFormat="1">
      <c r="A531" s="1655" t="s">
        <v>70</v>
      </c>
      <c r="B531" s="1655" t="s">
        <v>848</v>
      </c>
      <c r="C531" s="1655" t="s">
        <v>42</v>
      </c>
      <c r="D531" s="1655" t="s">
        <v>42</v>
      </c>
      <c r="E531" s="1655" t="s">
        <v>569</v>
      </c>
    </row>
    <row r="532" spans="1:5" s="1732" customFormat="1">
      <c r="A532" s="1655" t="s">
        <v>70</v>
      </c>
      <c r="B532" s="1655" t="s">
        <v>849</v>
      </c>
      <c r="C532" s="1655" t="s">
        <v>42</v>
      </c>
      <c r="D532" s="1655" t="s">
        <v>42</v>
      </c>
      <c r="E532" s="1655" t="s">
        <v>569</v>
      </c>
    </row>
    <row r="533" spans="1:5" s="1732" customFormat="1">
      <c r="A533" s="1655" t="s">
        <v>70</v>
      </c>
      <c r="B533" s="1655" t="s">
        <v>850</v>
      </c>
      <c r="C533" s="1655" t="s">
        <v>42</v>
      </c>
      <c r="D533" s="1655" t="s">
        <v>42</v>
      </c>
      <c r="E533" s="1655" t="s">
        <v>569</v>
      </c>
    </row>
    <row r="534" spans="1:5" s="1732" customFormat="1">
      <c r="A534" s="1655" t="s">
        <v>70</v>
      </c>
      <c r="B534" s="1655" t="s">
        <v>851</v>
      </c>
      <c r="C534" s="1655" t="s">
        <v>42</v>
      </c>
      <c r="D534" s="1655" t="s">
        <v>42</v>
      </c>
      <c r="E534" s="1655" t="s">
        <v>569</v>
      </c>
    </row>
    <row r="535" spans="1:5" s="1732" customFormat="1">
      <c r="A535" s="1655" t="s">
        <v>70</v>
      </c>
      <c r="B535" s="1655" t="s">
        <v>852</v>
      </c>
      <c r="C535" s="1655" t="s">
        <v>42</v>
      </c>
      <c r="D535" s="1655" t="s">
        <v>42</v>
      </c>
      <c r="E535" s="1655" t="s">
        <v>569</v>
      </c>
    </row>
    <row r="536" spans="1:5" s="1732" customFormat="1">
      <c r="A536" s="1655" t="s">
        <v>70</v>
      </c>
      <c r="B536" s="1655" t="s">
        <v>853</v>
      </c>
      <c r="C536" s="1655" t="s">
        <v>42</v>
      </c>
      <c r="D536" s="1655" t="s">
        <v>42</v>
      </c>
      <c r="E536" s="1655" t="s">
        <v>569</v>
      </c>
    </row>
    <row r="537" spans="1:5" s="1732" customFormat="1">
      <c r="A537" s="1655" t="s">
        <v>70</v>
      </c>
      <c r="B537" s="1655" t="s">
        <v>854</v>
      </c>
      <c r="C537" s="1655" t="s">
        <v>42</v>
      </c>
      <c r="D537" s="1655" t="s">
        <v>42</v>
      </c>
      <c r="E537" s="1655" t="s">
        <v>569</v>
      </c>
    </row>
    <row r="538" spans="1:5" s="1732" customFormat="1">
      <c r="A538" s="1655" t="s">
        <v>70</v>
      </c>
      <c r="B538" s="1655" t="s">
        <v>855</v>
      </c>
      <c r="C538" s="1655" t="s">
        <v>42</v>
      </c>
      <c r="D538" s="1655" t="s">
        <v>42</v>
      </c>
      <c r="E538" s="1655" t="s">
        <v>569</v>
      </c>
    </row>
    <row r="539" spans="1:5" s="1732" customFormat="1">
      <c r="A539" s="1655" t="s">
        <v>70</v>
      </c>
      <c r="B539" s="1655" t="s">
        <v>856</v>
      </c>
      <c r="C539" s="1655" t="s">
        <v>42</v>
      </c>
      <c r="D539" s="1655" t="s">
        <v>42</v>
      </c>
      <c r="E539" s="1655" t="s">
        <v>569</v>
      </c>
    </row>
    <row r="540" spans="1:5" s="1732" customFormat="1">
      <c r="A540" s="1655" t="s">
        <v>70</v>
      </c>
      <c r="B540" s="1655" t="s">
        <v>857</v>
      </c>
      <c r="C540" s="1655" t="s">
        <v>42</v>
      </c>
      <c r="D540" s="1655" t="s">
        <v>42</v>
      </c>
      <c r="E540" s="1655" t="s">
        <v>569</v>
      </c>
    </row>
    <row r="541" spans="1:5" s="1732" customFormat="1">
      <c r="A541" s="1655" t="s">
        <v>70</v>
      </c>
      <c r="B541" s="1655" t="s">
        <v>1699</v>
      </c>
      <c r="C541" s="1655" t="s">
        <v>42</v>
      </c>
      <c r="D541" s="1655" t="s">
        <v>42</v>
      </c>
      <c r="E541" s="1655" t="s">
        <v>569</v>
      </c>
    </row>
    <row r="542" spans="1:5" s="1732" customFormat="1">
      <c r="A542" s="1655" t="s">
        <v>70</v>
      </c>
      <c r="B542" s="1655" t="s">
        <v>1700</v>
      </c>
      <c r="C542" s="1655" t="s">
        <v>42</v>
      </c>
      <c r="D542" s="1655" t="s">
        <v>42</v>
      </c>
      <c r="E542" s="1655" t="s">
        <v>569</v>
      </c>
    </row>
    <row r="543" spans="1:5" s="1732" customFormat="1">
      <c r="A543" s="1655" t="s">
        <v>70</v>
      </c>
      <c r="B543" s="1655" t="s">
        <v>858</v>
      </c>
      <c r="C543" s="1655" t="s">
        <v>42</v>
      </c>
      <c r="D543" s="1655" t="s">
        <v>42</v>
      </c>
      <c r="E543" s="1655" t="s">
        <v>569</v>
      </c>
    </row>
    <row r="544" spans="1:5" s="1732" customFormat="1">
      <c r="A544" s="1655" t="s">
        <v>70</v>
      </c>
      <c r="B544" s="1655" t="s">
        <v>859</v>
      </c>
      <c r="C544" s="1655" t="s">
        <v>42</v>
      </c>
      <c r="D544" s="1655" t="s">
        <v>42</v>
      </c>
      <c r="E544" s="1655" t="s">
        <v>569</v>
      </c>
    </row>
    <row r="545" spans="1:5" s="1732" customFormat="1">
      <c r="A545" s="1655" t="s">
        <v>70</v>
      </c>
      <c r="B545" s="1655" t="s">
        <v>860</v>
      </c>
      <c r="C545" s="1655" t="s">
        <v>42</v>
      </c>
      <c r="D545" s="1655" t="s">
        <v>42</v>
      </c>
      <c r="E545" s="1655" t="s">
        <v>569</v>
      </c>
    </row>
    <row r="546" spans="1:5" s="1732" customFormat="1">
      <c r="A546" s="1655" t="s">
        <v>70</v>
      </c>
      <c r="B546" s="1655" t="s">
        <v>1701</v>
      </c>
      <c r="C546" s="1655" t="s">
        <v>42</v>
      </c>
      <c r="D546" s="1655" t="s">
        <v>42</v>
      </c>
      <c r="E546" s="1655" t="s">
        <v>569</v>
      </c>
    </row>
    <row r="547" spans="1:5" s="1732" customFormat="1">
      <c r="A547" s="1655" t="s">
        <v>70</v>
      </c>
      <c r="B547" s="1655" t="s">
        <v>861</v>
      </c>
      <c r="C547" s="1655" t="s">
        <v>42</v>
      </c>
      <c r="D547" s="1655" t="s">
        <v>42</v>
      </c>
      <c r="E547" s="1655" t="s">
        <v>569</v>
      </c>
    </row>
    <row r="548" spans="1:5" s="1732" customFormat="1">
      <c r="A548" s="1655" t="s">
        <v>70</v>
      </c>
      <c r="B548" s="1655" t="s">
        <v>862</v>
      </c>
      <c r="C548" s="1655" t="s">
        <v>42</v>
      </c>
      <c r="D548" s="1655" t="s">
        <v>42</v>
      </c>
      <c r="E548" s="1655" t="s">
        <v>569</v>
      </c>
    </row>
    <row r="549" spans="1:5" s="1732" customFormat="1">
      <c r="A549" s="1655" t="s">
        <v>70</v>
      </c>
      <c r="B549" s="1655" t="s">
        <v>863</v>
      </c>
      <c r="C549" s="1655" t="s">
        <v>43</v>
      </c>
      <c r="D549" s="1655" t="s">
        <v>42</v>
      </c>
      <c r="E549" s="1655" t="s">
        <v>569</v>
      </c>
    </row>
    <row r="550" spans="1:5" s="1732" customFormat="1">
      <c r="A550" s="1655" t="s">
        <v>70</v>
      </c>
      <c r="B550" s="1655" t="s">
        <v>864</v>
      </c>
      <c r="C550" s="1655" t="s">
        <v>42</v>
      </c>
      <c r="D550" s="1655" t="s">
        <v>42</v>
      </c>
      <c r="E550" s="1655" t="s">
        <v>569</v>
      </c>
    </row>
    <row r="551" spans="1:5" s="1732" customFormat="1">
      <c r="A551" s="1655" t="s">
        <v>70</v>
      </c>
      <c r="B551" s="1655" t="s">
        <v>865</v>
      </c>
      <c r="C551" s="1655" t="s">
        <v>42</v>
      </c>
      <c r="D551" s="1655" t="s">
        <v>42</v>
      </c>
      <c r="E551" s="1655" t="s">
        <v>569</v>
      </c>
    </row>
    <row r="552" spans="1:5" s="1732" customFormat="1">
      <c r="A552" s="1655" t="s">
        <v>70</v>
      </c>
      <c r="B552" s="1655" t="s">
        <v>866</v>
      </c>
      <c r="C552" s="1655" t="s">
        <v>42</v>
      </c>
      <c r="D552" s="1655" t="s">
        <v>42</v>
      </c>
      <c r="E552" s="1655" t="s">
        <v>569</v>
      </c>
    </row>
    <row r="553" spans="1:5" s="1732" customFormat="1">
      <c r="A553" s="1655" t="s">
        <v>70</v>
      </c>
      <c r="B553" s="1655" t="s">
        <v>867</v>
      </c>
      <c r="C553" s="1655" t="s">
        <v>42</v>
      </c>
      <c r="D553" s="1655" t="s">
        <v>42</v>
      </c>
      <c r="E553" s="1655" t="s">
        <v>569</v>
      </c>
    </row>
    <row r="554" spans="1:5" s="1732" customFormat="1">
      <c r="A554" s="1655" t="s">
        <v>70</v>
      </c>
      <c r="B554" s="1655" t="s">
        <v>868</v>
      </c>
      <c r="C554" s="1655" t="s">
        <v>42</v>
      </c>
      <c r="D554" s="1655" t="s">
        <v>42</v>
      </c>
      <c r="E554" s="1655" t="s">
        <v>569</v>
      </c>
    </row>
    <row r="555" spans="1:5" s="1732" customFormat="1">
      <c r="A555" s="1655" t="s">
        <v>70</v>
      </c>
      <c r="B555" s="1655" t="s">
        <v>869</v>
      </c>
      <c r="C555" s="1655" t="s">
        <v>42</v>
      </c>
      <c r="D555" s="1655" t="s">
        <v>42</v>
      </c>
      <c r="E555" s="1655" t="s">
        <v>569</v>
      </c>
    </row>
    <row r="556" spans="1:5" s="1732" customFormat="1">
      <c r="A556" s="1655" t="s">
        <v>70</v>
      </c>
      <c r="B556" s="1655" t="s">
        <v>1702</v>
      </c>
      <c r="C556" s="1655" t="s">
        <v>42</v>
      </c>
      <c r="D556" s="1655" t="s">
        <v>42</v>
      </c>
      <c r="E556" s="1655" t="s">
        <v>569</v>
      </c>
    </row>
    <row r="557" spans="1:5" s="1732" customFormat="1">
      <c r="A557" s="1655" t="s">
        <v>70</v>
      </c>
      <c r="B557" s="1655" t="s">
        <v>1703</v>
      </c>
      <c r="C557" s="1655" t="s">
        <v>42</v>
      </c>
      <c r="D557" s="1655" t="s">
        <v>42</v>
      </c>
      <c r="E557" s="1655" t="s">
        <v>569</v>
      </c>
    </row>
    <row r="558" spans="1:5" s="1732" customFormat="1">
      <c r="A558" s="1655" t="s">
        <v>70</v>
      </c>
      <c r="B558" s="1655" t="s">
        <v>870</v>
      </c>
      <c r="C558" s="1655" t="s">
        <v>42</v>
      </c>
      <c r="D558" s="1655" t="s">
        <v>42</v>
      </c>
      <c r="E558" s="1655" t="s">
        <v>569</v>
      </c>
    </row>
    <row r="559" spans="1:5" s="1732" customFormat="1">
      <c r="A559" s="1655" t="s">
        <v>70</v>
      </c>
      <c r="B559" s="1655" t="s">
        <v>871</v>
      </c>
      <c r="C559" s="1655" t="s">
        <v>42</v>
      </c>
      <c r="D559" s="1655" t="s">
        <v>42</v>
      </c>
      <c r="E559" s="1655" t="s">
        <v>569</v>
      </c>
    </row>
    <row r="560" spans="1:5" s="1732" customFormat="1">
      <c r="A560" s="1655" t="s">
        <v>70</v>
      </c>
      <c r="B560" s="1655" t="s">
        <v>872</v>
      </c>
      <c r="C560" s="1655" t="s">
        <v>42</v>
      </c>
      <c r="D560" s="1655" t="s">
        <v>42</v>
      </c>
      <c r="E560" s="1655" t="s">
        <v>569</v>
      </c>
    </row>
    <row r="561" spans="1:5" s="1732" customFormat="1">
      <c r="A561" s="1655" t="s">
        <v>70</v>
      </c>
      <c r="B561" s="1655" t="s">
        <v>873</v>
      </c>
      <c r="C561" s="1655" t="s">
        <v>42</v>
      </c>
      <c r="D561" s="1655" t="s">
        <v>42</v>
      </c>
      <c r="E561" s="1655" t="s">
        <v>569</v>
      </c>
    </row>
    <row r="562" spans="1:5" s="1732" customFormat="1">
      <c r="A562" s="1655" t="s">
        <v>70</v>
      </c>
      <c r="B562" s="1655" t="s">
        <v>874</v>
      </c>
      <c r="C562" s="1655" t="s">
        <v>42</v>
      </c>
      <c r="D562" s="1655" t="s">
        <v>42</v>
      </c>
      <c r="E562" s="1655" t="s">
        <v>569</v>
      </c>
    </row>
    <row r="563" spans="1:5" s="1732" customFormat="1">
      <c r="A563" s="1655" t="s">
        <v>70</v>
      </c>
      <c r="B563" s="1655" t="s">
        <v>875</v>
      </c>
      <c r="C563" s="1655" t="s">
        <v>42</v>
      </c>
      <c r="D563" s="1655" t="s">
        <v>42</v>
      </c>
      <c r="E563" s="1655" t="s">
        <v>569</v>
      </c>
    </row>
    <row r="564" spans="1:5" s="1732" customFormat="1">
      <c r="A564" s="1655" t="s">
        <v>70</v>
      </c>
      <c r="B564" s="1655" t="s">
        <v>876</v>
      </c>
      <c r="C564" s="1655" t="s">
        <v>42</v>
      </c>
      <c r="D564" s="1655" t="s">
        <v>42</v>
      </c>
      <c r="E564" s="1655" t="s">
        <v>569</v>
      </c>
    </row>
    <row r="565" spans="1:5" s="1732" customFormat="1">
      <c r="A565" s="1655" t="s">
        <v>70</v>
      </c>
      <c r="B565" s="1655" t="s">
        <v>877</v>
      </c>
      <c r="C565" s="1655" t="s">
        <v>42</v>
      </c>
      <c r="D565" s="1655" t="s">
        <v>42</v>
      </c>
      <c r="E565" s="1655" t="s">
        <v>569</v>
      </c>
    </row>
    <row r="566" spans="1:5" s="1732" customFormat="1">
      <c r="A566" s="1655" t="s">
        <v>70</v>
      </c>
      <c r="B566" s="1655" t="s">
        <v>1704</v>
      </c>
      <c r="C566" s="1655" t="s">
        <v>42</v>
      </c>
      <c r="D566" s="1655" t="s">
        <v>42</v>
      </c>
      <c r="E566" s="1655" t="s">
        <v>569</v>
      </c>
    </row>
    <row r="567" spans="1:5" s="1732" customFormat="1">
      <c r="A567" s="1655" t="s">
        <v>70</v>
      </c>
      <c r="B567" s="1655" t="s">
        <v>1705</v>
      </c>
      <c r="C567" s="1655" t="s">
        <v>42</v>
      </c>
      <c r="D567" s="1655" t="s">
        <v>42</v>
      </c>
      <c r="E567" s="1655" t="s">
        <v>569</v>
      </c>
    </row>
    <row r="568" spans="1:5" s="1732" customFormat="1">
      <c r="A568" s="1655" t="s">
        <v>70</v>
      </c>
      <c r="B568" s="1655" t="s">
        <v>1706</v>
      </c>
      <c r="C568" s="1655" t="s">
        <v>42</v>
      </c>
      <c r="D568" s="1655" t="s">
        <v>42</v>
      </c>
      <c r="E568" s="1655" t="s">
        <v>569</v>
      </c>
    </row>
    <row r="569" spans="1:5" s="1732" customFormat="1">
      <c r="A569" s="1655" t="s">
        <v>70</v>
      </c>
      <c r="B569" s="1655" t="s">
        <v>1707</v>
      </c>
      <c r="C569" s="1655" t="s">
        <v>42</v>
      </c>
      <c r="D569" s="1655" t="s">
        <v>42</v>
      </c>
      <c r="E569" s="1655" t="s">
        <v>569</v>
      </c>
    </row>
    <row r="570" spans="1:5" s="1732" customFormat="1">
      <c r="A570" s="1655" t="s">
        <v>70</v>
      </c>
      <c r="B570" s="1655" t="s">
        <v>1708</v>
      </c>
      <c r="C570" s="1655" t="s">
        <v>42</v>
      </c>
      <c r="D570" s="1655" t="s">
        <v>42</v>
      </c>
      <c r="E570" s="1655" t="s">
        <v>569</v>
      </c>
    </row>
    <row r="571" spans="1:5" s="1732" customFormat="1">
      <c r="A571" s="1655" t="s">
        <v>70</v>
      </c>
      <c r="B571" s="1655" t="s">
        <v>1709</v>
      </c>
      <c r="C571" s="1655" t="s">
        <v>42</v>
      </c>
      <c r="D571" s="1655" t="s">
        <v>42</v>
      </c>
      <c r="E571" s="1655" t="s">
        <v>569</v>
      </c>
    </row>
    <row r="572" spans="1:5" s="1732" customFormat="1">
      <c r="A572" s="1655" t="s">
        <v>70</v>
      </c>
      <c r="B572" s="1655" t="s">
        <v>1710</v>
      </c>
      <c r="C572" s="1655" t="s">
        <v>42</v>
      </c>
      <c r="D572" s="1655" t="s">
        <v>42</v>
      </c>
      <c r="E572" s="1655" t="s">
        <v>569</v>
      </c>
    </row>
    <row r="573" spans="1:5" s="1732" customFormat="1">
      <c r="A573" s="1655" t="s">
        <v>70</v>
      </c>
      <c r="B573" s="1655" t="s">
        <v>1711</v>
      </c>
      <c r="C573" s="1655" t="s">
        <v>42</v>
      </c>
      <c r="D573" s="1655" t="s">
        <v>42</v>
      </c>
      <c r="E573" s="1655" t="s">
        <v>569</v>
      </c>
    </row>
    <row r="574" spans="1:5" s="1732" customFormat="1">
      <c r="A574" s="1655" t="s">
        <v>70</v>
      </c>
      <c r="B574" s="1655" t="s">
        <v>1712</v>
      </c>
      <c r="C574" s="1655" t="s">
        <v>42</v>
      </c>
      <c r="D574" s="1655" t="s">
        <v>42</v>
      </c>
      <c r="E574" s="1655" t="s">
        <v>569</v>
      </c>
    </row>
    <row r="575" spans="1:5" s="1732" customFormat="1">
      <c r="A575" s="1655" t="s">
        <v>70</v>
      </c>
      <c r="B575" s="1655" t="s">
        <v>1713</v>
      </c>
      <c r="C575" s="1655" t="s">
        <v>42</v>
      </c>
      <c r="D575" s="1655" t="s">
        <v>42</v>
      </c>
      <c r="E575" s="1655" t="s">
        <v>569</v>
      </c>
    </row>
    <row r="576" spans="1:5" s="1732" customFormat="1">
      <c r="A576" s="1655" t="s">
        <v>70</v>
      </c>
      <c r="B576" s="1655" t="s">
        <v>1714</v>
      </c>
      <c r="C576" s="1655" t="s">
        <v>42</v>
      </c>
      <c r="D576" s="1655" t="s">
        <v>42</v>
      </c>
      <c r="E576" s="1655" t="s">
        <v>569</v>
      </c>
    </row>
    <row r="577" spans="1:5" s="1732" customFormat="1">
      <c r="A577" s="1655" t="s">
        <v>70</v>
      </c>
      <c r="B577" s="1655" t="s">
        <v>1715</v>
      </c>
      <c r="C577" s="1655" t="s">
        <v>42</v>
      </c>
      <c r="D577" s="1655" t="s">
        <v>42</v>
      </c>
      <c r="E577" s="1655" t="s">
        <v>569</v>
      </c>
    </row>
    <row r="578" spans="1:5" s="1732" customFormat="1">
      <c r="A578" s="1655" t="s">
        <v>70</v>
      </c>
      <c r="B578" s="1655" t="s">
        <v>1716</v>
      </c>
      <c r="C578" s="1655" t="s">
        <v>42</v>
      </c>
      <c r="D578" s="1655" t="s">
        <v>42</v>
      </c>
      <c r="E578" s="1655" t="s">
        <v>569</v>
      </c>
    </row>
    <row r="579" spans="1:5" s="1732" customFormat="1">
      <c r="A579" s="1655" t="s">
        <v>70</v>
      </c>
      <c r="B579" s="1655" t="s">
        <v>1717</v>
      </c>
      <c r="C579" s="1655" t="s">
        <v>42</v>
      </c>
      <c r="D579" s="1655" t="s">
        <v>42</v>
      </c>
      <c r="E579" s="1655" t="s">
        <v>569</v>
      </c>
    </row>
    <row r="580" spans="1:5" s="1732" customFormat="1">
      <c r="A580" s="1655" t="s">
        <v>70</v>
      </c>
      <c r="B580" s="1655" t="s">
        <v>1718</v>
      </c>
      <c r="C580" s="1655" t="s">
        <v>42</v>
      </c>
      <c r="D580" s="1655" t="s">
        <v>42</v>
      </c>
      <c r="E580" s="1655" t="s">
        <v>569</v>
      </c>
    </row>
    <row r="581" spans="1:5" s="1732" customFormat="1">
      <c r="A581" s="1655" t="s">
        <v>70</v>
      </c>
      <c r="B581" s="1655" t="s">
        <v>1719</v>
      </c>
      <c r="C581" s="1655" t="s">
        <v>42</v>
      </c>
      <c r="D581" s="1655" t="s">
        <v>42</v>
      </c>
      <c r="E581" s="1655" t="s">
        <v>569</v>
      </c>
    </row>
    <row r="582" spans="1:5" s="1732" customFormat="1">
      <c r="A582" s="1655" t="s">
        <v>70</v>
      </c>
      <c r="B582" s="1655" t="s">
        <v>1720</v>
      </c>
      <c r="C582" s="1655" t="s">
        <v>42</v>
      </c>
      <c r="D582" s="1655" t="s">
        <v>42</v>
      </c>
      <c r="E582" s="1655" t="s">
        <v>569</v>
      </c>
    </row>
    <row r="583" spans="1:5" s="1732" customFormat="1">
      <c r="A583" s="1655" t="s">
        <v>70</v>
      </c>
      <c r="B583" s="1655" t="s">
        <v>1721</v>
      </c>
      <c r="C583" s="1655" t="s">
        <v>42</v>
      </c>
      <c r="D583" s="1655" t="s">
        <v>42</v>
      </c>
      <c r="E583" s="1655" t="s">
        <v>569</v>
      </c>
    </row>
    <row r="584" spans="1:5" s="1732" customFormat="1">
      <c r="A584" s="1655" t="s">
        <v>70</v>
      </c>
      <c r="B584" s="1655" t="s">
        <v>1722</v>
      </c>
      <c r="C584" s="1655" t="s">
        <v>42</v>
      </c>
      <c r="D584" s="1655" t="s">
        <v>42</v>
      </c>
      <c r="E584" s="1655" t="s">
        <v>569</v>
      </c>
    </row>
    <row r="585" spans="1:5" s="1732" customFormat="1">
      <c r="A585" s="1655" t="s">
        <v>70</v>
      </c>
      <c r="B585" s="1655" t="s">
        <v>1723</v>
      </c>
      <c r="C585" s="1655" t="s">
        <v>42</v>
      </c>
      <c r="D585" s="1655" t="s">
        <v>42</v>
      </c>
      <c r="E585" s="1655" t="s">
        <v>569</v>
      </c>
    </row>
    <row r="586" spans="1:5" s="1732" customFormat="1">
      <c r="A586" s="1655" t="s">
        <v>70</v>
      </c>
      <c r="B586" s="1655" t="s">
        <v>1724</v>
      </c>
      <c r="C586" s="1655" t="s">
        <v>42</v>
      </c>
      <c r="D586" s="1655" t="s">
        <v>42</v>
      </c>
      <c r="E586" s="1655" t="s">
        <v>569</v>
      </c>
    </row>
    <row r="587" spans="1:5" s="1732" customFormat="1">
      <c r="A587" s="1655" t="s">
        <v>70</v>
      </c>
      <c r="B587" s="1655" t="s">
        <v>1725</v>
      </c>
      <c r="C587" s="1655" t="s">
        <v>42</v>
      </c>
      <c r="D587" s="1655" t="s">
        <v>42</v>
      </c>
      <c r="E587" s="1655" t="s">
        <v>569</v>
      </c>
    </row>
    <row r="588" spans="1:5" s="1732" customFormat="1">
      <c r="A588" s="1655" t="s">
        <v>70</v>
      </c>
      <c r="B588" s="1655" t="s">
        <v>1726</v>
      </c>
      <c r="C588" s="1655" t="s">
        <v>42</v>
      </c>
      <c r="D588" s="1655" t="s">
        <v>42</v>
      </c>
      <c r="E588" s="1655" t="s">
        <v>569</v>
      </c>
    </row>
    <row r="589" spans="1:5" s="1732" customFormat="1">
      <c r="A589" s="1655" t="s">
        <v>70</v>
      </c>
      <c r="B589" s="1655" t="s">
        <v>1727</v>
      </c>
      <c r="C589" s="1655" t="s">
        <v>42</v>
      </c>
      <c r="D589" s="1655" t="s">
        <v>42</v>
      </c>
      <c r="E589" s="1655" t="s">
        <v>569</v>
      </c>
    </row>
    <row r="590" spans="1:5" s="1732" customFormat="1">
      <c r="A590" s="1655" t="s">
        <v>70</v>
      </c>
      <c r="B590" s="1655" t="s">
        <v>1728</v>
      </c>
      <c r="C590" s="1655" t="s">
        <v>42</v>
      </c>
      <c r="D590" s="1655" t="s">
        <v>42</v>
      </c>
      <c r="E590" s="1655" t="s">
        <v>569</v>
      </c>
    </row>
    <row r="591" spans="1:5" s="1732" customFormat="1">
      <c r="A591" s="1655" t="s">
        <v>70</v>
      </c>
      <c r="B591" s="1655" t="s">
        <v>1729</v>
      </c>
      <c r="C591" s="1655" t="s">
        <v>42</v>
      </c>
      <c r="D591" s="1655" t="s">
        <v>42</v>
      </c>
      <c r="E591" s="1655" t="s">
        <v>569</v>
      </c>
    </row>
    <row r="592" spans="1:5" s="1732" customFormat="1">
      <c r="A592" s="1655" t="s">
        <v>70</v>
      </c>
      <c r="B592" s="1655" t="s">
        <v>1730</v>
      </c>
      <c r="C592" s="1655" t="s">
        <v>42</v>
      </c>
      <c r="D592" s="1655" t="s">
        <v>42</v>
      </c>
      <c r="E592" s="1655" t="s">
        <v>569</v>
      </c>
    </row>
    <row r="593" spans="1:5" s="1732" customFormat="1">
      <c r="A593" s="1655" t="s">
        <v>70</v>
      </c>
      <c r="B593" s="1655" t="s">
        <v>1731</v>
      </c>
      <c r="C593" s="1655" t="s">
        <v>42</v>
      </c>
      <c r="D593" s="1655" t="s">
        <v>42</v>
      </c>
      <c r="E593" s="1655" t="s">
        <v>569</v>
      </c>
    </row>
    <row r="594" spans="1:5" s="1732" customFormat="1">
      <c r="A594" s="1655" t="s">
        <v>70</v>
      </c>
      <c r="B594" s="1655" t="s">
        <v>1732</v>
      </c>
      <c r="C594" s="1655" t="s">
        <v>42</v>
      </c>
      <c r="D594" s="1655" t="s">
        <v>42</v>
      </c>
      <c r="E594" s="1655" t="s">
        <v>569</v>
      </c>
    </row>
    <row r="595" spans="1:5" s="1732" customFormat="1">
      <c r="A595" s="1655" t="s">
        <v>70</v>
      </c>
      <c r="B595" s="1655" t="s">
        <v>1733</v>
      </c>
      <c r="C595" s="1655" t="s">
        <v>42</v>
      </c>
      <c r="D595" s="1655" t="s">
        <v>42</v>
      </c>
      <c r="E595" s="1655" t="s">
        <v>569</v>
      </c>
    </row>
    <row r="596" spans="1:5" s="1732" customFormat="1">
      <c r="A596" s="1655" t="s">
        <v>70</v>
      </c>
      <c r="B596" s="1655" t="s">
        <v>1734</v>
      </c>
      <c r="C596" s="1655" t="s">
        <v>42</v>
      </c>
      <c r="D596" s="1655" t="s">
        <v>42</v>
      </c>
      <c r="E596" s="1655" t="s">
        <v>569</v>
      </c>
    </row>
    <row r="597" spans="1:5" s="1732" customFormat="1">
      <c r="A597" s="1655" t="s">
        <v>70</v>
      </c>
      <c r="B597" s="1655" t="s">
        <v>1735</v>
      </c>
      <c r="C597" s="1655" t="s">
        <v>42</v>
      </c>
      <c r="D597" s="1655" t="s">
        <v>42</v>
      </c>
      <c r="E597" s="1655" t="s">
        <v>569</v>
      </c>
    </row>
    <row r="598" spans="1:5" s="1732" customFormat="1">
      <c r="A598" s="1655" t="s">
        <v>70</v>
      </c>
      <c r="B598" s="1655" t="s">
        <v>1736</v>
      </c>
      <c r="C598" s="1655" t="s">
        <v>42</v>
      </c>
      <c r="D598" s="1655" t="s">
        <v>42</v>
      </c>
      <c r="E598" s="1655" t="s">
        <v>569</v>
      </c>
    </row>
    <row r="599" spans="1:5" s="1732" customFormat="1">
      <c r="A599" s="1655" t="s">
        <v>70</v>
      </c>
      <c r="B599" s="1655" t="s">
        <v>1737</v>
      </c>
      <c r="C599" s="1655" t="s">
        <v>42</v>
      </c>
      <c r="D599" s="1655" t="s">
        <v>42</v>
      </c>
      <c r="E599" s="1655" t="s">
        <v>569</v>
      </c>
    </row>
    <row r="600" spans="1:5" s="1732" customFormat="1">
      <c r="A600" s="1655" t="s">
        <v>70</v>
      </c>
      <c r="B600" s="1655" t="s">
        <v>1738</v>
      </c>
      <c r="C600" s="1655" t="s">
        <v>42</v>
      </c>
      <c r="D600" s="1655" t="s">
        <v>42</v>
      </c>
      <c r="E600" s="1655" t="s">
        <v>569</v>
      </c>
    </row>
    <row r="601" spans="1:5" s="1732" customFormat="1">
      <c r="A601" s="1655" t="s">
        <v>70</v>
      </c>
      <c r="B601" s="1655" t="s">
        <v>1739</v>
      </c>
      <c r="C601" s="1655" t="s">
        <v>42</v>
      </c>
      <c r="D601" s="1655" t="s">
        <v>42</v>
      </c>
      <c r="E601" s="1655" t="s">
        <v>569</v>
      </c>
    </row>
    <row r="602" spans="1:5" s="1732" customFormat="1">
      <c r="A602" s="1655" t="s">
        <v>70</v>
      </c>
      <c r="B602" s="1655" t="s">
        <v>1740</v>
      </c>
      <c r="C602" s="1655" t="s">
        <v>2306</v>
      </c>
      <c r="D602" s="1655" t="s">
        <v>42</v>
      </c>
      <c r="E602" s="1655" t="s">
        <v>569</v>
      </c>
    </row>
    <row r="603" spans="1:5" s="1732" customFormat="1">
      <c r="A603" s="1655" t="s">
        <v>70</v>
      </c>
      <c r="B603" s="1655" t="s">
        <v>1741</v>
      </c>
      <c r="C603" s="1655" t="s">
        <v>2306</v>
      </c>
      <c r="D603" s="1655" t="s">
        <v>42</v>
      </c>
      <c r="E603" s="1655" t="s">
        <v>569</v>
      </c>
    </row>
    <row r="604" spans="1:5" s="1732" customFormat="1">
      <c r="A604" s="1655" t="s">
        <v>70</v>
      </c>
      <c r="B604" s="1655" t="s">
        <v>1742</v>
      </c>
      <c r="C604" s="1655" t="s">
        <v>42</v>
      </c>
      <c r="D604" s="1655" t="s">
        <v>42</v>
      </c>
      <c r="E604" s="1655" t="s">
        <v>569</v>
      </c>
    </row>
    <row r="605" spans="1:5" s="1732" customFormat="1">
      <c r="A605" s="1655" t="s">
        <v>70</v>
      </c>
      <c r="B605" s="1655" t="s">
        <v>1743</v>
      </c>
      <c r="C605" s="1655" t="s">
        <v>42</v>
      </c>
      <c r="D605" s="1655" t="s">
        <v>42</v>
      </c>
      <c r="E605" s="1655" t="s">
        <v>569</v>
      </c>
    </row>
    <row r="606" spans="1:5" s="1732" customFormat="1">
      <c r="A606" s="1655" t="s">
        <v>70</v>
      </c>
      <c r="B606" s="1655" t="s">
        <v>1744</v>
      </c>
      <c r="C606" s="1655" t="s">
        <v>42</v>
      </c>
      <c r="D606" s="1655" t="s">
        <v>42</v>
      </c>
      <c r="E606" s="1655" t="s">
        <v>569</v>
      </c>
    </row>
    <row r="607" spans="1:5" s="1732" customFormat="1">
      <c r="A607" s="1655" t="s">
        <v>70</v>
      </c>
      <c r="B607" s="1655" t="s">
        <v>1745</v>
      </c>
      <c r="C607" s="1655" t="s">
        <v>42</v>
      </c>
      <c r="D607" s="1655" t="s">
        <v>42</v>
      </c>
      <c r="E607" s="1655" t="s">
        <v>569</v>
      </c>
    </row>
    <row r="608" spans="1:5" s="1732" customFormat="1">
      <c r="A608" s="1655" t="s">
        <v>70</v>
      </c>
      <c r="B608" s="1655" t="s">
        <v>1227</v>
      </c>
      <c r="C608" s="1655" t="s">
        <v>395</v>
      </c>
      <c r="D608" s="1655" t="s">
        <v>42</v>
      </c>
      <c r="E608" s="1655" t="s">
        <v>569</v>
      </c>
    </row>
    <row r="609" spans="1:5" s="1732" customFormat="1">
      <c r="A609" s="1655" t="s">
        <v>70</v>
      </c>
      <c r="B609" s="1655" t="s">
        <v>1228</v>
      </c>
      <c r="C609" s="1655" t="s">
        <v>395</v>
      </c>
      <c r="D609" s="1655" t="s">
        <v>42</v>
      </c>
      <c r="E609" s="1655" t="s">
        <v>569</v>
      </c>
    </row>
    <row r="610" spans="1:5" s="1732" customFormat="1">
      <c r="A610" s="1655" t="s">
        <v>70</v>
      </c>
      <c r="B610" s="1655" t="s">
        <v>1229</v>
      </c>
      <c r="C610" s="1655" t="s">
        <v>395</v>
      </c>
      <c r="D610" s="1655" t="s">
        <v>42</v>
      </c>
      <c r="E610" s="1655" t="s">
        <v>569</v>
      </c>
    </row>
    <row r="611" spans="1:5" s="1732" customFormat="1">
      <c r="A611" s="1655" t="s">
        <v>70</v>
      </c>
      <c r="B611" s="1655" t="s">
        <v>1230</v>
      </c>
      <c r="C611" s="1655" t="s">
        <v>395</v>
      </c>
      <c r="D611" s="1655" t="s">
        <v>42</v>
      </c>
      <c r="E611" s="1655" t="s">
        <v>569</v>
      </c>
    </row>
    <row r="612" spans="1:5" s="1732" customFormat="1">
      <c r="A612" s="1655" t="s">
        <v>70</v>
      </c>
      <c r="B612" s="1655" t="s">
        <v>1746</v>
      </c>
      <c r="C612" s="1655" t="s">
        <v>402</v>
      </c>
      <c r="D612" s="1655" t="s">
        <v>42</v>
      </c>
      <c r="E612" s="1655" t="s">
        <v>569</v>
      </c>
    </row>
    <row r="613" spans="1:5" s="1732" customFormat="1">
      <c r="A613" s="1655" t="s">
        <v>70</v>
      </c>
      <c r="B613" s="1655" t="s">
        <v>1747</v>
      </c>
      <c r="C613" s="1655" t="s">
        <v>402</v>
      </c>
      <c r="D613" s="1655" t="s">
        <v>42</v>
      </c>
      <c r="E613" s="1655" t="s">
        <v>569</v>
      </c>
    </row>
    <row r="614" spans="1:5" s="1732" customFormat="1">
      <c r="A614" s="1655" t="s">
        <v>70</v>
      </c>
      <c r="B614" s="1655" t="s">
        <v>1748</v>
      </c>
      <c r="C614" s="1655" t="s">
        <v>402</v>
      </c>
      <c r="D614" s="1655" t="s">
        <v>42</v>
      </c>
      <c r="E614" s="1655" t="s">
        <v>569</v>
      </c>
    </row>
    <row r="615" spans="1:5" s="1732" customFormat="1">
      <c r="A615" s="1655" t="s">
        <v>70</v>
      </c>
      <c r="B615" s="1655" t="s">
        <v>1749</v>
      </c>
      <c r="C615" s="1655" t="s">
        <v>395</v>
      </c>
      <c r="D615" s="1655" t="s">
        <v>42</v>
      </c>
      <c r="E615" s="1655" t="s">
        <v>569</v>
      </c>
    </row>
    <row r="616" spans="1:5" s="1732" customFormat="1">
      <c r="A616" s="1655" t="s">
        <v>70</v>
      </c>
      <c r="B616" s="1655" t="s">
        <v>1750</v>
      </c>
      <c r="C616" s="1655" t="s">
        <v>395</v>
      </c>
      <c r="D616" s="1655" t="s">
        <v>42</v>
      </c>
      <c r="E616" s="1655" t="s">
        <v>569</v>
      </c>
    </row>
    <row r="617" spans="1:5" s="1732" customFormat="1">
      <c r="A617" s="1655" t="s">
        <v>70</v>
      </c>
      <c r="B617" s="1655" t="s">
        <v>1751</v>
      </c>
      <c r="C617" s="1655" t="s">
        <v>402</v>
      </c>
      <c r="D617" s="1655" t="s">
        <v>42</v>
      </c>
      <c r="E617" s="1655" t="s">
        <v>569</v>
      </c>
    </row>
    <row r="618" spans="1:5" s="1732" customFormat="1">
      <c r="A618" s="1655" t="s">
        <v>70</v>
      </c>
      <c r="B618" s="1655" t="s">
        <v>1752</v>
      </c>
      <c r="C618" s="1655" t="s">
        <v>402</v>
      </c>
      <c r="D618" s="1655" t="s">
        <v>42</v>
      </c>
      <c r="E618" s="1655" t="s">
        <v>569</v>
      </c>
    </row>
    <row r="619" spans="1:5" s="1732" customFormat="1">
      <c r="A619" s="1655" t="s">
        <v>70</v>
      </c>
      <c r="B619" s="1655" t="s">
        <v>1753</v>
      </c>
      <c r="C619" s="1655" t="s">
        <v>402</v>
      </c>
      <c r="D619" s="1655" t="s">
        <v>42</v>
      </c>
      <c r="E619" s="1655" t="s">
        <v>569</v>
      </c>
    </row>
    <row r="620" spans="1:5" s="1732" customFormat="1">
      <c r="A620" s="1655" t="s">
        <v>70</v>
      </c>
      <c r="B620" s="1655" t="s">
        <v>1754</v>
      </c>
      <c r="C620" s="1655" t="s">
        <v>395</v>
      </c>
      <c r="D620" s="1655" t="s">
        <v>42</v>
      </c>
      <c r="E620" s="1655" t="s">
        <v>569</v>
      </c>
    </row>
    <row r="621" spans="1:5" s="1732" customFormat="1">
      <c r="A621" s="1655" t="s">
        <v>70</v>
      </c>
      <c r="B621" s="1655" t="s">
        <v>1755</v>
      </c>
      <c r="C621" s="1655" t="s">
        <v>395</v>
      </c>
      <c r="D621" s="1655" t="s">
        <v>42</v>
      </c>
      <c r="E621" s="1655" t="s">
        <v>569</v>
      </c>
    </row>
    <row r="622" spans="1:5" s="1732" customFormat="1">
      <c r="A622" s="1655" t="s">
        <v>70</v>
      </c>
      <c r="B622" s="1655" t="s">
        <v>1756</v>
      </c>
      <c r="C622" s="1655" t="s">
        <v>402</v>
      </c>
      <c r="D622" s="1655" t="s">
        <v>42</v>
      </c>
      <c r="E622" s="1655" t="s">
        <v>569</v>
      </c>
    </row>
    <row r="623" spans="1:5" s="1732" customFormat="1">
      <c r="A623" s="1655" t="s">
        <v>70</v>
      </c>
      <c r="B623" s="1655" t="s">
        <v>1757</v>
      </c>
      <c r="C623" s="1655" t="s">
        <v>395</v>
      </c>
      <c r="D623" s="1655" t="s">
        <v>42</v>
      </c>
      <c r="E623" s="1655" t="s">
        <v>569</v>
      </c>
    </row>
    <row r="624" spans="1:5" s="1732" customFormat="1">
      <c r="A624" s="1655" t="s">
        <v>70</v>
      </c>
      <c r="B624" s="1655" t="s">
        <v>1758</v>
      </c>
      <c r="C624" s="1655" t="s">
        <v>395</v>
      </c>
      <c r="D624" s="1655" t="s">
        <v>42</v>
      </c>
      <c r="E624" s="1655" t="s">
        <v>569</v>
      </c>
    </row>
    <row r="625" spans="1:5" s="1732" customFormat="1">
      <c r="A625" s="1655" t="s">
        <v>70</v>
      </c>
      <c r="B625" s="1655" t="s">
        <v>1759</v>
      </c>
      <c r="C625" s="1655" t="s">
        <v>395</v>
      </c>
      <c r="D625" s="1655" t="s">
        <v>42</v>
      </c>
      <c r="E625" s="1655" t="s">
        <v>569</v>
      </c>
    </row>
    <row r="626" spans="1:5" s="1732" customFormat="1">
      <c r="A626" s="1655" t="s">
        <v>70</v>
      </c>
      <c r="B626" s="1655" t="s">
        <v>1760</v>
      </c>
      <c r="C626" s="1655" t="s">
        <v>395</v>
      </c>
      <c r="D626" s="1655" t="s">
        <v>42</v>
      </c>
      <c r="E626" s="1655" t="s">
        <v>569</v>
      </c>
    </row>
    <row r="627" spans="1:5" s="1732" customFormat="1">
      <c r="A627" s="1655" t="s">
        <v>70</v>
      </c>
      <c r="B627" s="1655" t="s">
        <v>1761</v>
      </c>
      <c r="C627" s="1655" t="s">
        <v>395</v>
      </c>
      <c r="D627" s="1655" t="s">
        <v>42</v>
      </c>
      <c r="E627" s="1655" t="s">
        <v>569</v>
      </c>
    </row>
    <row r="628" spans="1:5" s="1732" customFormat="1">
      <c r="A628" s="1655" t="s">
        <v>70</v>
      </c>
      <c r="B628" s="1655" t="s">
        <v>1762</v>
      </c>
      <c r="C628" s="1655" t="s">
        <v>402</v>
      </c>
      <c r="D628" s="1655" t="s">
        <v>42</v>
      </c>
      <c r="E628" s="1655" t="s">
        <v>569</v>
      </c>
    </row>
    <row r="629" spans="1:5" s="1732" customFormat="1">
      <c r="A629" s="1655" t="s">
        <v>70</v>
      </c>
      <c r="B629" s="1655" t="s">
        <v>1763</v>
      </c>
      <c r="C629" s="1655" t="s">
        <v>395</v>
      </c>
      <c r="D629" s="1655" t="s">
        <v>42</v>
      </c>
      <c r="E629" s="1655" t="s">
        <v>569</v>
      </c>
    </row>
    <row r="630" spans="1:5" s="1732" customFormat="1">
      <c r="A630" s="1655" t="s">
        <v>70</v>
      </c>
      <c r="B630" s="1655" t="s">
        <v>1764</v>
      </c>
      <c r="C630" s="1655" t="s">
        <v>395</v>
      </c>
      <c r="D630" s="1655" t="s">
        <v>42</v>
      </c>
      <c r="E630" s="1655" t="s">
        <v>569</v>
      </c>
    </row>
    <row r="631" spans="1:5" s="1732" customFormat="1">
      <c r="A631" s="1655" t="s">
        <v>70</v>
      </c>
      <c r="B631" s="1655" t="s">
        <v>1765</v>
      </c>
      <c r="C631" s="1655" t="s">
        <v>395</v>
      </c>
      <c r="D631" s="1655" t="s">
        <v>42</v>
      </c>
      <c r="E631" s="1655" t="s">
        <v>569</v>
      </c>
    </row>
    <row r="632" spans="1:5" s="1732" customFormat="1">
      <c r="A632" s="1655" t="s">
        <v>70</v>
      </c>
      <c r="B632" s="1655" t="s">
        <v>1766</v>
      </c>
      <c r="C632" s="1655" t="s">
        <v>402</v>
      </c>
      <c r="D632" s="1655" t="s">
        <v>42</v>
      </c>
      <c r="E632" s="1655" t="s">
        <v>569</v>
      </c>
    </row>
    <row r="633" spans="1:5" s="1732" customFormat="1">
      <c r="A633" s="1655" t="s">
        <v>70</v>
      </c>
      <c r="B633" s="1655" t="s">
        <v>1767</v>
      </c>
      <c r="C633" s="1655" t="s">
        <v>402</v>
      </c>
      <c r="D633" s="1655" t="s">
        <v>42</v>
      </c>
      <c r="E633" s="1655" t="s">
        <v>569</v>
      </c>
    </row>
    <row r="634" spans="1:5" s="1732" customFormat="1">
      <c r="A634" s="1655" t="s">
        <v>70</v>
      </c>
      <c r="B634" s="1655" t="s">
        <v>1768</v>
      </c>
      <c r="C634" s="1655" t="s">
        <v>395</v>
      </c>
      <c r="D634" s="1655" t="s">
        <v>42</v>
      </c>
      <c r="E634" s="1655" t="s">
        <v>569</v>
      </c>
    </row>
    <row r="635" spans="1:5" s="1732" customFormat="1">
      <c r="A635" s="1655" t="s">
        <v>70</v>
      </c>
      <c r="B635" s="1655" t="s">
        <v>1769</v>
      </c>
      <c r="C635" s="1655" t="s">
        <v>395</v>
      </c>
      <c r="D635" s="1655" t="s">
        <v>42</v>
      </c>
      <c r="E635" s="1655" t="s">
        <v>569</v>
      </c>
    </row>
    <row r="636" spans="1:5" s="1732" customFormat="1">
      <c r="A636" s="1655" t="s">
        <v>70</v>
      </c>
      <c r="B636" s="1655" t="s">
        <v>1770</v>
      </c>
      <c r="C636" s="1655" t="s">
        <v>395</v>
      </c>
      <c r="D636" s="1655" t="s">
        <v>42</v>
      </c>
      <c r="E636" s="1655" t="s">
        <v>569</v>
      </c>
    </row>
    <row r="637" spans="1:5" s="1732" customFormat="1">
      <c r="A637" s="1655" t="s">
        <v>70</v>
      </c>
      <c r="B637" s="1655" t="s">
        <v>1771</v>
      </c>
      <c r="C637" s="1655" t="s">
        <v>395</v>
      </c>
      <c r="D637" s="1655" t="s">
        <v>42</v>
      </c>
      <c r="E637" s="1655" t="s">
        <v>569</v>
      </c>
    </row>
    <row r="638" spans="1:5" s="1732" customFormat="1">
      <c r="A638" s="1655" t="s">
        <v>70</v>
      </c>
      <c r="B638" s="1655" t="s">
        <v>1772</v>
      </c>
      <c r="C638" s="1655" t="s">
        <v>395</v>
      </c>
      <c r="D638" s="1655" t="s">
        <v>42</v>
      </c>
      <c r="E638" s="1655" t="s">
        <v>569</v>
      </c>
    </row>
    <row r="639" spans="1:5" s="1732" customFormat="1">
      <c r="A639" s="1655" t="s">
        <v>70</v>
      </c>
      <c r="B639" s="1655" t="s">
        <v>1773</v>
      </c>
      <c r="C639" s="1655" t="s">
        <v>395</v>
      </c>
      <c r="D639" s="1655" t="s">
        <v>42</v>
      </c>
      <c r="E639" s="1655" t="s">
        <v>569</v>
      </c>
    </row>
    <row r="640" spans="1:5" s="1732" customFormat="1">
      <c r="A640" s="1655" t="s">
        <v>70</v>
      </c>
      <c r="B640" s="1655" t="s">
        <v>1774</v>
      </c>
      <c r="C640" s="1655" t="s">
        <v>395</v>
      </c>
      <c r="D640" s="1655" t="s">
        <v>42</v>
      </c>
      <c r="E640" s="1655" t="s">
        <v>569</v>
      </c>
    </row>
    <row r="641" spans="1:5" s="1732" customFormat="1">
      <c r="A641" s="1655" t="s">
        <v>70</v>
      </c>
      <c r="B641" s="1655" t="s">
        <v>1775</v>
      </c>
      <c r="C641" s="1655" t="s">
        <v>402</v>
      </c>
      <c r="D641" s="1655" t="s">
        <v>42</v>
      </c>
      <c r="E641" s="1655" t="s">
        <v>569</v>
      </c>
    </row>
    <row r="642" spans="1:5" s="1732" customFormat="1">
      <c r="A642" s="1655" t="s">
        <v>70</v>
      </c>
      <c r="B642" s="1655" t="s">
        <v>1776</v>
      </c>
      <c r="C642" s="1655" t="s">
        <v>402</v>
      </c>
      <c r="D642" s="1655" t="s">
        <v>42</v>
      </c>
      <c r="E642" s="1655" t="s">
        <v>569</v>
      </c>
    </row>
    <row r="643" spans="1:5" s="1732" customFormat="1">
      <c r="A643" s="1655" t="s">
        <v>70</v>
      </c>
      <c r="B643" s="1655" t="s">
        <v>1777</v>
      </c>
      <c r="C643" s="1655" t="s">
        <v>402</v>
      </c>
      <c r="D643" s="1655" t="s">
        <v>42</v>
      </c>
      <c r="E643" s="1655" t="s">
        <v>569</v>
      </c>
    </row>
    <row r="644" spans="1:5" s="1732" customFormat="1">
      <c r="A644" s="1655" t="s">
        <v>70</v>
      </c>
      <c r="B644" s="1655" t="s">
        <v>1778</v>
      </c>
      <c r="C644" s="1655" t="s">
        <v>402</v>
      </c>
      <c r="D644" s="1655" t="s">
        <v>42</v>
      </c>
      <c r="E644" s="1655" t="s">
        <v>569</v>
      </c>
    </row>
    <row r="645" spans="1:5" s="1732" customFormat="1">
      <c r="A645" s="1655" t="s">
        <v>70</v>
      </c>
      <c r="B645" s="1655" t="s">
        <v>1779</v>
      </c>
      <c r="C645" s="1655" t="s">
        <v>402</v>
      </c>
      <c r="D645" s="1655" t="s">
        <v>42</v>
      </c>
      <c r="E645" s="1655" t="s">
        <v>569</v>
      </c>
    </row>
    <row r="646" spans="1:5" s="1732" customFormat="1">
      <c r="A646" s="1655" t="s">
        <v>70</v>
      </c>
      <c r="B646" s="1655" t="s">
        <v>1780</v>
      </c>
      <c r="C646" s="1655" t="s">
        <v>402</v>
      </c>
      <c r="D646" s="1655" t="s">
        <v>42</v>
      </c>
      <c r="E646" s="1655" t="s">
        <v>569</v>
      </c>
    </row>
    <row r="647" spans="1:5" s="1732" customFormat="1">
      <c r="A647" s="1655" t="s">
        <v>70</v>
      </c>
      <c r="B647" s="1655" t="s">
        <v>1781</v>
      </c>
      <c r="C647" s="1655" t="s">
        <v>402</v>
      </c>
      <c r="D647" s="1655" t="s">
        <v>42</v>
      </c>
      <c r="E647" s="1655" t="s">
        <v>569</v>
      </c>
    </row>
    <row r="648" spans="1:5" s="1732" customFormat="1">
      <c r="A648" s="1655" t="s">
        <v>70</v>
      </c>
      <c r="B648" s="1655" t="s">
        <v>1782</v>
      </c>
      <c r="C648" s="1655" t="s">
        <v>402</v>
      </c>
      <c r="D648" s="1655" t="s">
        <v>42</v>
      </c>
      <c r="E648" s="1655" t="s">
        <v>569</v>
      </c>
    </row>
    <row r="649" spans="1:5" s="1732" customFormat="1">
      <c r="A649" s="1655" t="s">
        <v>70</v>
      </c>
      <c r="B649" s="1655" t="s">
        <v>1783</v>
      </c>
      <c r="C649" s="1655" t="s">
        <v>402</v>
      </c>
      <c r="D649" s="1655" t="s">
        <v>42</v>
      </c>
      <c r="E649" s="1655" t="s">
        <v>569</v>
      </c>
    </row>
    <row r="650" spans="1:5" s="1732" customFormat="1">
      <c r="A650" s="1655" t="s">
        <v>70</v>
      </c>
      <c r="B650" s="1655" t="s">
        <v>1784</v>
      </c>
      <c r="C650" s="1655" t="s">
        <v>402</v>
      </c>
      <c r="D650" s="1655" t="s">
        <v>42</v>
      </c>
      <c r="E650" s="1655" t="s">
        <v>569</v>
      </c>
    </row>
    <row r="651" spans="1:5" s="1732" customFormat="1">
      <c r="A651" s="1655" t="s">
        <v>70</v>
      </c>
      <c r="B651" s="1655" t="s">
        <v>1785</v>
      </c>
      <c r="C651" s="1655" t="s">
        <v>402</v>
      </c>
      <c r="D651" s="1655" t="s">
        <v>42</v>
      </c>
      <c r="E651" s="1655" t="s">
        <v>569</v>
      </c>
    </row>
    <row r="652" spans="1:5" s="1732" customFormat="1">
      <c r="A652" s="1655" t="s">
        <v>70</v>
      </c>
      <c r="B652" s="1655" t="s">
        <v>1786</v>
      </c>
      <c r="C652" s="1655" t="s">
        <v>402</v>
      </c>
      <c r="D652" s="1655" t="s">
        <v>42</v>
      </c>
      <c r="E652" s="1655" t="s">
        <v>569</v>
      </c>
    </row>
    <row r="653" spans="1:5" s="1732" customFormat="1">
      <c r="A653" s="1655" t="s">
        <v>70</v>
      </c>
      <c r="B653" s="1655" t="s">
        <v>1787</v>
      </c>
      <c r="C653" s="1655" t="s">
        <v>402</v>
      </c>
      <c r="D653" s="1655" t="s">
        <v>42</v>
      </c>
      <c r="E653" s="1655" t="s">
        <v>569</v>
      </c>
    </row>
    <row r="654" spans="1:5" s="1732" customFormat="1">
      <c r="A654" s="1655" t="s">
        <v>70</v>
      </c>
      <c r="B654" s="1655" t="s">
        <v>1788</v>
      </c>
      <c r="C654" s="1655" t="s">
        <v>402</v>
      </c>
      <c r="D654" s="1655" t="s">
        <v>42</v>
      </c>
      <c r="E654" s="1655" t="s">
        <v>569</v>
      </c>
    </row>
    <row r="655" spans="1:5" s="1732" customFormat="1">
      <c r="A655" s="1655" t="s">
        <v>70</v>
      </c>
      <c r="B655" s="1655" t="s">
        <v>1789</v>
      </c>
      <c r="C655" s="1655" t="s">
        <v>402</v>
      </c>
      <c r="D655" s="1655" t="s">
        <v>42</v>
      </c>
      <c r="E655" s="1655" t="s">
        <v>569</v>
      </c>
    </row>
    <row r="656" spans="1:5" s="1732" customFormat="1">
      <c r="A656" s="1655" t="s">
        <v>70</v>
      </c>
      <c r="B656" s="1655" t="s">
        <v>1790</v>
      </c>
      <c r="C656" s="1655" t="s">
        <v>402</v>
      </c>
      <c r="D656" s="1655" t="s">
        <v>42</v>
      </c>
      <c r="E656" s="1655" t="s">
        <v>569</v>
      </c>
    </row>
    <row r="657" spans="1:5" s="1732" customFormat="1">
      <c r="A657" s="1655" t="s">
        <v>70</v>
      </c>
      <c r="B657" s="1655" t="s">
        <v>1791</v>
      </c>
      <c r="C657" s="1655" t="s">
        <v>395</v>
      </c>
      <c r="D657" s="1655" t="s">
        <v>42</v>
      </c>
      <c r="E657" s="1655" t="s">
        <v>569</v>
      </c>
    </row>
    <row r="658" spans="1:5" s="1732" customFormat="1">
      <c r="A658" s="1655" t="s">
        <v>70</v>
      </c>
      <c r="B658" s="1655" t="s">
        <v>1792</v>
      </c>
      <c r="C658" s="1655" t="s">
        <v>395</v>
      </c>
      <c r="D658" s="1655" t="s">
        <v>42</v>
      </c>
      <c r="E658" s="1655" t="s">
        <v>569</v>
      </c>
    </row>
    <row r="659" spans="1:5" s="1732" customFormat="1">
      <c r="A659" s="1655" t="s">
        <v>70</v>
      </c>
      <c r="B659" s="1655" t="s">
        <v>1793</v>
      </c>
      <c r="C659" s="1655" t="s">
        <v>402</v>
      </c>
      <c r="D659" s="1655" t="s">
        <v>42</v>
      </c>
      <c r="E659" s="1655" t="s">
        <v>569</v>
      </c>
    </row>
    <row r="660" spans="1:5" s="1732" customFormat="1">
      <c r="A660" s="1655" t="s">
        <v>70</v>
      </c>
      <c r="B660" s="1655" t="s">
        <v>1794</v>
      </c>
      <c r="C660" s="1655" t="s">
        <v>395</v>
      </c>
      <c r="D660" s="1655" t="s">
        <v>42</v>
      </c>
      <c r="E660" s="1655" t="s">
        <v>569</v>
      </c>
    </row>
    <row r="661" spans="1:5" s="1732" customFormat="1">
      <c r="A661" s="1655" t="s">
        <v>70</v>
      </c>
      <c r="B661" s="1655" t="s">
        <v>1795</v>
      </c>
      <c r="C661" s="1655" t="s">
        <v>395</v>
      </c>
      <c r="D661" s="1655" t="s">
        <v>42</v>
      </c>
      <c r="E661" s="1655" t="s">
        <v>569</v>
      </c>
    </row>
    <row r="662" spans="1:5" s="1732" customFormat="1">
      <c r="A662" s="1655" t="s">
        <v>70</v>
      </c>
      <c r="B662" s="1655" t="s">
        <v>1796</v>
      </c>
      <c r="C662" s="1655" t="s">
        <v>395</v>
      </c>
      <c r="D662" s="1655" t="s">
        <v>42</v>
      </c>
      <c r="E662" s="1655" t="s">
        <v>569</v>
      </c>
    </row>
    <row r="663" spans="1:5" s="1732" customFormat="1">
      <c r="A663" s="1655" t="s">
        <v>70</v>
      </c>
      <c r="B663" s="1655" t="s">
        <v>1797</v>
      </c>
      <c r="C663" s="1655" t="s">
        <v>402</v>
      </c>
      <c r="D663" s="1655" t="s">
        <v>42</v>
      </c>
      <c r="E663" s="1655" t="s">
        <v>569</v>
      </c>
    </row>
    <row r="664" spans="1:5" s="1732" customFormat="1">
      <c r="A664" s="1655" t="s">
        <v>70</v>
      </c>
      <c r="B664" s="1655" t="s">
        <v>1798</v>
      </c>
      <c r="C664" s="1655" t="s">
        <v>402</v>
      </c>
      <c r="D664" s="1655" t="s">
        <v>42</v>
      </c>
      <c r="E664" s="1655" t="s">
        <v>569</v>
      </c>
    </row>
    <row r="665" spans="1:5" s="1732" customFormat="1">
      <c r="A665" s="1655" t="s">
        <v>70</v>
      </c>
      <c r="B665" s="1655" t="s">
        <v>1799</v>
      </c>
      <c r="C665" s="1655" t="s">
        <v>402</v>
      </c>
      <c r="D665" s="1655" t="s">
        <v>42</v>
      </c>
      <c r="E665" s="1655" t="s">
        <v>569</v>
      </c>
    </row>
    <row r="666" spans="1:5" s="1732" customFormat="1">
      <c r="A666" s="1655" t="s">
        <v>70</v>
      </c>
      <c r="B666" s="1655" t="s">
        <v>1800</v>
      </c>
      <c r="C666" s="1655" t="s">
        <v>402</v>
      </c>
      <c r="D666" s="1655" t="s">
        <v>42</v>
      </c>
      <c r="E666" s="1655" t="s">
        <v>569</v>
      </c>
    </row>
    <row r="667" spans="1:5" s="1732" customFormat="1">
      <c r="A667" s="1655" t="s">
        <v>70</v>
      </c>
      <c r="B667" s="1655" t="s">
        <v>1801</v>
      </c>
      <c r="C667" s="1655" t="s">
        <v>402</v>
      </c>
      <c r="D667" s="1655" t="s">
        <v>42</v>
      </c>
      <c r="E667" s="1655" t="s">
        <v>569</v>
      </c>
    </row>
    <row r="668" spans="1:5" s="1732" customFormat="1">
      <c r="A668" s="1655" t="s">
        <v>70</v>
      </c>
      <c r="B668" s="1655" t="s">
        <v>1802</v>
      </c>
      <c r="C668" s="1655" t="s">
        <v>402</v>
      </c>
      <c r="D668" s="1655" t="s">
        <v>42</v>
      </c>
      <c r="E668" s="1655" t="s">
        <v>569</v>
      </c>
    </row>
    <row r="669" spans="1:5" s="1732" customFormat="1">
      <c r="A669" s="1655" t="s">
        <v>70</v>
      </c>
      <c r="B669" s="1655" t="s">
        <v>1803</v>
      </c>
      <c r="C669" s="1655" t="s">
        <v>402</v>
      </c>
      <c r="D669" s="1655" t="s">
        <v>42</v>
      </c>
      <c r="E669" s="1655" t="s">
        <v>569</v>
      </c>
    </row>
    <row r="670" spans="1:5" s="1732" customFormat="1">
      <c r="A670" s="1655" t="s">
        <v>70</v>
      </c>
      <c r="B670" s="1655" t="s">
        <v>1804</v>
      </c>
      <c r="C670" s="1655" t="s">
        <v>402</v>
      </c>
      <c r="D670" s="1655" t="s">
        <v>42</v>
      </c>
      <c r="E670" s="1655" t="s">
        <v>569</v>
      </c>
    </row>
    <row r="671" spans="1:5" s="1732" customFormat="1">
      <c r="A671" s="1655" t="s">
        <v>70</v>
      </c>
      <c r="B671" s="1655" t="s">
        <v>1805</v>
      </c>
      <c r="C671" s="1655" t="s">
        <v>402</v>
      </c>
      <c r="D671" s="1655" t="s">
        <v>42</v>
      </c>
      <c r="E671" s="1655" t="s">
        <v>569</v>
      </c>
    </row>
    <row r="672" spans="1:5" s="1732" customFormat="1">
      <c r="A672" s="1655" t="s">
        <v>70</v>
      </c>
      <c r="B672" s="1655" t="s">
        <v>1806</v>
      </c>
      <c r="C672" s="1655" t="s">
        <v>402</v>
      </c>
      <c r="D672" s="1655" t="s">
        <v>42</v>
      </c>
      <c r="E672" s="1655" t="s">
        <v>569</v>
      </c>
    </row>
    <row r="673" spans="1:5" s="1732" customFormat="1">
      <c r="A673" s="1655" t="s">
        <v>70</v>
      </c>
      <c r="B673" s="1655" t="s">
        <v>1807</v>
      </c>
      <c r="C673" s="1655" t="s">
        <v>402</v>
      </c>
      <c r="D673" s="1655" t="s">
        <v>42</v>
      </c>
      <c r="E673" s="1655" t="s">
        <v>569</v>
      </c>
    </row>
    <row r="674" spans="1:5" s="1732" customFormat="1">
      <c r="A674" s="1655" t="s">
        <v>70</v>
      </c>
      <c r="B674" s="1655" t="s">
        <v>1808</v>
      </c>
      <c r="C674" s="1655" t="s">
        <v>402</v>
      </c>
      <c r="D674" s="1655" t="s">
        <v>42</v>
      </c>
      <c r="E674" s="1655" t="s">
        <v>569</v>
      </c>
    </row>
    <row r="675" spans="1:5" s="1732" customFormat="1">
      <c r="A675" s="1655" t="s">
        <v>70</v>
      </c>
      <c r="B675" s="1655" t="s">
        <v>1809</v>
      </c>
      <c r="C675" s="1655" t="s">
        <v>395</v>
      </c>
      <c r="D675" s="1655" t="s">
        <v>42</v>
      </c>
      <c r="E675" s="1655" t="s">
        <v>569</v>
      </c>
    </row>
    <row r="676" spans="1:5" s="1732" customFormat="1">
      <c r="A676" s="1655" t="s">
        <v>70</v>
      </c>
      <c r="B676" s="1655" t="s">
        <v>1810</v>
      </c>
      <c r="C676" s="1655" t="s">
        <v>395</v>
      </c>
      <c r="D676" s="1655" t="s">
        <v>42</v>
      </c>
      <c r="E676" s="1655" t="s">
        <v>569</v>
      </c>
    </row>
    <row r="677" spans="1:5" s="1732" customFormat="1">
      <c r="A677" s="1655" t="s">
        <v>70</v>
      </c>
      <c r="B677" s="1655" t="s">
        <v>1811</v>
      </c>
      <c r="C677" s="1655" t="s">
        <v>395</v>
      </c>
      <c r="D677" s="1655" t="s">
        <v>42</v>
      </c>
      <c r="E677" s="1655" t="s">
        <v>569</v>
      </c>
    </row>
    <row r="678" spans="1:5" s="1732" customFormat="1">
      <c r="A678" s="1655" t="s">
        <v>70</v>
      </c>
      <c r="B678" s="1655" t="s">
        <v>1812</v>
      </c>
      <c r="C678" s="1655" t="s">
        <v>395</v>
      </c>
      <c r="D678" s="1655" t="s">
        <v>42</v>
      </c>
      <c r="E678" s="1655" t="s">
        <v>569</v>
      </c>
    </row>
    <row r="679" spans="1:5" s="1732" customFormat="1">
      <c r="A679" s="1655" t="s">
        <v>70</v>
      </c>
      <c r="B679" s="1655" t="s">
        <v>1813</v>
      </c>
      <c r="C679" s="1655" t="s">
        <v>395</v>
      </c>
      <c r="D679" s="1655" t="s">
        <v>42</v>
      </c>
      <c r="E679" s="1655" t="s">
        <v>569</v>
      </c>
    </row>
    <row r="680" spans="1:5" s="1732" customFormat="1">
      <c r="A680" s="1655" t="s">
        <v>70</v>
      </c>
      <c r="B680" s="1655" t="s">
        <v>1814</v>
      </c>
      <c r="C680" s="1655" t="s">
        <v>395</v>
      </c>
      <c r="D680" s="1655" t="s">
        <v>42</v>
      </c>
      <c r="E680" s="1655" t="s">
        <v>569</v>
      </c>
    </row>
    <row r="681" spans="1:5" s="1732" customFormat="1">
      <c r="A681" s="1655" t="s">
        <v>70</v>
      </c>
      <c r="B681" s="1655" t="s">
        <v>1815</v>
      </c>
      <c r="C681" s="1655" t="s">
        <v>395</v>
      </c>
      <c r="D681" s="1655" t="s">
        <v>42</v>
      </c>
      <c r="E681" s="1655" t="s">
        <v>569</v>
      </c>
    </row>
    <row r="682" spans="1:5" s="1732" customFormat="1">
      <c r="A682" s="1655" t="s">
        <v>70</v>
      </c>
      <c r="B682" s="1655" t="s">
        <v>1816</v>
      </c>
      <c r="C682" s="1655" t="s">
        <v>395</v>
      </c>
      <c r="D682" s="1655" t="s">
        <v>42</v>
      </c>
      <c r="E682" s="1655" t="s">
        <v>569</v>
      </c>
    </row>
    <row r="683" spans="1:5" s="1732" customFormat="1">
      <c r="A683" s="1655" t="s">
        <v>70</v>
      </c>
      <c r="B683" s="1655" t="s">
        <v>1817</v>
      </c>
      <c r="C683" s="1655" t="s">
        <v>395</v>
      </c>
      <c r="D683" s="1655" t="s">
        <v>42</v>
      </c>
      <c r="E683" s="1655" t="s">
        <v>569</v>
      </c>
    </row>
    <row r="684" spans="1:5" s="1732" customFormat="1">
      <c r="A684" s="1655" t="s">
        <v>70</v>
      </c>
      <c r="B684" s="1655" t="s">
        <v>1818</v>
      </c>
      <c r="C684" s="1655" t="s">
        <v>395</v>
      </c>
      <c r="D684" s="1655" t="s">
        <v>42</v>
      </c>
      <c r="E684" s="1655" t="s">
        <v>569</v>
      </c>
    </row>
    <row r="685" spans="1:5" s="1732" customFormat="1">
      <c r="A685" s="1655" t="s">
        <v>70</v>
      </c>
      <c r="B685" s="1655" t="s">
        <v>1819</v>
      </c>
      <c r="C685" s="1655" t="s">
        <v>395</v>
      </c>
      <c r="D685" s="1655" t="s">
        <v>42</v>
      </c>
      <c r="E685" s="1655" t="s">
        <v>569</v>
      </c>
    </row>
    <row r="686" spans="1:5" s="1732" customFormat="1">
      <c r="A686" s="1655" t="s">
        <v>70</v>
      </c>
      <c r="B686" s="1655" t="s">
        <v>1820</v>
      </c>
      <c r="C686" s="1655" t="s">
        <v>395</v>
      </c>
      <c r="D686" s="1655" t="s">
        <v>42</v>
      </c>
      <c r="E686" s="1655" t="s">
        <v>569</v>
      </c>
    </row>
    <row r="687" spans="1:5" s="1732" customFormat="1">
      <c r="A687" s="1655" t="s">
        <v>70</v>
      </c>
      <c r="B687" s="1655" t="s">
        <v>1821</v>
      </c>
      <c r="C687" s="1655" t="s">
        <v>395</v>
      </c>
      <c r="D687" s="1655" t="s">
        <v>42</v>
      </c>
      <c r="E687" s="1655" t="s">
        <v>569</v>
      </c>
    </row>
    <row r="688" spans="1:5" s="1732" customFormat="1">
      <c r="A688" s="1655" t="s">
        <v>70</v>
      </c>
      <c r="B688" s="1655" t="s">
        <v>1822</v>
      </c>
      <c r="C688" s="1655" t="s">
        <v>395</v>
      </c>
      <c r="D688" s="1655" t="s">
        <v>42</v>
      </c>
      <c r="E688" s="1655" t="s">
        <v>569</v>
      </c>
    </row>
    <row r="689" spans="1:5" s="1732" customFormat="1">
      <c r="A689" s="1655" t="s">
        <v>70</v>
      </c>
      <c r="B689" s="1655" t="s">
        <v>1823</v>
      </c>
      <c r="C689" s="1655" t="s">
        <v>395</v>
      </c>
      <c r="D689" s="1655" t="s">
        <v>42</v>
      </c>
      <c r="E689" s="1655" t="s">
        <v>569</v>
      </c>
    </row>
    <row r="690" spans="1:5" s="1732" customFormat="1">
      <c r="A690" s="1655" t="s">
        <v>70</v>
      </c>
      <c r="B690" s="1655" t="s">
        <v>1824</v>
      </c>
      <c r="C690" s="1655" t="s">
        <v>395</v>
      </c>
      <c r="D690" s="1655" t="s">
        <v>42</v>
      </c>
      <c r="E690" s="1655" t="s">
        <v>569</v>
      </c>
    </row>
    <row r="691" spans="1:5" s="1732" customFormat="1">
      <c r="A691" s="1655" t="s">
        <v>70</v>
      </c>
      <c r="B691" s="1655" t="s">
        <v>1825</v>
      </c>
      <c r="C691" s="1655" t="s">
        <v>395</v>
      </c>
      <c r="D691" s="1655" t="s">
        <v>42</v>
      </c>
      <c r="E691" s="1655" t="s">
        <v>569</v>
      </c>
    </row>
    <row r="692" spans="1:5" s="1732" customFormat="1">
      <c r="A692" s="1655" t="s">
        <v>70</v>
      </c>
      <c r="B692" s="1655" t="s">
        <v>1826</v>
      </c>
      <c r="C692" s="1655" t="s">
        <v>395</v>
      </c>
      <c r="D692" s="1655" t="s">
        <v>42</v>
      </c>
      <c r="E692" s="1655" t="s">
        <v>569</v>
      </c>
    </row>
    <row r="693" spans="1:5" s="1732" customFormat="1">
      <c r="A693" s="1655" t="s">
        <v>70</v>
      </c>
      <c r="B693" s="1655" t="s">
        <v>1827</v>
      </c>
      <c r="C693" s="1655" t="s">
        <v>395</v>
      </c>
      <c r="D693" s="1655" t="s">
        <v>42</v>
      </c>
      <c r="E693" s="1655" t="s">
        <v>569</v>
      </c>
    </row>
    <row r="694" spans="1:5" s="1732" customFormat="1">
      <c r="A694" s="1655" t="s">
        <v>70</v>
      </c>
      <c r="B694" s="1655" t="s">
        <v>1828</v>
      </c>
      <c r="C694" s="1655" t="s">
        <v>395</v>
      </c>
      <c r="D694" s="1655" t="s">
        <v>42</v>
      </c>
      <c r="E694" s="1655" t="s">
        <v>569</v>
      </c>
    </row>
    <row r="695" spans="1:5" s="1732" customFormat="1">
      <c r="A695" s="1655" t="s">
        <v>70</v>
      </c>
      <c r="B695" s="1655" t="s">
        <v>1829</v>
      </c>
      <c r="C695" s="1655" t="s">
        <v>395</v>
      </c>
      <c r="D695" s="1655" t="s">
        <v>42</v>
      </c>
      <c r="E695" s="1655" t="s">
        <v>569</v>
      </c>
    </row>
    <row r="696" spans="1:5" s="1732" customFormat="1">
      <c r="A696" s="1655" t="s">
        <v>70</v>
      </c>
      <c r="B696" s="1655" t="s">
        <v>1830</v>
      </c>
      <c r="C696" s="1655" t="s">
        <v>395</v>
      </c>
      <c r="D696" s="1655" t="s">
        <v>42</v>
      </c>
      <c r="E696" s="1655" t="s">
        <v>569</v>
      </c>
    </row>
    <row r="697" spans="1:5" s="1732" customFormat="1">
      <c r="A697" s="1655" t="s">
        <v>70</v>
      </c>
      <c r="B697" s="1655" t="s">
        <v>1831</v>
      </c>
      <c r="C697" s="1655" t="s">
        <v>395</v>
      </c>
      <c r="D697" s="1655" t="s">
        <v>42</v>
      </c>
      <c r="E697" s="1655" t="s">
        <v>569</v>
      </c>
    </row>
    <row r="698" spans="1:5" s="1732" customFormat="1">
      <c r="A698" s="1655" t="s">
        <v>70</v>
      </c>
      <c r="B698" s="1655" t="s">
        <v>1832</v>
      </c>
      <c r="C698" s="1655" t="s">
        <v>395</v>
      </c>
      <c r="D698" s="1655" t="s">
        <v>42</v>
      </c>
      <c r="E698" s="1655" t="s">
        <v>569</v>
      </c>
    </row>
    <row r="699" spans="1:5" s="1732" customFormat="1">
      <c r="A699" s="1655" t="s">
        <v>70</v>
      </c>
      <c r="B699" s="1655" t="s">
        <v>1833</v>
      </c>
      <c r="C699" s="1655" t="s">
        <v>395</v>
      </c>
      <c r="D699" s="1655" t="s">
        <v>42</v>
      </c>
      <c r="E699" s="1655" t="s">
        <v>569</v>
      </c>
    </row>
    <row r="700" spans="1:5" s="1732" customFormat="1">
      <c r="A700" s="1655" t="s">
        <v>70</v>
      </c>
      <c r="B700" s="1655" t="s">
        <v>1834</v>
      </c>
      <c r="C700" s="1655" t="s">
        <v>395</v>
      </c>
      <c r="D700" s="1655" t="s">
        <v>42</v>
      </c>
      <c r="E700" s="1655" t="s">
        <v>569</v>
      </c>
    </row>
    <row r="701" spans="1:5" s="1732" customFormat="1">
      <c r="A701" s="1655" t="s">
        <v>70</v>
      </c>
      <c r="B701" s="1655" t="s">
        <v>1835</v>
      </c>
      <c r="C701" s="1655" t="s">
        <v>395</v>
      </c>
      <c r="D701" s="1655" t="s">
        <v>42</v>
      </c>
      <c r="E701" s="1655" t="s">
        <v>569</v>
      </c>
    </row>
    <row r="702" spans="1:5" s="1732" customFormat="1">
      <c r="A702" s="1655" t="s">
        <v>70</v>
      </c>
      <c r="B702" s="1655" t="s">
        <v>1836</v>
      </c>
      <c r="C702" s="1655" t="s">
        <v>395</v>
      </c>
      <c r="D702" s="1655" t="s">
        <v>42</v>
      </c>
      <c r="E702" s="1655" t="s">
        <v>569</v>
      </c>
    </row>
    <row r="703" spans="1:5" s="1732" customFormat="1">
      <c r="A703" s="1655" t="s">
        <v>70</v>
      </c>
      <c r="B703" s="1655" t="s">
        <v>1837</v>
      </c>
      <c r="C703" s="1655" t="s">
        <v>395</v>
      </c>
      <c r="D703" s="1655" t="s">
        <v>42</v>
      </c>
      <c r="E703" s="1655" t="s">
        <v>569</v>
      </c>
    </row>
    <row r="704" spans="1:5" s="1732" customFormat="1">
      <c r="A704" s="1655" t="s">
        <v>70</v>
      </c>
      <c r="B704" s="1655" t="s">
        <v>1838</v>
      </c>
      <c r="C704" s="1656" t="s">
        <v>395</v>
      </c>
      <c r="D704" s="1655" t="s">
        <v>42</v>
      </c>
      <c r="E704" s="1655" t="s">
        <v>569</v>
      </c>
    </row>
    <row r="705" spans="1:5" s="1732" customFormat="1">
      <c r="A705" s="1655" t="s">
        <v>70</v>
      </c>
      <c r="B705" s="1655" t="s">
        <v>1839</v>
      </c>
      <c r="C705" s="1656" t="s">
        <v>395</v>
      </c>
      <c r="D705" s="1655" t="s">
        <v>42</v>
      </c>
      <c r="E705" s="1655" t="s">
        <v>569</v>
      </c>
    </row>
    <row r="706" spans="1:5" s="1732" customFormat="1">
      <c r="A706" s="1655" t="s">
        <v>70</v>
      </c>
      <c r="B706" s="1655" t="s">
        <v>1840</v>
      </c>
      <c r="C706" s="1656" t="s">
        <v>395</v>
      </c>
      <c r="D706" s="1655" t="s">
        <v>42</v>
      </c>
      <c r="E706" s="1655" t="s">
        <v>569</v>
      </c>
    </row>
    <row r="707" spans="1:5" s="1732" customFormat="1">
      <c r="A707" s="1655" t="s">
        <v>70</v>
      </c>
      <c r="B707" s="1655" t="s">
        <v>1841</v>
      </c>
      <c r="C707" s="1656" t="s">
        <v>395</v>
      </c>
      <c r="D707" s="1655" t="s">
        <v>42</v>
      </c>
      <c r="E707" s="1655" t="s">
        <v>569</v>
      </c>
    </row>
    <row r="708" spans="1:5" s="1732" customFormat="1">
      <c r="A708" s="1655" t="s">
        <v>70</v>
      </c>
      <c r="B708" s="1655" t="s">
        <v>1842</v>
      </c>
      <c r="C708" s="1656" t="s">
        <v>395</v>
      </c>
      <c r="D708" s="1655" t="s">
        <v>42</v>
      </c>
      <c r="E708" s="1655" t="s">
        <v>569</v>
      </c>
    </row>
    <row r="709" spans="1:5" s="1732" customFormat="1">
      <c r="A709" s="1655" t="s">
        <v>70</v>
      </c>
      <c r="B709" s="1655" t="s">
        <v>1843</v>
      </c>
      <c r="C709" s="1656" t="s">
        <v>395</v>
      </c>
      <c r="D709" s="1655" t="s">
        <v>42</v>
      </c>
      <c r="E709" s="1655" t="s">
        <v>569</v>
      </c>
    </row>
    <row r="710" spans="1:5" s="1732" customFormat="1">
      <c r="A710" s="1655" t="s">
        <v>70</v>
      </c>
      <c r="B710" s="1655" t="s">
        <v>1844</v>
      </c>
      <c r="C710" s="1656" t="s">
        <v>395</v>
      </c>
      <c r="D710" s="1655" t="s">
        <v>42</v>
      </c>
      <c r="E710" s="1655" t="s">
        <v>569</v>
      </c>
    </row>
    <row r="711" spans="1:5" s="1732" customFormat="1">
      <c r="A711" s="1655" t="s">
        <v>70</v>
      </c>
      <c r="B711" s="1655" t="s">
        <v>1845</v>
      </c>
      <c r="C711" s="1656" t="s">
        <v>395</v>
      </c>
      <c r="D711" s="1655" t="s">
        <v>42</v>
      </c>
      <c r="E711" s="1655" t="s">
        <v>569</v>
      </c>
    </row>
    <row r="712" spans="1:5" s="1732" customFormat="1">
      <c r="A712" s="1655" t="s">
        <v>70</v>
      </c>
      <c r="B712" s="1655" t="s">
        <v>1846</v>
      </c>
      <c r="C712" s="1656" t="s">
        <v>395</v>
      </c>
      <c r="D712" s="1655" t="s">
        <v>42</v>
      </c>
      <c r="E712" s="1655" t="s">
        <v>569</v>
      </c>
    </row>
    <row r="713" spans="1:5" s="1732" customFormat="1">
      <c r="A713" s="1655" t="s">
        <v>70</v>
      </c>
      <c r="B713" s="1655" t="s">
        <v>897</v>
      </c>
      <c r="C713" s="1656">
        <v>0</v>
      </c>
      <c r="D713" s="1655" t="s">
        <v>42</v>
      </c>
      <c r="E713" s="1655" t="s">
        <v>571</v>
      </c>
    </row>
    <row r="714" spans="1:5" s="1732" customFormat="1">
      <c r="A714" s="1655" t="s">
        <v>70</v>
      </c>
      <c r="B714" s="1655" t="s">
        <v>898</v>
      </c>
      <c r="C714" s="1656">
        <v>0</v>
      </c>
      <c r="D714" s="1655" t="s">
        <v>42</v>
      </c>
      <c r="E714" s="1655" t="s">
        <v>571</v>
      </c>
    </row>
    <row r="715" spans="1:5" s="1732" customFormat="1">
      <c r="A715" s="1655" t="s">
        <v>70</v>
      </c>
      <c r="B715" s="1655" t="s">
        <v>899</v>
      </c>
      <c r="C715" s="1656">
        <v>0</v>
      </c>
      <c r="D715" s="1655" t="s">
        <v>42</v>
      </c>
      <c r="E715" s="1655" t="s">
        <v>571</v>
      </c>
    </row>
    <row r="716" spans="1:5" s="1732" customFormat="1">
      <c r="A716" s="1655" t="s">
        <v>70</v>
      </c>
      <c r="B716" s="1655" t="s">
        <v>900</v>
      </c>
      <c r="C716" s="1656">
        <v>0</v>
      </c>
      <c r="D716" s="1655" t="s">
        <v>42</v>
      </c>
      <c r="E716" s="1655" t="s">
        <v>571</v>
      </c>
    </row>
    <row r="717" spans="1:5" s="1732" customFormat="1">
      <c r="A717" s="1655" t="s">
        <v>70</v>
      </c>
      <c r="B717" s="1655" t="s">
        <v>901</v>
      </c>
      <c r="C717" s="1656">
        <v>0</v>
      </c>
      <c r="D717" s="1655" t="s">
        <v>42</v>
      </c>
      <c r="E717" s="1655" t="s">
        <v>571</v>
      </c>
    </row>
    <row r="718" spans="1:5" s="1732" customFormat="1">
      <c r="A718" s="1655" t="s">
        <v>70</v>
      </c>
      <c r="B718" s="1655" t="s">
        <v>902</v>
      </c>
      <c r="C718" s="1656">
        <v>0</v>
      </c>
      <c r="D718" s="1655" t="s">
        <v>42</v>
      </c>
      <c r="E718" s="1655" t="s">
        <v>571</v>
      </c>
    </row>
    <row r="719" spans="1:5" s="1732" customFormat="1">
      <c r="A719" s="1655" t="s">
        <v>70</v>
      </c>
      <c r="B719" s="1655" t="s">
        <v>903</v>
      </c>
      <c r="C719" s="1656">
        <v>0</v>
      </c>
      <c r="D719" s="1655" t="s">
        <v>42</v>
      </c>
      <c r="E719" s="1655" t="s">
        <v>571</v>
      </c>
    </row>
    <row r="720" spans="1:5" s="1732" customFormat="1">
      <c r="A720" s="1655" t="s">
        <v>70</v>
      </c>
      <c r="B720" s="1655" t="s">
        <v>904</v>
      </c>
      <c r="C720" s="1656">
        <v>0</v>
      </c>
      <c r="D720" s="1655" t="s">
        <v>42</v>
      </c>
      <c r="E720" s="1655" t="s">
        <v>571</v>
      </c>
    </row>
    <row r="721" spans="1:5" s="1732" customFormat="1">
      <c r="A721" s="1655" t="s">
        <v>70</v>
      </c>
      <c r="B721" s="1655" t="s">
        <v>905</v>
      </c>
      <c r="C721" s="1656">
        <v>0</v>
      </c>
      <c r="D721" s="1655" t="s">
        <v>42</v>
      </c>
      <c r="E721" s="1655" t="s">
        <v>571</v>
      </c>
    </row>
    <row r="722" spans="1:5" s="1732" customFormat="1">
      <c r="A722" s="1655" t="s">
        <v>70</v>
      </c>
      <c r="B722" s="1655" t="s">
        <v>1136</v>
      </c>
      <c r="C722" s="1656">
        <v>0</v>
      </c>
      <c r="D722" s="1655" t="s">
        <v>42</v>
      </c>
      <c r="E722" s="1655" t="s">
        <v>571</v>
      </c>
    </row>
    <row r="723" spans="1:5" s="1732" customFormat="1">
      <c r="A723" s="1655" t="s">
        <v>70</v>
      </c>
      <c r="B723" s="1655" t="s">
        <v>1137</v>
      </c>
      <c r="C723" s="1656">
        <v>-1300</v>
      </c>
      <c r="D723" s="1655" t="s">
        <v>42</v>
      </c>
      <c r="E723" s="1655" t="s">
        <v>571</v>
      </c>
    </row>
    <row r="724" spans="1:5" s="1732" customFormat="1">
      <c r="A724" s="1655" t="s">
        <v>70</v>
      </c>
      <c r="B724" s="1655" t="s">
        <v>906</v>
      </c>
      <c r="C724" s="1656">
        <v>0</v>
      </c>
      <c r="D724" s="1655" t="s">
        <v>42</v>
      </c>
      <c r="E724" s="1655" t="s">
        <v>571</v>
      </c>
    </row>
    <row r="725" spans="1:5" s="1732" customFormat="1">
      <c r="A725" s="1655" t="s">
        <v>70</v>
      </c>
      <c r="B725" s="1655" t="s">
        <v>907</v>
      </c>
      <c r="C725" s="1656">
        <v>0</v>
      </c>
      <c r="D725" s="1655" t="s">
        <v>42</v>
      </c>
      <c r="E725" s="1655" t="s">
        <v>571</v>
      </c>
    </row>
    <row r="726" spans="1:5" s="1732" customFormat="1">
      <c r="A726" s="1655" t="s">
        <v>70</v>
      </c>
      <c r="B726" s="1655" t="s">
        <v>908</v>
      </c>
      <c r="C726" s="1656">
        <v>0</v>
      </c>
      <c r="D726" s="1655" t="s">
        <v>42</v>
      </c>
      <c r="E726" s="1655" t="s">
        <v>571</v>
      </c>
    </row>
    <row r="727" spans="1:5" s="1732" customFormat="1">
      <c r="A727" s="1655" t="s">
        <v>70</v>
      </c>
      <c r="B727" s="1655" t="s">
        <v>909</v>
      </c>
      <c r="C727" s="1656">
        <v>0</v>
      </c>
      <c r="D727" s="1655" t="s">
        <v>42</v>
      </c>
      <c r="E727" s="1655" t="s">
        <v>571</v>
      </c>
    </row>
    <row r="728" spans="1:5" s="1732" customFormat="1">
      <c r="A728" s="1655" t="s">
        <v>70</v>
      </c>
      <c r="B728" s="1655" t="s">
        <v>910</v>
      </c>
      <c r="C728" s="1656">
        <v>0</v>
      </c>
      <c r="D728" s="1655" t="s">
        <v>42</v>
      </c>
      <c r="E728" s="1655" t="s">
        <v>571</v>
      </c>
    </row>
    <row r="729" spans="1:5" s="1732" customFormat="1">
      <c r="A729" s="1655" t="s">
        <v>70</v>
      </c>
      <c r="B729" s="1655" t="s">
        <v>911</v>
      </c>
      <c r="C729" s="1656">
        <v>0</v>
      </c>
      <c r="D729" s="1655" t="s">
        <v>42</v>
      </c>
      <c r="E729" s="1655" t="s">
        <v>571</v>
      </c>
    </row>
    <row r="730" spans="1:5" s="1732" customFormat="1">
      <c r="A730" s="1655" t="s">
        <v>70</v>
      </c>
      <c r="B730" s="1655" t="s">
        <v>912</v>
      </c>
      <c r="C730" s="1656">
        <v>0</v>
      </c>
      <c r="D730" s="1655" t="s">
        <v>42</v>
      </c>
      <c r="E730" s="1655" t="s">
        <v>571</v>
      </c>
    </row>
    <row r="731" spans="1:5" s="1732" customFormat="1">
      <c r="A731" s="1655" t="s">
        <v>70</v>
      </c>
      <c r="B731" s="1655" t="s">
        <v>913</v>
      </c>
      <c r="C731" s="1656">
        <v>0</v>
      </c>
      <c r="D731" s="1655" t="s">
        <v>42</v>
      </c>
      <c r="E731" s="1655" t="s">
        <v>571</v>
      </c>
    </row>
    <row r="732" spans="1:5" s="1732" customFormat="1">
      <c r="A732" s="1655" t="s">
        <v>70</v>
      </c>
      <c r="B732" s="1655" t="s">
        <v>914</v>
      </c>
      <c r="C732" s="1656">
        <v>0</v>
      </c>
      <c r="D732" s="1655" t="s">
        <v>42</v>
      </c>
      <c r="E732" s="1655" t="s">
        <v>571</v>
      </c>
    </row>
    <row r="733" spans="1:5" s="1732" customFormat="1">
      <c r="A733" s="1655" t="s">
        <v>70</v>
      </c>
      <c r="B733" s="1655" t="s">
        <v>1039</v>
      </c>
      <c r="C733" s="1656">
        <v>0</v>
      </c>
      <c r="D733" s="1655" t="s">
        <v>42</v>
      </c>
      <c r="E733" s="1655" t="s">
        <v>571</v>
      </c>
    </row>
    <row r="734" spans="1:5" s="1732" customFormat="1">
      <c r="A734" s="1655" t="s">
        <v>70</v>
      </c>
      <c r="B734" s="1655" t="s">
        <v>1040</v>
      </c>
      <c r="C734" s="1656">
        <v>-800</v>
      </c>
      <c r="D734" s="1655" t="s">
        <v>42</v>
      </c>
      <c r="E734" s="1655" t="s">
        <v>571</v>
      </c>
    </row>
    <row r="735" spans="1:5" s="1732" customFormat="1">
      <c r="A735" s="1655" t="s">
        <v>70</v>
      </c>
      <c r="B735" s="1655" t="s">
        <v>915</v>
      </c>
      <c r="C735" s="1656">
        <v>0</v>
      </c>
      <c r="D735" s="1655" t="s">
        <v>42</v>
      </c>
      <c r="E735" s="1655" t="s">
        <v>571</v>
      </c>
    </row>
    <row r="736" spans="1:5" s="1732" customFormat="1">
      <c r="A736" s="1655" t="s">
        <v>70</v>
      </c>
      <c r="B736" s="1655" t="s">
        <v>916</v>
      </c>
      <c r="C736" s="1656">
        <v>450</v>
      </c>
      <c r="D736" s="1655" t="s">
        <v>42</v>
      </c>
      <c r="E736" s="1655" t="s">
        <v>571</v>
      </c>
    </row>
    <row r="737" spans="1:5" s="1732" customFormat="1">
      <c r="A737" s="1655" t="s">
        <v>70</v>
      </c>
      <c r="B737" s="1655" t="s">
        <v>917</v>
      </c>
      <c r="C737" s="1656">
        <v>0</v>
      </c>
      <c r="D737" s="1655" t="s">
        <v>42</v>
      </c>
      <c r="E737" s="1655" t="s">
        <v>571</v>
      </c>
    </row>
    <row r="738" spans="1:5" s="1732" customFormat="1">
      <c r="A738" s="1655" t="s">
        <v>70</v>
      </c>
      <c r="B738" s="1655" t="s">
        <v>918</v>
      </c>
      <c r="C738" s="1656">
        <v>0</v>
      </c>
      <c r="D738" s="1655" t="s">
        <v>42</v>
      </c>
      <c r="E738" s="1655" t="s">
        <v>571</v>
      </c>
    </row>
    <row r="739" spans="1:5" s="1732" customFormat="1">
      <c r="A739" s="1655" t="s">
        <v>70</v>
      </c>
      <c r="B739" s="1655" t="s">
        <v>919</v>
      </c>
      <c r="C739" s="1656">
        <v>0</v>
      </c>
      <c r="D739" s="1655" t="s">
        <v>42</v>
      </c>
      <c r="E739" s="1655" t="s">
        <v>571</v>
      </c>
    </row>
    <row r="740" spans="1:5" s="1732" customFormat="1">
      <c r="A740" s="1655" t="s">
        <v>70</v>
      </c>
      <c r="B740" s="1655" t="s">
        <v>920</v>
      </c>
      <c r="C740" s="1656">
        <v>0</v>
      </c>
      <c r="D740" s="1655" t="s">
        <v>42</v>
      </c>
      <c r="E740" s="1655" t="s">
        <v>571</v>
      </c>
    </row>
    <row r="741" spans="1:5" s="1732" customFormat="1">
      <c r="A741" s="1655" t="s">
        <v>70</v>
      </c>
      <c r="B741" s="1655" t="s">
        <v>921</v>
      </c>
      <c r="C741" s="1656">
        <v>0</v>
      </c>
      <c r="D741" s="1655" t="s">
        <v>42</v>
      </c>
      <c r="E741" s="1655" t="s">
        <v>571</v>
      </c>
    </row>
    <row r="742" spans="1:5" s="1732" customFormat="1">
      <c r="A742" s="1655" t="s">
        <v>70</v>
      </c>
      <c r="B742" s="1655" t="s">
        <v>922</v>
      </c>
      <c r="C742" s="1656">
        <v>0</v>
      </c>
      <c r="D742" s="1655" t="s">
        <v>42</v>
      </c>
      <c r="E742" s="1655" t="s">
        <v>571</v>
      </c>
    </row>
    <row r="743" spans="1:5" s="1732" customFormat="1">
      <c r="A743" s="1655" t="s">
        <v>70</v>
      </c>
      <c r="B743" s="1655" t="s">
        <v>923</v>
      </c>
      <c r="C743" s="1656">
        <v>0</v>
      </c>
      <c r="D743" s="1655" t="s">
        <v>42</v>
      </c>
      <c r="E743" s="1655" t="s">
        <v>571</v>
      </c>
    </row>
    <row r="744" spans="1:5" s="1732" customFormat="1">
      <c r="A744" s="1655" t="s">
        <v>70</v>
      </c>
      <c r="B744" s="1655" t="s">
        <v>1138</v>
      </c>
      <c r="C744" s="1656">
        <v>0</v>
      </c>
      <c r="D744" s="1655" t="s">
        <v>42</v>
      </c>
      <c r="E744" s="1655" t="s">
        <v>571</v>
      </c>
    </row>
    <row r="745" spans="1:5" s="1732" customFormat="1">
      <c r="A745" s="1655" t="s">
        <v>70</v>
      </c>
      <c r="B745" s="1655" t="s">
        <v>1139</v>
      </c>
      <c r="C745" s="1656">
        <v>0</v>
      </c>
      <c r="D745" s="1655" t="s">
        <v>42</v>
      </c>
      <c r="E745" s="1655" t="s">
        <v>571</v>
      </c>
    </row>
    <row r="746" spans="1:5" s="1732" customFormat="1">
      <c r="A746" s="1655" t="s">
        <v>70</v>
      </c>
      <c r="B746" s="1655" t="s">
        <v>926</v>
      </c>
      <c r="C746" s="1656">
        <v>0</v>
      </c>
      <c r="D746" s="1655" t="s">
        <v>42</v>
      </c>
      <c r="E746" s="1655" t="s">
        <v>571</v>
      </c>
    </row>
    <row r="747" spans="1:5" s="1732" customFormat="1">
      <c r="A747" s="1655" t="s">
        <v>70</v>
      </c>
      <c r="B747" s="1655" t="s">
        <v>1847</v>
      </c>
      <c r="C747" s="1656">
        <v>0</v>
      </c>
      <c r="D747" s="1655" t="s">
        <v>42</v>
      </c>
      <c r="E747" s="1655" t="s">
        <v>571</v>
      </c>
    </row>
    <row r="748" spans="1:5" s="1732" customFormat="1">
      <c r="A748" s="1655" t="s">
        <v>70</v>
      </c>
      <c r="B748" s="1655" t="s">
        <v>1848</v>
      </c>
      <c r="C748" s="1656">
        <v>0</v>
      </c>
      <c r="D748" s="1655" t="s">
        <v>42</v>
      </c>
      <c r="E748" s="1655" t="s">
        <v>571</v>
      </c>
    </row>
    <row r="749" spans="1:5" s="1732" customFormat="1">
      <c r="A749" s="1655" t="s">
        <v>70</v>
      </c>
      <c r="B749" s="1655" t="s">
        <v>927</v>
      </c>
      <c r="C749" s="1656">
        <v>0</v>
      </c>
      <c r="D749" s="1655" t="s">
        <v>42</v>
      </c>
      <c r="E749" s="1655" t="s">
        <v>571</v>
      </c>
    </row>
    <row r="750" spans="1:5" s="1732" customFormat="1">
      <c r="A750" s="1655" t="s">
        <v>70</v>
      </c>
      <c r="B750" s="1655" t="s">
        <v>928</v>
      </c>
      <c r="C750" s="1656">
        <v>0</v>
      </c>
      <c r="D750" s="1655" t="s">
        <v>42</v>
      </c>
      <c r="E750" s="1655" t="s">
        <v>571</v>
      </c>
    </row>
    <row r="751" spans="1:5" s="1732" customFormat="1">
      <c r="A751" s="1655" t="s">
        <v>70</v>
      </c>
      <c r="B751" s="1655" t="s">
        <v>929</v>
      </c>
      <c r="C751" s="1656">
        <v>0</v>
      </c>
      <c r="D751" s="1655" t="s">
        <v>42</v>
      </c>
      <c r="E751" s="1655" t="s">
        <v>571</v>
      </c>
    </row>
    <row r="752" spans="1:5" s="1732" customFormat="1">
      <c r="A752" s="1655" t="s">
        <v>70</v>
      </c>
      <c r="B752" s="1655" t="s">
        <v>930</v>
      </c>
      <c r="C752" s="1656">
        <v>0</v>
      </c>
      <c r="D752" s="1655" t="s">
        <v>42</v>
      </c>
      <c r="E752" s="1655" t="s">
        <v>571</v>
      </c>
    </row>
    <row r="753" spans="1:5" s="1732" customFormat="1">
      <c r="A753" s="1655" t="s">
        <v>70</v>
      </c>
      <c r="B753" s="1655" t="s">
        <v>931</v>
      </c>
      <c r="C753" s="1656">
        <v>0</v>
      </c>
      <c r="D753" s="1655" t="s">
        <v>42</v>
      </c>
      <c r="E753" s="1655" t="s">
        <v>571</v>
      </c>
    </row>
    <row r="754" spans="1:5" s="1732" customFormat="1">
      <c r="A754" s="1655" t="s">
        <v>70</v>
      </c>
      <c r="B754" s="1655" t="s">
        <v>932</v>
      </c>
      <c r="C754" s="1656">
        <v>0</v>
      </c>
      <c r="D754" s="1655" t="s">
        <v>42</v>
      </c>
      <c r="E754" s="1655" t="s">
        <v>571</v>
      </c>
    </row>
    <row r="755" spans="1:5" s="1732" customFormat="1">
      <c r="A755" s="1655" t="s">
        <v>70</v>
      </c>
      <c r="B755" s="1655" t="s">
        <v>933</v>
      </c>
      <c r="C755" s="1656">
        <v>0</v>
      </c>
      <c r="D755" s="1655" t="s">
        <v>42</v>
      </c>
      <c r="E755" s="1655" t="s">
        <v>571</v>
      </c>
    </row>
    <row r="756" spans="1:5" s="1732" customFormat="1">
      <c r="A756" s="1655" t="s">
        <v>70</v>
      </c>
      <c r="B756" s="1655" t="s">
        <v>934</v>
      </c>
      <c r="C756" s="1656">
        <v>0</v>
      </c>
      <c r="D756" s="1655" t="s">
        <v>42</v>
      </c>
      <c r="E756" s="1655" t="s">
        <v>571</v>
      </c>
    </row>
    <row r="757" spans="1:5" s="1732" customFormat="1">
      <c r="A757" s="1655" t="s">
        <v>70</v>
      </c>
      <c r="B757" s="1655" t="s">
        <v>1849</v>
      </c>
      <c r="C757" s="1656">
        <v>0</v>
      </c>
      <c r="D757" s="1655" t="s">
        <v>42</v>
      </c>
      <c r="E757" s="1655" t="s">
        <v>571</v>
      </c>
    </row>
    <row r="758" spans="1:5" s="1732" customFormat="1">
      <c r="A758" s="1655" t="s">
        <v>70</v>
      </c>
      <c r="B758" s="1655" t="s">
        <v>1850</v>
      </c>
      <c r="C758" s="1656">
        <v>0</v>
      </c>
      <c r="D758" s="1655" t="s">
        <v>42</v>
      </c>
      <c r="E758" s="1655" t="s">
        <v>571</v>
      </c>
    </row>
    <row r="759" spans="1:5" s="1732" customFormat="1">
      <c r="A759" s="1655" t="s">
        <v>70</v>
      </c>
      <c r="B759" s="1655" t="s">
        <v>935</v>
      </c>
      <c r="C759" s="1656">
        <v>0</v>
      </c>
      <c r="D759" s="1655" t="s">
        <v>42</v>
      </c>
      <c r="E759" s="1655" t="s">
        <v>571</v>
      </c>
    </row>
    <row r="760" spans="1:5" s="1732" customFormat="1">
      <c r="A760" s="1655" t="s">
        <v>70</v>
      </c>
      <c r="B760" s="1655" t="s">
        <v>936</v>
      </c>
      <c r="C760" s="1656">
        <v>0</v>
      </c>
      <c r="D760" s="1655" t="s">
        <v>42</v>
      </c>
      <c r="E760" s="1655" t="s">
        <v>571</v>
      </c>
    </row>
    <row r="761" spans="1:5" s="1732" customFormat="1">
      <c r="A761" s="1655" t="s">
        <v>70</v>
      </c>
      <c r="B761" s="1655" t="s">
        <v>937</v>
      </c>
      <c r="C761" s="1656">
        <v>0</v>
      </c>
      <c r="D761" s="1655" t="s">
        <v>42</v>
      </c>
      <c r="E761" s="1655" t="s">
        <v>571</v>
      </c>
    </row>
    <row r="762" spans="1:5" s="1732" customFormat="1">
      <c r="A762" s="1655" t="s">
        <v>70</v>
      </c>
      <c r="B762" s="1655" t="s">
        <v>1851</v>
      </c>
      <c r="C762" s="1656">
        <v>0</v>
      </c>
      <c r="D762" s="1655" t="s">
        <v>42</v>
      </c>
      <c r="E762" s="1655" t="s">
        <v>571</v>
      </c>
    </row>
    <row r="763" spans="1:5" s="1732" customFormat="1">
      <c r="A763" s="1655" t="s">
        <v>70</v>
      </c>
      <c r="B763" s="1655" t="s">
        <v>1852</v>
      </c>
      <c r="C763" s="1656">
        <v>0</v>
      </c>
      <c r="D763" s="1655" t="s">
        <v>42</v>
      </c>
      <c r="E763" s="1655" t="s">
        <v>571</v>
      </c>
    </row>
    <row r="764" spans="1:5" s="1732" customFormat="1">
      <c r="A764" s="1655" t="s">
        <v>70</v>
      </c>
      <c r="B764" s="1655" t="s">
        <v>938</v>
      </c>
      <c r="C764" s="1656">
        <v>0</v>
      </c>
      <c r="D764" s="1655" t="s">
        <v>42</v>
      </c>
      <c r="E764" s="1655" t="s">
        <v>571</v>
      </c>
    </row>
    <row r="765" spans="1:5" s="1732" customFormat="1">
      <c r="A765" s="1655" t="s">
        <v>70</v>
      </c>
      <c r="B765" s="1655" t="s">
        <v>939</v>
      </c>
      <c r="C765" s="1656">
        <v>0</v>
      </c>
      <c r="D765" s="1655" t="s">
        <v>42</v>
      </c>
      <c r="E765" s="1655" t="s">
        <v>571</v>
      </c>
    </row>
    <row r="766" spans="1:5" s="1732" customFormat="1">
      <c r="A766" s="1655" t="s">
        <v>70</v>
      </c>
      <c r="B766" s="1655" t="s">
        <v>940</v>
      </c>
      <c r="C766" s="1656">
        <v>0</v>
      </c>
      <c r="D766" s="1655" t="s">
        <v>42</v>
      </c>
      <c r="E766" s="1655" t="s">
        <v>571</v>
      </c>
    </row>
    <row r="767" spans="1:5" s="1732" customFormat="1">
      <c r="A767" s="1655" t="s">
        <v>70</v>
      </c>
      <c r="B767" s="1655" t="s">
        <v>1853</v>
      </c>
      <c r="C767" s="1656">
        <v>0</v>
      </c>
      <c r="D767" s="1655" t="s">
        <v>42</v>
      </c>
      <c r="E767" s="1655" t="s">
        <v>571</v>
      </c>
    </row>
    <row r="768" spans="1:5" s="1732" customFormat="1">
      <c r="A768" s="1655" t="s">
        <v>70</v>
      </c>
      <c r="B768" s="1655" t="s">
        <v>941</v>
      </c>
      <c r="C768" s="1656">
        <v>0</v>
      </c>
      <c r="D768" s="1655" t="s">
        <v>42</v>
      </c>
      <c r="E768" s="1655" t="s">
        <v>571</v>
      </c>
    </row>
    <row r="769" spans="1:5" s="1732" customFormat="1">
      <c r="A769" s="1655" t="s">
        <v>70</v>
      </c>
      <c r="B769" s="1655" t="s">
        <v>942</v>
      </c>
      <c r="C769" s="1656">
        <v>0</v>
      </c>
      <c r="D769" s="1655" t="s">
        <v>42</v>
      </c>
      <c r="E769" s="1655" t="s">
        <v>571</v>
      </c>
    </row>
    <row r="770" spans="1:5" s="1732" customFormat="1">
      <c r="A770" s="1655" t="s">
        <v>70</v>
      </c>
      <c r="B770" s="1655" t="s">
        <v>943</v>
      </c>
      <c r="C770" s="1656">
        <v>0</v>
      </c>
      <c r="D770" s="1655" t="s">
        <v>42</v>
      </c>
      <c r="E770" s="1655" t="s">
        <v>571</v>
      </c>
    </row>
    <row r="771" spans="1:5" s="1732" customFormat="1">
      <c r="A771" s="1655" t="s">
        <v>70</v>
      </c>
      <c r="B771" s="1655" t="s">
        <v>944</v>
      </c>
      <c r="C771" s="1656">
        <v>0</v>
      </c>
      <c r="D771" s="1655" t="s">
        <v>42</v>
      </c>
      <c r="E771" s="1655" t="s">
        <v>571</v>
      </c>
    </row>
    <row r="772" spans="1:5" s="1732" customFormat="1">
      <c r="A772" s="1655" t="s">
        <v>70</v>
      </c>
      <c r="B772" s="1655" t="s">
        <v>1854</v>
      </c>
      <c r="C772" s="1656">
        <v>0</v>
      </c>
      <c r="D772" s="1655" t="s">
        <v>42</v>
      </c>
      <c r="E772" s="1655" t="s">
        <v>571</v>
      </c>
    </row>
    <row r="773" spans="1:5" s="1732" customFormat="1">
      <c r="A773" s="1655" t="s">
        <v>70</v>
      </c>
      <c r="B773" s="1655" t="s">
        <v>1855</v>
      </c>
      <c r="C773" s="1656">
        <v>0</v>
      </c>
      <c r="D773" s="1655" t="s">
        <v>42</v>
      </c>
      <c r="E773" s="1655" t="s">
        <v>571</v>
      </c>
    </row>
    <row r="774" spans="1:5" s="1732" customFormat="1">
      <c r="A774" s="1655" t="s">
        <v>70</v>
      </c>
      <c r="B774" s="1655" t="s">
        <v>945</v>
      </c>
      <c r="C774" s="1656">
        <v>0</v>
      </c>
      <c r="D774" s="1655" t="s">
        <v>42</v>
      </c>
      <c r="E774" s="1655" t="s">
        <v>571</v>
      </c>
    </row>
    <row r="775" spans="1:5" s="1732" customFormat="1">
      <c r="A775" s="1655" t="s">
        <v>70</v>
      </c>
      <c r="B775" s="1655" t="s">
        <v>946</v>
      </c>
      <c r="C775" s="1656">
        <v>0</v>
      </c>
      <c r="D775" s="1655" t="s">
        <v>42</v>
      </c>
      <c r="E775" s="1655" t="s">
        <v>571</v>
      </c>
    </row>
    <row r="776" spans="1:5" s="1732" customFormat="1">
      <c r="A776" s="1655" t="s">
        <v>70</v>
      </c>
      <c r="B776" s="1655" t="s">
        <v>947</v>
      </c>
      <c r="C776" s="1656">
        <v>0</v>
      </c>
      <c r="D776" s="1655" t="s">
        <v>42</v>
      </c>
      <c r="E776" s="1655" t="s">
        <v>571</v>
      </c>
    </row>
    <row r="777" spans="1:5" s="1732" customFormat="1">
      <c r="A777" s="1655" t="s">
        <v>70</v>
      </c>
      <c r="B777" s="1655" t="s">
        <v>948</v>
      </c>
      <c r="C777" s="1656">
        <v>0</v>
      </c>
      <c r="D777" s="1655" t="s">
        <v>42</v>
      </c>
      <c r="E777" s="1655" t="s">
        <v>571</v>
      </c>
    </row>
    <row r="778" spans="1:5" s="1732" customFormat="1">
      <c r="A778" s="1655" t="s">
        <v>70</v>
      </c>
      <c r="B778" s="1655" t="s">
        <v>949</v>
      </c>
      <c r="C778" s="1656">
        <v>0</v>
      </c>
      <c r="D778" s="1655" t="s">
        <v>42</v>
      </c>
      <c r="E778" s="1655" t="s">
        <v>571</v>
      </c>
    </row>
    <row r="779" spans="1:5" s="1732" customFormat="1">
      <c r="A779" s="1655" t="s">
        <v>70</v>
      </c>
      <c r="B779" s="1655" t="s">
        <v>950</v>
      </c>
      <c r="C779" s="1656">
        <v>0</v>
      </c>
      <c r="D779" s="1655" t="s">
        <v>42</v>
      </c>
      <c r="E779" s="1655" t="s">
        <v>571</v>
      </c>
    </row>
    <row r="780" spans="1:5" s="1732" customFormat="1">
      <c r="A780" s="1655" t="s">
        <v>70</v>
      </c>
      <c r="B780" s="1655" t="s">
        <v>951</v>
      </c>
      <c r="C780" s="1656">
        <v>0</v>
      </c>
      <c r="D780" s="1655" t="s">
        <v>42</v>
      </c>
      <c r="E780" s="1655" t="s">
        <v>571</v>
      </c>
    </row>
    <row r="781" spans="1:5" s="1732" customFormat="1">
      <c r="A781" s="1655" t="s">
        <v>70</v>
      </c>
      <c r="B781" s="1655" t="s">
        <v>952</v>
      </c>
      <c r="C781" s="1656">
        <v>0</v>
      </c>
      <c r="D781" s="1655" t="s">
        <v>42</v>
      </c>
      <c r="E781" s="1655" t="s">
        <v>571</v>
      </c>
    </row>
    <row r="782" spans="1:5" s="1732" customFormat="1">
      <c r="A782" s="1655" t="s">
        <v>70</v>
      </c>
      <c r="B782" s="1655" t="s">
        <v>953</v>
      </c>
      <c r="C782" s="1656">
        <v>0</v>
      </c>
      <c r="D782" s="1655" t="s">
        <v>42</v>
      </c>
      <c r="E782" s="1655" t="s">
        <v>571</v>
      </c>
    </row>
    <row r="783" spans="1:5" s="1732" customFormat="1">
      <c r="A783" s="1655" t="s">
        <v>70</v>
      </c>
      <c r="B783" s="1655" t="s">
        <v>954</v>
      </c>
      <c r="C783" s="1656">
        <v>0</v>
      </c>
      <c r="D783" s="1655" t="s">
        <v>42</v>
      </c>
      <c r="E783" s="1655" t="s">
        <v>571</v>
      </c>
    </row>
    <row r="784" spans="1:5" s="1732" customFormat="1">
      <c r="A784" s="1655" t="s">
        <v>70</v>
      </c>
      <c r="B784" s="1655" t="s">
        <v>1856</v>
      </c>
      <c r="C784" s="1656">
        <v>0</v>
      </c>
      <c r="D784" s="1655" t="s">
        <v>42</v>
      </c>
      <c r="E784" s="1655" t="s">
        <v>571</v>
      </c>
    </row>
    <row r="785" spans="1:5" s="1732" customFormat="1">
      <c r="A785" s="1655" t="s">
        <v>70</v>
      </c>
      <c r="B785" s="1655" t="s">
        <v>1857</v>
      </c>
      <c r="C785" s="1656">
        <v>0</v>
      </c>
      <c r="D785" s="1655" t="s">
        <v>42</v>
      </c>
      <c r="E785" s="1655" t="s">
        <v>571</v>
      </c>
    </row>
    <row r="786" spans="1:5" s="1732" customFormat="1">
      <c r="A786" s="1655" t="s">
        <v>70</v>
      </c>
      <c r="B786" s="1655" t="s">
        <v>955</v>
      </c>
      <c r="C786" s="1656">
        <v>0</v>
      </c>
      <c r="D786" s="1655" t="s">
        <v>42</v>
      </c>
      <c r="E786" s="1655" t="s">
        <v>571</v>
      </c>
    </row>
    <row r="787" spans="1:5" s="1732" customFormat="1">
      <c r="A787" s="1655" t="s">
        <v>70</v>
      </c>
      <c r="B787" s="1655" t="s">
        <v>956</v>
      </c>
      <c r="C787" s="1656">
        <v>0</v>
      </c>
      <c r="D787" s="1655" t="s">
        <v>42</v>
      </c>
      <c r="E787" s="1655" t="s">
        <v>571</v>
      </c>
    </row>
    <row r="788" spans="1:5" s="1732" customFormat="1">
      <c r="A788" s="1655" t="s">
        <v>70</v>
      </c>
      <c r="B788" s="1655" t="s">
        <v>957</v>
      </c>
      <c r="C788" s="1656">
        <v>0</v>
      </c>
      <c r="D788" s="1655" t="s">
        <v>42</v>
      </c>
      <c r="E788" s="1655" t="s">
        <v>571</v>
      </c>
    </row>
    <row r="789" spans="1:5" s="1732" customFormat="1">
      <c r="A789" s="1655" t="s">
        <v>70</v>
      </c>
      <c r="B789" s="1655" t="s">
        <v>1858</v>
      </c>
      <c r="C789" s="1656">
        <v>0</v>
      </c>
      <c r="D789" s="1655" t="s">
        <v>42</v>
      </c>
      <c r="E789" s="1655" t="s">
        <v>571</v>
      </c>
    </row>
    <row r="790" spans="1:5" s="1732" customFormat="1">
      <c r="A790" s="1655" t="s">
        <v>70</v>
      </c>
      <c r="B790" s="1655" t="s">
        <v>958</v>
      </c>
      <c r="C790" s="1656">
        <v>0</v>
      </c>
      <c r="D790" s="1655" t="s">
        <v>42</v>
      </c>
      <c r="E790" s="1655" t="s">
        <v>571</v>
      </c>
    </row>
    <row r="791" spans="1:5" s="1732" customFormat="1">
      <c r="A791" s="1655" t="s">
        <v>70</v>
      </c>
      <c r="B791" s="1655" t="s">
        <v>959</v>
      </c>
      <c r="C791" s="1656">
        <v>0</v>
      </c>
      <c r="D791" s="1655" t="s">
        <v>42</v>
      </c>
      <c r="E791" s="1655" t="s">
        <v>571</v>
      </c>
    </row>
    <row r="792" spans="1:5" s="1732" customFormat="1">
      <c r="A792" s="1655" t="s">
        <v>70</v>
      </c>
      <c r="B792" s="1655" t="s">
        <v>960</v>
      </c>
      <c r="C792" s="1656">
        <v>0</v>
      </c>
      <c r="D792" s="1655" t="s">
        <v>42</v>
      </c>
      <c r="E792" s="1655" t="s">
        <v>571</v>
      </c>
    </row>
    <row r="793" spans="1:5" s="1732" customFormat="1">
      <c r="A793" s="1655" t="s">
        <v>70</v>
      </c>
      <c r="B793" s="1655" t="s">
        <v>961</v>
      </c>
      <c r="C793" s="1656">
        <v>0</v>
      </c>
      <c r="D793" s="1655" t="s">
        <v>42</v>
      </c>
      <c r="E793" s="1655" t="s">
        <v>571</v>
      </c>
    </row>
    <row r="794" spans="1:5" s="1732" customFormat="1">
      <c r="A794" s="1655" t="s">
        <v>70</v>
      </c>
      <c r="B794" s="1655" t="s">
        <v>962</v>
      </c>
      <c r="C794" s="1656">
        <v>0</v>
      </c>
      <c r="D794" s="1655" t="s">
        <v>42</v>
      </c>
      <c r="E794" s="1655" t="s">
        <v>571</v>
      </c>
    </row>
    <row r="795" spans="1:5" s="1732" customFormat="1">
      <c r="A795" s="1655" t="s">
        <v>70</v>
      </c>
      <c r="B795" s="1655" t="s">
        <v>963</v>
      </c>
      <c r="C795" s="1656">
        <v>0</v>
      </c>
      <c r="D795" s="1655" t="s">
        <v>42</v>
      </c>
      <c r="E795" s="1655" t="s">
        <v>571</v>
      </c>
    </row>
    <row r="796" spans="1:5" s="1732" customFormat="1">
      <c r="A796" s="1655" t="s">
        <v>70</v>
      </c>
      <c r="B796" s="1655" t="s">
        <v>964</v>
      </c>
      <c r="C796" s="1656">
        <v>0</v>
      </c>
      <c r="D796" s="1655" t="s">
        <v>42</v>
      </c>
      <c r="E796" s="1655" t="s">
        <v>571</v>
      </c>
    </row>
    <row r="797" spans="1:5" s="1732" customFormat="1">
      <c r="A797" s="1655" t="s">
        <v>70</v>
      </c>
      <c r="B797" s="1655" t="s">
        <v>965</v>
      </c>
      <c r="C797" s="1656">
        <v>0</v>
      </c>
      <c r="D797" s="1655" t="s">
        <v>42</v>
      </c>
      <c r="E797" s="1655" t="s">
        <v>571</v>
      </c>
    </row>
    <row r="798" spans="1:5" s="1732" customFormat="1">
      <c r="A798" s="1655" t="s">
        <v>70</v>
      </c>
      <c r="B798" s="1655" t="s">
        <v>966</v>
      </c>
      <c r="C798" s="1656">
        <v>0</v>
      </c>
      <c r="D798" s="1655" t="s">
        <v>42</v>
      </c>
      <c r="E798" s="1655" t="s">
        <v>571</v>
      </c>
    </row>
    <row r="799" spans="1:5" s="1732" customFormat="1">
      <c r="A799" s="1655" t="s">
        <v>70</v>
      </c>
      <c r="B799" s="1655" t="s">
        <v>1859</v>
      </c>
      <c r="C799" s="1656">
        <v>0</v>
      </c>
      <c r="D799" s="1655" t="s">
        <v>42</v>
      </c>
      <c r="E799" s="1655" t="s">
        <v>571</v>
      </c>
    </row>
    <row r="800" spans="1:5" s="1732" customFormat="1">
      <c r="A800" s="1655" t="s">
        <v>70</v>
      </c>
      <c r="B800" s="1655" t="s">
        <v>1860</v>
      </c>
      <c r="C800" s="1656">
        <v>0</v>
      </c>
      <c r="D800" s="1655" t="s">
        <v>42</v>
      </c>
      <c r="E800" s="1655" t="s">
        <v>571</v>
      </c>
    </row>
    <row r="801" spans="1:5" s="1732" customFormat="1">
      <c r="A801" s="1655" t="s">
        <v>70</v>
      </c>
      <c r="B801" s="1655" t="s">
        <v>967</v>
      </c>
      <c r="C801" s="1656">
        <v>0</v>
      </c>
      <c r="D801" s="1655" t="s">
        <v>42</v>
      </c>
      <c r="E801" s="1655" t="s">
        <v>571</v>
      </c>
    </row>
    <row r="802" spans="1:5" s="1732" customFormat="1">
      <c r="A802" s="1655" t="s">
        <v>70</v>
      </c>
      <c r="B802" s="1655" t="s">
        <v>968</v>
      </c>
      <c r="C802" s="1656">
        <v>0</v>
      </c>
      <c r="D802" s="1655" t="s">
        <v>42</v>
      </c>
      <c r="E802" s="1655" t="s">
        <v>571</v>
      </c>
    </row>
    <row r="803" spans="1:5" s="1732" customFormat="1">
      <c r="A803" s="1655" t="s">
        <v>70</v>
      </c>
      <c r="B803" s="1655" t="s">
        <v>969</v>
      </c>
      <c r="C803" s="1656">
        <v>0</v>
      </c>
      <c r="D803" s="1655" t="s">
        <v>42</v>
      </c>
      <c r="E803" s="1655" t="s">
        <v>571</v>
      </c>
    </row>
    <row r="804" spans="1:5" s="1732" customFormat="1">
      <c r="A804" s="1655" t="s">
        <v>70</v>
      </c>
      <c r="B804" s="1655" t="s">
        <v>970</v>
      </c>
      <c r="C804" s="1656">
        <v>0</v>
      </c>
      <c r="D804" s="1655" t="s">
        <v>42</v>
      </c>
      <c r="E804" s="1655" t="s">
        <v>571</v>
      </c>
    </row>
    <row r="805" spans="1:5" s="1732" customFormat="1">
      <c r="A805" s="1655" t="s">
        <v>70</v>
      </c>
      <c r="B805" s="1655" t="s">
        <v>971</v>
      </c>
      <c r="C805" s="1656">
        <v>0</v>
      </c>
      <c r="D805" s="1655" t="s">
        <v>42</v>
      </c>
      <c r="E805" s="1655" t="s">
        <v>571</v>
      </c>
    </row>
    <row r="806" spans="1:5" s="1732" customFormat="1">
      <c r="A806" s="1655" t="s">
        <v>70</v>
      </c>
      <c r="B806" s="1655" t="s">
        <v>972</v>
      </c>
      <c r="C806" s="1656">
        <v>0</v>
      </c>
      <c r="D806" s="1655" t="s">
        <v>42</v>
      </c>
      <c r="E806" s="1655" t="s">
        <v>571</v>
      </c>
    </row>
    <row r="807" spans="1:5" s="1732" customFormat="1">
      <c r="A807" s="1655" t="s">
        <v>70</v>
      </c>
      <c r="B807" s="1655" t="s">
        <v>973</v>
      </c>
      <c r="C807" s="1656">
        <v>0</v>
      </c>
      <c r="D807" s="1655" t="s">
        <v>42</v>
      </c>
      <c r="E807" s="1655" t="s">
        <v>571</v>
      </c>
    </row>
    <row r="808" spans="1:5" s="1732" customFormat="1">
      <c r="A808" s="1655" t="s">
        <v>70</v>
      </c>
      <c r="B808" s="1655" t="s">
        <v>974</v>
      </c>
      <c r="C808" s="1656">
        <v>0</v>
      </c>
      <c r="D808" s="1655" t="s">
        <v>42</v>
      </c>
      <c r="E808" s="1655" t="s">
        <v>571</v>
      </c>
    </row>
    <row r="809" spans="1:5" s="1732" customFormat="1">
      <c r="A809" s="1655" t="s">
        <v>70</v>
      </c>
      <c r="B809" s="1655" t="s">
        <v>1861</v>
      </c>
      <c r="C809" s="1656">
        <v>0</v>
      </c>
      <c r="D809" s="1655" t="s">
        <v>42</v>
      </c>
      <c r="E809" s="1655" t="s">
        <v>571</v>
      </c>
    </row>
    <row r="810" spans="1:5" s="1732" customFormat="1">
      <c r="A810" s="1655" t="s">
        <v>70</v>
      </c>
      <c r="B810" s="1655" t="s">
        <v>1862</v>
      </c>
      <c r="C810" s="1656">
        <v>0</v>
      </c>
      <c r="D810" s="1655" t="s">
        <v>42</v>
      </c>
      <c r="E810" s="1655" t="s">
        <v>571</v>
      </c>
    </row>
    <row r="811" spans="1:5" s="1732" customFormat="1">
      <c r="A811" s="1655" t="s">
        <v>70</v>
      </c>
      <c r="B811" s="1655" t="s">
        <v>1863</v>
      </c>
      <c r="C811" s="1656">
        <v>0</v>
      </c>
      <c r="D811" s="1655" t="s">
        <v>42</v>
      </c>
      <c r="E811" s="1655" t="s">
        <v>571</v>
      </c>
    </row>
    <row r="812" spans="1:5" s="1732" customFormat="1">
      <c r="A812" s="1655" t="s">
        <v>70</v>
      </c>
      <c r="B812" s="1655" t="s">
        <v>1864</v>
      </c>
      <c r="C812" s="1656">
        <v>0</v>
      </c>
      <c r="D812" s="1655" t="s">
        <v>42</v>
      </c>
      <c r="E812" s="1655" t="s">
        <v>571</v>
      </c>
    </row>
    <row r="813" spans="1:5" s="1732" customFormat="1">
      <c r="A813" s="1655" t="s">
        <v>70</v>
      </c>
      <c r="B813" s="1655" t="s">
        <v>1865</v>
      </c>
      <c r="C813" s="1656">
        <v>0</v>
      </c>
      <c r="D813" s="1655" t="s">
        <v>42</v>
      </c>
      <c r="E813" s="1655" t="s">
        <v>571</v>
      </c>
    </row>
    <row r="814" spans="1:5" s="1732" customFormat="1">
      <c r="A814" s="1655" t="s">
        <v>70</v>
      </c>
      <c r="B814" s="1655" t="s">
        <v>1866</v>
      </c>
      <c r="C814" s="1656">
        <v>0</v>
      </c>
      <c r="D814" s="1655" t="s">
        <v>42</v>
      </c>
      <c r="E814" s="1655" t="s">
        <v>571</v>
      </c>
    </row>
    <row r="815" spans="1:5" s="1732" customFormat="1">
      <c r="A815" s="1655" t="s">
        <v>70</v>
      </c>
      <c r="B815" s="1655" t="s">
        <v>1867</v>
      </c>
      <c r="C815" s="1656">
        <v>0</v>
      </c>
      <c r="D815" s="1655" t="s">
        <v>42</v>
      </c>
      <c r="E815" s="1655" t="s">
        <v>571</v>
      </c>
    </row>
    <row r="816" spans="1:5" s="1732" customFormat="1">
      <c r="A816" s="1655" t="s">
        <v>70</v>
      </c>
      <c r="B816" s="1655" t="s">
        <v>1868</v>
      </c>
      <c r="C816" s="1656">
        <v>0</v>
      </c>
      <c r="D816" s="1655" t="s">
        <v>42</v>
      </c>
      <c r="E816" s="1655" t="s">
        <v>571</v>
      </c>
    </row>
    <row r="817" spans="1:5" s="1732" customFormat="1">
      <c r="A817" s="1655" t="s">
        <v>70</v>
      </c>
      <c r="B817" s="1655" t="s">
        <v>1869</v>
      </c>
      <c r="C817" s="1656">
        <v>0</v>
      </c>
      <c r="D817" s="1655" t="s">
        <v>42</v>
      </c>
      <c r="E817" s="1655" t="s">
        <v>571</v>
      </c>
    </row>
    <row r="818" spans="1:5" s="1732" customFormat="1">
      <c r="A818" s="1655" t="s">
        <v>70</v>
      </c>
      <c r="B818" s="1655" t="s">
        <v>1870</v>
      </c>
      <c r="C818" s="1656">
        <v>0</v>
      </c>
      <c r="D818" s="1655" t="s">
        <v>42</v>
      </c>
      <c r="E818" s="1655" t="s">
        <v>571</v>
      </c>
    </row>
    <row r="819" spans="1:5" s="1732" customFormat="1">
      <c r="A819" s="1655" t="s">
        <v>70</v>
      </c>
      <c r="B819" s="1655" t="s">
        <v>1871</v>
      </c>
      <c r="C819" s="1656">
        <v>0</v>
      </c>
      <c r="D819" s="1655" t="s">
        <v>42</v>
      </c>
      <c r="E819" s="1655" t="s">
        <v>571</v>
      </c>
    </row>
    <row r="820" spans="1:5" s="1732" customFormat="1">
      <c r="A820" s="1655" t="s">
        <v>70</v>
      </c>
      <c r="B820" s="1655" t="s">
        <v>1872</v>
      </c>
      <c r="C820" s="1656">
        <v>0</v>
      </c>
      <c r="D820" s="1655" t="s">
        <v>42</v>
      </c>
      <c r="E820" s="1655" t="s">
        <v>571</v>
      </c>
    </row>
    <row r="821" spans="1:5" s="1732" customFormat="1">
      <c r="A821" s="1655" t="s">
        <v>70</v>
      </c>
      <c r="B821" s="1655" t="s">
        <v>1873</v>
      </c>
      <c r="C821" s="1656">
        <v>0</v>
      </c>
      <c r="D821" s="1655" t="s">
        <v>42</v>
      </c>
      <c r="E821" s="1655" t="s">
        <v>571</v>
      </c>
    </row>
    <row r="822" spans="1:5" s="1732" customFormat="1">
      <c r="A822" s="1655" t="s">
        <v>70</v>
      </c>
      <c r="B822" s="1655" t="s">
        <v>1874</v>
      </c>
      <c r="C822" s="1656">
        <v>0</v>
      </c>
      <c r="D822" s="1655" t="s">
        <v>42</v>
      </c>
      <c r="E822" s="1655" t="s">
        <v>571</v>
      </c>
    </row>
    <row r="823" spans="1:5" s="1732" customFormat="1">
      <c r="A823" s="1655" t="s">
        <v>70</v>
      </c>
      <c r="B823" s="1655" t="s">
        <v>1875</v>
      </c>
      <c r="C823" s="1656">
        <v>0</v>
      </c>
      <c r="D823" s="1655" t="s">
        <v>42</v>
      </c>
      <c r="E823" s="1655" t="s">
        <v>571</v>
      </c>
    </row>
    <row r="824" spans="1:5" s="1732" customFormat="1">
      <c r="A824" s="1655" t="s">
        <v>70</v>
      </c>
      <c r="B824" s="1655" t="s">
        <v>1876</v>
      </c>
      <c r="C824" s="1656">
        <v>0</v>
      </c>
      <c r="D824" s="1655" t="s">
        <v>42</v>
      </c>
      <c r="E824" s="1655" t="s">
        <v>571</v>
      </c>
    </row>
    <row r="825" spans="1:5" s="1732" customFormat="1">
      <c r="A825" s="1655" t="s">
        <v>70</v>
      </c>
      <c r="B825" s="1655" t="s">
        <v>1877</v>
      </c>
      <c r="C825" s="1656">
        <v>0</v>
      </c>
      <c r="D825" s="1655" t="s">
        <v>42</v>
      </c>
      <c r="E825" s="1655" t="s">
        <v>571</v>
      </c>
    </row>
    <row r="826" spans="1:5" s="1732" customFormat="1">
      <c r="A826" s="1655" t="s">
        <v>70</v>
      </c>
      <c r="B826" s="1655" t="s">
        <v>1878</v>
      </c>
      <c r="C826" s="1656">
        <v>0</v>
      </c>
      <c r="D826" s="1655" t="s">
        <v>42</v>
      </c>
      <c r="E826" s="1655" t="s">
        <v>571</v>
      </c>
    </row>
    <row r="827" spans="1:5" s="1732" customFormat="1">
      <c r="A827" s="1655" t="s">
        <v>70</v>
      </c>
      <c r="B827" s="1655" t="s">
        <v>1879</v>
      </c>
      <c r="C827" s="1656">
        <v>0</v>
      </c>
      <c r="D827" s="1655" t="s">
        <v>42</v>
      </c>
      <c r="E827" s="1655" t="s">
        <v>571</v>
      </c>
    </row>
    <row r="828" spans="1:5" s="1732" customFormat="1">
      <c r="A828" s="1655" t="s">
        <v>70</v>
      </c>
      <c r="B828" s="1655" t="s">
        <v>1880</v>
      </c>
      <c r="C828" s="1656">
        <v>0</v>
      </c>
      <c r="D828" s="1655" t="s">
        <v>42</v>
      </c>
      <c r="E828" s="1655" t="s">
        <v>571</v>
      </c>
    </row>
    <row r="829" spans="1:5" s="1732" customFormat="1">
      <c r="A829" s="1655" t="s">
        <v>70</v>
      </c>
      <c r="B829" s="1655" t="s">
        <v>1881</v>
      </c>
      <c r="C829" s="1656">
        <v>0</v>
      </c>
      <c r="D829" s="1655" t="s">
        <v>42</v>
      </c>
      <c r="E829" s="1655" t="s">
        <v>571</v>
      </c>
    </row>
    <row r="830" spans="1:5" s="1732" customFormat="1">
      <c r="A830" s="1655" t="s">
        <v>70</v>
      </c>
      <c r="B830" s="1655" t="s">
        <v>1882</v>
      </c>
      <c r="C830" s="1656">
        <v>0</v>
      </c>
      <c r="D830" s="1655" t="s">
        <v>42</v>
      </c>
      <c r="E830" s="1655" t="s">
        <v>571</v>
      </c>
    </row>
    <row r="831" spans="1:5" s="1732" customFormat="1">
      <c r="A831" s="1655" t="s">
        <v>70</v>
      </c>
      <c r="B831" s="1655" t="s">
        <v>1883</v>
      </c>
      <c r="C831" s="1656">
        <v>0</v>
      </c>
      <c r="D831" s="1655" t="s">
        <v>42</v>
      </c>
      <c r="E831" s="1655" t="s">
        <v>571</v>
      </c>
    </row>
    <row r="832" spans="1:5" s="1732" customFormat="1">
      <c r="A832" s="1655" t="s">
        <v>70</v>
      </c>
      <c r="B832" s="1655" t="s">
        <v>1884</v>
      </c>
      <c r="C832" s="1656">
        <v>0</v>
      </c>
      <c r="D832" s="1655" t="s">
        <v>42</v>
      </c>
      <c r="E832" s="1655" t="s">
        <v>571</v>
      </c>
    </row>
    <row r="833" spans="1:5" s="1732" customFormat="1">
      <c r="A833" s="1655" t="s">
        <v>70</v>
      </c>
      <c r="B833" s="1655" t="s">
        <v>1885</v>
      </c>
      <c r="C833" s="1656">
        <v>0</v>
      </c>
      <c r="D833" s="1655" t="s">
        <v>42</v>
      </c>
      <c r="E833" s="1655" t="s">
        <v>571</v>
      </c>
    </row>
    <row r="834" spans="1:5" s="1732" customFormat="1">
      <c r="A834" s="1655" t="s">
        <v>70</v>
      </c>
      <c r="B834" s="1655" t="s">
        <v>1886</v>
      </c>
      <c r="C834" s="1656">
        <v>0</v>
      </c>
      <c r="D834" s="1655" t="s">
        <v>42</v>
      </c>
      <c r="E834" s="1655" t="s">
        <v>571</v>
      </c>
    </row>
    <row r="835" spans="1:5" s="1732" customFormat="1">
      <c r="A835" s="1655" t="s">
        <v>70</v>
      </c>
      <c r="B835" s="1655" t="s">
        <v>1887</v>
      </c>
      <c r="C835" s="1656">
        <v>0</v>
      </c>
      <c r="D835" s="1655" t="s">
        <v>42</v>
      </c>
      <c r="E835" s="1655" t="s">
        <v>571</v>
      </c>
    </row>
    <row r="836" spans="1:5" s="1732" customFormat="1">
      <c r="A836" s="1655" t="s">
        <v>70</v>
      </c>
      <c r="B836" s="1655" t="s">
        <v>1888</v>
      </c>
      <c r="C836" s="1656">
        <v>0</v>
      </c>
      <c r="D836" s="1655" t="s">
        <v>42</v>
      </c>
      <c r="E836" s="1655" t="s">
        <v>571</v>
      </c>
    </row>
    <row r="837" spans="1:5" s="1732" customFormat="1">
      <c r="A837" s="1655" t="s">
        <v>70</v>
      </c>
      <c r="B837" s="1655" t="s">
        <v>1889</v>
      </c>
      <c r="C837" s="1656">
        <v>0</v>
      </c>
      <c r="D837" s="1655" t="s">
        <v>42</v>
      </c>
      <c r="E837" s="1655" t="s">
        <v>571</v>
      </c>
    </row>
    <row r="838" spans="1:5" s="1732" customFormat="1">
      <c r="A838" s="1655" t="s">
        <v>70</v>
      </c>
      <c r="B838" s="1655" t="s">
        <v>1890</v>
      </c>
      <c r="C838" s="1656">
        <v>0</v>
      </c>
      <c r="D838" s="1655" t="s">
        <v>42</v>
      </c>
      <c r="E838" s="1655" t="s">
        <v>571</v>
      </c>
    </row>
    <row r="839" spans="1:5" s="1732" customFormat="1">
      <c r="A839" s="1655" t="s">
        <v>70</v>
      </c>
      <c r="B839" s="1655" t="s">
        <v>1891</v>
      </c>
      <c r="C839" s="1656">
        <v>0</v>
      </c>
      <c r="D839" s="1655" t="s">
        <v>42</v>
      </c>
      <c r="E839" s="1655" t="s">
        <v>571</v>
      </c>
    </row>
    <row r="840" spans="1:5" s="1732" customFormat="1">
      <c r="A840" s="1655" t="s">
        <v>70</v>
      </c>
      <c r="B840" s="1655" t="s">
        <v>1892</v>
      </c>
      <c r="C840" s="1656">
        <v>0</v>
      </c>
      <c r="D840" s="1655" t="s">
        <v>42</v>
      </c>
      <c r="E840" s="1655" t="s">
        <v>571</v>
      </c>
    </row>
    <row r="841" spans="1:5" s="1732" customFormat="1">
      <c r="A841" s="1655" t="s">
        <v>70</v>
      </c>
      <c r="B841" s="1655" t="s">
        <v>1893</v>
      </c>
      <c r="C841" s="1656">
        <v>0</v>
      </c>
      <c r="D841" s="1655" t="s">
        <v>42</v>
      </c>
      <c r="E841" s="1655" t="s">
        <v>571</v>
      </c>
    </row>
    <row r="842" spans="1:5" s="1732" customFormat="1">
      <c r="A842" s="1655" t="s">
        <v>70</v>
      </c>
      <c r="B842" s="1655" t="s">
        <v>1894</v>
      </c>
      <c r="C842" s="1656">
        <v>0</v>
      </c>
      <c r="D842" s="1655" t="s">
        <v>42</v>
      </c>
      <c r="E842" s="1655" t="s">
        <v>571</v>
      </c>
    </row>
    <row r="843" spans="1:5" s="1732" customFormat="1">
      <c r="A843" s="1655" t="s">
        <v>70</v>
      </c>
      <c r="B843" s="1655" t="s">
        <v>1895</v>
      </c>
      <c r="C843" s="1656">
        <v>0</v>
      </c>
      <c r="D843" s="1655" t="s">
        <v>42</v>
      </c>
      <c r="E843" s="1655" t="s">
        <v>571</v>
      </c>
    </row>
    <row r="844" spans="1:5" s="1732" customFormat="1">
      <c r="A844" s="1655" t="s">
        <v>70</v>
      </c>
      <c r="B844" s="1655" t="s">
        <v>1896</v>
      </c>
      <c r="C844" s="1656">
        <v>0</v>
      </c>
      <c r="D844" s="1655" t="s">
        <v>42</v>
      </c>
      <c r="E844" s="1655" t="s">
        <v>571</v>
      </c>
    </row>
    <row r="845" spans="1:5" s="1732" customFormat="1">
      <c r="A845" s="1655" t="s">
        <v>70</v>
      </c>
      <c r="B845" s="1655" t="s">
        <v>1897</v>
      </c>
      <c r="C845" s="1656">
        <v>0</v>
      </c>
      <c r="D845" s="1655" t="s">
        <v>42</v>
      </c>
      <c r="E845" s="1655" t="s">
        <v>571</v>
      </c>
    </row>
    <row r="846" spans="1:5" s="1732" customFormat="1">
      <c r="A846" s="1655" t="s">
        <v>70</v>
      </c>
      <c r="B846" s="1655" t="s">
        <v>1898</v>
      </c>
      <c r="C846" s="1656">
        <v>0</v>
      </c>
      <c r="D846" s="1655" t="s">
        <v>42</v>
      </c>
      <c r="E846" s="1655" t="s">
        <v>571</v>
      </c>
    </row>
    <row r="847" spans="1:5" s="1732" customFormat="1">
      <c r="A847" s="1655" t="s">
        <v>70</v>
      </c>
      <c r="B847" s="1655" t="s">
        <v>1899</v>
      </c>
      <c r="C847" s="1656">
        <v>0</v>
      </c>
      <c r="D847" s="1655" t="s">
        <v>42</v>
      </c>
      <c r="E847" s="1655" t="s">
        <v>571</v>
      </c>
    </row>
    <row r="848" spans="1:5" s="1732" customFormat="1">
      <c r="A848" s="1655" t="s">
        <v>70</v>
      </c>
      <c r="B848" s="1655" t="s">
        <v>1900</v>
      </c>
      <c r="C848" s="1656">
        <v>0</v>
      </c>
      <c r="D848" s="1655" t="s">
        <v>42</v>
      </c>
      <c r="E848" s="1655" t="s">
        <v>571</v>
      </c>
    </row>
    <row r="849" spans="1:5" s="1732" customFormat="1">
      <c r="A849" s="1655" t="s">
        <v>70</v>
      </c>
      <c r="B849" s="1655" t="s">
        <v>1901</v>
      </c>
      <c r="C849" s="1656">
        <v>0</v>
      </c>
      <c r="D849" s="1655" t="s">
        <v>42</v>
      </c>
      <c r="E849" s="1655" t="s">
        <v>571</v>
      </c>
    </row>
    <row r="850" spans="1:5" s="1732" customFormat="1">
      <c r="A850" s="1655" t="s">
        <v>70</v>
      </c>
      <c r="B850" s="1655" t="s">
        <v>1902</v>
      </c>
      <c r="C850" s="1656">
        <v>0</v>
      </c>
      <c r="D850" s="1655" t="s">
        <v>42</v>
      </c>
      <c r="E850" s="1655" t="s">
        <v>571</v>
      </c>
    </row>
    <row r="851" spans="1:5" s="1732" customFormat="1">
      <c r="A851" s="1655" t="s">
        <v>70</v>
      </c>
      <c r="B851" s="1655" t="s">
        <v>976</v>
      </c>
      <c r="C851" s="1655" t="s">
        <v>570</v>
      </c>
      <c r="D851" s="1655" t="s">
        <v>43</v>
      </c>
      <c r="E851" s="1655" t="s">
        <v>569</v>
      </c>
    </row>
    <row r="852" spans="1:5" s="1732" customFormat="1">
      <c r="A852" s="1655" t="s">
        <v>70</v>
      </c>
      <c r="B852" s="1655" t="s">
        <v>977</v>
      </c>
      <c r="C852" s="1655" t="s">
        <v>570</v>
      </c>
      <c r="D852" s="1655" t="s">
        <v>43</v>
      </c>
      <c r="E852" s="1655" t="s">
        <v>569</v>
      </c>
    </row>
    <row r="853" spans="1:5" s="1732" customFormat="1">
      <c r="A853" s="1655" t="s">
        <v>70</v>
      </c>
      <c r="B853" s="1655" t="s">
        <v>624</v>
      </c>
      <c r="C853" s="1655" t="s">
        <v>570</v>
      </c>
      <c r="D853" s="1655" t="s">
        <v>43</v>
      </c>
      <c r="E853" s="1655" t="s">
        <v>569</v>
      </c>
    </row>
    <row r="854" spans="1:5" s="1732" customFormat="1">
      <c r="A854" s="1655" t="s">
        <v>70</v>
      </c>
      <c r="B854" s="1655" t="s">
        <v>978</v>
      </c>
      <c r="C854" s="1655" t="s">
        <v>570</v>
      </c>
      <c r="D854" s="1655" t="s">
        <v>43</v>
      </c>
      <c r="E854" s="1655" t="s">
        <v>569</v>
      </c>
    </row>
    <row r="855" spans="1:5" s="1732" customFormat="1">
      <c r="A855" s="1655" t="s">
        <v>70</v>
      </c>
      <c r="B855" s="1655" t="s">
        <v>979</v>
      </c>
      <c r="C855" s="1655" t="s">
        <v>0</v>
      </c>
      <c r="D855" s="1655" t="s">
        <v>42</v>
      </c>
      <c r="E855" s="1655" t="s">
        <v>569</v>
      </c>
    </row>
    <row r="856" spans="1:5" s="1732" customFormat="1">
      <c r="A856" s="1655" t="s">
        <v>70</v>
      </c>
      <c r="B856" s="1655" t="s">
        <v>980</v>
      </c>
      <c r="C856" s="1655" t="s">
        <v>570</v>
      </c>
      <c r="D856" s="1655" t="s">
        <v>43</v>
      </c>
      <c r="E856" s="1655" t="s">
        <v>569</v>
      </c>
    </row>
    <row r="857" spans="1:5" s="1732" customFormat="1">
      <c r="A857" s="1655" t="s">
        <v>70</v>
      </c>
      <c r="B857" s="1655" t="s">
        <v>625</v>
      </c>
      <c r="C857" s="1655" t="s">
        <v>0</v>
      </c>
      <c r="D857" s="1655" t="s">
        <v>42</v>
      </c>
      <c r="E857" s="1655" t="s">
        <v>569</v>
      </c>
    </row>
    <row r="858" spans="1:5" s="1732" customFormat="1">
      <c r="A858" s="1655" t="s">
        <v>70</v>
      </c>
      <c r="B858" s="1655" t="s">
        <v>626</v>
      </c>
      <c r="C858" s="1655" t="s">
        <v>570</v>
      </c>
      <c r="D858" s="1655" t="s">
        <v>43</v>
      </c>
      <c r="E858" s="1655" t="s">
        <v>569</v>
      </c>
    </row>
    <row r="859" spans="1:5" s="1732" customFormat="1">
      <c r="A859" s="1655" t="s">
        <v>70</v>
      </c>
      <c r="B859" s="1655" t="s">
        <v>627</v>
      </c>
      <c r="C859" s="1655" t="s">
        <v>570</v>
      </c>
      <c r="D859" s="1655" t="s">
        <v>43</v>
      </c>
      <c r="E859" s="1655" t="s">
        <v>569</v>
      </c>
    </row>
    <row r="860" spans="1:5" s="1732" customFormat="1">
      <c r="A860" s="1655" t="s">
        <v>70</v>
      </c>
      <c r="B860" s="1655" t="s">
        <v>628</v>
      </c>
      <c r="C860" s="1655" t="s">
        <v>0</v>
      </c>
      <c r="D860" s="1655" t="s">
        <v>42</v>
      </c>
      <c r="E860" s="1655" t="s">
        <v>569</v>
      </c>
    </row>
    <row r="861" spans="1:5" s="1732" customFormat="1">
      <c r="A861" s="1655" t="s">
        <v>70</v>
      </c>
      <c r="B861" s="1655" t="s">
        <v>1089</v>
      </c>
      <c r="C861" s="1655" t="s">
        <v>570</v>
      </c>
      <c r="D861" s="1655" t="s">
        <v>43</v>
      </c>
      <c r="E861" s="1655" t="s">
        <v>569</v>
      </c>
    </row>
    <row r="862" spans="1:5" s="1732" customFormat="1">
      <c r="A862" s="1655" t="s">
        <v>70</v>
      </c>
      <c r="B862" s="1655" t="s">
        <v>629</v>
      </c>
      <c r="C862" s="1655" t="s">
        <v>570</v>
      </c>
      <c r="D862" s="1655" t="s">
        <v>43</v>
      </c>
      <c r="E862" s="1655" t="s">
        <v>569</v>
      </c>
    </row>
    <row r="863" spans="1:5" s="1732" customFormat="1">
      <c r="A863" s="1655" t="s">
        <v>70</v>
      </c>
      <c r="B863" s="1655" t="s">
        <v>630</v>
      </c>
      <c r="C863" s="1655" t="s">
        <v>570</v>
      </c>
      <c r="D863" s="1655" t="s">
        <v>43</v>
      </c>
      <c r="E863" s="1655" t="s">
        <v>569</v>
      </c>
    </row>
    <row r="864" spans="1:5" s="1732" customFormat="1">
      <c r="A864" s="1655" t="s">
        <v>70</v>
      </c>
      <c r="B864" s="1655" t="s">
        <v>631</v>
      </c>
      <c r="C864" s="1655" t="s">
        <v>570</v>
      </c>
      <c r="D864" s="1655" t="s">
        <v>43</v>
      </c>
      <c r="E864" s="1655" t="s">
        <v>569</v>
      </c>
    </row>
    <row r="865" spans="1:5" s="1732" customFormat="1">
      <c r="A865" s="1655" t="s">
        <v>70</v>
      </c>
      <c r="B865" s="1655" t="s">
        <v>632</v>
      </c>
      <c r="C865" s="1655" t="s">
        <v>570</v>
      </c>
      <c r="D865" s="1655" t="s">
        <v>43</v>
      </c>
      <c r="E865" s="1655" t="s">
        <v>569</v>
      </c>
    </row>
    <row r="866" spans="1:5" s="1732" customFormat="1">
      <c r="A866" s="1655" t="s">
        <v>70</v>
      </c>
      <c r="B866" s="1655" t="s">
        <v>633</v>
      </c>
      <c r="C866" s="1655" t="s">
        <v>570</v>
      </c>
      <c r="D866" s="1655" t="s">
        <v>43</v>
      </c>
      <c r="E866" s="1655" t="s">
        <v>569</v>
      </c>
    </row>
    <row r="867" spans="1:5" s="1732" customFormat="1">
      <c r="A867" s="1655" t="s">
        <v>70</v>
      </c>
      <c r="B867" s="1655" t="s">
        <v>634</v>
      </c>
      <c r="C867" s="1655" t="s">
        <v>570</v>
      </c>
      <c r="D867" s="1655" t="s">
        <v>43</v>
      </c>
      <c r="E867" s="1655" t="s">
        <v>569</v>
      </c>
    </row>
    <row r="868" spans="1:5" s="1732" customFormat="1">
      <c r="A868" s="1655" t="s">
        <v>70</v>
      </c>
      <c r="B868" s="1655" t="s">
        <v>635</v>
      </c>
      <c r="C868" s="1655" t="s">
        <v>570</v>
      </c>
      <c r="D868" s="1655" t="s">
        <v>43</v>
      </c>
      <c r="E868" s="1655" t="s">
        <v>569</v>
      </c>
    </row>
    <row r="869" spans="1:5" s="1732" customFormat="1">
      <c r="A869" s="1655" t="s">
        <v>70</v>
      </c>
      <c r="B869" s="1655" t="s">
        <v>636</v>
      </c>
      <c r="C869" s="1655" t="s">
        <v>570</v>
      </c>
      <c r="D869" s="1655" t="s">
        <v>43</v>
      </c>
      <c r="E869" s="1655" t="s">
        <v>569</v>
      </c>
    </row>
    <row r="870" spans="1:5" s="1732" customFormat="1">
      <c r="A870" s="1655" t="s">
        <v>70</v>
      </c>
      <c r="B870" s="1655" t="s">
        <v>637</v>
      </c>
      <c r="C870" s="1655" t="s">
        <v>570</v>
      </c>
      <c r="D870" s="1655" t="s">
        <v>43</v>
      </c>
      <c r="E870" s="1655" t="s">
        <v>569</v>
      </c>
    </row>
    <row r="871" spans="1:5" s="1732" customFormat="1">
      <c r="A871" s="1655" t="s">
        <v>70</v>
      </c>
      <c r="B871" s="1655" t="s">
        <v>638</v>
      </c>
      <c r="C871" s="1655" t="s">
        <v>570</v>
      </c>
      <c r="D871" s="1655" t="s">
        <v>43</v>
      </c>
      <c r="E871" s="1655" t="s">
        <v>569</v>
      </c>
    </row>
    <row r="872" spans="1:5" s="1732" customFormat="1">
      <c r="A872" s="1655" t="s">
        <v>70</v>
      </c>
      <c r="B872" s="1655" t="s">
        <v>639</v>
      </c>
      <c r="C872" s="1655" t="s">
        <v>570</v>
      </c>
      <c r="D872" s="1655" t="s">
        <v>43</v>
      </c>
      <c r="E872" s="1655" t="s">
        <v>569</v>
      </c>
    </row>
    <row r="873" spans="1:5" s="1732" customFormat="1">
      <c r="A873" s="1655" t="s">
        <v>70</v>
      </c>
      <c r="B873" s="1655" t="s">
        <v>983</v>
      </c>
      <c r="C873" s="1655" t="s">
        <v>570</v>
      </c>
      <c r="D873" s="1655" t="s">
        <v>43</v>
      </c>
      <c r="E873" s="1655" t="s">
        <v>569</v>
      </c>
    </row>
    <row r="874" spans="1:5" s="1732" customFormat="1">
      <c r="A874" s="1655" t="s">
        <v>70</v>
      </c>
      <c r="B874" s="1655" t="s">
        <v>984</v>
      </c>
      <c r="C874" s="1655" t="s">
        <v>570</v>
      </c>
      <c r="D874" s="1655" t="s">
        <v>43</v>
      </c>
      <c r="E874" s="1655" t="s">
        <v>569</v>
      </c>
    </row>
    <row r="875" spans="1:5" s="1732" customFormat="1">
      <c r="A875" s="1655" t="s">
        <v>70</v>
      </c>
      <c r="B875" s="1655" t="s">
        <v>985</v>
      </c>
      <c r="C875" s="1655" t="s">
        <v>570</v>
      </c>
      <c r="D875" s="1655" t="s">
        <v>43</v>
      </c>
      <c r="E875" s="1655" t="s">
        <v>569</v>
      </c>
    </row>
    <row r="876" spans="1:5" s="1732" customFormat="1">
      <c r="A876" s="1655" t="s">
        <v>70</v>
      </c>
      <c r="B876" s="1655" t="s">
        <v>986</v>
      </c>
      <c r="C876" s="1655" t="s">
        <v>570</v>
      </c>
      <c r="D876" s="1655" t="s">
        <v>43</v>
      </c>
      <c r="E876" s="1655" t="s">
        <v>569</v>
      </c>
    </row>
    <row r="877" spans="1:5" s="1732" customFormat="1">
      <c r="A877" s="1655" t="s">
        <v>70</v>
      </c>
      <c r="B877" s="1655" t="s">
        <v>640</v>
      </c>
      <c r="C877" s="1655" t="s">
        <v>570</v>
      </c>
      <c r="D877" s="1655" t="s">
        <v>43</v>
      </c>
      <c r="E877" s="1655" t="s">
        <v>569</v>
      </c>
    </row>
    <row r="878" spans="1:5" s="1732" customFormat="1">
      <c r="A878" s="1655" t="s">
        <v>70</v>
      </c>
      <c r="B878" s="1655" t="s">
        <v>641</v>
      </c>
      <c r="C878" s="1655" t="s">
        <v>570</v>
      </c>
      <c r="D878" s="1655" t="s">
        <v>43</v>
      </c>
      <c r="E878" s="1655" t="s">
        <v>569</v>
      </c>
    </row>
    <row r="879" spans="1:5" s="1732" customFormat="1">
      <c r="A879" s="1655" t="s">
        <v>70</v>
      </c>
      <c r="B879" s="1655" t="s">
        <v>642</v>
      </c>
      <c r="C879" s="1655" t="s">
        <v>570</v>
      </c>
      <c r="D879" s="1655" t="s">
        <v>43</v>
      </c>
      <c r="E879" s="1655" t="s">
        <v>569</v>
      </c>
    </row>
    <row r="880" spans="1:5" s="1732" customFormat="1">
      <c r="A880" s="1655" t="s">
        <v>70</v>
      </c>
      <c r="B880" s="1655" t="s">
        <v>987</v>
      </c>
      <c r="C880" s="1655" t="s">
        <v>570</v>
      </c>
      <c r="D880" s="1655" t="s">
        <v>43</v>
      </c>
      <c r="E880" s="1655" t="s">
        <v>569</v>
      </c>
    </row>
    <row r="881" spans="1:5" s="1732" customFormat="1">
      <c r="A881" s="1655" t="s">
        <v>70</v>
      </c>
      <c r="B881" s="1655" t="s">
        <v>988</v>
      </c>
      <c r="C881" s="1655" t="s">
        <v>570</v>
      </c>
      <c r="D881" s="1655" t="s">
        <v>43</v>
      </c>
      <c r="E881" s="1655" t="s">
        <v>569</v>
      </c>
    </row>
    <row r="882" spans="1:5" s="1732" customFormat="1">
      <c r="A882" s="1655" t="s">
        <v>70</v>
      </c>
      <c r="B882" s="1655" t="s">
        <v>1090</v>
      </c>
      <c r="C882" s="1655" t="s">
        <v>570</v>
      </c>
      <c r="D882" s="1655" t="s">
        <v>43</v>
      </c>
      <c r="E882" s="1655" t="s">
        <v>569</v>
      </c>
    </row>
    <row r="883" spans="1:5" s="1732" customFormat="1">
      <c r="A883" s="1655" t="s">
        <v>70</v>
      </c>
      <c r="B883" s="1655" t="s">
        <v>643</v>
      </c>
      <c r="C883" s="1655" t="s">
        <v>570</v>
      </c>
      <c r="D883" s="1655" t="s">
        <v>43</v>
      </c>
      <c r="E883" s="1655" t="s">
        <v>569</v>
      </c>
    </row>
    <row r="884" spans="1:5" s="1732" customFormat="1">
      <c r="A884" s="1655" t="s">
        <v>70</v>
      </c>
      <c r="B884" s="1655" t="s">
        <v>644</v>
      </c>
      <c r="C884" s="1655" t="s">
        <v>570</v>
      </c>
      <c r="D884" s="1655" t="s">
        <v>43</v>
      </c>
      <c r="E884" s="1655" t="s">
        <v>569</v>
      </c>
    </row>
    <row r="885" spans="1:5" s="1732" customFormat="1">
      <c r="A885" s="1655" t="s">
        <v>70</v>
      </c>
      <c r="B885" s="1655" t="s">
        <v>989</v>
      </c>
      <c r="C885" s="1655" t="s">
        <v>570</v>
      </c>
      <c r="D885" s="1655" t="s">
        <v>43</v>
      </c>
      <c r="E885" s="1655" t="s">
        <v>569</v>
      </c>
    </row>
    <row r="886" spans="1:5" s="1732" customFormat="1">
      <c r="A886" s="1655" t="s">
        <v>70</v>
      </c>
      <c r="B886" s="1655" t="s">
        <v>990</v>
      </c>
      <c r="C886" s="1655" t="s">
        <v>0</v>
      </c>
      <c r="D886" s="1655" t="s">
        <v>42</v>
      </c>
      <c r="E886" s="1655" t="s">
        <v>569</v>
      </c>
    </row>
    <row r="887" spans="1:5" s="1732" customFormat="1">
      <c r="A887" s="1655" t="s">
        <v>70</v>
      </c>
      <c r="B887" s="1655" t="s">
        <v>1091</v>
      </c>
      <c r="C887" s="1655" t="s">
        <v>570</v>
      </c>
      <c r="D887" s="1655" t="s">
        <v>43</v>
      </c>
      <c r="E887" s="1655" t="s">
        <v>569</v>
      </c>
    </row>
    <row r="888" spans="1:5" s="1732" customFormat="1">
      <c r="A888" s="1655" t="s">
        <v>70</v>
      </c>
      <c r="B888" s="1655" t="s">
        <v>1092</v>
      </c>
      <c r="C888" s="1655" t="s">
        <v>570</v>
      </c>
      <c r="D888" s="1655" t="s">
        <v>43</v>
      </c>
      <c r="E888" s="1655" t="s">
        <v>569</v>
      </c>
    </row>
    <row r="889" spans="1:5" s="1732" customFormat="1">
      <c r="A889" s="1655" t="s">
        <v>70</v>
      </c>
      <c r="B889" s="1655" t="s">
        <v>991</v>
      </c>
      <c r="C889" s="1655" t="s">
        <v>570</v>
      </c>
      <c r="D889" s="1655" t="s">
        <v>43</v>
      </c>
      <c r="E889" s="1655" t="s">
        <v>569</v>
      </c>
    </row>
    <row r="890" spans="1:5" s="1732" customFormat="1">
      <c r="A890" s="1655" t="s">
        <v>70</v>
      </c>
      <c r="B890" s="1655" t="s">
        <v>992</v>
      </c>
      <c r="C890" s="1655" t="s">
        <v>570</v>
      </c>
      <c r="D890" s="1655" t="s">
        <v>43</v>
      </c>
      <c r="E890" s="1655" t="s">
        <v>569</v>
      </c>
    </row>
    <row r="891" spans="1:5" s="1732" customFormat="1">
      <c r="A891" s="1655" t="s">
        <v>70</v>
      </c>
      <c r="B891" s="1655" t="s">
        <v>993</v>
      </c>
      <c r="C891" s="1655" t="s">
        <v>570</v>
      </c>
      <c r="D891" s="1655" t="s">
        <v>43</v>
      </c>
      <c r="E891" s="1655" t="s">
        <v>569</v>
      </c>
    </row>
    <row r="892" spans="1:5" s="1732" customFormat="1">
      <c r="A892" s="1655" t="s">
        <v>70</v>
      </c>
      <c r="B892" s="1655" t="s">
        <v>994</v>
      </c>
      <c r="C892" s="1655" t="s">
        <v>570</v>
      </c>
      <c r="D892" s="1655" t="s">
        <v>43</v>
      </c>
      <c r="E892" s="1655" t="s">
        <v>569</v>
      </c>
    </row>
    <row r="893" spans="1:5" s="1732" customFormat="1">
      <c r="A893" s="1655" t="s">
        <v>70</v>
      </c>
      <c r="B893" s="1655" t="s">
        <v>995</v>
      </c>
      <c r="C893" s="1655" t="s">
        <v>570</v>
      </c>
      <c r="D893" s="1655" t="s">
        <v>43</v>
      </c>
      <c r="E893" s="1655" t="s">
        <v>569</v>
      </c>
    </row>
    <row r="894" spans="1:5" s="1732" customFormat="1">
      <c r="A894" s="1655" t="s">
        <v>70</v>
      </c>
      <c r="B894" s="1655" t="s">
        <v>996</v>
      </c>
      <c r="C894" s="1655" t="s">
        <v>570</v>
      </c>
      <c r="D894" s="1655" t="s">
        <v>43</v>
      </c>
      <c r="E894" s="1655" t="s">
        <v>569</v>
      </c>
    </row>
    <row r="895" spans="1:5" s="1732" customFormat="1">
      <c r="A895" s="1655" t="s">
        <v>70</v>
      </c>
      <c r="B895" s="1655" t="s">
        <v>997</v>
      </c>
      <c r="C895" s="1655" t="s">
        <v>570</v>
      </c>
      <c r="D895" s="1655" t="s">
        <v>43</v>
      </c>
      <c r="E895" s="1655" t="s">
        <v>569</v>
      </c>
    </row>
    <row r="896" spans="1:5" s="1732" customFormat="1">
      <c r="A896" s="1655" t="s">
        <v>70</v>
      </c>
      <c r="B896" s="1655" t="s">
        <v>998</v>
      </c>
      <c r="C896" s="1655" t="s">
        <v>570</v>
      </c>
      <c r="D896" s="1655" t="s">
        <v>43</v>
      </c>
      <c r="E896" s="1655" t="s">
        <v>569</v>
      </c>
    </row>
    <row r="897" spans="1:5" s="1732" customFormat="1">
      <c r="A897" s="1655" t="s">
        <v>70</v>
      </c>
      <c r="B897" s="1655" t="s">
        <v>1093</v>
      </c>
      <c r="C897" s="1655" t="s">
        <v>570</v>
      </c>
      <c r="D897" s="1655" t="s">
        <v>43</v>
      </c>
      <c r="E897" s="1655" t="s">
        <v>569</v>
      </c>
    </row>
    <row r="898" spans="1:5" s="1732" customFormat="1">
      <c r="A898" s="1655" t="s">
        <v>70</v>
      </c>
      <c r="B898" s="1655" t="s">
        <v>1903</v>
      </c>
      <c r="C898" s="1655" t="s">
        <v>570</v>
      </c>
      <c r="D898" s="1655" t="s">
        <v>43</v>
      </c>
      <c r="E898" s="1655" t="s">
        <v>569</v>
      </c>
    </row>
    <row r="899" spans="1:5" s="1732" customFormat="1">
      <c r="A899" s="1655" t="s">
        <v>70</v>
      </c>
      <c r="B899" s="1655" t="s">
        <v>999</v>
      </c>
      <c r="C899" s="1655" t="s">
        <v>570</v>
      </c>
      <c r="D899" s="1655" t="s">
        <v>43</v>
      </c>
      <c r="E899" s="1655" t="s">
        <v>569</v>
      </c>
    </row>
    <row r="900" spans="1:5" s="1732" customFormat="1">
      <c r="A900" s="1655" t="s">
        <v>70</v>
      </c>
      <c r="B900" s="1655" t="s">
        <v>1000</v>
      </c>
      <c r="C900" s="1655" t="s">
        <v>570</v>
      </c>
      <c r="D900" s="1655" t="s">
        <v>43</v>
      </c>
      <c r="E900" s="1655" t="s">
        <v>569</v>
      </c>
    </row>
    <row r="901" spans="1:5" s="1732" customFormat="1">
      <c r="A901" s="1655" t="s">
        <v>70</v>
      </c>
      <c r="B901" s="1655" t="s">
        <v>1001</v>
      </c>
      <c r="C901" s="1655" t="s">
        <v>570</v>
      </c>
      <c r="D901" s="1655" t="s">
        <v>43</v>
      </c>
      <c r="E901" s="1655" t="s">
        <v>569</v>
      </c>
    </row>
    <row r="902" spans="1:5" s="1732" customFormat="1">
      <c r="A902" s="1655" t="s">
        <v>70</v>
      </c>
      <c r="B902" s="1655" t="s">
        <v>1904</v>
      </c>
      <c r="C902" s="1655" t="s">
        <v>570</v>
      </c>
      <c r="D902" s="1655" t="s">
        <v>43</v>
      </c>
      <c r="E902" s="1655" t="s">
        <v>569</v>
      </c>
    </row>
    <row r="903" spans="1:5" s="1732" customFormat="1">
      <c r="A903" s="1655" t="s">
        <v>70</v>
      </c>
      <c r="B903" s="1655" t="s">
        <v>1905</v>
      </c>
      <c r="C903" s="1655" t="s">
        <v>570</v>
      </c>
      <c r="D903" s="1655" t="s">
        <v>43</v>
      </c>
      <c r="E903" s="1655" t="s">
        <v>569</v>
      </c>
    </row>
    <row r="904" spans="1:5" s="1732" customFormat="1">
      <c r="A904" s="1655" t="s">
        <v>70</v>
      </c>
      <c r="B904" s="1655" t="s">
        <v>1002</v>
      </c>
      <c r="C904" s="1655" t="s">
        <v>570</v>
      </c>
      <c r="D904" s="1655" t="s">
        <v>43</v>
      </c>
      <c r="E904" s="1655" t="s">
        <v>569</v>
      </c>
    </row>
    <row r="905" spans="1:5" s="1732" customFormat="1">
      <c r="A905" s="1655" t="s">
        <v>70</v>
      </c>
      <c r="B905" s="1655" t="s">
        <v>1003</v>
      </c>
      <c r="C905" s="1655" t="s">
        <v>570</v>
      </c>
      <c r="D905" s="1655" t="s">
        <v>43</v>
      </c>
      <c r="E905" s="1655" t="s">
        <v>569</v>
      </c>
    </row>
    <row r="906" spans="1:5" s="1732" customFormat="1">
      <c r="A906" s="1655" t="s">
        <v>70</v>
      </c>
      <c r="B906" s="1655" t="s">
        <v>1004</v>
      </c>
      <c r="C906" s="1655" t="s">
        <v>570</v>
      </c>
      <c r="D906" s="1655" t="s">
        <v>43</v>
      </c>
      <c r="E906" s="1655" t="s">
        <v>569</v>
      </c>
    </row>
    <row r="907" spans="1:5" s="1732" customFormat="1">
      <c r="A907" s="1655" t="s">
        <v>70</v>
      </c>
      <c r="B907" s="1655" t="s">
        <v>1906</v>
      </c>
      <c r="C907" s="1655" t="s">
        <v>570</v>
      </c>
      <c r="D907" s="1655" t="s">
        <v>43</v>
      </c>
      <c r="E907" s="1655" t="s">
        <v>569</v>
      </c>
    </row>
    <row r="908" spans="1:5" s="1732" customFormat="1">
      <c r="A908" s="1655" t="s">
        <v>70</v>
      </c>
      <c r="B908" s="1655" t="s">
        <v>1005</v>
      </c>
      <c r="C908" s="1655" t="s">
        <v>570</v>
      </c>
      <c r="D908" s="1655" t="s">
        <v>43</v>
      </c>
      <c r="E908" s="1655" t="s">
        <v>569</v>
      </c>
    </row>
    <row r="909" spans="1:5" s="1732" customFormat="1">
      <c r="A909" s="1655" t="s">
        <v>70</v>
      </c>
      <c r="B909" s="1655" t="s">
        <v>1006</v>
      </c>
      <c r="C909" s="1655" t="s">
        <v>570</v>
      </c>
      <c r="D909" s="1655" t="s">
        <v>43</v>
      </c>
      <c r="E909" s="1655" t="s">
        <v>569</v>
      </c>
    </row>
    <row r="910" spans="1:5" s="1732" customFormat="1">
      <c r="A910" s="1655" t="s">
        <v>70</v>
      </c>
      <c r="B910" s="1655" t="s">
        <v>1007</v>
      </c>
      <c r="C910" s="1655" t="s">
        <v>570</v>
      </c>
      <c r="D910" s="1655" t="s">
        <v>43</v>
      </c>
      <c r="E910" s="1655" t="s">
        <v>569</v>
      </c>
    </row>
    <row r="911" spans="1:5" s="1732" customFormat="1">
      <c r="A911" s="1655" t="s">
        <v>70</v>
      </c>
      <c r="B911" s="1655" t="s">
        <v>1008</v>
      </c>
      <c r="C911" s="1655" t="s">
        <v>570</v>
      </c>
      <c r="D911" s="1655" t="s">
        <v>43</v>
      </c>
      <c r="E911" s="1655" t="s">
        <v>569</v>
      </c>
    </row>
    <row r="912" spans="1:5" s="1732" customFormat="1">
      <c r="A912" s="1655" t="s">
        <v>70</v>
      </c>
      <c r="B912" s="1655" t="s">
        <v>1907</v>
      </c>
      <c r="C912" s="1655" t="s">
        <v>570</v>
      </c>
      <c r="D912" s="1655" t="s">
        <v>43</v>
      </c>
      <c r="E912" s="1655" t="s">
        <v>569</v>
      </c>
    </row>
    <row r="913" spans="1:5" s="1732" customFormat="1">
      <c r="A913" s="1655" t="s">
        <v>70</v>
      </c>
      <c r="B913" s="1655" t="s">
        <v>1908</v>
      </c>
      <c r="C913" s="1655" t="s">
        <v>570</v>
      </c>
      <c r="D913" s="1655" t="s">
        <v>43</v>
      </c>
      <c r="E913" s="1655" t="s">
        <v>569</v>
      </c>
    </row>
    <row r="914" spans="1:5" s="1732" customFormat="1">
      <c r="A914" s="1655" t="s">
        <v>70</v>
      </c>
      <c r="B914" s="1655" t="s">
        <v>1009</v>
      </c>
      <c r="C914" s="1655" t="s">
        <v>570</v>
      </c>
      <c r="D914" s="1655" t="s">
        <v>43</v>
      </c>
      <c r="E914" s="1655" t="s">
        <v>569</v>
      </c>
    </row>
    <row r="915" spans="1:5" s="1732" customFormat="1">
      <c r="A915" s="1655" t="s">
        <v>70</v>
      </c>
      <c r="B915" s="1655" t="s">
        <v>1010</v>
      </c>
      <c r="C915" s="1655" t="s">
        <v>570</v>
      </c>
      <c r="D915" s="1655" t="s">
        <v>43</v>
      </c>
      <c r="E915" s="1655" t="s">
        <v>569</v>
      </c>
    </row>
    <row r="916" spans="1:5" s="1732" customFormat="1">
      <c r="A916" s="1655" t="s">
        <v>70</v>
      </c>
      <c r="B916" s="1655" t="s">
        <v>1011</v>
      </c>
      <c r="C916" s="1655" t="s">
        <v>570</v>
      </c>
      <c r="D916" s="1655" t="s">
        <v>43</v>
      </c>
      <c r="E916" s="1655" t="s">
        <v>569</v>
      </c>
    </row>
    <row r="917" spans="1:5" s="1732" customFormat="1">
      <c r="A917" s="1655" t="s">
        <v>70</v>
      </c>
      <c r="B917" s="1655" t="s">
        <v>1012</v>
      </c>
      <c r="C917" s="1655" t="s">
        <v>570</v>
      </c>
      <c r="D917" s="1655" t="s">
        <v>43</v>
      </c>
      <c r="E917" s="1655" t="s">
        <v>569</v>
      </c>
    </row>
    <row r="918" spans="1:5" s="1732" customFormat="1">
      <c r="A918" s="1655" t="s">
        <v>70</v>
      </c>
      <c r="B918" s="1655" t="s">
        <v>1013</v>
      </c>
      <c r="C918" s="1655" t="s">
        <v>570</v>
      </c>
      <c r="D918" s="1655" t="s">
        <v>43</v>
      </c>
      <c r="E918" s="1655" t="s">
        <v>569</v>
      </c>
    </row>
    <row r="919" spans="1:5" s="1732" customFormat="1">
      <c r="A919" s="1655" t="s">
        <v>70</v>
      </c>
      <c r="B919" s="1655" t="s">
        <v>1014</v>
      </c>
      <c r="C919" s="1655" t="s">
        <v>570</v>
      </c>
      <c r="D919" s="1655" t="s">
        <v>43</v>
      </c>
      <c r="E919" s="1655" t="s">
        <v>569</v>
      </c>
    </row>
    <row r="920" spans="1:5" s="1732" customFormat="1">
      <c r="A920" s="1655" t="s">
        <v>70</v>
      </c>
      <c r="B920" s="1655" t="s">
        <v>1015</v>
      </c>
      <c r="C920" s="1655" t="s">
        <v>570</v>
      </c>
      <c r="D920" s="1655" t="s">
        <v>43</v>
      </c>
      <c r="E920" s="1655" t="s">
        <v>569</v>
      </c>
    </row>
    <row r="921" spans="1:5" s="1732" customFormat="1">
      <c r="A921" s="1655" t="s">
        <v>70</v>
      </c>
      <c r="B921" s="1655" t="s">
        <v>1016</v>
      </c>
      <c r="C921" s="1655" t="s">
        <v>570</v>
      </c>
      <c r="D921" s="1655" t="s">
        <v>43</v>
      </c>
      <c r="E921" s="1655" t="s">
        <v>569</v>
      </c>
    </row>
    <row r="922" spans="1:5" s="1732" customFormat="1">
      <c r="A922" s="1655" t="s">
        <v>70</v>
      </c>
      <c r="B922" s="1655" t="s">
        <v>1017</v>
      </c>
      <c r="C922" s="1655" t="s">
        <v>570</v>
      </c>
      <c r="D922" s="1655" t="s">
        <v>43</v>
      </c>
      <c r="E922" s="1655" t="s">
        <v>569</v>
      </c>
    </row>
    <row r="923" spans="1:5" s="1732" customFormat="1">
      <c r="A923" s="1655" t="s">
        <v>70</v>
      </c>
      <c r="B923" s="1655" t="s">
        <v>1018</v>
      </c>
      <c r="C923" s="1655" t="s">
        <v>570</v>
      </c>
      <c r="D923" s="1655" t="s">
        <v>43</v>
      </c>
      <c r="E923" s="1655" t="s">
        <v>569</v>
      </c>
    </row>
    <row r="924" spans="1:5" s="1732" customFormat="1">
      <c r="A924" s="1655" t="s">
        <v>70</v>
      </c>
      <c r="B924" s="1655" t="s">
        <v>1909</v>
      </c>
      <c r="C924" s="1655" t="s">
        <v>570</v>
      </c>
      <c r="D924" s="1655" t="s">
        <v>43</v>
      </c>
      <c r="E924" s="1655" t="s">
        <v>569</v>
      </c>
    </row>
    <row r="925" spans="1:5" s="1732" customFormat="1">
      <c r="A925" s="1655" t="s">
        <v>70</v>
      </c>
      <c r="B925" s="1655" t="s">
        <v>1910</v>
      </c>
      <c r="C925" s="1655" t="s">
        <v>570</v>
      </c>
      <c r="D925" s="1655" t="s">
        <v>43</v>
      </c>
      <c r="E925" s="1655" t="s">
        <v>569</v>
      </c>
    </row>
    <row r="926" spans="1:5" s="1732" customFormat="1">
      <c r="A926" s="1655" t="s">
        <v>70</v>
      </c>
      <c r="B926" s="1655" t="s">
        <v>1019</v>
      </c>
      <c r="C926" s="1655" t="s">
        <v>570</v>
      </c>
      <c r="D926" s="1655" t="s">
        <v>43</v>
      </c>
      <c r="E926" s="1655" t="s">
        <v>569</v>
      </c>
    </row>
    <row r="927" spans="1:5" s="1732" customFormat="1">
      <c r="A927" s="1655" t="s">
        <v>70</v>
      </c>
      <c r="B927" s="1655" t="s">
        <v>1020</v>
      </c>
      <c r="C927" s="1655" t="s">
        <v>570</v>
      </c>
      <c r="D927" s="1655" t="s">
        <v>43</v>
      </c>
      <c r="E927" s="1655" t="s">
        <v>569</v>
      </c>
    </row>
    <row r="928" spans="1:5" s="1732" customFormat="1">
      <c r="A928" s="1655" t="s">
        <v>70</v>
      </c>
      <c r="B928" s="1655" t="s">
        <v>1021</v>
      </c>
      <c r="C928" s="1655" t="s">
        <v>570</v>
      </c>
      <c r="D928" s="1655" t="s">
        <v>43</v>
      </c>
      <c r="E928" s="1655" t="s">
        <v>569</v>
      </c>
    </row>
    <row r="929" spans="1:5" s="1732" customFormat="1">
      <c r="A929" s="1655" t="s">
        <v>70</v>
      </c>
      <c r="B929" s="1655" t="s">
        <v>1911</v>
      </c>
      <c r="C929" s="1655" t="s">
        <v>570</v>
      </c>
      <c r="D929" s="1655" t="s">
        <v>43</v>
      </c>
      <c r="E929" s="1655" t="s">
        <v>569</v>
      </c>
    </row>
    <row r="930" spans="1:5" s="1732" customFormat="1">
      <c r="A930" s="1655" t="s">
        <v>70</v>
      </c>
      <c r="B930" s="1655" t="s">
        <v>1022</v>
      </c>
      <c r="C930" s="1655" t="s">
        <v>570</v>
      </c>
      <c r="D930" s="1655" t="s">
        <v>43</v>
      </c>
      <c r="E930" s="1655" t="s">
        <v>569</v>
      </c>
    </row>
    <row r="931" spans="1:5" s="1732" customFormat="1">
      <c r="A931" s="1655" t="s">
        <v>70</v>
      </c>
      <c r="B931" s="1655" t="s">
        <v>1023</v>
      </c>
      <c r="C931" s="1655" t="s">
        <v>570</v>
      </c>
      <c r="D931" s="1655" t="s">
        <v>43</v>
      </c>
      <c r="E931" s="1655" t="s">
        <v>569</v>
      </c>
    </row>
    <row r="932" spans="1:5" s="1732" customFormat="1">
      <c r="A932" s="1655" t="s">
        <v>70</v>
      </c>
      <c r="B932" s="1655" t="s">
        <v>1024</v>
      </c>
      <c r="C932" s="1655" t="s">
        <v>570</v>
      </c>
      <c r="D932" s="1655" t="s">
        <v>43</v>
      </c>
      <c r="E932" s="1655" t="s">
        <v>569</v>
      </c>
    </row>
    <row r="933" spans="1:5" s="1732" customFormat="1">
      <c r="A933" s="1655" t="s">
        <v>70</v>
      </c>
      <c r="B933" s="1655" t="s">
        <v>1025</v>
      </c>
      <c r="C933" s="1655" t="s">
        <v>570</v>
      </c>
      <c r="D933" s="1655" t="s">
        <v>43</v>
      </c>
      <c r="E933" s="1655" t="s">
        <v>569</v>
      </c>
    </row>
    <row r="934" spans="1:5" s="1732" customFormat="1">
      <c r="A934" s="1655" t="s">
        <v>70</v>
      </c>
      <c r="B934" s="1655" t="s">
        <v>1026</v>
      </c>
      <c r="C934" s="1655" t="s">
        <v>570</v>
      </c>
      <c r="D934" s="1655" t="s">
        <v>43</v>
      </c>
      <c r="E934" s="1655" t="s">
        <v>569</v>
      </c>
    </row>
    <row r="935" spans="1:5" s="1732" customFormat="1">
      <c r="A935" s="1655" t="s">
        <v>70</v>
      </c>
      <c r="B935" s="1655" t="s">
        <v>1027</v>
      </c>
      <c r="C935" s="1655" t="s">
        <v>570</v>
      </c>
      <c r="D935" s="1655" t="s">
        <v>43</v>
      </c>
      <c r="E935" s="1655" t="s">
        <v>569</v>
      </c>
    </row>
    <row r="936" spans="1:5" s="1732" customFormat="1">
      <c r="A936" s="1655" t="s">
        <v>70</v>
      </c>
      <c r="B936" s="1655" t="s">
        <v>1028</v>
      </c>
      <c r="C936" s="1655" t="s">
        <v>570</v>
      </c>
      <c r="D936" s="1655" t="s">
        <v>43</v>
      </c>
      <c r="E936" s="1655" t="s">
        <v>569</v>
      </c>
    </row>
    <row r="937" spans="1:5" s="1732" customFormat="1">
      <c r="A937" s="1655" t="s">
        <v>70</v>
      </c>
      <c r="B937" s="1655" t="s">
        <v>1029</v>
      </c>
      <c r="C937" s="1655" t="s">
        <v>570</v>
      </c>
      <c r="D937" s="1655" t="s">
        <v>43</v>
      </c>
      <c r="E937" s="1655" t="s">
        <v>569</v>
      </c>
    </row>
    <row r="938" spans="1:5" s="1732" customFormat="1">
      <c r="A938" s="1655" t="s">
        <v>70</v>
      </c>
      <c r="B938" s="1655" t="s">
        <v>1030</v>
      </c>
      <c r="C938" s="1655" t="s">
        <v>570</v>
      </c>
      <c r="D938" s="1655" t="s">
        <v>43</v>
      </c>
      <c r="E938" s="1655" t="s">
        <v>569</v>
      </c>
    </row>
    <row r="939" spans="1:5" s="1732" customFormat="1">
      <c r="A939" s="1655" t="s">
        <v>70</v>
      </c>
      <c r="B939" s="1655" t="s">
        <v>1912</v>
      </c>
      <c r="C939" s="1655" t="s">
        <v>570</v>
      </c>
      <c r="D939" s="1655" t="s">
        <v>43</v>
      </c>
      <c r="E939" s="1655" t="s">
        <v>569</v>
      </c>
    </row>
    <row r="940" spans="1:5" s="1732" customFormat="1">
      <c r="A940" s="1655" t="s">
        <v>70</v>
      </c>
      <c r="B940" s="1655" t="s">
        <v>1913</v>
      </c>
      <c r="C940" s="1655" t="s">
        <v>570</v>
      </c>
      <c r="D940" s="1655" t="s">
        <v>43</v>
      </c>
      <c r="E940" s="1655" t="s">
        <v>569</v>
      </c>
    </row>
    <row r="941" spans="1:5" s="1732" customFormat="1">
      <c r="A941" s="1655" t="s">
        <v>70</v>
      </c>
      <c r="B941" s="1655" t="s">
        <v>1031</v>
      </c>
      <c r="C941" s="1655" t="s">
        <v>570</v>
      </c>
      <c r="D941" s="1655" t="s">
        <v>43</v>
      </c>
      <c r="E941" s="1655" t="s">
        <v>569</v>
      </c>
    </row>
    <row r="942" spans="1:5" s="1732" customFormat="1">
      <c r="A942" s="1655" t="s">
        <v>70</v>
      </c>
      <c r="B942" s="1655" t="s">
        <v>1032</v>
      </c>
      <c r="C942" s="1655" t="s">
        <v>570</v>
      </c>
      <c r="D942" s="1655" t="s">
        <v>43</v>
      </c>
      <c r="E942" s="1655" t="s">
        <v>569</v>
      </c>
    </row>
    <row r="943" spans="1:5" s="1732" customFormat="1">
      <c r="A943" s="1655" t="s">
        <v>70</v>
      </c>
      <c r="B943" s="1655" t="s">
        <v>1033</v>
      </c>
      <c r="C943" s="1655" t="s">
        <v>570</v>
      </c>
      <c r="D943" s="1655" t="s">
        <v>43</v>
      </c>
      <c r="E943" s="1655" t="s">
        <v>569</v>
      </c>
    </row>
    <row r="944" spans="1:5" s="1732" customFormat="1">
      <c r="A944" s="1655" t="s">
        <v>70</v>
      </c>
      <c r="B944" s="1655" t="s">
        <v>1034</v>
      </c>
      <c r="C944" s="1655" t="s">
        <v>570</v>
      </c>
      <c r="D944" s="1655" t="s">
        <v>43</v>
      </c>
      <c r="E944" s="1655" t="s">
        <v>569</v>
      </c>
    </row>
    <row r="945" spans="1:5" s="1732" customFormat="1">
      <c r="A945" s="1655" t="s">
        <v>70</v>
      </c>
      <c r="B945" s="1655" t="s">
        <v>1035</v>
      </c>
      <c r="C945" s="1655" t="s">
        <v>570</v>
      </c>
      <c r="D945" s="1655" t="s">
        <v>43</v>
      </c>
      <c r="E945" s="1655" t="s">
        <v>569</v>
      </c>
    </row>
    <row r="946" spans="1:5" s="1732" customFormat="1">
      <c r="A946" s="1655" t="s">
        <v>70</v>
      </c>
      <c r="B946" s="1655" t="s">
        <v>1036</v>
      </c>
      <c r="C946" s="1655" t="s">
        <v>570</v>
      </c>
      <c r="D946" s="1655" t="s">
        <v>43</v>
      </c>
      <c r="E946" s="1655" t="s">
        <v>569</v>
      </c>
    </row>
    <row r="947" spans="1:5" s="1732" customFormat="1">
      <c r="A947" s="1655" t="s">
        <v>70</v>
      </c>
      <c r="B947" s="1655" t="s">
        <v>1037</v>
      </c>
      <c r="C947" s="1655" t="s">
        <v>570</v>
      </c>
      <c r="D947" s="1655" t="s">
        <v>43</v>
      </c>
      <c r="E947" s="1655" t="s">
        <v>569</v>
      </c>
    </row>
    <row r="948" spans="1:5" s="1732" customFormat="1">
      <c r="A948" s="1655" t="s">
        <v>70</v>
      </c>
      <c r="B948" s="1655" t="s">
        <v>1038</v>
      </c>
      <c r="C948" s="1655" t="s">
        <v>570</v>
      </c>
      <c r="D948" s="1655" t="s">
        <v>43</v>
      </c>
      <c r="E948" s="1655" t="s">
        <v>569</v>
      </c>
    </row>
    <row r="949" spans="1:5" s="1732" customFormat="1">
      <c r="A949" s="1655" t="s">
        <v>70</v>
      </c>
      <c r="B949" s="1655" t="s">
        <v>1914</v>
      </c>
      <c r="C949" s="1655" t="s">
        <v>570</v>
      </c>
      <c r="D949" s="1655" t="s">
        <v>43</v>
      </c>
      <c r="E949" s="1655" t="s">
        <v>569</v>
      </c>
    </row>
    <row r="950" spans="1:5" s="1732" customFormat="1">
      <c r="A950" s="1655" t="s">
        <v>70</v>
      </c>
      <c r="B950" s="1655" t="s">
        <v>1915</v>
      </c>
      <c r="C950" s="1655" t="s">
        <v>570</v>
      </c>
      <c r="D950" s="1655" t="s">
        <v>43</v>
      </c>
      <c r="E950" s="1655" t="s">
        <v>569</v>
      </c>
    </row>
    <row r="951" spans="1:5" s="1732" customFormat="1">
      <c r="A951" s="1655" t="s">
        <v>70</v>
      </c>
      <c r="B951" s="1655" t="s">
        <v>1916</v>
      </c>
      <c r="C951" s="1655" t="s">
        <v>570</v>
      </c>
      <c r="D951" s="1655" t="s">
        <v>43</v>
      </c>
      <c r="E951" s="1655" t="s">
        <v>569</v>
      </c>
    </row>
    <row r="952" spans="1:5" s="1732" customFormat="1">
      <c r="A952" s="1655" t="s">
        <v>70</v>
      </c>
      <c r="B952" s="1655" t="s">
        <v>1917</v>
      </c>
      <c r="C952" s="1655" t="s">
        <v>570</v>
      </c>
      <c r="D952" s="1655" t="s">
        <v>43</v>
      </c>
      <c r="E952" s="1655" t="s">
        <v>569</v>
      </c>
    </row>
    <row r="953" spans="1:5" s="1732" customFormat="1">
      <c r="A953" s="1655" t="s">
        <v>70</v>
      </c>
      <c r="B953" s="1655" t="s">
        <v>1918</v>
      </c>
      <c r="C953" s="1655" t="s">
        <v>570</v>
      </c>
      <c r="D953" s="1655" t="s">
        <v>43</v>
      </c>
      <c r="E953" s="1655" t="s">
        <v>569</v>
      </c>
    </row>
    <row r="954" spans="1:5" s="1732" customFormat="1">
      <c r="A954" s="1655" t="s">
        <v>70</v>
      </c>
      <c r="B954" s="1655" t="s">
        <v>1919</v>
      </c>
      <c r="C954" s="1655" t="s">
        <v>570</v>
      </c>
      <c r="D954" s="1655" t="s">
        <v>43</v>
      </c>
      <c r="E954" s="1655" t="s">
        <v>569</v>
      </c>
    </row>
    <row r="955" spans="1:5" s="1732" customFormat="1">
      <c r="A955" s="1655" t="s">
        <v>70</v>
      </c>
      <c r="B955" s="1655" t="s">
        <v>1920</v>
      </c>
      <c r="C955" s="1655" t="s">
        <v>570</v>
      </c>
      <c r="D955" s="1655" t="s">
        <v>43</v>
      </c>
      <c r="E955" s="1655" t="s">
        <v>569</v>
      </c>
    </row>
    <row r="956" spans="1:5" s="1732" customFormat="1">
      <c r="A956" s="1655" t="s">
        <v>70</v>
      </c>
      <c r="B956" s="1655" t="s">
        <v>1921</v>
      </c>
      <c r="C956" s="1655" t="s">
        <v>570</v>
      </c>
      <c r="D956" s="1655" t="s">
        <v>43</v>
      </c>
      <c r="E956" s="1655" t="s">
        <v>569</v>
      </c>
    </row>
    <row r="957" spans="1:5" s="1732" customFormat="1">
      <c r="A957" s="1655" t="s">
        <v>70</v>
      </c>
      <c r="B957" s="1655" t="s">
        <v>1922</v>
      </c>
      <c r="C957" s="1655" t="s">
        <v>570</v>
      </c>
      <c r="D957" s="1655" t="s">
        <v>43</v>
      </c>
      <c r="E957" s="1655" t="s">
        <v>569</v>
      </c>
    </row>
    <row r="958" spans="1:5" s="1732" customFormat="1">
      <c r="A958" s="1655" t="s">
        <v>70</v>
      </c>
      <c r="B958" s="1655" t="s">
        <v>1923</v>
      </c>
      <c r="C958" s="1655" t="s">
        <v>570</v>
      </c>
      <c r="D958" s="1655" t="s">
        <v>43</v>
      </c>
      <c r="E958" s="1655" t="s">
        <v>569</v>
      </c>
    </row>
    <row r="959" spans="1:5" s="1732" customFormat="1">
      <c r="A959" s="1655" t="s">
        <v>70</v>
      </c>
      <c r="B959" s="1655" t="s">
        <v>1924</v>
      </c>
      <c r="C959" s="1655" t="s">
        <v>570</v>
      </c>
      <c r="D959" s="1655" t="s">
        <v>43</v>
      </c>
      <c r="E959" s="1655" t="s">
        <v>569</v>
      </c>
    </row>
    <row r="960" spans="1:5" s="1732" customFormat="1">
      <c r="A960" s="1655" t="s">
        <v>70</v>
      </c>
      <c r="B960" s="1655" t="s">
        <v>1925</v>
      </c>
      <c r="C960" s="1655" t="s">
        <v>570</v>
      </c>
      <c r="D960" s="1655" t="s">
        <v>43</v>
      </c>
      <c r="E960" s="1655" t="s">
        <v>569</v>
      </c>
    </row>
    <row r="961" spans="1:5" s="1732" customFormat="1">
      <c r="A961" s="1655" t="s">
        <v>70</v>
      </c>
      <c r="B961" s="1655" t="s">
        <v>1926</v>
      </c>
      <c r="C961" s="1655" t="s">
        <v>570</v>
      </c>
      <c r="D961" s="1655" t="s">
        <v>43</v>
      </c>
      <c r="E961" s="1655" t="s">
        <v>569</v>
      </c>
    </row>
    <row r="962" spans="1:5" s="1732" customFormat="1">
      <c r="A962" s="1655" t="s">
        <v>70</v>
      </c>
      <c r="B962" s="1655" t="s">
        <v>1927</v>
      </c>
      <c r="C962" s="1655" t="s">
        <v>570</v>
      </c>
      <c r="D962" s="1655" t="s">
        <v>43</v>
      </c>
      <c r="E962" s="1655" t="s">
        <v>569</v>
      </c>
    </row>
    <row r="963" spans="1:5" s="1732" customFormat="1">
      <c r="A963" s="1655" t="s">
        <v>70</v>
      </c>
      <c r="B963" s="1655" t="s">
        <v>1928</v>
      </c>
      <c r="C963" s="1655" t="s">
        <v>570</v>
      </c>
      <c r="D963" s="1655" t="s">
        <v>43</v>
      </c>
      <c r="E963" s="1655" t="s">
        <v>569</v>
      </c>
    </row>
    <row r="964" spans="1:5" s="1732" customFormat="1">
      <c r="A964" s="1655" t="s">
        <v>70</v>
      </c>
      <c r="B964" s="1655" t="s">
        <v>1929</v>
      </c>
      <c r="C964" s="1655" t="s">
        <v>570</v>
      </c>
      <c r="D964" s="1655" t="s">
        <v>43</v>
      </c>
      <c r="E964" s="1655" t="s">
        <v>569</v>
      </c>
    </row>
    <row r="965" spans="1:5" s="1732" customFormat="1">
      <c r="A965" s="1655" t="s">
        <v>70</v>
      </c>
      <c r="B965" s="1655" t="s">
        <v>1930</v>
      </c>
      <c r="C965" s="1655" t="s">
        <v>570</v>
      </c>
      <c r="D965" s="1655" t="s">
        <v>43</v>
      </c>
      <c r="E965" s="1655" t="s">
        <v>569</v>
      </c>
    </row>
    <row r="966" spans="1:5" s="1732" customFormat="1">
      <c r="A966" s="1655" t="s">
        <v>70</v>
      </c>
      <c r="B966" s="1655" t="s">
        <v>1931</v>
      </c>
      <c r="C966" s="1655" t="s">
        <v>570</v>
      </c>
      <c r="D966" s="1655" t="s">
        <v>43</v>
      </c>
      <c r="E966" s="1655" t="s">
        <v>569</v>
      </c>
    </row>
    <row r="967" spans="1:5" s="1732" customFormat="1">
      <c r="A967" s="1655" t="s">
        <v>70</v>
      </c>
      <c r="B967" s="1655" t="s">
        <v>1932</v>
      </c>
      <c r="C967" s="1655" t="s">
        <v>570</v>
      </c>
      <c r="D967" s="1655" t="s">
        <v>43</v>
      </c>
      <c r="E967" s="1655" t="s">
        <v>569</v>
      </c>
    </row>
    <row r="968" spans="1:5" s="1732" customFormat="1">
      <c r="A968" s="1655" t="s">
        <v>70</v>
      </c>
      <c r="B968" s="1655" t="s">
        <v>1933</v>
      </c>
      <c r="C968" s="1655" t="s">
        <v>570</v>
      </c>
      <c r="D968" s="1655" t="s">
        <v>43</v>
      </c>
      <c r="E968" s="1655" t="s">
        <v>569</v>
      </c>
    </row>
    <row r="969" spans="1:5" s="1732" customFormat="1">
      <c r="A969" s="1655" t="s">
        <v>70</v>
      </c>
      <c r="B969" s="1655" t="s">
        <v>1934</v>
      </c>
      <c r="C969" s="1655" t="s">
        <v>570</v>
      </c>
      <c r="D969" s="1655" t="s">
        <v>43</v>
      </c>
      <c r="E969" s="1655" t="s">
        <v>569</v>
      </c>
    </row>
    <row r="970" spans="1:5" s="1732" customFormat="1">
      <c r="A970" s="1655" t="s">
        <v>70</v>
      </c>
      <c r="B970" s="1655" t="s">
        <v>1935</v>
      </c>
      <c r="C970" s="1655" t="s">
        <v>570</v>
      </c>
      <c r="D970" s="1655" t="s">
        <v>43</v>
      </c>
      <c r="E970" s="1655" t="s">
        <v>569</v>
      </c>
    </row>
    <row r="971" spans="1:5" s="1732" customFormat="1">
      <c r="A971" s="1655" t="s">
        <v>70</v>
      </c>
      <c r="B971" s="1655" t="s">
        <v>1936</v>
      </c>
      <c r="C971" s="1655" t="s">
        <v>570</v>
      </c>
      <c r="D971" s="1655" t="s">
        <v>43</v>
      </c>
      <c r="E971" s="1655" t="s">
        <v>569</v>
      </c>
    </row>
    <row r="972" spans="1:5" s="1732" customFormat="1">
      <c r="A972" s="1655" t="s">
        <v>70</v>
      </c>
      <c r="B972" s="1655" t="s">
        <v>1937</v>
      </c>
      <c r="C972" s="1655" t="s">
        <v>570</v>
      </c>
      <c r="D972" s="1655" t="s">
        <v>43</v>
      </c>
      <c r="E972" s="1655" t="s">
        <v>569</v>
      </c>
    </row>
    <row r="973" spans="1:5" s="1732" customFormat="1">
      <c r="A973" s="1655" t="s">
        <v>70</v>
      </c>
      <c r="B973" s="1655" t="s">
        <v>1938</v>
      </c>
      <c r="C973" s="1655" t="s">
        <v>570</v>
      </c>
      <c r="D973" s="1655" t="s">
        <v>43</v>
      </c>
      <c r="E973" s="1655" t="s">
        <v>569</v>
      </c>
    </row>
    <row r="974" spans="1:5" s="1732" customFormat="1">
      <c r="A974" s="1655" t="s">
        <v>70</v>
      </c>
      <c r="B974" s="1655" t="s">
        <v>1939</v>
      </c>
      <c r="C974" s="1655" t="s">
        <v>570</v>
      </c>
      <c r="D974" s="1655" t="s">
        <v>43</v>
      </c>
      <c r="E974" s="1655" t="s">
        <v>569</v>
      </c>
    </row>
    <row r="975" spans="1:5" s="1732" customFormat="1">
      <c r="A975" s="1655" t="s">
        <v>70</v>
      </c>
      <c r="B975" s="1655" t="s">
        <v>1940</v>
      </c>
      <c r="C975" s="1655" t="s">
        <v>570</v>
      </c>
      <c r="D975" s="1655" t="s">
        <v>43</v>
      </c>
      <c r="E975" s="1655" t="s">
        <v>569</v>
      </c>
    </row>
    <row r="976" spans="1:5" s="1732" customFormat="1">
      <c r="A976" s="1655" t="s">
        <v>70</v>
      </c>
      <c r="B976" s="1655" t="s">
        <v>1941</v>
      </c>
      <c r="C976" s="1655" t="s">
        <v>570</v>
      </c>
      <c r="D976" s="1655" t="s">
        <v>43</v>
      </c>
      <c r="E976" s="1655" t="s">
        <v>569</v>
      </c>
    </row>
    <row r="977" spans="1:5" s="1732" customFormat="1">
      <c r="A977" s="1655" t="s">
        <v>70</v>
      </c>
      <c r="B977" s="1655" t="s">
        <v>1942</v>
      </c>
      <c r="C977" s="1655" t="s">
        <v>570</v>
      </c>
      <c r="D977" s="1655" t="s">
        <v>43</v>
      </c>
      <c r="E977" s="1655" t="s">
        <v>569</v>
      </c>
    </row>
    <row r="978" spans="1:5" s="1732" customFormat="1">
      <c r="A978" s="1655" t="s">
        <v>70</v>
      </c>
      <c r="B978" s="1655" t="s">
        <v>1943</v>
      </c>
      <c r="C978" s="1655" t="s">
        <v>570</v>
      </c>
      <c r="D978" s="1655" t="s">
        <v>43</v>
      </c>
      <c r="E978" s="1655" t="s">
        <v>569</v>
      </c>
    </row>
    <row r="979" spans="1:5" s="1732" customFormat="1">
      <c r="A979" s="1655" t="s">
        <v>70</v>
      </c>
      <c r="B979" s="1655" t="s">
        <v>1944</v>
      </c>
      <c r="C979" s="1655" t="s">
        <v>570</v>
      </c>
      <c r="D979" s="1655" t="s">
        <v>43</v>
      </c>
      <c r="E979" s="1655" t="s">
        <v>569</v>
      </c>
    </row>
    <row r="980" spans="1:5" s="1732" customFormat="1">
      <c r="A980" s="1655" t="s">
        <v>70</v>
      </c>
      <c r="B980" s="1655" t="s">
        <v>1945</v>
      </c>
      <c r="C980" s="1655" t="s">
        <v>570</v>
      </c>
      <c r="D980" s="1655" t="s">
        <v>43</v>
      </c>
      <c r="E980" s="1655" t="s">
        <v>569</v>
      </c>
    </row>
    <row r="981" spans="1:5" s="1732" customFormat="1">
      <c r="A981" s="1655" t="s">
        <v>70</v>
      </c>
      <c r="B981" s="1655" t="s">
        <v>1946</v>
      </c>
      <c r="C981" s="1655" t="s">
        <v>570</v>
      </c>
      <c r="D981" s="1655" t="s">
        <v>43</v>
      </c>
      <c r="E981" s="1655" t="s">
        <v>569</v>
      </c>
    </row>
    <row r="982" spans="1:5" s="1732" customFormat="1">
      <c r="A982" s="1655" t="s">
        <v>70</v>
      </c>
      <c r="B982" s="1655" t="s">
        <v>1947</v>
      </c>
      <c r="C982" s="1655" t="s">
        <v>570</v>
      </c>
      <c r="D982" s="1655" t="s">
        <v>43</v>
      </c>
      <c r="E982" s="1655" t="s">
        <v>569</v>
      </c>
    </row>
    <row r="983" spans="1:5" s="1732" customFormat="1">
      <c r="A983" s="1655" t="s">
        <v>70</v>
      </c>
      <c r="B983" s="1655" t="s">
        <v>1948</v>
      </c>
      <c r="C983" s="1655" t="s">
        <v>570</v>
      </c>
      <c r="D983" s="1655" t="s">
        <v>43</v>
      </c>
      <c r="E983" s="1655" t="s">
        <v>569</v>
      </c>
    </row>
    <row r="984" spans="1:5" s="1732" customFormat="1">
      <c r="A984" s="1655" t="s">
        <v>70</v>
      </c>
      <c r="B984" s="1655" t="s">
        <v>1949</v>
      </c>
      <c r="C984" s="1655" t="s">
        <v>570</v>
      </c>
      <c r="D984" s="1655" t="s">
        <v>43</v>
      </c>
      <c r="E984" s="1655" t="s">
        <v>569</v>
      </c>
    </row>
    <row r="985" spans="1:5" s="1732" customFormat="1">
      <c r="A985" s="1655" t="s">
        <v>70</v>
      </c>
      <c r="B985" s="1655" t="s">
        <v>1950</v>
      </c>
      <c r="C985" s="1655" t="s">
        <v>570</v>
      </c>
      <c r="D985" s="1655" t="s">
        <v>43</v>
      </c>
      <c r="E985" s="1655" t="s">
        <v>569</v>
      </c>
    </row>
    <row r="986" spans="1:5" s="1732" customFormat="1">
      <c r="A986" s="1655" t="s">
        <v>70</v>
      </c>
      <c r="B986" s="1655" t="s">
        <v>1951</v>
      </c>
      <c r="C986" s="1655" t="s">
        <v>570</v>
      </c>
      <c r="D986" s="1655" t="s">
        <v>43</v>
      </c>
      <c r="E986" s="1655" t="s">
        <v>569</v>
      </c>
    </row>
    <row r="987" spans="1:5" s="1732" customFormat="1">
      <c r="A987" s="1655" t="s">
        <v>70</v>
      </c>
      <c r="B987" s="1655" t="s">
        <v>1952</v>
      </c>
      <c r="C987" s="1655" t="s">
        <v>570</v>
      </c>
      <c r="D987" s="1655" t="s">
        <v>43</v>
      </c>
      <c r="E987" s="1655" t="s">
        <v>569</v>
      </c>
    </row>
    <row r="988" spans="1:5" s="1732" customFormat="1">
      <c r="A988" s="1655" t="s">
        <v>70</v>
      </c>
      <c r="B988" s="1655" t="s">
        <v>1953</v>
      </c>
      <c r="C988" s="1655" t="s">
        <v>570</v>
      </c>
      <c r="D988" s="1655" t="s">
        <v>43</v>
      </c>
      <c r="E988" s="1655" t="s">
        <v>569</v>
      </c>
    </row>
    <row r="989" spans="1:5" s="1732" customFormat="1">
      <c r="A989" s="1655" t="s">
        <v>70</v>
      </c>
      <c r="B989" s="1655" t="s">
        <v>1954</v>
      </c>
      <c r="C989" s="1655" t="s">
        <v>570</v>
      </c>
      <c r="D989" s="1655" t="s">
        <v>43</v>
      </c>
      <c r="E989" s="1655" t="s">
        <v>569</v>
      </c>
    </row>
    <row r="990" spans="1:5" s="1732" customFormat="1">
      <c r="A990" s="1655" t="s">
        <v>70</v>
      </c>
      <c r="B990" s="1655" t="s">
        <v>1955</v>
      </c>
      <c r="C990" s="1655" t="s">
        <v>570</v>
      </c>
      <c r="D990" s="1655" t="s">
        <v>43</v>
      </c>
      <c r="E990" s="1655" t="s">
        <v>569</v>
      </c>
    </row>
    <row r="991" spans="1:5" s="1732" customFormat="1">
      <c r="A991" s="1655" t="s">
        <v>415</v>
      </c>
      <c r="B991" s="1655" t="s">
        <v>1158</v>
      </c>
      <c r="C991" s="1655" t="s">
        <v>3</v>
      </c>
      <c r="D991" s="1655" t="s">
        <v>42</v>
      </c>
      <c r="E991" s="1655" t="s">
        <v>569</v>
      </c>
    </row>
    <row r="992" spans="1:5" s="1732" customFormat="1">
      <c r="A992" s="1655" t="s">
        <v>415</v>
      </c>
      <c r="B992" s="1655" t="s">
        <v>1159</v>
      </c>
      <c r="C992" s="1656" t="s">
        <v>11</v>
      </c>
      <c r="D992" s="1655" t="s">
        <v>42</v>
      </c>
      <c r="E992" s="1655" t="s">
        <v>569</v>
      </c>
    </row>
    <row r="993" spans="1:5" s="1732" customFormat="1">
      <c r="A993" s="1655" t="s">
        <v>415</v>
      </c>
      <c r="B993" s="1655" t="s">
        <v>1160</v>
      </c>
      <c r="C993" s="1656" t="s">
        <v>27</v>
      </c>
      <c r="D993" s="1655" t="s">
        <v>42</v>
      </c>
      <c r="E993" s="1655" t="s">
        <v>569</v>
      </c>
    </row>
    <row r="994" spans="1:5" s="1732" customFormat="1">
      <c r="A994" s="1655" t="s">
        <v>415</v>
      </c>
      <c r="B994" s="1655" t="s">
        <v>1161</v>
      </c>
      <c r="C994" s="1656" t="s">
        <v>4</v>
      </c>
      <c r="D994" s="1655" t="s">
        <v>42</v>
      </c>
      <c r="E994" s="1655" t="s">
        <v>569</v>
      </c>
    </row>
    <row r="995" spans="1:5" s="1732" customFormat="1">
      <c r="A995" s="1655" t="s">
        <v>415</v>
      </c>
      <c r="B995" s="1655" t="s">
        <v>1251</v>
      </c>
      <c r="C995" s="1656" t="s">
        <v>1277</v>
      </c>
      <c r="D995" s="1655" t="s">
        <v>42</v>
      </c>
      <c r="E995" s="1655" t="s">
        <v>569</v>
      </c>
    </row>
    <row r="996" spans="1:5" s="1732" customFormat="1">
      <c r="A996" s="1655" t="s">
        <v>415</v>
      </c>
      <c r="B996" s="1655" t="s">
        <v>1252</v>
      </c>
      <c r="C996" s="1656" t="s">
        <v>36</v>
      </c>
      <c r="D996" s="1655" t="s">
        <v>42</v>
      </c>
      <c r="E996" s="1655" t="s">
        <v>569</v>
      </c>
    </row>
    <row r="997" spans="1:5" s="1732" customFormat="1">
      <c r="A997" s="1655" t="s">
        <v>415</v>
      </c>
      <c r="B997" s="1655" t="s">
        <v>1253</v>
      </c>
      <c r="C997" s="1656" t="s">
        <v>37</v>
      </c>
      <c r="D997" s="1655" t="s">
        <v>42</v>
      </c>
      <c r="E997" s="1655" t="s">
        <v>569</v>
      </c>
    </row>
    <row r="998" spans="1:5" s="1732" customFormat="1">
      <c r="A998" s="1655" t="s">
        <v>415</v>
      </c>
      <c r="B998" s="1655" t="s">
        <v>1254</v>
      </c>
      <c r="C998" s="1656" t="s">
        <v>275</v>
      </c>
      <c r="D998" s="1655" t="s">
        <v>42</v>
      </c>
      <c r="E998" s="1655" t="s">
        <v>569</v>
      </c>
    </row>
    <row r="999" spans="1:5" s="1732" customFormat="1">
      <c r="A999" s="1655" t="s">
        <v>415</v>
      </c>
      <c r="B999" s="1655" t="s">
        <v>1255</v>
      </c>
      <c r="C999" s="1656" t="s">
        <v>275</v>
      </c>
      <c r="D999" s="1655" t="s">
        <v>42</v>
      </c>
      <c r="E999" s="1655" t="s">
        <v>569</v>
      </c>
    </row>
    <row r="1000" spans="1:5" s="1732" customFormat="1">
      <c r="A1000" s="1655" t="s">
        <v>415</v>
      </c>
      <c r="B1000" s="1655" t="s">
        <v>1256</v>
      </c>
      <c r="C1000" s="1656" t="s">
        <v>275</v>
      </c>
      <c r="D1000" s="1655" t="s">
        <v>42</v>
      </c>
      <c r="E1000" s="1655" t="s">
        <v>569</v>
      </c>
    </row>
    <row r="1001" spans="1:5" s="1732" customFormat="1">
      <c r="A1001" s="1655" t="s">
        <v>415</v>
      </c>
      <c r="B1001" s="1655" t="s">
        <v>1164</v>
      </c>
      <c r="C1001" s="1656">
        <v>2500</v>
      </c>
      <c r="D1001" s="1655" t="s">
        <v>42</v>
      </c>
      <c r="E1001" s="1655" t="s">
        <v>571</v>
      </c>
    </row>
    <row r="1002" spans="1:5" s="1732" customFormat="1">
      <c r="A1002" s="1655" t="s">
        <v>415</v>
      </c>
      <c r="B1002" s="1655" t="s">
        <v>1165</v>
      </c>
      <c r="C1002" s="1656">
        <v>3500</v>
      </c>
      <c r="D1002" s="1655" t="s">
        <v>42</v>
      </c>
      <c r="E1002" s="1655" t="s">
        <v>571</v>
      </c>
    </row>
    <row r="1003" spans="1:5" s="1732" customFormat="1">
      <c r="A1003" s="1655" t="s">
        <v>415</v>
      </c>
      <c r="B1003" s="1655" t="s">
        <v>1166</v>
      </c>
      <c r="C1003" s="1656">
        <v>1000</v>
      </c>
      <c r="D1003" s="1655" t="s">
        <v>42</v>
      </c>
      <c r="E1003" s="1655" t="s">
        <v>571</v>
      </c>
    </row>
    <row r="1004" spans="1:5" s="1732" customFormat="1">
      <c r="A1004" s="1655" t="s">
        <v>415</v>
      </c>
      <c r="B1004" s="1655" t="s">
        <v>1167</v>
      </c>
      <c r="C1004" s="1656">
        <v>100</v>
      </c>
      <c r="D1004" s="1655" t="s">
        <v>42</v>
      </c>
      <c r="E1004" s="1655" t="s">
        <v>571</v>
      </c>
    </row>
    <row r="1005" spans="1:5" s="1732" customFormat="1">
      <c r="A1005" s="1655" t="s">
        <v>415</v>
      </c>
      <c r="B1005" s="1655" t="s">
        <v>1262</v>
      </c>
      <c r="C1005" s="1656">
        <v>100</v>
      </c>
      <c r="D1005" s="1655" t="s">
        <v>42</v>
      </c>
      <c r="E1005" s="1655" t="s">
        <v>571</v>
      </c>
    </row>
    <row r="1006" spans="1:5" s="1732" customFormat="1">
      <c r="A1006" s="1655" t="s">
        <v>415</v>
      </c>
      <c r="B1006" s="1655" t="s">
        <v>1263</v>
      </c>
      <c r="C1006" s="1656">
        <v>0</v>
      </c>
      <c r="D1006" s="1655" t="s">
        <v>42</v>
      </c>
      <c r="E1006" s="1655" t="s">
        <v>571</v>
      </c>
    </row>
    <row r="1007" spans="1:5" s="1732" customFormat="1">
      <c r="A1007" s="1655" t="s">
        <v>415</v>
      </c>
      <c r="B1007" s="1655" t="s">
        <v>1264</v>
      </c>
      <c r="C1007" s="1656">
        <v>0</v>
      </c>
      <c r="D1007" s="1655" t="s">
        <v>42</v>
      </c>
      <c r="E1007" s="1655" t="s">
        <v>571</v>
      </c>
    </row>
    <row r="1008" spans="1:5" s="1732" customFormat="1">
      <c r="A1008" s="1655" t="s">
        <v>415</v>
      </c>
      <c r="B1008" s="1655" t="s">
        <v>1265</v>
      </c>
      <c r="C1008" s="1656">
        <v>0</v>
      </c>
      <c r="D1008" s="1655" t="s">
        <v>42</v>
      </c>
      <c r="E1008" s="1655" t="s">
        <v>571</v>
      </c>
    </row>
    <row r="1009" spans="1:5" s="1732" customFormat="1">
      <c r="A1009" s="1655" t="s">
        <v>415</v>
      </c>
      <c r="B1009" s="1655" t="s">
        <v>1266</v>
      </c>
      <c r="C1009" s="1656">
        <v>0</v>
      </c>
      <c r="D1009" s="1655" t="s">
        <v>42</v>
      </c>
      <c r="E1009" s="1655" t="s">
        <v>571</v>
      </c>
    </row>
    <row r="1010" spans="1:5" s="1732" customFormat="1">
      <c r="A1010" s="1655" t="s">
        <v>415</v>
      </c>
      <c r="B1010" s="1655" t="s">
        <v>1267</v>
      </c>
      <c r="C1010" s="1656">
        <v>0</v>
      </c>
      <c r="D1010" s="1655" t="s">
        <v>42</v>
      </c>
      <c r="E1010" s="1655" t="s">
        <v>571</v>
      </c>
    </row>
    <row r="1011" spans="1:5" s="1732" customFormat="1">
      <c r="A1011" s="1655" t="s">
        <v>415</v>
      </c>
      <c r="B1011" s="1655" t="s">
        <v>1170</v>
      </c>
      <c r="C1011" s="1655">
        <v>1</v>
      </c>
      <c r="D1011" s="1655" t="s">
        <v>42</v>
      </c>
      <c r="E1011" s="1655" t="s">
        <v>572</v>
      </c>
    </row>
    <row r="1012" spans="1:5" s="1732" customFormat="1">
      <c r="A1012" s="1655" t="s">
        <v>415</v>
      </c>
      <c r="B1012" s="1655" t="s">
        <v>1171</v>
      </c>
      <c r="C1012" s="1655">
        <v>1</v>
      </c>
      <c r="D1012" s="1655" t="s">
        <v>42</v>
      </c>
      <c r="E1012" s="1655" t="s">
        <v>572</v>
      </c>
    </row>
    <row r="1013" spans="1:5" s="1732" customFormat="1">
      <c r="A1013" s="1655" t="s">
        <v>415</v>
      </c>
      <c r="B1013" s="1655" t="s">
        <v>1172</v>
      </c>
      <c r="C1013" s="1655">
        <v>1</v>
      </c>
      <c r="D1013" s="1655" t="s">
        <v>42</v>
      </c>
      <c r="E1013" s="1655" t="s">
        <v>572</v>
      </c>
    </row>
    <row r="1014" spans="1:5" s="1732" customFormat="1">
      <c r="A1014" s="1655" t="s">
        <v>415</v>
      </c>
      <c r="B1014" s="1655" t="s">
        <v>1173</v>
      </c>
      <c r="C1014" s="1655">
        <v>26</v>
      </c>
      <c r="D1014" s="1655" t="s">
        <v>42</v>
      </c>
      <c r="E1014" s="1655" t="s">
        <v>572</v>
      </c>
    </row>
    <row r="1015" spans="1:5" s="1732" customFormat="1">
      <c r="A1015" s="1655" t="s">
        <v>415</v>
      </c>
      <c r="B1015" s="1655" t="s">
        <v>1956</v>
      </c>
      <c r="C1015" s="1655">
        <v>1</v>
      </c>
      <c r="D1015" s="1655" t="s">
        <v>42</v>
      </c>
      <c r="E1015" s="1655" t="s">
        <v>572</v>
      </c>
    </row>
    <row r="1016" spans="1:5" s="1732" customFormat="1">
      <c r="A1016" s="1655" t="s">
        <v>415</v>
      </c>
      <c r="B1016" s="1655" t="s">
        <v>1268</v>
      </c>
      <c r="C1016" s="1655">
        <v>0</v>
      </c>
      <c r="D1016" s="1655" t="s">
        <v>42</v>
      </c>
      <c r="E1016" s="1655" t="s">
        <v>572</v>
      </c>
    </row>
    <row r="1017" spans="1:5" s="1732" customFormat="1">
      <c r="A1017" s="1655" t="s">
        <v>415</v>
      </c>
      <c r="B1017" s="1655" t="s">
        <v>1269</v>
      </c>
      <c r="C1017" s="1655">
        <v>0</v>
      </c>
      <c r="D1017" s="1655" t="s">
        <v>42</v>
      </c>
      <c r="E1017" s="1655" t="s">
        <v>572</v>
      </c>
    </row>
    <row r="1018" spans="1:5" s="1732" customFormat="1">
      <c r="A1018" s="1655" t="s">
        <v>415</v>
      </c>
      <c r="B1018" s="1655" t="s">
        <v>1270</v>
      </c>
      <c r="C1018" s="1655">
        <v>0</v>
      </c>
      <c r="D1018" s="1655" t="s">
        <v>42</v>
      </c>
      <c r="E1018" s="1655" t="s">
        <v>572</v>
      </c>
    </row>
    <row r="1019" spans="1:5" s="1732" customFormat="1">
      <c r="A1019" s="1655" t="s">
        <v>415</v>
      </c>
      <c r="B1019" s="1655" t="s">
        <v>1271</v>
      </c>
      <c r="C1019" s="1655">
        <v>0</v>
      </c>
      <c r="D1019" s="1655" t="s">
        <v>42</v>
      </c>
      <c r="E1019" s="1655" t="s">
        <v>572</v>
      </c>
    </row>
    <row r="1020" spans="1:5" s="1732" customFormat="1">
      <c r="A1020" s="1655" t="s">
        <v>415</v>
      </c>
      <c r="B1020" s="1655" t="s">
        <v>1174</v>
      </c>
      <c r="C1020" s="1655">
        <v>0</v>
      </c>
      <c r="D1020" s="1655" t="s">
        <v>42</v>
      </c>
      <c r="E1020" s="1655" t="s">
        <v>572</v>
      </c>
    </row>
    <row r="1021" spans="1:5" s="1732" customFormat="1">
      <c r="A1021" s="1655" t="s">
        <v>415</v>
      </c>
      <c r="B1021" s="1655" t="s">
        <v>1178</v>
      </c>
      <c r="C1021" s="1655" t="s">
        <v>42</v>
      </c>
      <c r="D1021" s="1655" t="s">
        <v>42</v>
      </c>
      <c r="E1021" s="1655" t="s">
        <v>569</v>
      </c>
    </row>
    <row r="1022" spans="1:5" s="1732" customFormat="1">
      <c r="A1022" s="1655" t="s">
        <v>415</v>
      </c>
      <c r="B1022" s="1655" t="s">
        <v>1179</v>
      </c>
      <c r="C1022" s="1655" t="s">
        <v>42</v>
      </c>
      <c r="D1022" s="1655" t="s">
        <v>42</v>
      </c>
      <c r="E1022" s="1655" t="s">
        <v>569</v>
      </c>
    </row>
    <row r="1023" spans="1:5" s="1732" customFormat="1">
      <c r="A1023" s="1655" t="s">
        <v>415</v>
      </c>
      <c r="B1023" s="1655" t="s">
        <v>1180</v>
      </c>
      <c r="C1023" s="1655" t="s">
        <v>42</v>
      </c>
      <c r="D1023" s="1655" t="s">
        <v>42</v>
      </c>
      <c r="E1023" s="1655" t="s">
        <v>569</v>
      </c>
    </row>
    <row r="1024" spans="1:5" s="1732" customFormat="1">
      <c r="A1024" s="1655" t="s">
        <v>415</v>
      </c>
      <c r="B1024" s="1655" t="s">
        <v>1181</v>
      </c>
      <c r="C1024" s="1655" t="s">
        <v>43</v>
      </c>
      <c r="D1024" s="1655" t="s">
        <v>42</v>
      </c>
      <c r="E1024" s="1655" t="s">
        <v>569</v>
      </c>
    </row>
    <row r="1025" spans="1:5" s="1732" customFormat="1">
      <c r="A1025" s="1655" t="s">
        <v>415</v>
      </c>
      <c r="B1025" s="1655" t="s">
        <v>1182</v>
      </c>
      <c r="C1025" s="1655" t="s">
        <v>42</v>
      </c>
      <c r="D1025" s="1655" t="s">
        <v>42</v>
      </c>
      <c r="E1025" s="1655" t="s">
        <v>569</v>
      </c>
    </row>
    <row r="1026" spans="1:5" s="1732" customFormat="1">
      <c r="A1026" s="1655" t="s">
        <v>415</v>
      </c>
      <c r="B1026" s="1655" t="s">
        <v>1183</v>
      </c>
      <c r="C1026" s="1655" t="s">
        <v>43</v>
      </c>
      <c r="D1026" s="1655" t="s">
        <v>42</v>
      </c>
      <c r="E1026" s="1655" t="s">
        <v>569</v>
      </c>
    </row>
    <row r="1027" spans="1:5" s="1732" customFormat="1">
      <c r="A1027" s="1655" t="s">
        <v>415</v>
      </c>
      <c r="B1027" s="1655" t="s">
        <v>1184</v>
      </c>
      <c r="C1027" s="1655" t="s">
        <v>43</v>
      </c>
      <c r="D1027" s="1655" t="s">
        <v>42</v>
      </c>
      <c r="E1027" s="1655" t="s">
        <v>569</v>
      </c>
    </row>
    <row r="1028" spans="1:5" s="1732" customFormat="1">
      <c r="A1028" s="1655" t="s">
        <v>415</v>
      </c>
      <c r="B1028" s="1655" t="s">
        <v>1185</v>
      </c>
      <c r="C1028" s="1655" t="s">
        <v>43</v>
      </c>
      <c r="D1028" s="1655" t="s">
        <v>42</v>
      </c>
      <c r="E1028" s="1655" t="s">
        <v>569</v>
      </c>
    </row>
    <row r="1029" spans="1:5" s="1732" customFormat="1">
      <c r="A1029" s="1655" t="s">
        <v>415</v>
      </c>
      <c r="B1029" s="1655" t="s">
        <v>1186</v>
      </c>
      <c r="C1029" s="1655" t="s">
        <v>43</v>
      </c>
      <c r="D1029" s="1655" t="s">
        <v>42</v>
      </c>
      <c r="E1029" s="1655" t="s">
        <v>569</v>
      </c>
    </row>
    <row r="1030" spans="1:5" s="1732" customFormat="1">
      <c r="A1030" s="1655" t="s">
        <v>415</v>
      </c>
      <c r="B1030" s="1655" t="s">
        <v>1187</v>
      </c>
      <c r="C1030" s="1655" t="s">
        <v>43</v>
      </c>
      <c r="D1030" s="1655" t="s">
        <v>42</v>
      </c>
      <c r="E1030" s="1655" t="s">
        <v>569</v>
      </c>
    </row>
    <row r="1031" spans="1:5" s="1732" customFormat="1">
      <c r="A1031" s="1655" t="s">
        <v>415</v>
      </c>
      <c r="B1031" s="1655" t="s">
        <v>1199</v>
      </c>
      <c r="C1031" s="1655" t="s">
        <v>395</v>
      </c>
      <c r="D1031" s="1655" t="s">
        <v>42</v>
      </c>
      <c r="E1031" s="1655" t="s">
        <v>569</v>
      </c>
    </row>
    <row r="1032" spans="1:5" s="1732" customFormat="1">
      <c r="A1032" s="1655" t="s">
        <v>415</v>
      </c>
      <c r="B1032" s="1655" t="s">
        <v>1200</v>
      </c>
      <c r="C1032" s="1655" t="s">
        <v>395</v>
      </c>
      <c r="D1032" s="1655" t="s">
        <v>42</v>
      </c>
      <c r="E1032" s="1655" t="s">
        <v>569</v>
      </c>
    </row>
    <row r="1033" spans="1:5" s="1732" customFormat="1">
      <c r="A1033" s="1655" t="s">
        <v>415</v>
      </c>
      <c r="B1033" s="1655" t="s">
        <v>1201</v>
      </c>
      <c r="C1033" s="1656" t="s">
        <v>395</v>
      </c>
      <c r="D1033" s="1655" t="s">
        <v>42</v>
      </c>
      <c r="E1033" s="1655" t="s">
        <v>569</v>
      </c>
    </row>
    <row r="1034" spans="1:5" s="1732" customFormat="1">
      <c r="A1034" s="1655" t="s">
        <v>415</v>
      </c>
      <c r="B1034" s="1655" t="s">
        <v>1202</v>
      </c>
      <c r="C1034" s="1658" t="s">
        <v>402</v>
      </c>
      <c r="D1034" s="1655" t="s">
        <v>42</v>
      </c>
      <c r="E1034" s="1655" t="s">
        <v>569</v>
      </c>
    </row>
    <row r="1035" spans="1:5" s="1732" customFormat="1">
      <c r="A1035" s="1655" t="s">
        <v>415</v>
      </c>
      <c r="B1035" s="1655" t="s">
        <v>1203</v>
      </c>
      <c r="C1035" s="1656" t="s">
        <v>395</v>
      </c>
      <c r="D1035" s="1655" t="s">
        <v>42</v>
      </c>
      <c r="E1035" s="1655" t="s">
        <v>569</v>
      </c>
    </row>
    <row r="1036" spans="1:5" s="1732" customFormat="1">
      <c r="A1036" s="1655" t="s">
        <v>415</v>
      </c>
      <c r="B1036" s="1655" t="s">
        <v>1204</v>
      </c>
      <c r="C1036" s="1656" t="s">
        <v>402</v>
      </c>
      <c r="D1036" s="1655" t="s">
        <v>42</v>
      </c>
      <c r="E1036" s="1655" t="s">
        <v>569</v>
      </c>
    </row>
    <row r="1037" spans="1:5" s="1732" customFormat="1">
      <c r="A1037" s="1655" t="s">
        <v>415</v>
      </c>
      <c r="B1037" s="1655" t="s">
        <v>1205</v>
      </c>
      <c r="C1037" s="1655" t="s">
        <v>402</v>
      </c>
      <c r="D1037" s="1655" t="s">
        <v>42</v>
      </c>
      <c r="E1037" s="1655" t="s">
        <v>569</v>
      </c>
    </row>
    <row r="1038" spans="1:5" s="1732" customFormat="1">
      <c r="A1038" s="1655" t="s">
        <v>415</v>
      </c>
      <c r="B1038" s="1655" t="s">
        <v>1206</v>
      </c>
      <c r="C1038" s="1656" t="s">
        <v>402</v>
      </c>
      <c r="D1038" s="1655" t="s">
        <v>42</v>
      </c>
      <c r="E1038" s="1655" t="s">
        <v>569</v>
      </c>
    </row>
    <row r="1039" spans="1:5" s="1732" customFormat="1">
      <c r="A1039" s="1655" t="s">
        <v>415</v>
      </c>
      <c r="B1039" s="1655" t="s">
        <v>1207</v>
      </c>
      <c r="C1039" s="1655" t="s">
        <v>402</v>
      </c>
      <c r="D1039" s="1655" t="s">
        <v>42</v>
      </c>
      <c r="E1039" s="1655" t="s">
        <v>569</v>
      </c>
    </row>
    <row r="1040" spans="1:5" s="1732" customFormat="1">
      <c r="A1040" s="1655" t="s">
        <v>415</v>
      </c>
      <c r="B1040" s="1655" t="s">
        <v>1208</v>
      </c>
      <c r="C1040" s="1656" t="s">
        <v>402</v>
      </c>
      <c r="D1040" s="1655" t="s">
        <v>42</v>
      </c>
      <c r="E1040" s="1655" t="s">
        <v>569</v>
      </c>
    </row>
    <row r="1041" spans="1:5" s="1732" customFormat="1">
      <c r="A1041" s="1655" t="s">
        <v>415</v>
      </c>
      <c r="B1041" s="1655" t="s">
        <v>889</v>
      </c>
      <c r="C1041" s="1659">
        <v>2050</v>
      </c>
      <c r="D1041" s="1655" t="s">
        <v>42</v>
      </c>
      <c r="E1041" s="1655" t="s">
        <v>6</v>
      </c>
    </row>
    <row r="1042" spans="1:5" s="1732" customFormat="1">
      <c r="A1042" s="1655" t="s">
        <v>415</v>
      </c>
      <c r="B1042" s="1655" t="s">
        <v>614</v>
      </c>
      <c r="C1042" s="1659">
        <v>0</v>
      </c>
      <c r="D1042" s="1655" t="s">
        <v>42</v>
      </c>
      <c r="E1042" s="1655" t="s">
        <v>571</v>
      </c>
    </row>
    <row r="1043" spans="1:5" s="1732" customFormat="1">
      <c r="A1043" s="1655" t="s">
        <v>415</v>
      </c>
      <c r="B1043" s="1655" t="s">
        <v>615</v>
      </c>
      <c r="C1043" s="1656">
        <v>0</v>
      </c>
      <c r="D1043" s="1655" t="s">
        <v>42</v>
      </c>
      <c r="E1043" s="1655" t="s">
        <v>571</v>
      </c>
    </row>
    <row r="1044" spans="1:5" s="1732" customFormat="1">
      <c r="A1044" s="1655" t="s">
        <v>415</v>
      </c>
      <c r="B1044" s="1655" t="s">
        <v>892</v>
      </c>
      <c r="C1044" s="1658">
        <v>7.0000000000000007E-2</v>
      </c>
      <c r="D1044" s="1655" t="s">
        <v>42</v>
      </c>
      <c r="E1044" s="1655" t="s">
        <v>80</v>
      </c>
    </row>
    <row r="1045" spans="1:5" s="1732" customFormat="1">
      <c r="A1045" s="1655" t="s">
        <v>415</v>
      </c>
      <c r="B1045" s="1655" t="s">
        <v>893</v>
      </c>
      <c r="C1045" s="1656">
        <v>350000</v>
      </c>
      <c r="D1045" s="1655" t="s">
        <v>42</v>
      </c>
      <c r="E1045" s="1655" t="s">
        <v>571</v>
      </c>
    </row>
    <row r="1046" spans="1:5" s="1732" customFormat="1">
      <c r="A1046" s="1655" t="s">
        <v>415</v>
      </c>
      <c r="B1046" s="1655" t="s">
        <v>894</v>
      </c>
      <c r="C1046" s="1656">
        <v>65000</v>
      </c>
      <c r="D1046" s="1655" t="s">
        <v>42</v>
      </c>
      <c r="E1046" s="1655" t="s">
        <v>571</v>
      </c>
    </row>
    <row r="1047" spans="1:5" s="1732" customFormat="1">
      <c r="A1047" s="1655" t="s">
        <v>415</v>
      </c>
      <c r="B1047" s="1655" t="s">
        <v>895</v>
      </c>
      <c r="C1047" s="1659">
        <v>0.15</v>
      </c>
      <c r="D1047" s="1655" t="s">
        <v>42</v>
      </c>
      <c r="E1047" s="1655" t="s">
        <v>80</v>
      </c>
    </row>
    <row r="1048" spans="1:5" s="1732" customFormat="1">
      <c r="A1048" s="1655" t="s">
        <v>415</v>
      </c>
      <c r="B1048" s="1655" t="s">
        <v>1957</v>
      </c>
      <c r="C1048" s="1659">
        <v>4200</v>
      </c>
      <c r="D1048" s="1655" t="s">
        <v>42</v>
      </c>
      <c r="E1048" s="1655" t="s">
        <v>571</v>
      </c>
    </row>
    <row r="1049" spans="1:5" s="1732" customFormat="1">
      <c r="A1049" s="1655" t="s">
        <v>415</v>
      </c>
      <c r="B1049" s="1655" t="s">
        <v>2630</v>
      </c>
      <c r="C1049" s="1658">
        <v>0.02</v>
      </c>
      <c r="D1049" s="1655" t="s">
        <v>42</v>
      </c>
      <c r="E1049" s="1655" t="s">
        <v>80</v>
      </c>
    </row>
    <row r="1050" spans="1:5" s="1732" customFormat="1">
      <c r="A1050" s="1655" t="s">
        <v>76</v>
      </c>
      <c r="B1050" s="1655" t="s">
        <v>1082</v>
      </c>
      <c r="C1050" s="1658" t="s">
        <v>504</v>
      </c>
      <c r="D1050" s="1655" t="s">
        <v>42</v>
      </c>
      <c r="E1050" s="1655" t="s">
        <v>569</v>
      </c>
    </row>
    <row r="1051" spans="1:5" s="1732" customFormat="1">
      <c r="A1051" s="1655" t="s">
        <v>76</v>
      </c>
      <c r="B1051" s="1655" t="s">
        <v>1162</v>
      </c>
      <c r="C1051" s="1656">
        <v>3200</v>
      </c>
      <c r="D1051" s="1655" t="s">
        <v>42</v>
      </c>
      <c r="E1051" s="1655" t="s">
        <v>571</v>
      </c>
    </row>
    <row r="1052" spans="1:5" s="1732" customFormat="1">
      <c r="A1052" s="1655" t="s">
        <v>76</v>
      </c>
      <c r="B1052" s="1655" t="s">
        <v>1163</v>
      </c>
      <c r="C1052" s="1656">
        <v>2034</v>
      </c>
      <c r="D1052" s="1655" t="s">
        <v>42</v>
      </c>
      <c r="E1052" s="1655" t="s">
        <v>572</v>
      </c>
    </row>
    <row r="1053" spans="1:5" s="1732" customFormat="1">
      <c r="A1053" s="1655" t="s">
        <v>76</v>
      </c>
      <c r="B1053" s="1655" t="s">
        <v>573</v>
      </c>
      <c r="C1053" s="1659" t="s">
        <v>570</v>
      </c>
      <c r="D1053" s="1655" t="s">
        <v>43</v>
      </c>
      <c r="E1053" s="1655" t="s">
        <v>572</v>
      </c>
    </row>
    <row r="1054" spans="1:5" s="1732" customFormat="1">
      <c r="A1054" s="1655" t="s">
        <v>76</v>
      </c>
      <c r="B1054" s="1655" t="s">
        <v>1164</v>
      </c>
      <c r="C1054" s="1659">
        <v>1.3100000000000001E-2</v>
      </c>
      <c r="D1054" s="1655" t="s">
        <v>42</v>
      </c>
      <c r="E1054" s="1655" t="s">
        <v>80</v>
      </c>
    </row>
    <row r="1055" spans="1:5" s="1732" customFormat="1">
      <c r="A1055" s="1655" t="s">
        <v>76</v>
      </c>
      <c r="B1055" s="1655" t="s">
        <v>1165</v>
      </c>
      <c r="C1055" s="1658">
        <v>0.85</v>
      </c>
      <c r="D1055" s="1655" t="s">
        <v>42</v>
      </c>
      <c r="E1055" s="1655" t="s">
        <v>80</v>
      </c>
    </row>
    <row r="1056" spans="1:5" s="1732" customFormat="1">
      <c r="A1056" s="1655" t="s">
        <v>76</v>
      </c>
      <c r="B1056" s="1655" t="s">
        <v>1083</v>
      </c>
      <c r="C1056" s="1658" t="s">
        <v>505</v>
      </c>
      <c r="D1056" s="1655" t="s">
        <v>42</v>
      </c>
      <c r="E1056" s="1655" t="s">
        <v>569</v>
      </c>
    </row>
    <row r="1057" spans="1:5" s="1732" customFormat="1">
      <c r="A1057" s="1655" t="s">
        <v>76</v>
      </c>
      <c r="B1057" s="1655" t="s">
        <v>1168</v>
      </c>
      <c r="C1057" s="1656">
        <v>3000</v>
      </c>
      <c r="D1057" s="1655" t="s">
        <v>42</v>
      </c>
      <c r="E1057" s="1655" t="s">
        <v>571</v>
      </c>
    </row>
    <row r="1058" spans="1:5" s="1732" customFormat="1">
      <c r="A1058" s="1655" t="s">
        <v>76</v>
      </c>
      <c r="B1058" s="1655" t="s">
        <v>1169</v>
      </c>
      <c r="C1058" s="1656">
        <v>2036</v>
      </c>
      <c r="D1058" s="1655" t="s">
        <v>42</v>
      </c>
      <c r="E1058" s="1655" t="s">
        <v>572</v>
      </c>
    </row>
    <row r="1059" spans="1:5" s="1732" customFormat="1">
      <c r="A1059" s="1655" t="s">
        <v>76</v>
      </c>
      <c r="B1059" s="1655" t="s">
        <v>589</v>
      </c>
      <c r="C1059" s="1655" t="s">
        <v>570</v>
      </c>
      <c r="D1059" s="1655" t="s">
        <v>43</v>
      </c>
      <c r="E1059" s="1655" t="s">
        <v>572</v>
      </c>
    </row>
    <row r="1060" spans="1:5" s="1732" customFormat="1">
      <c r="A1060" s="1655" t="s">
        <v>76</v>
      </c>
      <c r="B1060" s="1655" t="s">
        <v>1170</v>
      </c>
      <c r="C1060" s="1655">
        <v>1.3100000000000001E-2</v>
      </c>
      <c r="D1060" s="1655" t="s">
        <v>42</v>
      </c>
      <c r="E1060" s="1655" t="s">
        <v>80</v>
      </c>
    </row>
    <row r="1061" spans="1:5" s="1732" customFormat="1">
      <c r="A1061" s="1655" t="s">
        <v>76</v>
      </c>
      <c r="B1061" s="1655" t="s">
        <v>1171</v>
      </c>
      <c r="C1061" s="1658">
        <v>0.85</v>
      </c>
      <c r="D1061" s="1655" t="s">
        <v>42</v>
      </c>
      <c r="E1061" s="1655" t="s">
        <v>80</v>
      </c>
    </row>
    <row r="1062" spans="1:5" s="1732" customFormat="1">
      <c r="A1062" s="1655" t="s">
        <v>76</v>
      </c>
      <c r="B1062" s="1655" t="s">
        <v>1084</v>
      </c>
      <c r="C1062" s="1658" t="s">
        <v>2105</v>
      </c>
      <c r="D1062" s="1655" t="s">
        <v>42</v>
      </c>
      <c r="E1062" s="1655" t="s">
        <v>569</v>
      </c>
    </row>
    <row r="1063" spans="1:5" s="1732" customFormat="1">
      <c r="A1063" s="1655" t="s">
        <v>76</v>
      </c>
      <c r="B1063" s="1655" t="s">
        <v>1175</v>
      </c>
      <c r="C1063" s="1656">
        <v>1500</v>
      </c>
      <c r="D1063" s="1655" t="s">
        <v>42</v>
      </c>
      <c r="E1063" s="1655" t="s">
        <v>571</v>
      </c>
    </row>
    <row r="1064" spans="1:5" s="1732" customFormat="1">
      <c r="A1064" s="1655" t="s">
        <v>76</v>
      </c>
      <c r="B1064" s="1655" t="s">
        <v>1176</v>
      </c>
      <c r="C1064" s="1656">
        <v>2034</v>
      </c>
      <c r="D1064" s="1655" t="s">
        <v>42</v>
      </c>
      <c r="E1064" s="1655" t="s">
        <v>572</v>
      </c>
    </row>
    <row r="1065" spans="1:5" s="1732" customFormat="1">
      <c r="A1065" s="1655" t="s">
        <v>76</v>
      </c>
      <c r="B1065" s="1655" t="s">
        <v>1177</v>
      </c>
      <c r="C1065" s="1655" t="s">
        <v>570</v>
      </c>
      <c r="D1065" s="1655" t="s">
        <v>43</v>
      </c>
      <c r="E1065" s="1655" t="s">
        <v>572</v>
      </c>
    </row>
    <row r="1066" spans="1:5" s="1732" customFormat="1">
      <c r="A1066" s="1655" t="s">
        <v>76</v>
      </c>
      <c r="B1066" s="1655" t="s">
        <v>1178</v>
      </c>
      <c r="C1066" s="1656">
        <v>1.4999999999999999E-2</v>
      </c>
      <c r="D1066" s="1655" t="s">
        <v>42</v>
      </c>
      <c r="E1066" s="1655" t="s">
        <v>80</v>
      </c>
    </row>
    <row r="1067" spans="1:5" s="1732" customFormat="1">
      <c r="A1067" s="1655" t="s">
        <v>76</v>
      </c>
      <c r="B1067" s="1655" t="s">
        <v>1179</v>
      </c>
      <c r="C1067" s="1655">
        <v>1</v>
      </c>
      <c r="D1067" s="1655" t="s">
        <v>42</v>
      </c>
      <c r="E1067" s="1655" t="s">
        <v>80</v>
      </c>
    </row>
    <row r="1068" spans="1:5" s="1732" customFormat="1">
      <c r="A1068" s="1655" t="s">
        <v>76</v>
      </c>
      <c r="B1068" s="1655" t="s">
        <v>1085</v>
      </c>
      <c r="C1068" s="1655" t="s">
        <v>2304</v>
      </c>
      <c r="D1068" s="1655" t="s">
        <v>42</v>
      </c>
      <c r="E1068" s="1655" t="s">
        <v>569</v>
      </c>
    </row>
    <row r="1069" spans="1:5" s="1732" customFormat="1">
      <c r="A1069" s="1655" t="s">
        <v>76</v>
      </c>
      <c r="B1069" s="1655" t="s">
        <v>1197</v>
      </c>
      <c r="C1069" s="1656">
        <v>9500</v>
      </c>
      <c r="D1069" s="1655" t="s">
        <v>42</v>
      </c>
      <c r="E1069" s="1655" t="s">
        <v>571</v>
      </c>
    </row>
    <row r="1070" spans="1:5" s="1732" customFormat="1">
      <c r="A1070" s="1655" t="s">
        <v>76</v>
      </c>
      <c r="B1070" s="1655" t="s">
        <v>1198</v>
      </c>
      <c r="C1070" s="1656">
        <v>2000</v>
      </c>
      <c r="D1070" s="1655" t="s">
        <v>42</v>
      </c>
      <c r="E1070" s="1655" t="s">
        <v>572</v>
      </c>
    </row>
    <row r="1071" spans="1:5" s="1732" customFormat="1">
      <c r="A1071" s="1655" t="s">
        <v>76</v>
      </c>
      <c r="B1071" s="1655" t="s">
        <v>1094</v>
      </c>
      <c r="C1071" s="1656">
        <v>2034</v>
      </c>
      <c r="D1071" s="1655" t="s">
        <v>42</v>
      </c>
      <c r="E1071" s="1655" t="s">
        <v>572</v>
      </c>
    </row>
    <row r="1072" spans="1:5" s="1732" customFormat="1">
      <c r="A1072" s="1655" t="s">
        <v>76</v>
      </c>
      <c r="B1072" s="1655" t="s">
        <v>1199</v>
      </c>
      <c r="C1072" s="1655">
        <v>0.02</v>
      </c>
      <c r="D1072" s="1655" t="s">
        <v>42</v>
      </c>
      <c r="E1072" s="1655" t="s">
        <v>80</v>
      </c>
    </row>
    <row r="1073" spans="1:5" s="1732" customFormat="1">
      <c r="A1073" s="1655" t="s">
        <v>76</v>
      </c>
      <c r="B1073" s="1655" t="s">
        <v>1200</v>
      </c>
      <c r="C1073" s="1655">
        <v>1</v>
      </c>
      <c r="D1073" s="1655" t="s">
        <v>42</v>
      </c>
      <c r="E1073" s="1655" t="s">
        <v>80</v>
      </c>
    </row>
    <row r="1074" spans="1:5" s="1732" customFormat="1">
      <c r="A1074" s="1655" t="s">
        <v>76</v>
      </c>
      <c r="B1074" s="1655" t="s">
        <v>1086</v>
      </c>
      <c r="C1074" s="1655" t="s">
        <v>2305</v>
      </c>
      <c r="D1074" s="1655" t="s">
        <v>42</v>
      </c>
      <c r="E1074" s="1655" t="s">
        <v>569</v>
      </c>
    </row>
    <row r="1075" spans="1:5" s="1732" customFormat="1">
      <c r="A1075" s="1655" t="s">
        <v>76</v>
      </c>
      <c r="B1075" s="1655" t="s">
        <v>1231</v>
      </c>
      <c r="C1075" s="1656">
        <v>8000</v>
      </c>
      <c r="D1075" s="1655" t="s">
        <v>42</v>
      </c>
      <c r="E1075" s="1655" t="s">
        <v>571</v>
      </c>
    </row>
    <row r="1076" spans="1:5" s="1732" customFormat="1">
      <c r="A1076" s="1655" t="s">
        <v>76</v>
      </c>
      <c r="B1076" s="1655" t="s">
        <v>1232</v>
      </c>
      <c r="C1076" s="1656">
        <v>2000</v>
      </c>
      <c r="D1076" s="1655" t="s">
        <v>42</v>
      </c>
      <c r="E1076" s="1655" t="s">
        <v>572</v>
      </c>
    </row>
    <row r="1077" spans="1:5" s="1732" customFormat="1">
      <c r="A1077" s="1655" t="s">
        <v>76</v>
      </c>
      <c r="B1077" s="1655" t="s">
        <v>1233</v>
      </c>
      <c r="C1077" s="1659">
        <v>2036</v>
      </c>
      <c r="D1077" s="1655" t="s">
        <v>42</v>
      </c>
      <c r="E1077" s="1655" t="s">
        <v>572</v>
      </c>
    </row>
    <row r="1078" spans="1:5" s="1732" customFormat="1">
      <c r="A1078" s="1655" t="s">
        <v>76</v>
      </c>
      <c r="B1078" s="1655" t="s">
        <v>1234</v>
      </c>
      <c r="C1078" s="1659">
        <v>0.02</v>
      </c>
      <c r="D1078" s="1655" t="s">
        <v>42</v>
      </c>
      <c r="E1078" s="1655" t="s">
        <v>80</v>
      </c>
    </row>
    <row r="1079" spans="1:5" s="1732" customFormat="1">
      <c r="A1079" s="1655" t="s">
        <v>76</v>
      </c>
      <c r="B1079" s="1655" t="s">
        <v>2193</v>
      </c>
      <c r="C1079" s="1658">
        <v>1</v>
      </c>
      <c r="D1079" s="1655" t="s">
        <v>42</v>
      </c>
      <c r="E1079" s="1655" t="s">
        <v>80</v>
      </c>
    </row>
    <row r="1080" spans="1:5" s="1732" customFormat="1">
      <c r="A1080" s="1655" t="s">
        <v>76</v>
      </c>
      <c r="B1080" s="1655" t="s">
        <v>878</v>
      </c>
      <c r="C1080" s="1658" t="s">
        <v>1341</v>
      </c>
      <c r="D1080" s="1655" t="s">
        <v>42</v>
      </c>
      <c r="E1080" s="1655" t="s">
        <v>569</v>
      </c>
    </row>
    <row r="1081" spans="1:5" s="1732" customFormat="1">
      <c r="A1081" s="1655" t="s">
        <v>76</v>
      </c>
      <c r="B1081" s="1655" t="s">
        <v>879</v>
      </c>
      <c r="C1081" s="1656">
        <v>0</v>
      </c>
      <c r="D1081" s="1655" t="s">
        <v>42</v>
      </c>
      <c r="E1081" s="1655" t="s">
        <v>571</v>
      </c>
    </row>
    <row r="1082" spans="1:5" s="1732" customFormat="1">
      <c r="A1082" s="1655" t="s">
        <v>76</v>
      </c>
      <c r="B1082" s="1655" t="s">
        <v>880</v>
      </c>
      <c r="C1082" s="1656" t="s">
        <v>570</v>
      </c>
      <c r="D1082" s="1655" t="s">
        <v>43</v>
      </c>
      <c r="E1082" s="1655" t="s">
        <v>572</v>
      </c>
    </row>
    <row r="1083" spans="1:5" s="1732" customFormat="1">
      <c r="A1083" s="1655" t="s">
        <v>76</v>
      </c>
      <c r="B1083" s="1655" t="s">
        <v>881</v>
      </c>
      <c r="C1083" s="1659" t="s">
        <v>570</v>
      </c>
      <c r="D1083" s="1655" t="s">
        <v>43</v>
      </c>
      <c r="E1083" s="1655" t="s">
        <v>572</v>
      </c>
    </row>
    <row r="1084" spans="1:5" s="1732" customFormat="1">
      <c r="A1084" s="1655" t="s">
        <v>76</v>
      </c>
      <c r="B1084" s="1655" t="s">
        <v>882</v>
      </c>
      <c r="C1084" s="1659">
        <v>0</v>
      </c>
      <c r="D1084" s="1655" t="s">
        <v>42</v>
      </c>
      <c r="E1084" s="1655" t="s">
        <v>80</v>
      </c>
    </row>
    <row r="1085" spans="1:5" s="1732" customFormat="1">
      <c r="A1085" s="1655" t="s">
        <v>76</v>
      </c>
      <c r="B1085" s="1655" t="s">
        <v>2194</v>
      </c>
      <c r="C1085" s="1658">
        <v>0</v>
      </c>
      <c r="D1085" s="1655" t="s">
        <v>42</v>
      </c>
      <c r="E1085" s="1655" t="s">
        <v>80</v>
      </c>
    </row>
    <row r="1086" spans="1:5" s="1732" customFormat="1">
      <c r="A1086" s="1655" t="s">
        <v>76</v>
      </c>
      <c r="B1086" s="1655" t="s">
        <v>896</v>
      </c>
      <c r="C1086" s="1658" t="s">
        <v>1342</v>
      </c>
      <c r="D1086" s="1655" t="s">
        <v>42</v>
      </c>
      <c r="E1086" s="1655" t="s">
        <v>569</v>
      </c>
    </row>
    <row r="1087" spans="1:5" s="1732" customFormat="1">
      <c r="A1087" s="1655" t="s">
        <v>76</v>
      </c>
      <c r="B1087" s="1655" t="s">
        <v>897</v>
      </c>
      <c r="C1087" s="1656">
        <v>0</v>
      </c>
      <c r="D1087" s="1655" t="s">
        <v>42</v>
      </c>
      <c r="E1087" s="1655" t="s">
        <v>571</v>
      </c>
    </row>
    <row r="1088" spans="1:5" s="1732" customFormat="1">
      <c r="A1088" s="1655" t="s">
        <v>76</v>
      </c>
      <c r="B1088" s="1655" t="s">
        <v>898</v>
      </c>
      <c r="C1088" s="1656" t="s">
        <v>570</v>
      </c>
      <c r="D1088" s="1655" t="s">
        <v>43</v>
      </c>
      <c r="E1088" s="1655" t="s">
        <v>572</v>
      </c>
    </row>
    <row r="1089" spans="1:5" s="1732" customFormat="1">
      <c r="A1089" s="1655" t="s">
        <v>76</v>
      </c>
      <c r="B1089" s="1655" t="s">
        <v>899</v>
      </c>
      <c r="C1089" s="1659" t="s">
        <v>570</v>
      </c>
      <c r="D1089" s="1655" t="s">
        <v>43</v>
      </c>
      <c r="E1089" s="1655" t="s">
        <v>572</v>
      </c>
    </row>
    <row r="1090" spans="1:5" s="1732" customFormat="1">
      <c r="A1090" s="1655" t="s">
        <v>76</v>
      </c>
      <c r="B1090" s="1655" t="s">
        <v>900</v>
      </c>
      <c r="C1090" s="1659">
        <v>0</v>
      </c>
      <c r="D1090" s="1655" t="s">
        <v>42</v>
      </c>
      <c r="E1090" s="1655" t="s">
        <v>80</v>
      </c>
    </row>
    <row r="1091" spans="1:5" s="1732" customFormat="1">
      <c r="A1091" s="1655" t="s">
        <v>76</v>
      </c>
      <c r="B1091" s="1655" t="s">
        <v>901</v>
      </c>
      <c r="C1091" s="1658">
        <v>0</v>
      </c>
      <c r="D1091" s="1655" t="s">
        <v>42</v>
      </c>
      <c r="E1091" s="1655" t="s">
        <v>80</v>
      </c>
    </row>
    <row r="1092" spans="1:5" s="1732" customFormat="1">
      <c r="A1092" s="1655" t="s">
        <v>76</v>
      </c>
      <c r="B1092" s="1655" t="s">
        <v>1087</v>
      </c>
      <c r="C1092" s="1658" t="s">
        <v>1343</v>
      </c>
      <c r="D1092" s="1655" t="s">
        <v>42</v>
      </c>
      <c r="E1092" s="1655" t="s">
        <v>569</v>
      </c>
    </row>
    <row r="1093" spans="1:5" s="1732" customFormat="1">
      <c r="A1093" s="1655" t="s">
        <v>76</v>
      </c>
      <c r="B1093" s="1655" t="s">
        <v>1958</v>
      </c>
      <c r="C1093" s="1656">
        <v>0</v>
      </c>
      <c r="D1093" s="1655" t="s">
        <v>42</v>
      </c>
      <c r="E1093" s="1655" t="s">
        <v>571</v>
      </c>
    </row>
    <row r="1094" spans="1:5" s="1732" customFormat="1">
      <c r="A1094" s="1655" t="s">
        <v>76</v>
      </c>
      <c r="B1094" s="1655" t="s">
        <v>1959</v>
      </c>
      <c r="C1094" s="1656" t="s">
        <v>570</v>
      </c>
      <c r="D1094" s="1655" t="s">
        <v>43</v>
      </c>
      <c r="E1094" s="1655" t="s">
        <v>572</v>
      </c>
    </row>
    <row r="1095" spans="1:5" s="1732" customFormat="1">
      <c r="A1095" s="1655" t="s">
        <v>76</v>
      </c>
      <c r="B1095" s="1655" t="s">
        <v>1960</v>
      </c>
      <c r="C1095" s="1659" t="s">
        <v>570</v>
      </c>
      <c r="D1095" s="1655" t="s">
        <v>43</v>
      </c>
      <c r="E1095" s="1655" t="s">
        <v>572</v>
      </c>
    </row>
    <row r="1096" spans="1:5" s="1732" customFormat="1">
      <c r="A1096" s="1655" t="s">
        <v>76</v>
      </c>
      <c r="B1096" s="1655" t="s">
        <v>1961</v>
      </c>
      <c r="C1096" s="1659">
        <v>0</v>
      </c>
      <c r="D1096" s="1655" t="s">
        <v>42</v>
      </c>
      <c r="E1096" s="1655" t="s">
        <v>80</v>
      </c>
    </row>
    <row r="1097" spans="1:5" s="1732" customFormat="1">
      <c r="A1097" s="1655" t="s">
        <v>76</v>
      </c>
      <c r="B1097" s="1655" t="s">
        <v>2074</v>
      </c>
      <c r="C1097" s="1658">
        <v>0</v>
      </c>
      <c r="D1097" s="1655" t="s">
        <v>42</v>
      </c>
      <c r="E1097" s="1655" t="s">
        <v>80</v>
      </c>
    </row>
    <row r="1098" spans="1:5" s="1732" customFormat="1">
      <c r="A1098" s="1655" t="s">
        <v>76</v>
      </c>
      <c r="B1098" s="1655" t="s">
        <v>1088</v>
      </c>
      <c r="C1098" s="1658" t="s">
        <v>2117</v>
      </c>
      <c r="D1098" s="1655" t="s">
        <v>42</v>
      </c>
      <c r="E1098" s="1655" t="s">
        <v>569</v>
      </c>
    </row>
    <row r="1099" spans="1:5" s="1732" customFormat="1">
      <c r="A1099" s="1655" t="s">
        <v>76</v>
      </c>
      <c r="B1099" s="1655" t="s">
        <v>1962</v>
      </c>
      <c r="C1099" s="1656">
        <v>0</v>
      </c>
      <c r="D1099" s="1655" t="s">
        <v>42</v>
      </c>
      <c r="E1099" s="1655" t="s">
        <v>571</v>
      </c>
    </row>
    <row r="1100" spans="1:5" s="1732" customFormat="1">
      <c r="A1100" s="1655" t="s">
        <v>76</v>
      </c>
      <c r="B1100" s="1655" t="s">
        <v>1248</v>
      </c>
      <c r="C1100" s="1656" t="s">
        <v>570</v>
      </c>
      <c r="D1100" s="1655" t="s">
        <v>43</v>
      </c>
      <c r="E1100" s="1655" t="s">
        <v>572</v>
      </c>
    </row>
    <row r="1101" spans="1:5" s="1732" customFormat="1">
      <c r="A1101" s="1655" t="s">
        <v>76</v>
      </c>
      <c r="B1101" s="1655" t="s">
        <v>1249</v>
      </c>
      <c r="C1101" s="1656" t="s">
        <v>570</v>
      </c>
      <c r="D1101" s="1655" t="s">
        <v>43</v>
      </c>
      <c r="E1101" s="1655" t="s">
        <v>572</v>
      </c>
    </row>
    <row r="1102" spans="1:5" s="1732" customFormat="1">
      <c r="A1102" s="1655" t="s">
        <v>76</v>
      </c>
      <c r="B1102" s="1655" t="s">
        <v>1250</v>
      </c>
      <c r="C1102" s="1656">
        <v>0</v>
      </c>
      <c r="D1102" s="1655" t="s">
        <v>42</v>
      </c>
      <c r="E1102" s="1655" t="s">
        <v>80</v>
      </c>
    </row>
    <row r="1103" spans="1:5" s="1732" customFormat="1">
      <c r="A1103" s="1655" t="s">
        <v>76</v>
      </c>
      <c r="B1103" s="1655" t="s">
        <v>2195</v>
      </c>
      <c r="C1103" s="1656">
        <v>0</v>
      </c>
      <c r="D1103" s="1655" t="s">
        <v>42</v>
      </c>
      <c r="E1103" s="1655" t="s">
        <v>80</v>
      </c>
    </row>
    <row r="1104" spans="1:5" s="1732" customFormat="1">
      <c r="A1104" s="1655" t="s">
        <v>76</v>
      </c>
      <c r="B1104" s="1655" t="s">
        <v>975</v>
      </c>
      <c r="C1104" s="1656" t="s">
        <v>1344</v>
      </c>
      <c r="D1104" s="1655" t="s">
        <v>42</v>
      </c>
      <c r="E1104" s="1655" t="s">
        <v>569</v>
      </c>
    </row>
    <row r="1105" spans="1:5" s="1732" customFormat="1">
      <c r="A1105" s="1655" t="s">
        <v>76</v>
      </c>
      <c r="B1105" s="1655" t="s">
        <v>976</v>
      </c>
      <c r="C1105" s="1656">
        <v>0</v>
      </c>
      <c r="D1105" s="1655" t="s">
        <v>42</v>
      </c>
      <c r="E1105" s="1655" t="s">
        <v>571</v>
      </c>
    </row>
    <row r="1106" spans="1:5" s="1732" customFormat="1">
      <c r="A1106" s="1655" t="s">
        <v>76</v>
      </c>
      <c r="B1106" s="1655" t="s">
        <v>977</v>
      </c>
      <c r="C1106" s="1656" t="s">
        <v>570</v>
      </c>
      <c r="D1106" s="1655" t="s">
        <v>43</v>
      </c>
      <c r="E1106" s="1655" t="s">
        <v>572</v>
      </c>
    </row>
    <row r="1107" spans="1:5" s="1732" customFormat="1">
      <c r="A1107" s="1655" t="s">
        <v>76</v>
      </c>
      <c r="B1107" s="1655" t="s">
        <v>624</v>
      </c>
      <c r="C1107" s="1656" t="s">
        <v>570</v>
      </c>
      <c r="D1107" s="1655" t="s">
        <v>43</v>
      </c>
      <c r="E1107" s="1655" t="s">
        <v>572</v>
      </c>
    </row>
    <row r="1108" spans="1:5" s="1732" customFormat="1">
      <c r="A1108" s="1655" t="s">
        <v>76</v>
      </c>
      <c r="B1108" s="1655" t="s">
        <v>978</v>
      </c>
      <c r="C1108" s="1656">
        <v>0</v>
      </c>
      <c r="D1108" s="1655" t="s">
        <v>42</v>
      </c>
      <c r="E1108" s="1655" t="s">
        <v>80</v>
      </c>
    </row>
    <row r="1109" spans="1:5" s="1732" customFormat="1">
      <c r="A1109" s="1655" t="s">
        <v>76</v>
      </c>
      <c r="B1109" s="1655" t="s">
        <v>979</v>
      </c>
      <c r="C1109" s="1656">
        <v>0</v>
      </c>
      <c r="D1109" s="1655" t="s">
        <v>42</v>
      </c>
      <c r="E1109" s="1655" t="s">
        <v>80</v>
      </c>
    </row>
    <row r="1110" spans="1:5" s="1732" customFormat="1">
      <c r="A1110" s="1655" t="s">
        <v>76</v>
      </c>
      <c r="B1110" s="1655" t="s">
        <v>2196</v>
      </c>
      <c r="C1110" s="1656">
        <v>0</v>
      </c>
      <c r="D1110" s="1655" t="s">
        <v>42</v>
      </c>
      <c r="E1110" s="1655" t="s">
        <v>80</v>
      </c>
    </row>
    <row r="1111" spans="1:5" s="1732" customFormat="1">
      <c r="A1111" s="1655" t="s">
        <v>76</v>
      </c>
      <c r="B1111" s="1655" t="s">
        <v>645</v>
      </c>
      <c r="C1111" s="1656">
        <v>0</v>
      </c>
      <c r="D1111" s="1655" t="s">
        <v>42</v>
      </c>
      <c r="E1111" s="1655" t="s">
        <v>571</v>
      </c>
    </row>
    <row r="1112" spans="1:5" s="1732" customFormat="1">
      <c r="A1112" s="1655" t="s">
        <v>76</v>
      </c>
      <c r="B1112" s="1655" t="s">
        <v>646</v>
      </c>
      <c r="C1112" s="1656">
        <v>0</v>
      </c>
      <c r="D1112" s="1655" t="s">
        <v>42</v>
      </c>
      <c r="E1112" s="1655" t="s">
        <v>571</v>
      </c>
    </row>
    <row r="1113" spans="1:5" s="1732" customFormat="1">
      <c r="A1113" s="1655" t="s">
        <v>76</v>
      </c>
      <c r="B1113" s="1655" t="s">
        <v>647</v>
      </c>
      <c r="C1113" s="1656">
        <v>0</v>
      </c>
      <c r="D1113" s="1655" t="s">
        <v>42</v>
      </c>
      <c r="E1113" s="1655" t="s">
        <v>571</v>
      </c>
    </row>
    <row r="1114" spans="1:5" s="1732" customFormat="1">
      <c r="A1114" s="1655" t="s">
        <v>76</v>
      </c>
      <c r="B1114" s="1655" t="s">
        <v>648</v>
      </c>
      <c r="C1114" s="1656">
        <v>0</v>
      </c>
      <c r="D1114" s="1655" t="s">
        <v>42</v>
      </c>
      <c r="E1114" s="1655" t="s">
        <v>571</v>
      </c>
    </row>
    <row r="1115" spans="1:5" s="1732" customFormat="1">
      <c r="A1115" s="1655" t="s">
        <v>76</v>
      </c>
      <c r="B1115" s="1655" t="s">
        <v>1141</v>
      </c>
      <c r="C1115" s="1656">
        <v>0</v>
      </c>
      <c r="D1115" s="1655" t="s">
        <v>42</v>
      </c>
      <c r="E1115" s="1655" t="s">
        <v>571</v>
      </c>
    </row>
    <row r="1116" spans="1:5" s="1732" customFormat="1">
      <c r="A1116" s="1655" t="s">
        <v>76</v>
      </c>
      <c r="B1116" s="1655" t="s">
        <v>1142</v>
      </c>
      <c r="C1116" s="1656">
        <v>0</v>
      </c>
      <c r="D1116" s="1655" t="s">
        <v>42</v>
      </c>
      <c r="E1116" s="1655" t="s">
        <v>571</v>
      </c>
    </row>
    <row r="1117" spans="1:5" s="1732" customFormat="1">
      <c r="A1117" s="1655" t="s">
        <v>76</v>
      </c>
      <c r="B1117" s="1655" t="s">
        <v>1143</v>
      </c>
      <c r="C1117" s="1656">
        <v>0</v>
      </c>
      <c r="D1117" s="1655" t="s">
        <v>42</v>
      </c>
      <c r="E1117" s="1655" t="s">
        <v>571</v>
      </c>
    </row>
    <row r="1118" spans="1:5" s="1732" customFormat="1">
      <c r="A1118" s="1655" t="s">
        <v>76</v>
      </c>
      <c r="B1118" s="1655" t="s">
        <v>649</v>
      </c>
      <c r="C1118" s="1656">
        <v>0</v>
      </c>
      <c r="D1118" s="1655" t="s">
        <v>42</v>
      </c>
      <c r="E1118" s="1655" t="s">
        <v>571</v>
      </c>
    </row>
    <row r="1119" spans="1:5" s="1732" customFormat="1">
      <c r="A1119" s="1655" t="s">
        <v>76</v>
      </c>
      <c r="B1119" s="1655" t="s">
        <v>650</v>
      </c>
      <c r="C1119" s="1656">
        <v>0</v>
      </c>
      <c r="D1119" s="1655" t="s">
        <v>42</v>
      </c>
      <c r="E1119" s="1655" t="s">
        <v>571</v>
      </c>
    </row>
    <row r="1120" spans="1:5" s="1732" customFormat="1">
      <c r="A1120" s="1655" t="s">
        <v>76</v>
      </c>
      <c r="B1120" s="1655" t="s">
        <v>651</v>
      </c>
      <c r="C1120" s="1656">
        <v>0</v>
      </c>
      <c r="D1120" s="1655" t="s">
        <v>42</v>
      </c>
      <c r="E1120" s="1655" t="s">
        <v>571</v>
      </c>
    </row>
    <row r="1121" spans="1:5" s="1732" customFormat="1">
      <c r="A1121" s="1655" t="s">
        <v>76</v>
      </c>
      <c r="B1121" s="1655" t="s">
        <v>652</v>
      </c>
      <c r="C1121" s="1656">
        <v>0</v>
      </c>
      <c r="D1121" s="1655" t="s">
        <v>42</v>
      </c>
      <c r="E1121" s="1655" t="s">
        <v>571</v>
      </c>
    </row>
    <row r="1122" spans="1:5" s="1732" customFormat="1">
      <c r="A1122" s="1655" t="s">
        <v>76</v>
      </c>
      <c r="B1122" s="1655" t="s">
        <v>653</v>
      </c>
      <c r="C1122" s="1656">
        <v>0</v>
      </c>
      <c r="D1122" s="1655" t="s">
        <v>42</v>
      </c>
      <c r="E1122" s="1655" t="s">
        <v>571</v>
      </c>
    </row>
    <row r="1123" spans="1:5" s="1732" customFormat="1">
      <c r="A1123" s="1655" t="s">
        <v>76</v>
      </c>
      <c r="B1123" s="1655" t="s">
        <v>654</v>
      </c>
      <c r="C1123" s="1656">
        <v>0</v>
      </c>
      <c r="D1123" s="1655" t="s">
        <v>42</v>
      </c>
      <c r="E1123" s="1655" t="s">
        <v>571</v>
      </c>
    </row>
    <row r="1124" spans="1:5" s="1732" customFormat="1">
      <c r="A1124" s="1655" t="s">
        <v>76</v>
      </c>
      <c r="B1124" s="1655" t="s">
        <v>655</v>
      </c>
      <c r="C1124" s="1656">
        <v>0</v>
      </c>
      <c r="D1124" s="1655" t="s">
        <v>42</v>
      </c>
      <c r="E1124" s="1655" t="s">
        <v>571</v>
      </c>
    </row>
    <row r="1125" spans="1:5" s="1732" customFormat="1">
      <c r="A1125" s="1655" t="s">
        <v>76</v>
      </c>
      <c r="B1125" s="1655" t="s">
        <v>656</v>
      </c>
      <c r="C1125" s="1656">
        <v>0</v>
      </c>
      <c r="D1125" s="1655" t="s">
        <v>42</v>
      </c>
      <c r="E1125" s="1655" t="s">
        <v>571</v>
      </c>
    </row>
    <row r="1126" spans="1:5" s="1732" customFormat="1">
      <c r="A1126" s="1655" t="s">
        <v>76</v>
      </c>
      <c r="B1126" s="1655" t="s">
        <v>657</v>
      </c>
      <c r="C1126" s="1656">
        <v>0</v>
      </c>
      <c r="D1126" s="1655" t="s">
        <v>42</v>
      </c>
      <c r="E1126" s="1655" t="s">
        <v>571</v>
      </c>
    </row>
    <row r="1127" spans="1:5" s="1732" customFormat="1">
      <c r="A1127" s="1655" t="s">
        <v>76</v>
      </c>
      <c r="B1127" s="1655" t="s">
        <v>658</v>
      </c>
      <c r="C1127" s="1656">
        <v>0</v>
      </c>
      <c r="D1127" s="1655" t="s">
        <v>42</v>
      </c>
      <c r="E1127" s="1655" t="s">
        <v>571</v>
      </c>
    </row>
    <row r="1128" spans="1:5" s="1732" customFormat="1">
      <c r="A1128" s="1655" t="s">
        <v>76</v>
      </c>
      <c r="B1128" s="1655" t="s">
        <v>659</v>
      </c>
      <c r="C1128" s="1656">
        <v>0</v>
      </c>
      <c r="D1128" s="1655" t="s">
        <v>42</v>
      </c>
      <c r="E1128" s="1655" t="s">
        <v>571</v>
      </c>
    </row>
    <row r="1129" spans="1:5" s="1732" customFormat="1">
      <c r="A1129" s="1655" t="s">
        <v>76</v>
      </c>
      <c r="B1129" s="1655" t="s">
        <v>660</v>
      </c>
      <c r="C1129" s="1656">
        <v>0</v>
      </c>
      <c r="D1129" s="1655" t="s">
        <v>42</v>
      </c>
      <c r="E1129" s="1655" t="s">
        <v>571</v>
      </c>
    </row>
    <row r="1130" spans="1:5" s="1732" customFormat="1">
      <c r="A1130" s="1655" t="s">
        <v>76</v>
      </c>
      <c r="B1130" s="1655" t="s">
        <v>1144</v>
      </c>
      <c r="C1130" s="1656">
        <v>0</v>
      </c>
      <c r="D1130" s="1655" t="s">
        <v>42</v>
      </c>
      <c r="E1130" s="1655" t="s">
        <v>571</v>
      </c>
    </row>
    <row r="1131" spans="1:5" s="1732" customFormat="1">
      <c r="A1131" s="1655" t="s">
        <v>76</v>
      </c>
      <c r="B1131" s="1655" t="s">
        <v>1145</v>
      </c>
      <c r="C1131" s="1656">
        <v>0</v>
      </c>
      <c r="D1131" s="1655" t="s">
        <v>42</v>
      </c>
      <c r="E1131" s="1655" t="s">
        <v>571</v>
      </c>
    </row>
    <row r="1132" spans="1:5" s="1732" customFormat="1">
      <c r="A1132" s="1655" t="s">
        <v>76</v>
      </c>
      <c r="B1132" s="1655" t="s">
        <v>1146</v>
      </c>
      <c r="C1132" s="1656">
        <v>0</v>
      </c>
      <c r="D1132" s="1655" t="s">
        <v>42</v>
      </c>
      <c r="E1132" s="1655" t="s">
        <v>571</v>
      </c>
    </row>
    <row r="1133" spans="1:5" s="1732" customFormat="1">
      <c r="A1133" s="1655" t="s">
        <v>76</v>
      </c>
      <c r="B1133" s="1655" t="s">
        <v>1147</v>
      </c>
      <c r="C1133" s="1656">
        <v>0</v>
      </c>
      <c r="D1133" s="1655" t="s">
        <v>42</v>
      </c>
      <c r="E1133" s="1655" t="s">
        <v>571</v>
      </c>
    </row>
    <row r="1134" spans="1:5" s="1732" customFormat="1">
      <c r="A1134" s="1655" t="s">
        <v>76</v>
      </c>
      <c r="B1134" s="1655" t="s">
        <v>1148</v>
      </c>
      <c r="C1134" s="1656">
        <v>0</v>
      </c>
      <c r="D1134" s="1655" t="s">
        <v>42</v>
      </c>
      <c r="E1134" s="1655" t="s">
        <v>571</v>
      </c>
    </row>
    <row r="1135" spans="1:5" s="1732" customFormat="1">
      <c r="A1135" s="1655" t="s">
        <v>76</v>
      </c>
      <c r="B1135" s="1655" t="s">
        <v>661</v>
      </c>
      <c r="C1135" s="1656">
        <v>0</v>
      </c>
      <c r="D1135" s="1655" t="s">
        <v>42</v>
      </c>
      <c r="E1135" s="1655" t="s">
        <v>571</v>
      </c>
    </row>
    <row r="1136" spans="1:5" s="1732" customFormat="1">
      <c r="A1136" s="1655" t="s">
        <v>76</v>
      </c>
      <c r="B1136" s="1655" t="s">
        <v>662</v>
      </c>
      <c r="C1136" s="1656">
        <v>0</v>
      </c>
      <c r="D1136" s="1655" t="s">
        <v>42</v>
      </c>
      <c r="E1136" s="1655" t="s">
        <v>571</v>
      </c>
    </row>
    <row r="1137" spans="1:5" s="1732" customFormat="1">
      <c r="A1137" s="1655" t="s">
        <v>76</v>
      </c>
      <c r="B1137" s="1655" t="s">
        <v>663</v>
      </c>
      <c r="C1137" s="1656">
        <v>0</v>
      </c>
      <c r="D1137" s="1655" t="s">
        <v>42</v>
      </c>
      <c r="E1137" s="1655" t="s">
        <v>571</v>
      </c>
    </row>
    <row r="1138" spans="1:5" s="1732" customFormat="1">
      <c r="A1138" s="1655" t="s">
        <v>76</v>
      </c>
      <c r="B1138" s="1655" t="s">
        <v>1149</v>
      </c>
      <c r="C1138" s="1656">
        <v>0</v>
      </c>
      <c r="D1138" s="1655" t="s">
        <v>42</v>
      </c>
      <c r="E1138" s="1655" t="s">
        <v>571</v>
      </c>
    </row>
    <row r="1139" spans="1:5" s="1732" customFormat="1">
      <c r="A1139" s="1655" t="s">
        <v>76</v>
      </c>
      <c r="B1139" s="1655" t="s">
        <v>1150</v>
      </c>
      <c r="C1139" s="1656">
        <v>0</v>
      </c>
      <c r="D1139" s="1655" t="s">
        <v>42</v>
      </c>
      <c r="E1139" s="1655" t="s">
        <v>571</v>
      </c>
    </row>
    <row r="1140" spans="1:5" s="1732" customFormat="1">
      <c r="A1140" s="1655" t="s">
        <v>76</v>
      </c>
      <c r="B1140" s="1655" t="s">
        <v>1151</v>
      </c>
      <c r="C1140" s="1656">
        <v>0</v>
      </c>
      <c r="D1140" s="1655" t="s">
        <v>42</v>
      </c>
      <c r="E1140" s="1655" t="s">
        <v>571</v>
      </c>
    </row>
    <row r="1141" spans="1:5" s="1732" customFormat="1">
      <c r="A1141" s="1655" t="s">
        <v>76</v>
      </c>
      <c r="B1141" s="1655" t="s">
        <v>664</v>
      </c>
      <c r="C1141" s="1656">
        <v>0</v>
      </c>
      <c r="D1141" s="1655" t="s">
        <v>42</v>
      </c>
      <c r="E1141" s="1655" t="s">
        <v>571</v>
      </c>
    </row>
    <row r="1142" spans="1:5" s="1732" customFormat="1">
      <c r="A1142" s="1655" t="s">
        <v>76</v>
      </c>
      <c r="B1142" s="1655" t="s">
        <v>665</v>
      </c>
      <c r="C1142" s="1656">
        <v>0</v>
      </c>
      <c r="D1142" s="1655" t="s">
        <v>42</v>
      </c>
      <c r="E1142" s="1655" t="s">
        <v>571</v>
      </c>
    </row>
    <row r="1143" spans="1:5" s="1732" customFormat="1">
      <c r="A1143" s="1655" t="s">
        <v>76</v>
      </c>
      <c r="B1143" s="1655" t="s">
        <v>1152</v>
      </c>
      <c r="C1143" s="1656">
        <v>0</v>
      </c>
      <c r="D1143" s="1655" t="s">
        <v>42</v>
      </c>
      <c r="E1143" s="1655" t="s">
        <v>571</v>
      </c>
    </row>
    <row r="1144" spans="1:5" s="1732" customFormat="1">
      <c r="A1144" s="1655" t="s">
        <v>76</v>
      </c>
      <c r="B1144" s="1655" t="s">
        <v>1153</v>
      </c>
      <c r="C1144" s="1656">
        <v>0</v>
      </c>
      <c r="D1144" s="1655" t="s">
        <v>42</v>
      </c>
      <c r="E1144" s="1655" t="s">
        <v>571</v>
      </c>
    </row>
    <row r="1145" spans="1:5" s="1732" customFormat="1">
      <c r="A1145" s="1655" t="s">
        <v>76</v>
      </c>
      <c r="B1145" s="1655" t="s">
        <v>1963</v>
      </c>
      <c r="C1145" s="1656">
        <v>0</v>
      </c>
      <c r="D1145" s="1655" t="s">
        <v>42</v>
      </c>
      <c r="E1145" s="1655" t="s">
        <v>571</v>
      </c>
    </row>
    <row r="1146" spans="1:5" s="1732" customFormat="1">
      <c r="A1146" s="1655" t="s">
        <v>76</v>
      </c>
      <c r="B1146" s="1655" t="s">
        <v>1964</v>
      </c>
      <c r="C1146" s="1656">
        <v>0</v>
      </c>
      <c r="D1146" s="1655" t="s">
        <v>42</v>
      </c>
      <c r="E1146" s="1655" t="s">
        <v>571</v>
      </c>
    </row>
    <row r="1147" spans="1:5" s="1732" customFormat="1">
      <c r="A1147" s="1655" t="s">
        <v>76</v>
      </c>
      <c r="B1147" s="1655" t="s">
        <v>1965</v>
      </c>
      <c r="C1147" s="1656">
        <v>0</v>
      </c>
      <c r="D1147" s="1655" t="s">
        <v>42</v>
      </c>
      <c r="E1147" s="1655" t="s">
        <v>571</v>
      </c>
    </row>
    <row r="1148" spans="1:5" s="1732" customFormat="1">
      <c r="A1148" s="1655" t="s">
        <v>76</v>
      </c>
      <c r="B1148" s="1655" t="s">
        <v>1966</v>
      </c>
      <c r="C1148" s="1656">
        <v>0</v>
      </c>
      <c r="D1148" s="1655" t="s">
        <v>42</v>
      </c>
      <c r="E1148" s="1655" t="s">
        <v>571</v>
      </c>
    </row>
    <row r="1149" spans="1:5" s="1732" customFormat="1">
      <c r="A1149" s="1655" t="s">
        <v>76</v>
      </c>
      <c r="B1149" s="1655" t="s">
        <v>1967</v>
      </c>
      <c r="C1149" s="1656">
        <v>0</v>
      </c>
      <c r="D1149" s="1655" t="s">
        <v>42</v>
      </c>
      <c r="E1149" s="1655" t="s">
        <v>571</v>
      </c>
    </row>
    <row r="1150" spans="1:5" s="1732" customFormat="1">
      <c r="A1150" s="1655" t="s">
        <v>76</v>
      </c>
      <c r="B1150" s="1655" t="s">
        <v>1968</v>
      </c>
      <c r="C1150" s="1656">
        <v>0</v>
      </c>
      <c r="D1150" s="1655" t="s">
        <v>42</v>
      </c>
      <c r="E1150" s="1655" t="s">
        <v>571</v>
      </c>
    </row>
    <row r="1151" spans="1:5" s="1732" customFormat="1">
      <c r="A1151" s="1655" t="s">
        <v>76</v>
      </c>
      <c r="B1151" s="1655" t="s">
        <v>1969</v>
      </c>
      <c r="C1151" s="1656">
        <v>0</v>
      </c>
      <c r="D1151" s="1655" t="s">
        <v>42</v>
      </c>
      <c r="E1151" s="1655" t="s">
        <v>571</v>
      </c>
    </row>
    <row r="1152" spans="1:5" s="1732" customFormat="1">
      <c r="A1152" s="1655" t="s">
        <v>76</v>
      </c>
      <c r="B1152" s="1655" t="s">
        <v>1970</v>
      </c>
      <c r="C1152" s="1656">
        <v>0</v>
      </c>
      <c r="D1152" s="1655" t="s">
        <v>42</v>
      </c>
      <c r="E1152" s="1655" t="s">
        <v>571</v>
      </c>
    </row>
    <row r="1153" spans="1:5" s="1732" customFormat="1">
      <c r="A1153" s="1655" t="s">
        <v>76</v>
      </c>
      <c r="B1153" s="1655" t="s">
        <v>1971</v>
      </c>
      <c r="C1153" s="1656">
        <v>0</v>
      </c>
      <c r="D1153" s="1655" t="s">
        <v>42</v>
      </c>
      <c r="E1153" s="1655" t="s">
        <v>571</v>
      </c>
    </row>
    <row r="1154" spans="1:5" s="1732" customFormat="1">
      <c r="A1154" s="1655" t="s">
        <v>76</v>
      </c>
      <c r="B1154" s="1655" t="s">
        <v>1972</v>
      </c>
      <c r="C1154" s="1656">
        <v>0</v>
      </c>
      <c r="D1154" s="1655" t="s">
        <v>42</v>
      </c>
      <c r="E1154" s="1655" t="s">
        <v>571</v>
      </c>
    </row>
    <row r="1155" spans="1:5" s="1732" customFormat="1">
      <c r="A1155" s="1655" t="s">
        <v>76</v>
      </c>
      <c r="B1155" s="1655" t="s">
        <v>1973</v>
      </c>
      <c r="C1155" s="1656">
        <v>0</v>
      </c>
      <c r="D1155" s="1655" t="s">
        <v>42</v>
      </c>
      <c r="E1155" s="1655" t="s">
        <v>571</v>
      </c>
    </row>
    <row r="1156" spans="1:5" s="1732" customFormat="1">
      <c r="A1156" s="1655" t="s">
        <v>76</v>
      </c>
      <c r="B1156" s="1655" t="s">
        <v>1974</v>
      </c>
      <c r="C1156" s="1656">
        <v>0</v>
      </c>
      <c r="D1156" s="1655" t="s">
        <v>42</v>
      </c>
      <c r="E1156" s="1655" t="s">
        <v>571</v>
      </c>
    </row>
    <row r="1157" spans="1:5" s="1732" customFormat="1">
      <c r="A1157" s="1655" t="s">
        <v>76</v>
      </c>
      <c r="B1157" s="1655" t="s">
        <v>1975</v>
      </c>
      <c r="C1157" s="1656">
        <v>0</v>
      </c>
      <c r="D1157" s="1655" t="s">
        <v>42</v>
      </c>
      <c r="E1157" s="1655" t="s">
        <v>571</v>
      </c>
    </row>
    <row r="1158" spans="1:5" s="1732" customFormat="1">
      <c r="A1158" s="1655" t="s">
        <v>76</v>
      </c>
      <c r="B1158" s="1655" t="s">
        <v>1976</v>
      </c>
      <c r="C1158" s="1656">
        <v>0</v>
      </c>
      <c r="D1158" s="1655" t="s">
        <v>42</v>
      </c>
      <c r="E1158" s="1655" t="s">
        <v>571</v>
      </c>
    </row>
    <row r="1159" spans="1:5" s="1732" customFormat="1">
      <c r="A1159" s="1655" t="s">
        <v>76</v>
      </c>
      <c r="B1159" s="1655" t="s">
        <v>2197</v>
      </c>
      <c r="C1159" s="1656">
        <v>0</v>
      </c>
      <c r="D1159" s="1655" t="s">
        <v>42</v>
      </c>
      <c r="E1159" s="1655" t="s">
        <v>571</v>
      </c>
    </row>
    <row r="1160" spans="1:5" s="1732" customFormat="1">
      <c r="A1160" s="1655" t="s">
        <v>76</v>
      </c>
      <c r="B1160" s="1655" t="s">
        <v>2198</v>
      </c>
      <c r="C1160" s="1656">
        <v>0</v>
      </c>
      <c r="D1160" s="1655" t="s">
        <v>42</v>
      </c>
      <c r="E1160" s="1655" t="s">
        <v>571</v>
      </c>
    </row>
    <row r="1161" spans="1:5" s="1732" customFormat="1">
      <c r="A1161" s="1655" t="s">
        <v>76</v>
      </c>
      <c r="B1161" s="1655" t="s">
        <v>2199</v>
      </c>
      <c r="C1161" s="1656">
        <v>0</v>
      </c>
      <c r="D1161" s="1655" t="s">
        <v>42</v>
      </c>
      <c r="E1161" s="1655" t="s">
        <v>571</v>
      </c>
    </row>
    <row r="1162" spans="1:5" s="1732" customFormat="1">
      <c r="A1162" s="1655" t="s">
        <v>76</v>
      </c>
      <c r="B1162" s="1655" t="s">
        <v>2200</v>
      </c>
      <c r="C1162" s="1656">
        <v>0</v>
      </c>
      <c r="D1162" s="1655" t="s">
        <v>42</v>
      </c>
      <c r="E1162" s="1655" t="s">
        <v>571</v>
      </c>
    </row>
    <row r="1163" spans="1:5" s="1732" customFormat="1">
      <c r="A1163" s="1655" t="s">
        <v>76</v>
      </c>
      <c r="B1163" s="1655" t="s">
        <v>2201</v>
      </c>
      <c r="C1163" s="1656">
        <v>0</v>
      </c>
      <c r="D1163" s="1655" t="s">
        <v>42</v>
      </c>
      <c r="E1163" s="1655" t="s">
        <v>571</v>
      </c>
    </row>
    <row r="1164" spans="1:5" s="1732" customFormat="1">
      <c r="A1164" s="1655" t="s">
        <v>76</v>
      </c>
      <c r="B1164" s="1655" t="s">
        <v>2202</v>
      </c>
      <c r="C1164" s="1656">
        <v>0</v>
      </c>
      <c r="D1164" s="1655" t="s">
        <v>42</v>
      </c>
      <c r="E1164" s="1655" t="s">
        <v>571</v>
      </c>
    </row>
    <row r="1165" spans="1:5" s="1732" customFormat="1">
      <c r="A1165" s="1655" t="s">
        <v>76</v>
      </c>
      <c r="B1165" s="1655" t="s">
        <v>2203</v>
      </c>
      <c r="C1165" s="1656">
        <v>0</v>
      </c>
      <c r="D1165" s="1655" t="s">
        <v>42</v>
      </c>
      <c r="E1165" s="1655" t="s">
        <v>571</v>
      </c>
    </row>
    <row r="1166" spans="1:5" s="1732" customFormat="1">
      <c r="A1166" s="1655" t="s">
        <v>76</v>
      </c>
      <c r="B1166" s="1655" t="s">
        <v>2204</v>
      </c>
      <c r="C1166" s="1656">
        <v>0</v>
      </c>
      <c r="D1166" s="1655" t="s">
        <v>42</v>
      </c>
      <c r="E1166" s="1655" t="s">
        <v>571</v>
      </c>
    </row>
    <row r="1167" spans="1:5" s="1732" customFormat="1">
      <c r="A1167" s="1655" t="s">
        <v>76</v>
      </c>
      <c r="B1167" s="1655" t="s">
        <v>2205</v>
      </c>
      <c r="C1167" s="1656">
        <v>0</v>
      </c>
      <c r="D1167" s="1655" t="s">
        <v>42</v>
      </c>
      <c r="E1167" s="1655" t="s">
        <v>571</v>
      </c>
    </row>
    <row r="1168" spans="1:5" s="1732" customFormat="1">
      <c r="A1168" s="1655" t="s">
        <v>76</v>
      </c>
      <c r="B1168" s="1655" t="s">
        <v>2206</v>
      </c>
      <c r="C1168" s="1656">
        <v>0</v>
      </c>
      <c r="D1168" s="1655" t="s">
        <v>42</v>
      </c>
      <c r="E1168" s="1655" t="s">
        <v>571</v>
      </c>
    </row>
    <row r="1169" spans="1:5" s="1732" customFormat="1">
      <c r="A1169" s="1655" t="s">
        <v>76</v>
      </c>
      <c r="B1169" s="1655" t="s">
        <v>2207</v>
      </c>
      <c r="C1169" s="1656">
        <v>0</v>
      </c>
      <c r="D1169" s="1655" t="s">
        <v>42</v>
      </c>
      <c r="E1169" s="1655" t="s">
        <v>571</v>
      </c>
    </row>
    <row r="1170" spans="1:5" s="1732" customFormat="1">
      <c r="A1170" s="1655" t="s">
        <v>76</v>
      </c>
      <c r="B1170" s="1655" t="s">
        <v>2208</v>
      </c>
      <c r="C1170" s="1656">
        <v>0</v>
      </c>
      <c r="D1170" s="1655" t="s">
        <v>42</v>
      </c>
      <c r="E1170" s="1655" t="s">
        <v>571</v>
      </c>
    </row>
    <row r="1171" spans="1:5" s="1732" customFormat="1">
      <c r="A1171" s="1655" t="s">
        <v>76</v>
      </c>
      <c r="B1171" s="1655" t="s">
        <v>2209</v>
      </c>
      <c r="C1171" s="1656">
        <v>0</v>
      </c>
      <c r="D1171" s="1655" t="s">
        <v>42</v>
      </c>
      <c r="E1171" s="1655" t="s">
        <v>571</v>
      </c>
    </row>
    <row r="1172" spans="1:5" s="1732" customFormat="1">
      <c r="A1172" s="1655" t="s">
        <v>76</v>
      </c>
      <c r="B1172" s="1655" t="s">
        <v>2210</v>
      </c>
      <c r="C1172" s="1656">
        <v>0</v>
      </c>
      <c r="D1172" s="1655" t="s">
        <v>42</v>
      </c>
      <c r="E1172" s="1655" t="s">
        <v>571</v>
      </c>
    </row>
    <row r="1173" spans="1:5" s="1732" customFormat="1">
      <c r="A1173" s="1655" t="s">
        <v>76</v>
      </c>
      <c r="B1173" s="1655" t="s">
        <v>2211</v>
      </c>
      <c r="C1173" s="1656">
        <v>0</v>
      </c>
      <c r="D1173" s="1655" t="s">
        <v>42</v>
      </c>
      <c r="E1173" s="1655" t="s">
        <v>571</v>
      </c>
    </row>
    <row r="1174" spans="1:5" s="1732" customFormat="1">
      <c r="A1174" s="1655" t="s">
        <v>76</v>
      </c>
      <c r="B1174" s="1655" t="s">
        <v>2212</v>
      </c>
      <c r="C1174" s="1656">
        <v>0</v>
      </c>
      <c r="D1174" s="1655" t="s">
        <v>42</v>
      </c>
      <c r="E1174" s="1655" t="s">
        <v>571</v>
      </c>
    </row>
    <row r="1175" spans="1:5" s="1732" customFormat="1">
      <c r="A1175" s="1655" t="s">
        <v>76</v>
      </c>
      <c r="B1175" s="1655" t="s">
        <v>2213</v>
      </c>
      <c r="C1175" s="1656">
        <v>0</v>
      </c>
      <c r="D1175" s="1655" t="s">
        <v>42</v>
      </c>
      <c r="E1175" s="1655" t="s">
        <v>571</v>
      </c>
    </row>
    <row r="1176" spans="1:5" s="1732" customFormat="1">
      <c r="A1176" s="1655" t="s">
        <v>76</v>
      </c>
      <c r="B1176" s="1655" t="s">
        <v>2214</v>
      </c>
      <c r="C1176" s="1656">
        <v>0</v>
      </c>
      <c r="D1176" s="1655" t="s">
        <v>42</v>
      </c>
      <c r="E1176" s="1655" t="s">
        <v>571</v>
      </c>
    </row>
    <row r="1177" spans="1:5" s="1732" customFormat="1">
      <c r="A1177" s="1655" t="s">
        <v>76</v>
      </c>
      <c r="B1177" s="1655" t="s">
        <v>2215</v>
      </c>
      <c r="C1177" s="1656">
        <v>0</v>
      </c>
      <c r="D1177" s="1655" t="s">
        <v>42</v>
      </c>
      <c r="E1177" s="1655" t="s">
        <v>571</v>
      </c>
    </row>
    <row r="1178" spans="1:5" s="1732" customFormat="1">
      <c r="A1178" s="1655" t="s">
        <v>76</v>
      </c>
      <c r="B1178" s="1655" t="s">
        <v>2216</v>
      </c>
      <c r="C1178" s="1656">
        <v>0</v>
      </c>
      <c r="D1178" s="1655" t="s">
        <v>42</v>
      </c>
      <c r="E1178" s="1655" t="s">
        <v>571</v>
      </c>
    </row>
    <row r="1179" spans="1:5" s="1732" customFormat="1">
      <c r="A1179" s="1655" t="s">
        <v>76</v>
      </c>
      <c r="B1179" s="1655" t="s">
        <v>2217</v>
      </c>
      <c r="C1179" s="1656">
        <v>0</v>
      </c>
      <c r="D1179" s="1655" t="s">
        <v>42</v>
      </c>
      <c r="E1179" s="1655" t="s">
        <v>571</v>
      </c>
    </row>
    <row r="1180" spans="1:5" s="1732" customFormat="1">
      <c r="A1180" s="1655" t="s">
        <v>76</v>
      </c>
      <c r="B1180" s="1655" t="s">
        <v>2218</v>
      </c>
      <c r="C1180" s="1656">
        <v>0</v>
      </c>
      <c r="D1180" s="1655" t="s">
        <v>42</v>
      </c>
      <c r="E1180" s="1655" t="s">
        <v>571</v>
      </c>
    </row>
    <row r="1181" spans="1:5" s="1732" customFormat="1">
      <c r="A1181" s="1655" t="s">
        <v>76</v>
      </c>
      <c r="B1181" s="1655" t="s">
        <v>2219</v>
      </c>
      <c r="C1181" s="1656">
        <v>0</v>
      </c>
      <c r="D1181" s="1655" t="s">
        <v>42</v>
      </c>
      <c r="E1181" s="1655" t="s">
        <v>571</v>
      </c>
    </row>
    <row r="1182" spans="1:5" s="1732" customFormat="1">
      <c r="A1182" s="1655" t="s">
        <v>76</v>
      </c>
      <c r="B1182" s="1655" t="s">
        <v>2220</v>
      </c>
      <c r="C1182" s="1656">
        <v>0</v>
      </c>
      <c r="D1182" s="1655" t="s">
        <v>42</v>
      </c>
      <c r="E1182" s="1655" t="s">
        <v>571</v>
      </c>
    </row>
    <row r="1183" spans="1:5" s="1732" customFormat="1">
      <c r="A1183" s="1655" t="s">
        <v>76</v>
      </c>
      <c r="B1183" s="1655" t="s">
        <v>2221</v>
      </c>
      <c r="C1183" s="1656">
        <v>0</v>
      </c>
      <c r="D1183" s="1655" t="s">
        <v>42</v>
      </c>
      <c r="E1183" s="1655" t="s">
        <v>571</v>
      </c>
    </row>
    <row r="1184" spans="1:5" s="1732" customFormat="1">
      <c r="A1184" s="1655" t="s">
        <v>76</v>
      </c>
      <c r="B1184" s="1655" t="s">
        <v>2222</v>
      </c>
      <c r="C1184" s="1656">
        <v>0</v>
      </c>
      <c r="D1184" s="1655" t="s">
        <v>42</v>
      </c>
      <c r="E1184" s="1655" t="s">
        <v>571</v>
      </c>
    </row>
    <row r="1185" spans="1:5" s="1732" customFormat="1">
      <c r="A1185" s="1655" t="s">
        <v>76</v>
      </c>
      <c r="B1185" s="1655" t="s">
        <v>2223</v>
      </c>
      <c r="C1185" s="1656">
        <v>0</v>
      </c>
      <c r="D1185" s="1655" t="s">
        <v>42</v>
      </c>
      <c r="E1185" s="1655" t="s">
        <v>571</v>
      </c>
    </row>
    <row r="1186" spans="1:5" s="1732" customFormat="1">
      <c r="A1186" s="1655" t="s">
        <v>76</v>
      </c>
      <c r="B1186" s="1655" t="s">
        <v>2224</v>
      </c>
      <c r="C1186" s="1656">
        <v>0</v>
      </c>
      <c r="D1186" s="1655" t="s">
        <v>42</v>
      </c>
      <c r="E1186" s="1655" t="s">
        <v>571</v>
      </c>
    </row>
    <row r="1187" spans="1:5" s="1732" customFormat="1">
      <c r="A1187" s="1655" t="s">
        <v>76</v>
      </c>
      <c r="B1187" s="1655" t="s">
        <v>2225</v>
      </c>
      <c r="C1187" s="1656">
        <v>0</v>
      </c>
      <c r="D1187" s="1655" t="s">
        <v>42</v>
      </c>
      <c r="E1187" s="1655" t="s">
        <v>571</v>
      </c>
    </row>
    <row r="1188" spans="1:5" s="1732" customFormat="1">
      <c r="A1188" s="1655" t="s">
        <v>76</v>
      </c>
      <c r="B1188" s="1655" t="s">
        <v>2226</v>
      </c>
      <c r="C1188" s="1656">
        <v>0</v>
      </c>
      <c r="D1188" s="1655" t="s">
        <v>42</v>
      </c>
      <c r="E1188" s="1655" t="s">
        <v>571</v>
      </c>
    </row>
    <row r="1189" spans="1:5" s="1732" customFormat="1">
      <c r="A1189" s="1655" t="s">
        <v>76</v>
      </c>
      <c r="B1189" s="1655" t="s">
        <v>2227</v>
      </c>
      <c r="C1189" s="1656">
        <v>0</v>
      </c>
      <c r="D1189" s="1655" t="s">
        <v>42</v>
      </c>
      <c r="E1189" s="1655" t="s">
        <v>571</v>
      </c>
    </row>
    <row r="1190" spans="1:5" s="1732" customFormat="1">
      <c r="A1190" s="1655" t="s">
        <v>76</v>
      </c>
      <c r="B1190" s="1655" t="s">
        <v>2228</v>
      </c>
      <c r="C1190" s="1656">
        <v>0</v>
      </c>
      <c r="D1190" s="1655" t="s">
        <v>42</v>
      </c>
      <c r="E1190" s="1655" t="s">
        <v>571</v>
      </c>
    </row>
    <row r="1191" spans="1:5" s="1732" customFormat="1">
      <c r="A1191" s="1655" t="s">
        <v>76</v>
      </c>
      <c r="B1191" s="1655" t="s">
        <v>2229</v>
      </c>
      <c r="C1191" s="1656">
        <v>0</v>
      </c>
      <c r="D1191" s="1655" t="s">
        <v>42</v>
      </c>
      <c r="E1191" s="1655" t="s">
        <v>571</v>
      </c>
    </row>
    <row r="1192" spans="1:5" s="1732" customFormat="1">
      <c r="A1192" s="1655" t="s">
        <v>76</v>
      </c>
      <c r="B1192" s="1655" t="s">
        <v>2230</v>
      </c>
      <c r="C1192" s="1656">
        <v>0</v>
      </c>
      <c r="D1192" s="1655" t="s">
        <v>42</v>
      </c>
      <c r="E1192" s="1655" t="s">
        <v>571</v>
      </c>
    </row>
    <row r="1193" spans="1:5" s="1732" customFormat="1">
      <c r="A1193" s="1655" t="s">
        <v>76</v>
      </c>
      <c r="B1193" s="1655" t="s">
        <v>2231</v>
      </c>
      <c r="C1193" s="1656">
        <v>0</v>
      </c>
      <c r="D1193" s="1655" t="s">
        <v>42</v>
      </c>
      <c r="E1193" s="1655" t="s">
        <v>571</v>
      </c>
    </row>
    <row r="1194" spans="1:5" s="1732" customFormat="1">
      <c r="A1194" s="1655" t="s">
        <v>76</v>
      </c>
      <c r="B1194" s="1655" t="s">
        <v>2232</v>
      </c>
      <c r="C1194" s="1656">
        <v>0</v>
      </c>
      <c r="D1194" s="1655" t="s">
        <v>42</v>
      </c>
      <c r="E1194" s="1655" t="s">
        <v>571</v>
      </c>
    </row>
    <row r="1195" spans="1:5" s="1732" customFormat="1">
      <c r="A1195" s="1655" t="s">
        <v>76</v>
      </c>
      <c r="B1195" s="1655" t="s">
        <v>2233</v>
      </c>
      <c r="C1195" s="1656">
        <v>0</v>
      </c>
      <c r="D1195" s="1655" t="s">
        <v>42</v>
      </c>
      <c r="E1195" s="1655" t="s">
        <v>571</v>
      </c>
    </row>
    <row r="1196" spans="1:5" s="1732" customFormat="1">
      <c r="A1196" s="1655" t="s">
        <v>76</v>
      </c>
      <c r="B1196" s="1655" t="s">
        <v>2234</v>
      </c>
      <c r="C1196" s="1656">
        <v>0</v>
      </c>
      <c r="D1196" s="1655" t="s">
        <v>42</v>
      </c>
      <c r="E1196" s="1655" t="s">
        <v>571</v>
      </c>
    </row>
    <row r="1197" spans="1:5" s="1732" customFormat="1">
      <c r="A1197" s="1655" t="s">
        <v>76</v>
      </c>
      <c r="B1197" s="1655" t="s">
        <v>2235</v>
      </c>
      <c r="C1197" s="1656">
        <v>0</v>
      </c>
      <c r="D1197" s="1655" t="s">
        <v>42</v>
      </c>
      <c r="E1197" s="1655" t="s">
        <v>571</v>
      </c>
    </row>
    <row r="1198" spans="1:5" s="1732" customFormat="1">
      <c r="A1198" s="1655" t="s">
        <v>76</v>
      </c>
      <c r="B1198" s="1655" t="s">
        <v>2236</v>
      </c>
      <c r="C1198" s="1656">
        <v>0</v>
      </c>
      <c r="D1198" s="1655" t="s">
        <v>42</v>
      </c>
      <c r="E1198" s="1655" t="s">
        <v>571</v>
      </c>
    </row>
    <row r="1199" spans="1:5" s="1732" customFormat="1">
      <c r="A1199" s="1655" t="s">
        <v>76</v>
      </c>
      <c r="B1199" s="1655" t="s">
        <v>2237</v>
      </c>
      <c r="C1199" s="1656">
        <v>0</v>
      </c>
      <c r="D1199" s="1655" t="s">
        <v>42</v>
      </c>
      <c r="E1199" s="1655" t="s">
        <v>571</v>
      </c>
    </row>
    <row r="1200" spans="1:5" s="1732" customFormat="1">
      <c r="A1200" s="1655" t="s">
        <v>76</v>
      </c>
      <c r="B1200" s="1655" t="s">
        <v>2238</v>
      </c>
      <c r="C1200" s="1656">
        <v>0</v>
      </c>
      <c r="D1200" s="1655" t="s">
        <v>42</v>
      </c>
      <c r="E1200" s="1655" t="s">
        <v>571</v>
      </c>
    </row>
    <row r="1201" spans="1:5" s="1732" customFormat="1">
      <c r="A1201" s="1655" t="s">
        <v>76</v>
      </c>
      <c r="B1201" s="1655" t="s">
        <v>2239</v>
      </c>
      <c r="C1201" s="1656">
        <v>0</v>
      </c>
      <c r="D1201" s="1655" t="s">
        <v>42</v>
      </c>
      <c r="E1201" s="1655" t="s">
        <v>571</v>
      </c>
    </row>
    <row r="1202" spans="1:5" s="1732" customFormat="1">
      <c r="A1202" s="1655" t="s">
        <v>76</v>
      </c>
      <c r="B1202" s="1655" t="s">
        <v>2240</v>
      </c>
      <c r="C1202" s="1656">
        <v>0</v>
      </c>
      <c r="D1202" s="1655" t="s">
        <v>42</v>
      </c>
      <c r="E1202" s="1655" t="s">
        <v>571</v>
      </c>
    </row>
    <row r="1203" spans="1:5" s="1732" customFormat="1">
      <c r="A1203" s="1655" t="s">
        <v>76</v>
      </c>
      <c r="B1203" s="1655" t="s">
        <v>2241</v>
      </c>
      <c r="C1203" s="1656">
        <v>0</v>
      </c>
      <c r="D1203" s="1655" t="s">
        <v>42</v>
      </c>
      <c r="E1203" s="1655" t="s">
        <v>571</v>
      </c>
    </row>
    <row r="1204" spans="1:5" s="1732" customFormat="1">
      <c r="A1204" s="1655" t="s">
        <v>76</v>
      </c>
      <c r="B1204" s="1655" t="s">
        <v>2242</v>
      </c>
      <c r="C1204" s="1656">
        <v>0</v>
      </c>
      <c r="D1204" s="1655" t="s">
        <v>42</v>
      </c>
      <c r="E1204" s="1655" t="s">
        <v>571</v>
      </c>
    </row>
    <row r="1205" spans="1:5" s="1732" customFormat="1">
      <c r="A1205" s="1655" t="s">
        <v>76</v>
      </c>
      <c r="B1205" s="1655" t="s">
        <v>2243</v>
      </c>
      <c r="C1205" s="1656">
        <v>0</v>
      </c>
      <c r="D1205" s="1655" t="s">
        <v>42</v>
      </c>
      <c r="E1205" s="1655" t="s">
        <v>571</v>
      </c>
    </row>
    <row r="1206" spans="1:5" s="1732" customFormat="1">
      <c r="A1206" s="1655" t="s">
        <v>76</v>
      </c>
      <c r="B1206" s="1655" t="s">
        <v>2244</v>
      </c>
      <c r="C1206" s="1656">
        <v>0</v>
      </c>
      <c r="D1206" s="1655" t="s">
        <v>42</v>
      </c>
      <c r="E1206" s="1655" t="s">
        <v>571</v>
      </c>
    </row>
    <row r="1207" spans="1:5" s="1732" customFormat="1">
      <c r="A1207" s="1655" t="s">
        <v>76</v>
      </c>
      <c r="B1207" s="1655" t="s">
        <v>2245</v>
      </c>
      <c r="C1207" s="1656">
        <v>0</v>
      </c>
      <c r="D1207" s="1655" t="s">
        <v>42</v>
      </c>
      <c r="E1207" s="1655" t="s">
        <v>571</v>
      </c>
    </row>
    <row r="1208" spans="1:5" s="1732" customFormat="1">
      <c r="A1208" s="1655" t="s">
        <v>76</v>
      </c>
      <c r="B1208" s="1655" t="s">
        <v>2246</v>
      </c>
      <c r="C1208" s="1656">
        <v>0</v>
      </c>
      <c r="D1208" s="1655" t="s">
        <v>42</v>
      </c>
      <c r="E1208" s="1655" t="s">
        <v>571</v>
      </c>
    </row>
    <row r="1209" spans="1:5" s="1732" customFormat="1">
      <c r="A1209" s="1655" t="s">
        <v>76</v>
      </c>
      <c r="B1209" s="1655" t="s">
        <v>2247</v>
      </c>
      <c r="C1209" s="1656">
        <v>0</v>
      </c>
      <c r="D1209" s="1655" t="s">
        <v>42</v>
      </c>
      <c r="E1209" s="1655" t="s">
        <v>571</v>
      </c>
    </row>
    <row r="1210" spans="1:5" s="1732" customFormat="1">
      <c r="A1210" s="1655" t="s">
        <v>76</v>
      </c>
      <c r="B1210" s="1655" t="s">
        <v>2248</v>
      </c>
      <c r="C1210" s="1656">
        <v>0</v>
      </c>
      <c r="D1210" s="1655" t="s">
        <v>42</v>
      </c>
      <c r="E1210" s="1655" t="s">
        <v>571</v>
      </c>
    </row>
    <row r="1211" spans="1:5" s="1732" customFormat="1">
      <c r="A1211" s="1655" t="s">
        <v>76</v>
      </c>
      <c r="B1211" s="1655" t="s">
        <v>2249</v>
      </c>
      <c r="C1211" s="1656">
        <v>0</v>
      </c>
      <c r="D1211" s="1655" t="s">
        <v>42</v>
      </c>
      <c r="E1211" s="1655" t="s">
        <v>571</v>
      </c>
    </row>
    <row r="1212" spans="1:5" s="1732" customFormat="1">
      <c r="A1212" s="1655" t="s">
        <v>76</v>
      </c>
      <c r="B1212" s="1655" t="s">
        <v>2250</v>
      </c>
      <c r="C1212" s="1656">
        <v>0</v>
      </c>
      <c r="D1212" s="1655" t="s">
        <v>42</v>
      </c>
      <c r="E1212" s="1655" t="s">
        <v>571</v>
      </c>
    </row>
    <row r="1213" spans="1:5" s="1732" customFormat="1">
      <c r="A1213" s="1655" t="s">
        <v>76</v>
      </c>
      <c r="B1213" s="1655" t="s">
        <v>2251</v>
      </c>
      <c r="C1213" s="1656">
        <v>0</v>
      </c>
      <c r="D1213" s="1655" t="s">
        <v>42</v>
      </c>
      <c r="E1213" s="1655" t="s">
        <v>571</v>
      </c>
    </row>
    <row r="1214" spans="1:5" s="1732" customFormat="1">
      <c r="A1214" s="1655" t="s">
        <v>76</v>
      </c>
      <c r="B1214" s="1655" t="s">
        <v>2252</v>
      </c>
      <c r="C1214" s="1656">
        <v>0</v>
      </c>
      <c r="D1214" s="1655" t="s">
        <v>42</v>
      </c>
      <c r="E1214" s="1655" t="s">
        <v>571</v>
      </c>
    </row>
    <row r="1215" spans="1:5" s="1732" customFormat="1">
      <c r="A1215" s="1655" t="s">
        <v>76</v>
      </c>
      <c r="B1215" s="1655" t="s">
        <v>2253</v>
      </c>
      <c r="C1215" s="1656">
        <v>0</v>
      </c>
      <c r="D1215" s="1655" t="s">
        <v>42</v>
      </c>
      <c r="E1215" s="1655" t="s">
        <v>571</v>
      </c>
    </row>
    <row r="1216" spans="1:5" s="1732" customFormat="1">
      <c r="A1216" s="1655" t="s">
        <v>76</v>
      </c>
      <c r="B1216" s="1655" t="s">
        <v>2254</v>
      </c>
      <c r="C1216" s="1656">
        <v>0</v>
      </c>
      <c r="D1216" s="1655" t="s">
        <v>42</v>
      </c>
      <c r="E1216" s="1655" t="s">
        <v>571</v>
      </c>
    </row>
    <row r="1217" spans="1:5" s="1732" customFormat="1">
      <c r="A1217" s="1655" t="s">
        <v>76</v>
      </c>
      <c r="B1217" s="1655" t="s">
        <v>2255</v>
      </c>
      <c r="C1217" s="1656">
        <v>0</v>
      </c>
      <c r="D1217" s="1655" t="s">
        <v>42</v>
      </c>
      <c r="E1217" s="1655" t="s">
        <v>571</v>
      </c>
    </row>
    <row r="1218" spans="1:5" s="1732" customFormat="1">
      <c r="A1218" s="1655" t="s">
        <v>76</v>
      </c>
      <c r="B1218" s="1655" t="s">
        <v>2256</v>
      </c>
      <c r="C1218" s="1656">
        <v>0</v>
      </c>
      <c r="D1218" s="1655" t="s">
        <v>42</v>
      </c>
      <c r="E1218" s="1655" t="s">
        <v>571</v>
      </c>
    </row>
    <row r="1219" spans="1:5" s="1732" customFormat="1">
      <c r="A1219" s="1655" t="s">
        <v>76</v>
      </c>
      <c r="B1219" s="1655" t="s">
        <v>2257</v>
      </c>
      <c r="C1219" s="1656">
        <v>0</v>
      </c>
      <c r="D1219" s="1655" t="s">
        <v>42</v>
      </c>
      <c r="E1219" s="1655" t="s">
        <v>571</v>
      </c>
    </row>
    <row r="1220" spans="1:5" s="1732" customFormat="1">
      <c r="A1220" s="1655" t="s">
        <v>76</v>
      </c>
      <c r="B1220" s="1655" t="s">
        <v>2258</v>
      </c>
      <c r="C1220" s="1656">
        <v>0</v>
      </c>
      <c r="D1220" s="1655" t="s">
        <v>42</v>
      </c>
      <c r="E1220" s="1655" t="s">
        <v>571</v>
      </c>
    </row>
    <row r="1221" spans="1:5" s="1732" customFormat="1">
      <c r="A1221" s="1655" t="s">
        <v>76</v>
      </c>
      <c r="B1221" s="1655" t="s">
        <v>2259</v>
      </c>
      <c r="C1221" s="1656">
        <v>0</v>
      </c>
      <c r="D1221" s="1655" t="s">
        <v>42</v>
      </c>
      <c r="E1221" s="1655" t="s">
        <v>571</v>
      </c>
    </row>
    <row r="1222" spans="1:5" s="1732" customFormat="1">
      <c r="A1222" s="1655" t="s">
        <v>76</v>
      </c>
      <c r="B1222" s="1655" t="s">
        <v>2260</v>
      </c>
      <c r="C1222" s="1656">
        <v>0</v>
      </c>
      <c r="D1222" s="1655" t="s">
        <v>42</v>
      </c>
      <c r="E1222" s="1655" t="s">
        <v>571</v>
      </c>
    </row>
    <row r="1223" spans="1:5" s="1732" customFormat="1">
      <c r="A1223" s="1655" t="s">
        <v>76</v>
      </c>
      <c r="B1223" s="1655" t="s">
        <v>2261</v>
      </c>
      <c r="C1223" s="1656">
        <v>0</v>
      </c>
      <c r="D1223" s="1655" t="s">
        <v>42</v>
      </c>
      <c r="E1223" s="1655" t="s">
        <v>571</v>
      </c>
    </row>
    <row r="1224" spans="1:5" s="1732" customFormat="1">
      <c r="A1224" s="1655" t="s">
        <v>76</v>
      </c>
      <c r="B1224" s="1655" t="s">
        <v>2262</v>
      </c>
      <c r="C1224" s="1656">
        <v>0</v>
      </c>
      <c r="D1224" s="1655" t="s">
        <v>42</v>
      </c>
      <c r="E1224" s="1655" t="s">
        <v>571</v>
      </c>
    </row>
    <row r="1225" spans="1:5" s="1732" customFormat="1">
      <c r="A1225" s="1655" t="s">
        <v>76</v>
      </c>
      <c r="B1225" s="1655" t="s">
        <v>2263</v>
      </c>
      <c r="C1225" s="1656">
        <v>0</v>
      </c>
      <c r="D1225" s="1655" t="s">
        <v>42</v>
      </c>
      <c r="E1225" s="1655" t="s">
        <v>571</v>
      </c>
    </row>
    <row r="1226" spans="1:5" s="1732" customFormat="1">
      <c r="A1226" s="1655" t="s">
        <v>76</v>
      </c>
      <c r="B1226" s="1655" t="s">
        <v>2264</v>
      </c>
      <c r="C1226" s="1656">
        <v>0</v>
      </c>
      <c r="D1226" s="1655" t="s">
        <v>42</v>
      </c>
      <c r="E1226" s="1655" t="s">
        <v>571</v>
      </c>
    </row>
    <row r="1227" spans="1:5" s="1732" customFormat="1">
      <c r="A1227" s="1655" t="s">
        <v>76</v>
      </c>
      <c r="B1227" s="1655" t="s">
        <v>2265</v>
      </c>
      <c r="C1227" s="1656">
        <v>0</v>
      </c>
      <c r="D1227" s="1655" t="s">
        <v>42</v>
      </c>
      <c r="E1227" s="1655" t="s">
        <v>571</v>
      </c>
    </row>
    <row r="1228" spans="1:5" s="1732" customFormat="1">
      <c r="A1228" s="1655" t="s">
        <v>76</v>
      </c>
      <c r="B1228" s="1655" t="s">
        <v>2266</v>
      </c>
      <c r="C1228" s="1656">
        <v>0</v>
      </c>
      <c r="D1228" s="1655" t="s">
        <v>42</v>
      </c>
      <c r="E1228" s="1655" t="s">
        <v>571</v>
      </c>
    </row>
    <row r="1229" spans="1:5" s="1732" customFormat="1">
      <c r="A1229" s="1655" t="s">
        <v>76</v>
      </c>
      <c r="B1229" s="1655" t="s">
        <v>2267</v>
      </c>
      <c r="C1229" s="1656">
        <v>0</v>
      </c>
      <c r="D1229" s="1655" t="s">
        <v>42</v>
      </c>
      <c r="E1229" s="1655" t="s">
        <v>571</v>
      </c>
    </row>
    <row r="1230" spans="1:5" s="1732" customFormat="1">
      <c r="A1230" s="1655" t="s">
        <v>76</v>
      </c>
      <c r="B1230" s="1655" t="s">
        <v>2268</v>
      </c>
      <c r="C1230" s="1656">
        <v>0</v>
      </c>
      <c r="D1230" s="1655" t="s">
        <v>42</v>
      </c>
      <c r="E1230" s="1655" t="s">
        <v>571</v>
      </c>
    </row>
    <row r="1231" spans="1:5" s="1732" customFormat="1">
      <c r="A1231" s="1655" t="s">
        <v>76</v>
      </c>
      <c r="B1231" s="1655" t="s">
        <v>2269</v>
      </c>
      <c r="C1231" s="1656">
        <v>0</v>
      </c>
      <c r="D1231" s="1655" t="s">
        <v>42</v>
      </c>
      <c r="E1231" s="1655" t="s">
        <v>571</v>
      </c>
    </row>
    <row r="1232" spans="1:5" s="1732" customFormat="1">
      <c r="A1232" s="1655" t="s">
        <v>76</v>
      </c>
      <c r="B1232" s="1655" t="s">
        <v>2270</v>
      </c>
      <c r="C1232" s="1659">
        <v>0</v>
      </c>
      <c r="D1232" s="1655" t="s">
        <v>42</v>
      </c>
      <c r="E1232" s="1655" t="s">
        <v>571</v>
      </c>
    </row>
    <row r="1233" spans="1:5" s="1732" customFormat="1">
      <c r="A1233" s="1655" t="s">
        <v>76</v>
      </c>
      <c r="B1233" s="1655" t="s">
        <v>2271</v>
      </c>
      <c r="C1233" s="1656">
        <v>0</v>
      </c>
      <c r="D1233" s="1655" t="s">
        <v>42</v>
      </c>
      <c r="E1233" s="1655" t="s">
        <v>571</v>
      </c>
    </row>
    <row r="1234" spans="1:5" s="1732" customFormat="1">
      <c r="A1234" s="1655" t="s">
        <v>76</v>
      </c>
      <c r="B1234" s="1655" t="s">
        <v>2272</v>
      </c>
      <c r="C1234" s="1656">
        <v>0</v>
      </c>
      <c r="D1234" s="1655" t="s">
        <v>42</v>
      </c>
      <c r="E1234" s="1655" t="s">
        <v>571</v>
      </c>
    </row>
    <row r="1235" spans="1:5" s="1732" customFormat="1">
      <c r="A1235" s="1655" t="s">
        <v>76</v>
      </c>
      <c r="B1235" s="1655" t="s">
        <v>2273</v>
      </c>
      <c r="C1235" s="1656">
        <v>0</v>
      </c>
      <c r="D1235" s="1655" t="s">
        <v>42</v>
      </c>
      <c r="E1235" s="1655" t="s">
        <v>571</v>
      </c>
    </row>
    <row r="1236" spans="1:5" s="1732" customFormat="1">
      <c r="A1236" s="1655" t="s">
        <v>76</v>
      </c>
      <c r="B1236" s="1655" t="s">
        <v>2274</v>
      </c>
      <c r="C1236" s="1656">
        <v>1</v>
      </c>
      <c r="D1236" s="1655" t="s">
        <v>42</v>
      </c>
      <c r="E1236" s="1655" t="s">
        <v>80</v>
      </c>
    </row>
    <row r="1237" spans="1:5" s="1732" customFormat="1">
      <c r="A1237" s="1655" t="s">
        <v>430</v>
      </c>
      <c r="B1237" s="1655" t="s">
        <v>1162</v>
      </c>
      <c r="C1237" s="1656" t="s">
        <v>2295</v>
      </c>
      <c r="D1237" s="1655" t="s">
        <v>42</v>
      </c>
      <c r="E1237" s="1655" t="s">
        <v>569</v>
      </c>
    </row>
    <row r="1238" spans="1:5" s="1732" customFormat="1">
      <c r="A1238" s="1655" t="s">
        <v>430</v>
      </c>
      <c r="B1238" s="1655" t="s">
        <v>1168</v>
      </c>
      <c r="C1238" s="1657">
        <v>24875</v>
      </c>
      <c r="D1238" s="1655" t="s">
        <v>42</v>
      </c>
      <c r="E1238" s="1655" t="s">
        <v>196</v>
      </c>
    </row>
    <row r="1239" spans="1:5" s="1732" customFormat="1">
      <c r="A1239" s="1655" t="s">
        <v>430</v>
      </c>
      <c r="B1239" s="1655" t="s">
        <v>1197</v>
      </c>
      <c r="C1239" s="1657">
        <v>49218</v>
      </c>
      <c r="D1239" s="1655" t="s">
        <v>42</v>
      </c>
      <c r="E1239" s="1655" t="s">
        <v>196</v>
      </c>
    </row>
    <row r="1240" spans="1:5" s="1732" customFormat="1">
      <c r="A1240" s="1655" t="s">
        <v>430</v>
      </c>
      <c r="B1240" s="1655" t="s">
        <v>1166</v>
      </c>
      <c r="C1240" s="1656" t="s">
        <v>2296</v>
      </c>
      <c r="D1240" s="1655" t="s">
        <v>42</v>
      </c>
      <c r="E1240" s="1655" t="s">
        <v>569</v>
      </c>
    </row>
    <row r="1241" spans="1:5" s="1732" customFormat="1">
      <c r="A1241" s="1655" t="s">
        <v>430</v>
      </c>
      <c r="B1241" s="1655" t="s">
        <v>1172</v>
      </c>
      <c r="C1241" s="1657">
        <v>25739</v>
      </c>
      <c r="D1241" s="1655" t="s">
        <v>42</v>
      </c>
      <c r="E1241" s="1655" t="s">
        <v>196</v>
      </c>
    </row>
    <row r="1242" spans="1:5" s="1732" customFormat="1">
      <c r="A1242" s="1655" t="s">
        <v>430</v>
      </c>
      <c r="B1242" s="1655" t="s">
        <v>1201</v>
      </c>
      <c r="C1242" s="1657">
        <v>49796</v>
      </c>
      <c r="D1242" s="1655" t="s">
        <v>42</v>
      </c>
      <c r="E1242" s="1655" t="s">
        <v>196</v>
      </c>
    </row>
    <row r="1243" spans="1:5" s="1732" customFormat="1">
      <c r="A1243" s="1655" t="s">
        <v>430</v>
      </c>
      <c r="B1243" s="1655" t="s">
        <v>1137</v>
      </c>
      <c r="C1243" s="1656">
        <v>12</v>
      </c>
      <c r="D1243" s="1655" t="s">
        <v>42</v>
      </c>
      <c r="E1243" s="1655" t="s">
        <v>572</v>
      </c>
    </row>
    <row r="1244" spans="1:5" s="1732" customFormat="1">
      <c r="A1244" s="1655" t="s">
        <v>430</v>
      </c>
      <c r="B1244" s="1655" t="s">
        <v>578</v>
      </c>
      <c r="C1244" s="1656" t="s">
        <v>75</v>
      </c>
      <c r="D1244" s="1655" t="s">
        <v>42</v>
      </c>
      <c r="E1244" s="1655" t="s">
        <v>569</v>
      </c>
    </row>
    <row r="1245" spans="1:5" s="1732" customFormat="1">
      <c r="A1245" s="1655" t="s">
        <v>430</v>
      </c>
      <c r="B1245" s="1655" t="s">
        <v>605</v>
      </c>
      <c r="C1245" s="1656" t="s">
        <v>163</v>
      </c>
      <c r="D1245" s="1655" t="s">
        <v>42</v>
      </c>
      <c r="E1245" s="1655" t="s">
        <v>569</v>
      </c>
    </row>
    <row r="1246" spans="1:5" s="1732" customFormat="1">
      <c r="A1246" s="1655" t="s">
        <v>433</v>
      </c>
      <c r="B1246" s="1655" t="s">
        <v>1156</v>
      </c>
      <c r="C1246" s="1656" t="s">
        <v>2308</v>
      </c>
      <c r="D1246" s="1655" t="s">
        <v>42</v>
      </c>
      <c r="E1246" s="1655" t="s">
        <v>569</v>
      </c>
    </row>
    <row r="1247" spans="1:5" s="1732" customFormat="1">
      <c r="A1247" s="1655" t="s">
        <v>433</v>
      </c>
      <c r="B1247" s="1655" t="s">
        <v>1157</v>
      </c>
      <c r="C1247" s="1656" t="s">
        <v>12</v>
      </c>
      <c r="D1247" s="1655" t="s">
        <v>42</v>
      </c>
      <c r="E1247" s="1655" t="s">
        <v>569</v>
      </c>
    </row>
    <row r="1248" spans="1:5" s="1732" customFormat="1">
      <c r="A1248" s="1655" t="s">
        <v>433</v>
      </c>
      <c r="B1248" s="1655" t="s">
        <v>1158</v>
      </c>
      <c r="C1248" s="1656" t="s">
        <v>12</v>
      </c>
      <c r="D1248" s="1655" t="s">
        <v>42</v>
      </c>
      <c r="E1248" s="1655" t="s">
        <v>569</v>
      </c>
    </row>
    <row r="1249" spans="1:5" s="1732" customFormat="1">
      <c r="A1249" s="1655" t="s">
        <v>433</v>
      </c>
      <c r="B1249" s="1655" t="s">
        <v>1159</v>
      </c>
      <c r="C1249" s="1656" t="s">
        <v>12</v>
      </c>
      <c r="D1249" s="1655" t="s">
        <v>42</v>
      </c>
      <c r="E1249" s="1655" t="s">
        <v>569</v>
      </c>
    </row>
    <row r="1250" spans="1:5" s="1732" customFormat="1">
      <c r="A1250" s="1655" t="s">
        <v>433</v>
      </c>
      <c r="B1250" s="1655" t="s">
        <v>1160</v>
      </c>
      <c r="C1250" s="1656" t="s">
        <v>12</v>
      </c>
      <c r="D1250" s="1655" t="s">
        <v>42</v>
      </c>
      <c r="E1250" s="1655" t="s">
        <v>569</v>
      </c>
    </row>
    <row r="1251" spans="1:5" s="1732" customFormat="1">
      <c r="A1251" s="1655" t="s">
        <v>433</v>
      </c>
      <c r="B1251" s="1655" t="s">
        <v>1161</v>
      </c>
      <c r="C1251" s="1656" t="s">
        <v>12</v>
      </c>
      <c r="D1251" s="1655" t="s">
        <v>42</v>
      </c>
      <c r="E1251" s="1655" t="s">
        <v>569</v>
      </c>
    </row>
    <row r="1252" spans="1:5" s="1732" customFormat="1">
      <c r="A1252" s="1655" t="s">
        <v>433</v>
      </c>
      <c r="B1252" s="1655" t="s">
        <v>1251</v>
      </c>
      <c r="C1252" s="1656" t="s">
        <v>12</v>
      </c>
      <c r="D1252" s="1655" t="s">
        <v>42</v>
      </c>
      <c r="E1252" s="1655" t="s">
        <v>569</v>
      </c>
    </row>
    <row r="1253" spans="1:5" s="1732" customFormat="1">
      <c r="A1253" s="1655" t="s">
        <v>433</v>
      </c>
      <c r="B1253" s="1655" t="s">
        <v>1252</v>
      </c>
      <c r="C1253" s="1656" t="s">
        <v>12</v>
      </c>
      <c r="D1253" s="1655" t="s">
        <v>42</v>
      </c>
      <c r="E1253" s="1655" t="s">
        <v>569</v>
      </c>
    </row>
    <row r="1254" spans="1:5" s="1732" customFormat="1">
      <c r="A1254" s="1655" t="s">
        <v>433</v>
      </c>
      <c r="B1254" s="1655" t="s">
        <v>1253</v>
      </c>
      <c r="C1254" s="1656" t="s">
        <v>12</v>
      </c>
      <c r="D1254" s="1655" t="s">
        <v>42</v>
      </c>
      <c r="E1254" s="1655" t="s">
        <v>569</v>
      </c>
    </row>
    <row r="1255" spans="1:5" s="1732" customFormat="1">
      <c r="A1255" s="1655" t="s">
        <v>433</v>
      </c>
      <c r="B1255" s="1655" t="s">
        <v>1254</v>
      </c>
      <c r="C1255" s="1656" t="s">
        <v>12</v>
      </c>
      <c r="D1255" s="1655" t="s">
        <v>42</v>
      </c>
      <c r="E1255" s="1655" t="s">
        <v>569</v>
      </c>
    </row>
    <row r="1256" spans="1:5" s="1732" customFormat="1">
      <c r="A1256" s="1655" t="s">
        <v>433</v>
      </c>
      <c r="B1256" s="1655" t="s">
        <v>1255</v>
      </c>
      <c r="C1256" s="1656" t="s">
        <v>2453</v>
      </c>
      <c r="D1256" s="1655" t="s">
        <v>42</v>
      </c>
      <c r="E1256" s="1655" t="s">
        <v>569</v>
      </c>
    </row>
    <row r="1257" spans="1:5" s="1732" customFormat="1">
      <c r="A1257" s="1655" t="s">
        <v>433</v>
      </c>
      <c r="B1257" s="1655" t="s">
        <v>578</v>
      </c>
      <c r="C1257" s="1659">
        <v>39</v>
      </c>
      <c r="D1257" s="1655" t="s">
        <v>42</v>
      </c>
      <c r="E1257" s="1655" t="s">
        <v>571</v>
      </c>
    </row>
    <row r="1258" spans="1:5" s="1732" customFormat="1">
      <c r="A1258" s="1655" t="s">
        <v>433</v>
      </c>
      <c r="B1258" s="1655" t="s">
        <v>579</v>
      </c>
      <c r="C1258" s="1659">
        <v>0</v>
      </c>
      <c r="D1258" s="1655" t="s">
        <v>42</v>
      </c>
      <c r="E1258" s="1655" t="s">
        <v>571</v>
      </c>
    </row>
    <row r="1259" spans="1:5" s="1732" customFormat="1">
      <c r="A1259" s="1655" t="s">
        <v>433</v>
      </c>
      <c r="B1259" s="1655" t="s">
        <v>580</v>
      </c>
      <c r="C1259" s="1659">
        <v>0</v>
      </c>
      <c r="D1259" s="1655" t="s">
        <v>42</v>
      </c>
      <c r="E1259" s="1655" t="s">
        <v>571</v>
      </c>
    </row>
    <row r="1260" spans="1:5" s="1732" customFormat="1">
      <c r="A1260" s="1655" t="s">
        <v>433</v>
      </c>
      <c r="B1260" s="1655" t="s">
        <v>581</v>
      </c>
      <c r="C1260" s="1659">
        <v>0</v>
      </c>
      <c r="D1260" s="1655" t="s">
        <v>42</v>
      </c>
      <c r="E1260" s="1655" t="s">
        <v>571</v>
      </c>
    </row>
    <row r="1261" spans="1:5" s="1732" customFormat="1">
      <c r="A1261" s="1655" t="s">
        <v>433</v>
      </c>
      <c r="B1261" s="1655" t="s">
        <v>582</v>
      </c>
      <c r="C1261" s="1659">
        <v>0</v>
      </c>
      <c r="D1261" s="1655" t="s">
        <v>42</v>
      </c>
      <c r="E1261" s="1655" t="s">
        <v>571</v>
      </c>
    </row>
    <row r="1262" spans="1:5" s="1732" customFormat="1">
      <c r="A1262" s="1655" t="s">
        <v>433</v>
      </c>
      <c r="B1262" s="1655" t="s">
        <v>583</v>
      </c>
      <c r="C1262" s="1659">
        <v>0</v>
      </c>
      <c r="D1262" s="1655" t="s">
        <v>42</v>
      </c>
      <c r="E1262" s="1655" t="s">
        <v>571</v>
      </c>
    </row>
    <row r="1263" spans="1:5" s="1732" customFormat="1">
      <c r="A1263" s="1655" t="s">
        <v>433</v>
      </c>
      <c r="B1263" s="1655" t="s">
        <v>584</v>
      </c>
      <c r="C1263" s="1659">
        <v>0</v>
      </c>
      <c r="D1263" s="1655" t="s">
        <v>42</v>
      </c>
      <c r="E1263" s="1655" t="s">
        <v>571</v>
      </c>
    </row>
    <row r="1264" spans="1:5" s="1732" customFormat="1">
      <c r="A1264" s="1655" t="s">
        <v>433</v>
      </c>
      <c r="B1264" s="1655" t="s">
        <v>585</v>
      </c>
      <c r="C1264" s="1659">
        <v>0</v>
      </c>
      <c r="D1264" s="1655" t="s">
        <v>42</v>
      </c>
      <c r="E1264" s="1655" t="s">
        <v>571</v>
      </c>
    </row>
    <row r="1265" spans="1:5" s="1732" customFormat="1">
      <c r="A1265" s="1655" t="s">
        <v>433</v>
      </c>
      <c r="B1265" s="1655" t="s">
        <v>1977</v>
      </c>
      <c r="C1265" s="1659">
        <v>0</v>
      </c>
      <c r="D1265" s="1655" t="s">
        <v>42</v>
      </c>
      <c r="E1265" s="1655" t="s">
        <v>571</v>
      </c>
    </row>
    <row r="1266" spans="1:5" s="1732" customFormat="1">
      <c r="A1266" s="1655" t="s">
        <v>433</v>
      </c>
      <c r="B1266" s="1655" t="s">
        <v>1978</v>
      </c>
      <c r="C1266" s="1659">
        <v>0</v>
      </c>
      <c r="D1266" s="1655" t="s">
        <v>42</v>
      </c>
      <c r="E1266" s="1655" t="s">
        <v>571</v>
      </c>
    </row>
    <row r="1267" spans="1:5" s="1732" customFormat="1">
      <c r="A1267" s="1655" t="s">
        <v>433</v>
      </c>
      <c r="B1267" s="1655" t="s">
        <v>1510</v>
      </c>
      <c r="C1267" s="1659">
        <v>0</v>
      </c>
      <c r="D1267" s="1655" t="s">
        <v>42</v>
      </c>
      <c r="E1267" s="1655" t="s">
        <v>571</v>
      </c>
    </row>
    <row r="1268" spans="1:5" s="1732" customFormat="1">
      <c r="A1268" s="1655" t="s">
        <v>433</v>
      </c>
      <c r="B1268" s="1655" t="s">
        <v>1169</v>
      </c>
      <c r="C1268" s="1656">
        <v>12</v>
      </c>
      <c r="D1268" s="1655" t="s">
        <v>42</v>
      </c>
      <c r="E1268" s="1655" t="s">
        <v>572</v>
      </c>
    </row>
    <row r="1269" spans="1:5" s="1732" customFormat="1">
      <c r="A1269" s="1655" t="s">
        <v>433</v>
      </c>
      <c r="B1269" s="1655" t="s">
        <v>589</v>
      </c>
      <c r="C1269" s="1656">
        <v>0</v>
      </c>
      <c r="D1269" s="1655" t="s">
        <v>42</v>
      </c>
      <c r="E1269" s="1655" t="s">
        <v>572</v>
      </c>
    </row>
    <row r="1270" spans="1:5" s="1732" customFormat="1">
      <c r="A1270" s="1655" t="s">
        <v>433</v>
      </c>
      <c r="B1270" s="1655" t="s">
        <v>1170</v>
      </c>
      <c r="C1270" s="1656">
        <v>0</v>
      </c>
      <c r="D1270" s="1655" t="s">
        <v>42</v>
      </c>
      <c r="E1270" s="1655" t="s">
        <v>572</v>
      </c>
    </row>
    <row r="1271" spans="1:5" s="1732" customFormat="1">
      <c r="A1271" s="1655" t="s">
        <v>433</v>
      </c>
      <c r="B1271" s="1655" t="s">
        <v>1171</v>
      </c>
      <c r="C1271" s="1656">
        <v>0</v>
      </c>
      <c r="D1271" s="1655" t="s">
        <v>42</v>
      </c>
      <c r="E1271" s="1655" t="s">
        <v>572</v>
      </c>
    </row>
    <row r="1272" spans="1:5" s="1732" customFormat="1">
      <c r="A1272" s="1655" t="s">
        <v>433</v>
      </c>
      <c r="B1272" s="1655" t="s">
        <v>1172</v>
      </c>
      <c r="C1272" s="1656">
        <v>0</v>
      </c>
      <c r="D1272" s="1655" t="s">
        <v>42</v>
      </c>
      <c r="E1272" s="1655" t="s">
        <v>572</v>
      </c>
    </row>
    <row r="1273" spans="1:5" s="1732" customFormat="1">
      <c r="A1273" s="1655" t="s">
        <v>433</v>
      </c>
      <c r="B1273" s="1655" t="s">
        <v>1173</v>
      </c>
      <c r="C1273" s="1656">
        <v>0</v>
      </c>
      <c r="D1273" s="1655" t="s">
        <v>42</v>
      </c>
      <c r="E1273" s="1655" t="s">
        <v>572</v>
      </c>
    </row>
    <row r="1274" spans="1:5" s="1732" customFormat="1">
      <c r="A1274" s="1655" t="s">
        <v>433</v>
      </c>
      <c r="B1274" s="1655" t="s">
        <v>1956</v>
      </c>
      <c r="C1274" s="1656">
        <v>0</v>
      </c>
      <c r="D1274" s="1655" t="s">
        <v>42</v>
      </c>
      <c r="E1274" s="1655" t="s">
        <v>572</v>
      </c>
    </row>
    <row r="1275" spans="1:5" s="1732" customFormat="1">
      <c r="A1275" s="1655" t="s">
        <v>433</v>
      </c>
      <c r="B1275" s="1655" t="s">
        <v>1268</v>
      </c>
      <c r="C1275" s="1656">
        <v>0</v>
      </c>
      <c r="D1275" s="1655" t="s">
        <v>42</v>
      </c>
      <c r="E1275" s="1655" t="s">
        <v>572</v>
      </c>
    </row>
    <row r="1276" spans="1:5" s="1732" customFormat="1">
      <c r="A1276" s="1655" t="s">
        <v>433</v>
      </c>
      <c r="B1276" s="1655" t="s">
        <v>1269</v>
      </c>
      <c r="C1276" s="1656">
        <v>0</v>
      </c>
      <c r="D1276" s="1655" t="s">
        <v>42</v>
      </c>
      <c r="E1276" s="1655" t="s">
        <v>572</v>
      </c>
    </row>
    <row r="1277" spans="1:5" s="1732" customFormat="1">
      <c r="A1277" s="1655" t="s">
        <v>433</v>
      </c>
      <c r="B1277" s="1655" t="s">
        <v>1270</v>
      </c>
      <c r="C1277" s="1656">
        <v>0</v>
      </c>
      <c r="D1277" s="1655" t="s">
        <v>42</v>
      </c>
      <c r="E1277" s="1655" t="s">
        <v>572</v>
      </c>
    </row>
    <row r="1278" spans="1:5" s="1732" customFormat="1">
      <c r="A1278" s="1655" t="s">
        <v>433</v>
      </c>
      <c r="B1278" s="1655" t="s">
        <v>1271</v>
      </c>
      <c r="C1278" s="1656">
        <v>12</v>
      </c>
      <c r="D1278" s="1655" t="s">
        <v>42</v>
      </c>
      <c r="E1278" s="1655" t="s">
        <v>572</v>
      </c>
    </row>
    <row r="1279" spans="1:5" s="1732" customFormat="1">
      <c r="A1279" s="1655" t="s">
        <v>433</v>
      </c>
      <c r="B1279" s="1655" t="s">
        <v>1176</v>
      </c>
      <c r="C1279" s="1656" t="s">
        <v>43</v>
      </c>
      <c r="D1279" s="1655" t="s">
        <v>42</v>
      </c>
      <c r="E1279" s="1655" t="s">
        <v>569</v>
      </c>
    </row>
    <row r="1280" spans="1:5" s="1732" customFormat="1">
      <c r="A1280" s="1655" t="s">
        <v>433</v>
      </c>
      <c r="B1280" s="1655" t="s">
        <v>1177</v>
      </c>
      <c r="C1280" s="1656" t="s">
        <v>43</v>
      </c>
      <c r="D1280" s="1655" t="s">
        <v>42</v>
      </c>
      <c r="E1280" s="1655" t="s">
        <v>569</v>
      </c>
    </row>
    <row r="1281" spans="1:5" s="1732" customFormat="1">
      <c r="A1281" s="1655" t="s">
        <v>433</v>
      </c>
      <c r="B1281" s="1655" t="s">
        <v>1178</v>
      </c>
      <c r="C1281" s="1656" t="s">
        <v>43</v>
      </c>
      <c r="D1281" s="1655" t="s">
        <v>42</v>
      </c>
      <c r="E1281" s="1655" t="s">
        <v>569</v>
      </c>
    </row>
    <row r="1282" spans="1:5" s="1732" customFormat="1">
      <c r="A1282" s="1655" t="s">
        <v>433</v>
      </c>
      <c r="B1282" s="1655" t="s">
        <v>1179</v>
      </c>
      <c r="C1282" s="1656" t="s">
        <v>43</v>
      </c>
      <c r="D1282" s="1655" t="s">
        <v>42</v>
      </c>
      <c r="E1282" s="1655" t="s">
        <v>569</v>
      </c>
    </row>
    <row r="1283" spans="1:5" s="1732" customFormat="1">
      <c r="A1283" s="1655" t="s">
        <v>433</v>
      </c>
      <c r="B1283" s="1655" t="s">
        <v>1180</v>
      </c>
      <c r="C1283" s="1656" t="s">
        <v>43</v>
      </c>
      <c r="D1283" s="1655" t="s">
        <v>42</v>
      </c>
      <c r="E1283" s="1655" t="s">
        <v>569</v>
      </c>
    </row>
    <row r="1284" spans="1:5" s="1732" customFormat="1">
      <c r="A1284" s="1655" t="s">
        <v>433</v>
      </c>
      <c r="B1284" s="1655" t="s">
        <v>1181</v>
      </c>
      <c r="C1284" s="1656" t="s">
        <v>43</v>
      </c>
      <c r="D1284" s="1655" t="s">
        <v>42</v>
      </c>
      <c r="E1284" s="1655" t="s">
        <v>569</v>
      </c>
    </row>
    <row r="1285" spans="1:5" s="1732" customFormat="1">
      <c r="A1285" s="1655" t="s">
        <v>433</v>
      </c>
      <c r="B1285" s="1655" t="s">
        <v>1182</v>
      </c>
      <c r="C1285" s="1656" t="s">
        <v>43</v>
      </c>
      <c r="D1285" s="1655" t="s">
        <v>42</v>
      </c>
      <c r="E1285" s="1655" t="s">
        <v>569</v>
      </c>
    </row>
    <row r="1286" spans="1:5" s="1732" customFormat="1">
      <c r="A1286" s="1655" t="s">
        <v>433</v>
      </c>
      <c r="B1286" s="1655" t="s">
        <v>1183</v>
      </c>
      <c r="C1286" s="1656" t="s">
        <v>43</v>
      </c>
      <c r="D1286" s="1655" t="s">
        <v>42</v>
      </c>
      <c r="E1286" s="1655" t="s">
        <v>569</v>
      </c>
    </row>
    <row r="1287" spans="1:5" s="1732" customFormat="1">
      <c r="A1287" s="1655" t="s">
        <v>433</v>
      </c>
      <c r="B1287" s="1655" t="s">
        <v>1184</v>
      </c>
      <c r="C1287" s="1656" t="s">
        <v>43</v>
      </c>
      <c r="D1287" s="1655" t="s">
        <v>42</v>
      </c>
      <c r="E1287" s="1655" t="s">
        <v>569</v>
      </c>
    </row>
    <row r="1288" spans="1:5" s="1732" customFormat="1">
      <c r="A1288" s="1655" t="s">
        <v>433</v>
      </c>
      <c r="B1288" s="1655" t="s">
        <v>1185</v>
      </c>
      <c r="C1288" s="1656" t="s">
        <v>43</v>
      </c>
      <c r="D1288" s="1655" t="s">
        <v>42</v>
      </c>
      <c r="E1288" s="1655" t="s">
        <v>569</v>
      </c>
    </row>
    <row r="1289" spans="1:5" s="1732" customFormat="1">
      <c r="A1289" s="1655" t="s">
        <v>433</v>
      </c>
      <c r="B1289" s="1655" t="s">
        <v>1186</v>
      </c>
      <c r="C1289" s="1656" t="s">
        <v>42</v>
      </c>
      <c r="D1289" s="1655" t="s">
        <v>42</v>
      </c>
      <c r="E1289" s="1655" t="s">
        <v>569</v>
      </c>
    </row>
    <row r="1290" spans="1:5" s="1732" customFormat="1">
      <c r="A1290" s="1655" t="s">
        <v>433</v>
      </c>
      <c r="B1290" s="1655" t="s">
        <v>1198</v>
      </c>
      <c r="C1290" s="1656" t="s">
        <v>395</v>
      </c>
      <c r="D1290" s="1655" t="s">
        <v>42</v>
      </c>
      <c r="E1290" s="1655" t="s">
        <v>569</v>
      </c>
    </row>
    <row r="1291" spans="1:5" s="1732" customFormat="1">
      <c r="A1291" s="1655" t="s">
        <v>433</v>
      </c>
      <c r="B1291" s="1655" t="s">
        <v>1094</v>
      </c>
      <c r="C1291" s="1656" t="s">
        <v>402</v>
      </c>
      <c r="D1291" s="1655" t="s">
        <v>42</v>
      </c>
      <c r="E1291" s="1655" t="s">
        <v>569</v>
      </c>
    </row>
    <row r="1292" spans="1:5" s="1732" customFormat="1">
      <c r="A1292" s="1655" t="s">
        <v>433</v>
      </c>
      <c r="B1292" s="1655" t="s">
        <v>1199</v>
      </c>
      <c r="C1292" s="1656" t="s">
        <v>402</v>
      </c>
      <c r="D1292" s="1655" t="s">
        <v>42</v>
      </c>
      <c r="E1292" s="1655" t="s">
        <v>569</v>
      </c>
    </row>
    <row r="1293" spans="1:5" s="1732" customFormat="1">
      <c r="A1293" s="1655" t="s">
        <v>433</v>
      </c>
      <c r="B1293" s="1655" t="s">
        <v>1200</v>
      </c>
      <c r="C1293" s="1656" t="s">
        <v>402</v>
      </c>
      <c r="D1293" s="1655" t="s">
        <v>42</v>
      </c>
      <c r="E1293" s="1655" t="s">
        <v>569</v>
      </c>
    </row>
    <row r="1294" spans="1:5" s="1732" customFormat="1">
      <c r="A1294" s="1655" t="s">
        <v>433</v>
      </c>
      <c r="B1294" s="1655" t="s">
        <v>1201</v>
      </c>
      <c r="C1294" s="1656" t="s">
        <v>402</v>
      </c>
      <c r="D1294" s="1655" t="s">
        <v>42</v>
      </c>
      <c r="E1294" s="1655" t="s">
        <v>569</v>
      </c>
    </row>
    <row r="1295" spans="1:5" s="1732" customFormat="1">
      <c r="A1295" s="1655" t="s">
        <v>433</v>
      </c>
      <c r="B1295" s="1655" t="s">
        <v>1202</v>
      </c>
      <c r="C1295" s="1656" t="s">
        <v>402</v>
      </c>
      <c r="D1295" s="1655" t="s">
        <v>42</v>
      </c>
      <c r="E1295" s="1655" t="s">
        <v>569</v>
      </c>
    </row>
    <row r="1296" spans="1:5" s="1732" customFormat="1">
      <c r="A1296" s="1655" t="s">
        <v>433</v>
      </c>
      <c r="B1296" s="1655" t="s">
        <v>1203</v>
      </c>
      <c r="C1296" s="1656" t="s">
        <v>402</v>
      </c>
      <c r="D1296" s="1655" t="s">
        <v>42</v>
      </c>
      <c r="E1296" s="1655" t="s">
        <v>569</v>
      </c>
    </row>
    <row r="1297" spans="1:5" s="1732" customFormat="1">
      <c r="A1297" s="1655" t="s">
        <v>433</v>
      </c>
      <c r="B1297" s="1655" t="s">
        <v>1204</v>
      </c>
      <c r="C1297" s="1656" t="s">
        <v>402</v>
      </c>
      <c r="D1297" s="1655" t="s">
        <v>42</v>
      </c>
      <c r="E1297" s="1655" t="s">
        <v>569</v>
      </c>
    </row>
    <row r="1298" spans="1:5" s="1732" customFormat="1">
      <c r="A1298" s="1655" t="s">
        <v>433</v>
      </c>
      <c r="B1298" s="1655" t="s">
        <v>1205</v>
      </c>
      <c r="C1298" s="1656" t="s">
        <v>402</v>
      </c>
      <c r="D1298" s="1655" t="s">
        <v>42</v>
      </c>
      <c r="E1298" s="1655" t="s">
        <v>569</v>
      </c>
    </row>
    <row r="1299" spans="1:5" s="1732" customFormat="1">
      <c r="A1299" s="1655" t="s">
        <v>433</v>
      </c>
      <c r="B1299" s="1655" t="s">
        <v>1206</v>
      </c>
      <c r="C1299" s="1656" t="s">
        <v>402</v>
      </c>
      <c r="D1299" s="1655" t="s">
        <v>42</v>
      </c>
      <c r="E1299" s="1655" t="s">
        <v>569</v>
      </c>
    </row>
    <row r="1300" spans="1:5" s="1732" customFormat="1">
      <c r="A1300" s="1655" t="s">
        <v>433</v>
      </c>
      <c r="B1300" s="1655" t="s">
        <v>1207</v>
      </c>
      <c r="C1300" s="1656" t="s">
        <v>395</v>
      </c>
      <c r="D1300" s="1655" t="s">
        <v>42</v>
      </c>
      <c r="E1300" s="1655" t="s">
        <v>569</v>
      </c>
    </row>
    <row r="1301" spans="1:5" s="1732" customFormat="1">
      <c r="A1301" s="1655" t="s">
        <v>433</v>
      </c>
      <c r="B1301" s="1655" t="s">
        <v>616</v>
      </c>
      <c r="C1301" s="1656">
        <v>58</v>
      </c>
      <c r="D1301" s="1655" t="s">
        <v>42</v>
      </c>
      <c r="E1301" s="1655" t="s">
        <v>571</v>
      </c>
    </row>
    <row r="1302" spans="1:5" s="1732" customFormat="1">
      <c r="A1302" s="1655" t="s">
        <v>433</v>
      </c>
      <c r="B1302" s="1655" t="s">
        <v>617</v>
      </c>
      <c r="C1302" s="1656">
        <v>0</v>
      </c>
      <c r="D1302" s="1655" t="s">
        <v>42</v>
      </c>
      <c r="E1302" s="1655" t="s">
        <v>571</v>
      </c>
    </row>
    <row r="1303" spans="1:5" s="1732" customFormat="1">
      <c r="A1303" s="1655" t="s">
        <v>433</v>
      </c>
      <c r="B1303" s="1655" t="s">
        <v>618</v>
      </c>
      <c r="C1303" s="1656">
        <v>0</v>
      </c>
      <c r="D1303" s="1655" t="s">
        <v>42</v>
      </c>
      <c r="E1303" s="1655" t="s">
        <v>571</v>
      </c>
    </row>
    <row r="1304" spans="1:5" s="1732" customFormat="1">
      <c r="A1304" s="1655" t="s">
        <v>433</v>
      </c>
      <c r="B1304" s="1655" t="s">
        <v>619</v>
      </c>
      <c r="C1304" s="1656">
        <v>0</v>
      </c>
      <c r="D1304" s="1655" t="s">
        <v>42</v>
      </c>
      <c r="E1304" s="1655" t="s">
        <v>571</v>
      </c>
    </row>
    <row r="1305" spans="1:5" s="1732" customFormat="1">
      <c r="A1305" s="1655" t="s">
        <v>433</v>
      </c>
      <c r="B1305" s="1655" t="s">
        <v>620</v>
      </c>
      <c r="C1305" s="1656">
        <v>0</v>
      </c>
      <c r="D1305" s="1655" t="s">
        <v>42</v>
      </c>
      <c r="E1305" s="1655" t="s">
        <v>571</v>
      </c>
    </row>
    <row r="1306" spans="1:5" s="1732" customFormat="1">
      <c r="A1306" s="1655" t="s">
        <v>433</v>
      </c>
      <c r="B1306" s="1655" t="s">
        <v>621</v>
      </c>
      <c r="C1306" s="1656">
        <v>0</v>
      </c>
      <c r="D1306" s="1655" t="s">
        <v>42</v>
      </c>
      <c r="E1306" s="1655" t="s">
        <v>571</v>
      </c>
    </row>
    <row r="1307" spans="1:5" s="1732" customFormat="1">
      <c r="A1307" s="1655" t="s">
        <v>433</v>
      </c>
      <c r="B1307" s="1655" t="s">
        <v>622</v>
      </c>
      <c r="C1307" s="1656">
        <v>0</v>
      </c>
      <c r="D1307" s="1655" t="s">
        <v>42</v>
      </c>
      <c r="E1307" s="1655" t="s">
        <v>571</v>
      </c>
    </row>
    <row r="1308" spans="1:5" s="1732" customFormat="1">
      <c r="A1308" s="1655" t="s">
        <v>433</v>
      </c>
      <c r="B1308" s="1655" t="s">
        <v>623</v>
      </c>
      <c r="C1308" s="1656">
        <v>0</v>
      </c>
      <c r="D1308" s="1655" t="s">
        <v>42</v>
      </c>
      <c r="E1308" s="1655" t="s">
        <v>571</v>
      </c>
    </row>
    <row r="1309" spans="1:5" s="1732" customFormat="1">
      <c r="A1309" s="1655" t="s">
        <v>433</v>
      </c>
      <c r="B1309" s="1655" t="s">
        <v>1043</v>
      </c>
      <c r="C1309" s="1656">
        <v>0</v>
      </c>
      <c r="D1309" s="1655" t="s">
        <v>42</v>
      </c>
      <c r="E1309" s="1655" t="s">
        <v>571</v>
      </c>
    </row>
    <row r="1310" spans="1:5" s="1732" customFormat="1">
      <c r="A1310" s="1655" t="s">
        <v>433</v>
      </c>
      <c r="B1310" s="1655" t="s">
        <v>1044</v>
      </c>
      <c r="C1310" s="1656">
        <v>0</v>
      </c>
      <c r="D1310" s="1655" t="s">
        <v>42</v>
      </c>
      <c r="E1310" s="1655" t="s">
        <v>571</v>
      </c>
    </row>
    <row r="1311" spans="1:5" s="1732" customFormat="1">
      <c r="A1311" s="1655" t="s">
        <v>433</v>
      </c>
      <c r="B1311" s="1655" t="s">
        <v>1045</v>
      </c>
      <c r="C1311" s="1656">
        <v>0</v>
      </c>
      <c r="D1311" s="1655" t="s">
        <v>42</v>
      </c>
      <c r="E1311" s="1655" t="s">
        <v>571</v>
      </c>
    </row>
    <row r="1312" spans="1:5" s="1732" customFormat="1">
      <c r="A1312" s="1655" t="s">
        <v>244</v>
      </c>
      <c r="B1312" s="1655" t="s">
        <v>1163</v>
      </c>
      <c r="C1312" s="1656" t="s">
        <v>570</v>
      </c>
      <c r="D1312" s="1655" t="s">
        <v>43</v>
      </c>
      <c r="E1312" s="1655" t="s">
        <v>569</v>
      </c>
    </row>
    <row r="1313" spans="1:5" s="1732" customFormat="1">
      <c r="A1313" s="1655" t="s">
        <v>244</v>
      </c>
      <c r="B1313" s="1655" t="s">
        <v>573</v>
      </c>
      <c r="C1313" s="1656" t="s">
        <v>570</v>
      </c>
      <c r="D1313" s="1655" t="s">
        <v>43</v>
      </c>
      <c r="E1313" s="1655" t="s">
        <v>569</v>
      </c>
    </row>
    <row r="1314" spans="1:5" s="1732" customFormat="1">
      <c r="A1314" s="1655" t="s">
        <v>244</v>
      </c>
      <c r="B1314" s="1655" t="s">
        <v>1164</v>
      </c>
      <c r="C1314" s="1657">
        <v>43831</v>
      </c>
      <c r="D1314" s="1655" t="s">
        <v>42</v>
      </c>
      <c r="E1314" s="1655" t="s">
        <v>196</v>
      </c>
    </row>
    <row r="1315" spans="1:5" s="1732" customFormat="1">
      <c r="A1315" s="1655" t="s">
        <v>244</v>
      </c>
      <c r="B1315" s="1655" t="s">
        <v>1165</v>
      </c>
      <c r="C1315" s="1656" t="s">
        <v>570</v>
      </c>
      <c r="D1315" s="1655" t="s">
        <v>43</v>
      </c>
      <c r="E1315" s="1655" t="s">
        <v>6</v>
      </c>
    </row>
    <row r="1316" spans="1:5" s="1732" customFormat="1">
      <c r="A1316" s="1655" t="s">
        <v>244</v>
      </c>
      <c r="B1316" s="1655" t="s">
        <v>1166</v>
      </c>
      <c r="C1316" s="1656">
        <v>0</v>
      </c>
      <c r="D1316" s="1655" t="s">
        <v>42</v>
      </c>
      <c r="E1316" s="1655" t="s">
        <v>571</v>
      </c>
    </row>
    <row r="1317" spans="1:5" s="1732" customFormat="1">
      <c r="A1317" s="1655" t="s">
        <v>244</v>
      </c>
      <c r="B1317" s="1655" t="s">
        <v>1262</v>
      </c>
      <c r="C1317" s="1655">
        <v>0.03</v>
      </c>
      <c r="D1317" s="1655" t="s">
        <v>42</v>
      </c>
      <c r="E1317" s="1655" t="s">
        <v>80</v>
      </c>
    </row>
    <row r="1318" spans="1:5" s="1732" customFormat="1">
      <c r="A1318" s="1655" t="s">
        <v>244</v>
      </c>
      <c r="B1318" s="1655" t="s">
        <v>1264</v>
      </c>
      <c r="C1318" s="1655">
        <v>0</v>
      </c>
      <c r="D1318" s="1655" t="s">
        <v>42</v>
      </c>
      <c r="E1318" s="1655" t="s">
        <v>80</v>
      </c>
    </row>
    <row r="1319" spans="1:5" s="1732" customFormat="1">
      <c r="A1319" s="1655" t="s">
        <v>244</v>
      </c>
      <c r="B1319" s="1655" t="s">
        <v>1265</v>
      </c>
      <c r="C1319" s="1656">
        <v>0</v>
      </c>
      <c r="D1319" s="1655" t="s">
        <v>42</v>
      </c>
      <c r="E1319" s="1655" t="s">
        <v>571</v>
      </c>
    </row>
    <row r="1320" spans="1:5" s="1732" customFormat="1">
      <c r="A1320" s="1655" t="s">
        <v>244</v>
      </c>
      <c r="B1320" s="1655" t="s">
        <v>1266</v>
      </c>
      <c r="C1320" s="1655">
        <v>0</v>
      </c>
      <c r="D1320" s="1655" t="s">
        <v>42</v>
      </c>
      <c r="E1320" s="1655" t="s">
        <v>80</v>
      </c>
    </row>
    <row r="1321" spans="1:5" s="1732" customFormat="1">
      <c r="A1321" s="1655" t="s">
        <v>244</v>
      </c>
      <c r="B1321" s="1655" t="s">
        <v>1267</v>
      </c>
      <c r="C1321" s="1655" t="s">
        <v>51</v>
      </c>
      <c r="D1321" s="1655" t="s">
        <v>42</v>
      </c>
      <c r="E1321" s="1655" t="s">
        <v>572</v>
      </c>
    </row>
    <row r="1322" spans="1:5" s="1732" customFormat="1">
      <c r="A1322" s="1655" t="s">
        <v>244</v>
      </c>
      <c r="B1322" s="1655" t="s">
        <v>574</v>
      </c>
      <c r="C1322" s="1656">
        <v>0</v>
      </c>
      <c r="D1322" s="1655" t="s">
        <v>42</v>
      </c>
      <c r="E1322" s="1655" t="s">
        <v>571</v>
      </c>
    </row>
    <row r="1323" spans="1:5" s="1732" customFormat="1">
      <c r="A1323" s="1655" t="s">
        <v>244</v>
      </c>
      <c r="B1323" s="1655" t="s">
        <v>575</v>
      </c>
      <c r="C1323" s="1656">
        <v>0</v>
      </c>
      <c r="D1323" s="1655" t="s">
        <v>42</v>
      </c>
      <c r="E1323" s="1655" t="s">
        <v>571</v>
      </c>
    </row>
    <row r="1324" spans="1:5" s="1732" customFormat="1">
      <c r="A1324" s="1655" t="s">
        <v>244</v>
      </c>
      <c r="B1324" s="1655" t="s">
        <v>576</v>
      </c>
      <c r="C1324" s="1656">
        <v>0</v>
      </c>
      <c r="D1324" s="1655" t="s">
        <v>42</v>
      </c>
      <c r="E1324" s="1655" t="s">
        <v>571</v>
      </c>
    </row>
    <row r="1325" spans="1:5" s="1732" customFormat="1">
      <c r="A1325" s="1655" t="s">
        <v>244</v>
      </c>
      <c r="B1325" s="1655" t="s">
        <v>577</v>
      </c>
      <c r="C1325" s="1656">
        <v>0</v>
      </c>
      <c r="D1325" s="1655" t="s">
        <v>42</v>
      </c>
      <c r="E1325" s="1655" t="s">
        <v>571</v>
      </c>
    </row>
    <row r="1326" spans="1:5" s="1732" customFormat="1">
      <c r="A1326" s="1655" t="s">
        <v>244</v>
      </c>
      <c r="B1326" s="1655" t="s">
        <v>578</v>
      </c>
      <c r="C1326" s="1656">
        <v>0</v>
      </c>
      <c r="D1326" s="1655" t="s">
        <v>42</v>
      </c>
      <c r="E1326" s="1655" t="s">
        <v>571</v>
      </c>
    </row>
    <row r="1327" spans="1:5" s="1732" customFormat="1">
      <c r="A1327" s="1655" t="s">
        <v>244</v>
      </c>
      <c r="B1327" s="1655" t="s">
        <v>579</v>
      </c>
      <c r="C1327" s="1656">
        <v>0</v>
      </c>
      <c r="D1327" s="1655" t="s">
        <v>42</v>
      </c>
      <c r="E1327" s="1655" t="s">
        <v>571</v>
      </c>
    </row>
    <row r="1328" spans="1:5" s="1732" customFormat="1">
      <c r="A1328" s="1655" t="s">
        <v>244</v>
      </c>
      <c r="B1328" s="1655" t="s">
        <v>582</v>
      </c>
      <c r="C1328" s="1655">
        <v>0</v>
      </c>
      <c r="D1328" s="1655" t="s">
        <v>42</v>
      </c>
      <c r="E1328" s="1655" t="s">
        <v>80</v>
      </c>
    </row>
    <row r="1329" spans="1:5" s="1732" customFormat="1">
      <c r="A1329" s="1655" t="s">
        <v>244</v>
      </c>
      <c r="B1329" s="1655" t="s">
        <v>583</v>
      </c>
      <c r="C1329" s="1655">
        <v>0</v>
      </c>
      <c r="D1329" s="1655" t="s">
        <v>42</v>
      </c>
      <c r="E1329" s="1655" t="s">
        <v>80</v>
      </c>
    </row>
    <row r="1330" spans="1:5" s="1732" customFormat="1">
      <c r="A1330" s="1655" t="s">
        <v>244</v>
      </c>
      <c r="B1330" s="1655" t="s">
        <v>1179</v>
      </c>
      <c r="C1330" s="1655" t="s">
        <v>570</v>
      </c>
      <c r="D1330" s="1655" t="s">
        <v>43</v>
      </c>
      <c r="E1330" s="1655" t="s">
        <v>6</v>
      </c>
    </row>
    <row r="1331" spans="1:5" s="1732" customFormat="1">
      <c r="A1331" s="1655" t="s">
        <v>244</v>
      </c>
      <c r="B1331" s="1655" t="s">
        <v>1180</v>
      </c>
      <c r="C1331" s="1655" t="s">
        <v>570</v>
      </c>
      <c r="D1331" s="1655" t="s">
        <v>43</v>
      </c>
      <c r="E1331" s="1655" t="s">
        <v>6</v>
      </c>
    </row>
    <row r="1332" spans="1:5" s="1732" customFormat="1">
      <c r="A1332" s="1655" t="s">
        <v>244</v>
      </c>
      <c r="B1332" s="1655" t="s">
        <v>1181</v>
      </c>
      <c r="C1332" s="1655" t="s">
        <v>570</v>
      </c>
      <c r="D1332" s="1655" t="s">
        <v>43</v>
      </c>
      <c r="E1332" s="1655" t="s">
        <v>6</v>
      </c>
    </row>
    <row r="1333" spans="1:5" s="1732" customFormat="1">
      <c r="A1333" s="1655" t="s">
        <v>244</v>
      </c>
      <c r="B1333" s="1655" t="s">
        <v>1182</v>
      </c>
      <c r="C1333" s="1655" t="s">
        <v>570</v>
      </c>
      <c r="D1333" s="1655" t="s">
        <v>43</v>
      </c>
      <c r="E1333" s="1655" t="s">
        <v>6</v>
      </c>
    </row>
    <row r="1334" spans="1:5" s="1732" customFormat="1">
      <c r="A1334" s="1655" t="s">
        <v>244</v>
      </c>
      <c r="B1334" s="1655" t="s">
        <v>1183</v>
      </c>
      <c r="C1334" s="1657" t="s">
        <v>570</v>
      </c>
      <c r="D1334" s="1655" t="s">
        <v>43</v>
      </c>
      <c r="E1334" s="1655" t="s">
        <v>6</v>
      </c>
    </row>
    <row r="1335" spans="1:5" s="1732" customFormat="1">
      <c r="A1335" s="1655" t="s">
        <v>244</v>
      </c>
      <c r="B1335" s="1655" t="s">
        <v>1184</v>
      </c>
      <c r="C1335" s="1655" t="s">
        <v>570</v>
      </c>
      <c r="D1335" s="1655" t="s">
        <v>43</v>
      </c>
      <c r="E1335" s="1655" t="s">
        <v>6</v>
      </c>
    </row>
    <row r="1336" spans="1:5" s="1732" customFormat="1">
      <c r="A1336" s="1655" t="s">
        <v>244</v>
      </c>
      <c r="B1336" s="1655" t="s">
        <v>1185</v>
      </c>
      <c r="C1336" s="1656" t="s">
        <v>570</v>
      </c>
      <c r="D1336" s="1655" t="s">
        <v>43</v>
      </c>
      <c r="E1336" s="1655" t="s">
        <v>6</v>
      </c>
    </row>
    <row r="1337" spans="1:5" s="1732" customFormat="1">
      <c r="A1337" s="1655" t="s">
        <v>244</v>
      </c>
      <c r="B1337" s="1655" t="s">
        <v>1186</v>
      </c>
      <c r="C1337" s="1658" t="s">
        <v>570</v>
      </c>
      <c r="D1337" s="1655" t="s">
        <v>43</v>
      </c>
      <c r="E1337" s="1655" t="s">
        <v>6</v>
      </c>
    </row>
    <row r="1338" spans="1:5" s="1732" customFormat="1">
      <c r="A1338" s="1655" t="s">
        <v>244</v>
      </c>
      <c r="B1338" s="1655" t="s">
        <v>1187</v>
      </c>
      <c r="C1338" s="1658" t="s">
        <v>570</v>
      </c>
      <c r="D1338" s="1655" t="s">
        <v>43</v>
      </c>
      <c r="E1338" s="1655" t="s">
        <v>6</v>
      </c>
    </row>
    <row r="1339" spans="1:5" s="1732" customFormat="1">
      <c r="A1339" s="1655" t="s">
        <v>244</v>
      </c>
      <c r="B1339" s="1655" t="s">
        <v>601</v>
      </c>
      <c r="C1339" s="1656" t="s">
        <v>570</v>
      </c>
      <c r="D1339" s="1655" t="s">
        <v>43</v>
      </c>
      <c r="E1339" s="1655" t="s">
        <v>6</v>
      </c>
    </row>
    <row r="1340" spans="1:5" s="1732" customFormat="1">
      <c r="A1340" s="1655" t="s">
        <v>244</v>
      </c>
      <c r="B1340" s="1655" t="s">
        <v>602</v>
      </c>
      <c r="C1340" s="1655" t="s">
        <v>570</v>
      </c>
      <c r="D1340" s="1655" t="s">
        <v>43</v>
      </c>
      <c r="E1340" s="1655" t="s">
        <v>6</v>
      </c>
    </row>
    <row r="1341" spans="1:5" s="1732" customFormat="1">
      <c r="A1341" s="1655" t="s">
        <v>244</v>
      </c>
      <c r="B1341" s="1655" t="s">
        <v>603</v>
      </c>
      <c r="C1341" s="1659" t="s">
        <v>570</v>
      </c>
      <c r="D1341" s="1655" t="s">
        <v>43</v>
      </c>
      <c r="E1341" s="1655" t="s">
        <v>6</v>
      </c>
    </row>
    <row r="1342" spans="1:5" s="1732" customFormat="1">
      <c r="A1342" s="1655" t="s">
        <v>244</v>
      </c>
      <c r="B1342" s="1655" t="s">
        <v>608</v>
      </c>
      <c r="C1342" s="1656" t="s">
        <v>570</v>
      </c>
      <c r="D1342" s="1655" t="s">
        <v>43</v>
      </c>
      <c r="E1342" s="1655" t="s">
        <v>6</v>
      </c>
    </row>
    <row r="1343" spans="1:5" s="1732" customFormat="1">
      <c r="A1343" s="1655" t="s">
        <v>244</v>
      </c>
      <c r="B1343" s="1655" t="s">
        <v>1959</v>
      </c>
      <c r="C1343" s="1656" t="s">
        <v>570</v>
      </c>
      <c r="D1343" s="1655" t="s">
        <v>43</v>
      </c>
      <c r="E1343" s="1655" t="s">
        <v>569</v>
      </c>
    </row>
    <row r="1344" spans="1:5" s="1732" customFormat="1">
      <c r="A1344" s="1655" t="s">
        <v>244</v>
      </c>
      <c r="B1344" s="1655" t="s">
        <v>1960</v>
      </c>
      <c r="C1344" s="1656" t="s">
        <v>570</v>
      </c>
      <c r="D1344" s="1655" t="s">
        <v>43</v>
      </c>
      <c r="E1344" s="1655" t="s">
        <v>569</v>
      </c>
    </row>
    <row r="1345" spans="1:5" s="1732" customFormat="1">
      <c r="A1345" s="1655" t="s">
        <v>244</v>
      </c>
      <c r="B1345" s="1655" t="s">
        <v>1961</v>
      </c>
      <c r="C1345" s="1657">
        <v>43831</v>
      </c>
      <c r="D1345" s="1655" t="s">
        <v>42</v>
      </c>
      <c r="E1345" s="1655" t="s">
        <v>196</v>
      </c>
    </row>
    <row r="1346" spans="1:5" s="1732" customFormat="1">
      <c r="A1346" s="1655" t="s">
        <v>244</v>
      </c>
      <c r="B1346" s="1655" t="s">
        <v>2074</v>
      </c>
      <c r="C1346" s="1656" t="s">
        <v>570</v>
      </c>
      <c r="D1346" s="1655" t="s">
        <v>43</v>
      </c>
      <c r="E1346" s="1655" t="s">
        <v>6</v>
      </c>
    </row>
    <row r="1347" spans="1:5" s="1732" customFormat="1">
      <c r="A1347" s="1655" t="s">
        <v>244</v>
      </c>
      <c r="B1347" s="1655" t="s">
        <v>2075</v>
      </c>
      <c r="C1347" s="1656">
        <v>0</v>
      </c>
      <c r="D1347" s="1655" t="s">
        <v>42</v>
      </c>
      <c r="E1347" s="1655" t="s">
        <v>571</v>
      </c>
    </row>
    <row r="1348" spans="1:5" s="1732" customFormat="1">
      <c r="A1348" s="1655" t="s">
        <v>244</v>
      </c>
      <c r="B1348" s="1655" t="s">
        <v>2076</v>
      </c>
      <c r="C1348" s="1655">
        <v>0.03</v>
      </c>
      <c r="D1348" s="1655" t="s">
        <v>42</v>
      </c>
      <c r="E1348" s="1655" t="s">
        <v>80</v>
      </c>
    </row>
    <row r="1349" spans="1:5" s="1732" customFormat="1">
      <c r="A1349" s="1655" t="s">
        <v>244</v>
      </c>
      <c r="B1349" s="1655" t="s">
        <v>2077</v>
      </c>
      <c r="C1349" s="1655">
        <v>0</v>
      </c>
      <c r="D1349" s="1655" t="s">
        <v>42</v>
      </c>
      <c r="E1349" s="1655" t="s">
        <v>80</v>
      </c>
    </row>
    <row r="1350" spans="1:5" s="1732" customFormat="1">
      <c r="A1350" s="1655" t="s">
        <v>244</v>
      </c>
      <c r="B1350" s="1655" t="s">
        <v>2078</v>
      </c>
      <c r="C1350" s="1656">
        <v>0</v>
      </c>
      <c r="D1350" s="1655" t="s">
        <v>42</v>
      </c>
      <c r="E1350" s="1655" t="s">
        <v>571</v>
      </c>
    </row>
    <row r="1351" spans="1:5" s="1732" customFormat="1">
      <c r="A1351" s="1655" t="s">
        <v>244</v>
      </c>
      <c r="B1351" s="1655" t="s">
        <v>2079</v>
      </c>
      <c r="C1351" s="1655">
        <v>0</v>
      </c>
      <c r="D1351" s="1655" t="s">
        <v>42</v>
      </c>
      <c r="E1351" s="1655" t="s">
        <v>80</v>
      </c>
    </row>
    <row r="1352" spans="1:5" s="1732" customFormat="1">
      <c r="A1352" s="1655" t="s">
        <v>244</v>
      </c>
      <c r="B1352" s="1655" t="s">
        <v>2080</v>
      </c>
      <c r="C1352" s="1655" t="s">
        <v>51</v>
      </c>
      <c r="D1352" s="1655" t="s">
        <v>42</v>
      </c>
      <c r="E1352" s="1655" t="s">
        <v>572</v>
      </c>
    </row>
    <row r="1353" spans="1:5" s="1732" customFormat="1">
      <c r="A1353" s="1655" t="s">
        <v>244</v>
      </c>
      <c r="B1353" s="1655" t="s">
        <v>2081</v>
      </c>
      <c r="C1353" s="1656">
        <v>0</v>
      </c>
      <c r="D1353" s="1655" t="s">
        <v>42</v>
      </c>
      <c r="E1353" s="1655" t="s">
        <v>571</v>
      </c>
    </row>
    <row r="1354" spans="1:5" s="1732" customFormat="1">
      <c r="A1354" s="1655" t="s">
        <v>244</v>
      </c>
      <c r="B1354" s="1655" t="s">
        <v>2082</v>
      </c>
      <c r="C1354" s="1656">
        <v>10</v>
      </c>
      <c r="D1354" s="1655" t="s">
        <v>42</v>
      </c>
      <c r="E1354" s="1655" t="s">
        <v>571</v>
      </c>
    </row>
    <row r="1355" spans="1:5" s="1732" customFormat="1">
      <c r="A1355" s="1655" t="s">
        <v>244</v>
      </c>
      <c r="B1355" s="1655" t="s">
        <v>2083</v>
      </c>
      <c r="C1355" s="1656">
        <v>0</v>
      </c>
      <c r="D1355" s="1655" t="s">
        <v>42</v>
      </c>
      <c r="E1355" s="1655" t="s">
        <v>571</v>
      </c>
    </row>
    <row r="1356" spans="1:5" s="1732" customFormat="1">
      <c r="A1356" s="1655" t="s">
        <v>244</v>
      </c>
      <c r="B1356" s="1655" t="s">
        <v>2084</v>
      </c>
      <c r="C1356" s="1656">
        <v>0</v>
      </c>
      <c r="D1356" s="1655" t="s">
        <v>42</v>
      </c>
      <c r="E1356" s="1655" t="s">
        <v>571</v>
      </c>
    </row>
    <row r="1357" spans="1:5" s="1732" customFormat="1">
      <c r="A1357" s="1655" t="s">
        <v>244</v>
      </c>
      <c r="B1357" s="1655" t="s">
        <v>2089</v>
      </c>
      <c r="C1357" s="1656">
        <v>0</v>
      </c>
      <c r="D1357" s="1655" t="s">
        <v>42</v>
      </c>
      <c r="E1357" s="1655" t="s">
        <v>571</v>
      </c>
    </row>
    <row r="1358" spans="1:5" s="1732" customFormat="1">
      <c r="A1358" s="1655" t="s">
        <v>244</v>
      </c>
      <c r="B1358" s="1655" t="s">
        <v>2090</v>
      </c>
      <c r="C1358" s="1656">
        <v>0</v>
      </c>
      <c r="D1358" s="1655" t="s">
        <v>42</v>
      </c>
      <c r="E1358" s="1655" t="s">
        <v>571</v>
      </c>
    </row>
    <row r="1359" spans="1:5" s="1732" customFormat="1">
      <c r="A1359" s="1655" t="s">
        <v>244</v>
      </c>
      <c r="B1359" s="1655" t="s">
        <v>1041</v>
      </c>
      <c r="C1359" s="1655">
        <v>0</v>
      </c>
      <c r="D1359" s="1655" t="s">
        <v>42</v>
      </c>
      <c r="E1359" s="1655" t="s">
        <v>80</v>
      </c>
    </row>
    <row r="1360" spans="1:5" s="1732" customFormat="1">
      <c r="A1360" s="1655" t="s">
        <v>244</v>
      </c>
      <c r="B1360" s="1655" t="s">
        <v>1042</v>
      </c>
      <c r="C1360" s="1655">
        <v>0</v>
      </c>
      <c r="D1360" s="1655" t="s">
        <v>42</v>
      </c>
      <c r="E1360" s="1655" t="s">
        <v>80</v>
      </c>
    </row>
    <row r="1361" spans="1:5" s="1732" customFormat="1">
      <c r="A1361" s="1655" t="s">
        <v>244</v>
      </c>
      <c r="B1361" s="1655" t="s">
        <v>979</v>
      </c>
      <c r="C1361" s="1655" t="s">
        <v>570</v>
      </c>
      <c r="D1361" s="1655" t="s">
        <v>43</v>
      </c>
      <c r="E1361" s="1655" t="s">
        <v>6</v>
      </c>
    </row>
    <row r="1362" spans="1:5" s="1732" customFormat="1">
      <c r="A1362" s="1655" t="s">
        <v>244</v>
      </c>
      <c r="B1362" s="1655" t="s">
        <v>980</v>
      </c>
      <c r="C1362" s="2034" t="s">
        <v>570</v>
      </c>
      <c r="D1362" s="1655" t="s">
        <v>43</v>
      </c>
      <c r="E1362" s="1655" t="s">
        <v>6</v>
      </c>
    </row>
    <row r="1363" spans="1:5" s="1732" customFormat="1">
      <c r="A1363" s="1655" t="s">
        <v>244</v>
      </c>
      <c r="B1363" s="1655" t="s">
        <v>625</v>
      </c>
      <c r="C1363" s="1655" t="s">
        <v>570</v>
      </c>
      <c r="D1363" s="1655" t="s">
        <v>43</v>
      </c>
      <c r="E1363" s="1655" t="s">
        <v>6</v>
      </c>
    </row>
    <row r="1364" spans="1:5" s="1732" customFormat="1">
      <c r="A1364" s="1655" t="s">
        <v>244</v>
      </c>
      <c r="B1364" s="1655" t="s">
        <v>626</v>
      </c>
      <c r="C1364" s="1655" t="s">
        <v>570</v>
      </c>
      <c r="D1364" s="1655" t="s">
        <v>43</v>
      </c>
      <c r="E1364" s="1655" t="s">
        <v>6</v>
      </c>
    </row>
    <row r="1365" spans="1:5" s="1732" customFormat="1">
      <c r="A1365" s="1655" t="s">
        <v>244</v>
      </c>
      <c r="B1365" s="1655" t="s">
        <v>627</v>
      </c>
      <c r="C1365" s="1656" t="s">
        <v>570</v>
      </c>
      <c r="D1365" s="1655" t="s">
        <v>43</v>
      </c>
      <c r="E1365" s="1655" t="s">
        <v>6</v>
      </c>
    </row>
    <row r="1366" spans="1:5" s="1732" customFormat="1">
      <c r="A1366" s="1655" t="s">
        <v>244</v>
      </c>
      <c r="B1366" s="1655" t="s">
        <v>628</v>
      </c>
      <c r="C1366" s="1656" t="s">
        <v>570</v>
      </c>
      <c r="D1366" s="1655" t="s">
        <v>43</v>
      </c>
      <c r="E1366" s="1655" t="s">
        <v>6</v>
      </c>
    </row>
    <row r="1367" spans="1:5" s="1732" customFormat="1">
      <c r="A1367" s="1655" t="s">
        <v>244</v>
      </c>
      <c r="B1367" s="1655" t="s">
        <v>1089</v>
      </c>
      <c r="C1367" s="1656" t="s">
        <v>570</v>
      </c>
      <c r="D1367" s="1655" t="s">
        <v>43</v>
      </c>
      <c r="E1367" s="1655" t="s">
        <v>6</v>
      </c>
    </row>
    <row r="1368" spans="1:5" s="1732" customFormat="1">
      <c r="A1368" s="1655" t="s">
        <v>244</v>
      </c>
      <c r="B1368" s="1655" t="s">
        <v>981</v>
      </c>
      <c r="C1368" s="1656" t="s">
        <v>570</v>
      </c>
      <c r="D1368" s="1655" t="s">
        <v>43</v>
      </c>
      <c r="E1368" s="1655" t="s">
        <v>6</v>
      </c>
    </row>
    <row r="1369" spans="1:5" s="1732" customFormat="1">
      <c r="A1369" s="1655" t="s">
        <v>244</v>
      </c>
      <c r="B1369" s="1655" t="s">
        <v>982</v>
      </c>
      <c r="C1369" s="1656" t="s">
        <v>570</v>
      </c>
      <c r="D1369" s="1655" t="s">
        <v>43</v>
      </c>
      <c r="E1369" s="1655" t="s">
        <v>6</v>
      </c>
    </row>
    <row r="1370" spans="1:5" s="1732" customFormat="1">
      <c r="A1370" s="1655" t="s">
        <v>244</v>
      </c>
      <c r="B1370" s="1655" t="s">
        <v>629</v>
      </c>
      <c r="C1370" s="1656" t="s">
        <v>570</v>
      </c>
      <c r="D1370" s="1655" t="s">
        <v>43</v>
      </c>
      <c r="E1370" s="1655" t="s">
        <v>6</v>
      </c>
    </row>
    <row r="1371" spans="1:5" s="1732" customFormat="1">
      <c r="A1371" s="1655" t="s">
        <v>244</v>
      </c>
      <c r="B1371" s="1655" t="s">
        <v>630</v>
      </c>
      <c r="C1371" s="1656" t="s">
        <v>570</v>
      </c>
      <c r="D1371" s="1655" t="s">
        <v>43</v>
      </c>
      <c r="E1371" s="1655" t="s">
        <v>6</v>
      </c>
    </row>
    <row r="1372" spans="1:5" s="1732" customFormat="1">
      <c r="A1372" s="1655" t="s">
        <v>244</v>
      </c>
      <c r="B1372" s="1655" t="s">
        <v>631</v>
      </c>
      <c r="C1372" s="1656" t="s">
        <v>570</v>
      </c>
      <c r="D1372" s="1655" t="s">
        <v>43</v>
      </c>
      <c r="E1372" s="1655" t="s">
        <v>6</v>
      </c>
    </row>
    <row r="1373" spans="1:5" s="1732" customFormat="1">
      <c r="A1373" s="1655" t="s">
        <v>244</v>
      </c>
      <c r="B1373" s="1655" t="s">
        <v>636</v>
      </c>
      <c r="C1373" s="1656" t="s">
        <v>570</v>
      </c>
      <c r="D1373" s="1655" t="s">
        <v>43</v>
      </c>
      <c r="E1373" s="1655" t="s">
        <v>6</v>
      </c>
    </row>
    <row r="1374" spans="1:5" s="1732" customFormat="1">
      <c r="A1374" s="1655" t="s">
        <v>244</v>
      </c>
      <c r="B1374" s="1655" t="s">
        <v>2631</v>
      </c>
      <c r="C1374" s="1656">
        <v>0.05</v>
      </c>
      <c r="D1374" s="1655" t="s">
        <v>42</v>
      </c>
      <c r="E1374" s="1655" t="s">
        <v>80</v>
      </c>
    </row>
    <row r="1375" spans="1:5" s="1732" customFormat="1">
      <c r="A1375" s="1655" t="s">
        <v>244</v>
      </c>
      <c r="B1375" s="1655" t="s">
        <v>2632</v>
      </c>
      <c r="C1375" s="1656">
        <v>0.15</v>
      </c>
      <c r="D1375" s="1655" t="s">
        <v>42</v>
      </c>
      <c r="E1375" s="1655" t="s">
        <v>80</v>
      </c>
    </row>
    <row r="1376" spans="1:5" s="1732" customFormat="1">
      <c r="A1376" s="1655" t="s">
        <v>434</v>
      </c>
      <c r="B1376" s="1655" t="s">
        <v>1166</v>
      </c>
      <c r="C1376" s="1656">
        <v>4.3499999999999997E-2</v>
      </c>
      <c r="D1376" s="1655" t="s">
        <v>42</v>
      </c>
      <c r="E1376" s="1655" t="s">
        <v>80</v>
      </c>
    </row>
    <row r="1377" spans="1:5" s="1732" customFormat="1">
      <c r="A1377" s="1655" t="s">
        <v>434</v>
      </c>
      <c r="B1377" s="1655" t="s">
        <v>1263</v>
      </c>
      <c r="C1377" s="1656">
        <v>2.4999999999999994E-2</v>
      </c>
      <c r="D1377" s="1655" t="s">
        <v>42</v>
      </c>
      <c r="E1377" s="1655" t="s">
        <v>80</v>
      </c>
    </row>
    <row r="1378" spans="1:5" s="1732" customFormat="1">
      <c r="A1378" s="1655" t="s">
        <v>434</v>
      </c>
      <c r="B1378" s="1655" t="s">
        <v>1979</v>
      </c>
      <c r="C1378" s="1656">
        <v>0</v>
      </c>
      <c r="D1378" s="1655" t="s">
        <v>42</v>
      </c>
      <c r="E1378" s="1655" t="s">
        <v>571</v>
      </c>
    </row>
    <row r="1379" spans="1:5" s="1732" customFormat="1">
      <c r="A1379" s="1655" t="s">
        <v>434</v>
      </c>
      <c r="B1379" s="1655" t="s">
        <v>1980</v>
      </c>
      <c r="C1379" s="1656">
        <v>0</v>
      </c>
      <c r="D1379" s="1655" t="s">
        <v>42</v>
      </c>
      <c r="E1379" s="1655" t="s">
        <v>571</v>
      </c>
    </row>
    <row r="1380" spans="1:5" s="1732" customFormat="1">
      <c r="A1380" s="1655" t="s">
        <v>434</v>
      </c>
      <c r="B1380" s="1655" t="s">
        <v>1981</v>
      </c>
      <c r="C1380" s="1656">
        <v>0</v>
      </c>
      <c r="D1380" s="1655" t="s">
        <v>42</v>
      </c>
      <c r="E1380" s="1655" t="s">
        <v>571</v>
      </c>
    </row>
    <row r="1381" spans="1:5" s="1732" customFormat="1">
      <c r="A1381" s="1655" t="s">
        <v>434</v>
      </c>
      <c r="B1381" s="1655" t="s">
        <v>1982</v>
      </c>
      <c r="C1381" s="1656">
        <v>0</v>
      </c>
      <c r="D1381" s="1655" t="s">
        <v>42</v>
      </c>
      <c r="E1381" s="1655" t="s">
        <v>571</v>
      </c>
    </row>
    <row r="1382" spans="1:5" s="1732" customFormat="1">
      <c r="A1382" s="1655" t="s">
        <v>434</v>
      </c>
      <c r="B1382" s="1655" t="s">
        <v>1983</v>
      </c>
      <c r="C1382" s="1656">
        <v>0</v>
      </c>
      <c r="D1382" s="1655" t="s">
        <v>42</v>
      </c>
      <c r="E1382" s="1655" t="s">
        <v>571</v>
      </c>
    </row>
    <row r="1383" spans="1:5" s="1732" customFormat="1">
      <c r="A1383" s="1655" t="s">
        <v>434</v>
      </c>
      <c r="B1383" s="1655" t="s">
        <v>1984</v>
      </c>
      <c r="C1383" s="1656">
        <v>0</v>
      </c>
      <c r="D1383" s="1655" t="s">
        <v>42</v>
      </c>
      <c r="E1383" s="1655" t="s">
        <v>571</v>
      </c>
    </row>
    <row r="1384" spans="1:5" s="1732" customFormat="1">
      <c r="A1384" s="1655" t="s">
        <v>434</v>
      </c>
      <c r="B1384" s="1655" t="s">
        <v>1985</v>
      </c>
      <c r="C1384" s="1656">
        <v>0</v>
      </c>
      <c r="D1384" s="1655" t="s">
        <v>42</v>
      </c>
      <c r="E1384" s="1655" t="s">
        <v>571</v>
      </c>
    </row>
    <row r="1385" spans="1:5" s="1732" customFormat="1">
      <c r="A1385" s="1655" t="s">
        <v>434</v>
      </c>
      <c r="B1385" s="1655" t="s">
        <v>1986</v>
      </c>
      <c r="C1385" s="1656">
        <v>0</v>
      </c>
      <c r="D1385" s="1655" t="s">
        <v>42</v>
      </c>
      <c r="E1385" s="1655" t="s">
        <v>571</v>
      </c>
    </row>
    <row r="1386" spans="1:5" s="1732" customFormat="1">
      <c r="A1386" s="1655" t="s">
        <v>434</v>
      </c>
      <c r="B1386" s="1655" t="s">
        <v>1987</v>
      </c>
      <c r="C1386" s="1656">
        <v>0</v>
      </c>
      <c r="D1386" s="1655" t="s">
        <v>42</v>
      </c>
      <c r="E1386" s="1655" t="s">
        <v>571</v>
      </c>
    </row>
    <row r="1387" spans="1:5" s="1732" customFormat="1">
      <c r="A1387" s="1655" t="s">
        <v>434</v>
      </c>
      <c r="B1387" s="1655" t="s">
        <v>1988</v>
      </c>
      <c r="C1387" s="1656">
        <v>0</v>
      </c>
      <c r="D1387" s="1655" t="s">
        <v>42</v>
      </c>
      <c r="E1387" s="1655" t="s">
        <v>571</v>
      </c>
    </row>
    <row r="1388" spans="1:5" s="1732" customFormat="1">
      <c r="A1388" s="1655" t="s">
        <v>434</v>
      </c>
      <c r="B1388" s="1655" t="s">
        <v>1989</v>
      </c>
      <c r="C1388" s="1656">
        <v>0</v>
      </c>
      <c r="D1388" s="1655" t="s">
        <v>42</v>
      </c>
      <c r="E1388" s="1655" t="s">
        <v>571</v>
      </c>
    </row>
    <row r="1389" spans="1:5" s="1732" customFormat="1">
      <c r="A1389" s="1655" t="s">
        <v>434</v>
      </c>
      <c r="B1389" s="1655" t="s">
        <v>1990</v>
      </c>
      <c r="C1389" s="1656">
        <v>0</v>
      </c>
      <c r="D1389" s="1655" t="s">
        <v>42</v>
      </c>
      <c r="E1389" s="1655" t="s">
        <v>571</v>
      </c>
    </row>
    <row r="1390" spans="1:5" s="1732" customFormat="1">
      <c r="A1390" s="1655" t="s">
        <v>434</v>
      </c>
      <c r="B1390" s="1655" t="s">
        <v>1991</v>
      </c>
      <c r="C1390" s="1656">
        <v>0</v>
      </c>
      <c r="D1390" s="1655" t="s">
        <v>42</v>
      </c>
      <c r="E1390" s="1655" t="s">
        <v>571</v>
      </c>
    </row>
    <row r="1391" spans="1:5" s="1732" customFormat="1">
      <c r="A1391" s="1655" t="s">
        <v>434</v>
      </c>
      <c r="B1391" s="1655" t="s">
        <v>1992</v>
      </c>
      <c r="C1391" s="1656">
        <v>0</v>
      </c>
      <c r="D1391" s="1655" t="s">
        <v>42</v>
      </c>
      <c r="E1391" s="1655" t="s">
        <v>571</v>
      </c>
    </row>
    <row r="1392" spans="1:5" s="1732" customFormat="1">
      <c r="A1392" s="1655" t="s">
        <v>434</v>
      </c>
      <c r="B1392" s="1655" t="s">
        <v>1993</v>
      </c>
      <c r="C1392" s="1656">
        <v>0</v>
      </c>
      <c r="D1392" s="1655" t="s">
        <v>42</v>
      </c>
      <c r="E1392" s="1655" t="s">
        <v>571</v>
      </c>
    </row>
    <row r="1393" spans="1:5" s="1732" customFormat="1">
      <c r="A1393" s="1655" t="s">
        <v>434</v>
      </c>
      <c r="B1393" s="1655" t="s">
        <v>1994</v>
      </c>
      <c r="C1393" s="1656">
        <v>0</v>
      </c>
      <c r="D1393" s="1655" t="s">
        <v>42</v>
      </c>
      <c r="E1393" s="1655" t="s">
        <v>571</v>
      </c>
    </row>
    <row r="1394" spans="1:5" s="1732" customFormat="1">
      <c r="A1394" s="1655" t="s">
        <v>434</v>
      </c>
      <c r="B1394" s="1655" t="s">
        <v>1995</v>
      </c>
      <c r="C1394" s="1656">
        <v>0</v>
      </c>
      <c r="D1394" s="1655" t="s">
        <v>42</v>
      </c>
      <c r="E1394" s="1655" t="s">
        <v>571</v>
      </c>
    </row>
    <row r="1395" spans="1:5" s="1732" customFormat="1">
      <c r="A1395" s="1655" t="s">
        <v>434</v>
      </c>
      <c r="B1395" s="1655" t="s">
        <v>1996</v>
      </c>
      <c r="C1395" s="1656">
        <v>0</v>
      </c>
      <c r="D1395" s="1655" t="s">
        <v>42</v>
      </c>
      <c r="E1395" s="1655" t="s">
        <v>571</v>
      </c>
    </row>
    <row r="1396" spans="1:5" s="1732" customFormat="1">
      <c r="A1396" s="1655" t="s">
        <v>434</v>
      </c>
      <c r="B1396" s="1655" t="s">
        <v>1997</v>
      </c>
      <c r="C1396" s="1656">
        <v>0</v>
      </c>
      <c r="D1396" s="1655" t="s">
        <v>42</v>
      </c>
      <c r="E1396" s="1655" t="s">
        <v>571</v>
      </c>
    </row>
    <row r="1397" spans="1:5" s="1732" customFormat="1">
      <c r="A1397" s="1655" t="s">
        <v>434</v>
      </c>
      <c r="B1397" s="1655" t="s">
        <v>1998</v>
      </c>
      <c r="C1397" s="1656">
        <v>0</v>
      </c>
      <c r="D1397" s="1655" t="s">
        <v>42</v>
      </c>
      <c r="E1397" s="1655" t="s">
        <v>571</v>
      </c>
    </row>
    <row r="1398" spans="1:5" s="1732" customFormat="1">
      <c r="A1398" s="1655" t="s">
        <v>434</v>
      </c>
      <c r="B1398" s="1655" t="s">
        <v>1999</v>
      </c>
      <c r="C1398" s="1656">
        <v>0</v>
      </c>
      <c r="D1398" s="1655" t="s">
        <v>42</v>
      </c>
      <c r="E1398" s="1655" t="s">
        <v>571</v>
      </c>
    </row>
    <row r="1399" spans="1:5" s="1732" customFormat="1">
      <c r="A1399" s="1655" t="s">
        <v>434</v>
      </c>
      <c r="B1399" s="1655" t="s">
        <v>2000</v>
      </c>
      <c r="C1399" s="1656">
        <v>0</v>
      </c>
      <c r="D1399" s="1655" t="s">
        <v>42</v>
      </c>
      <c r="E1399" s="1655" t="s">
        <v>571</v>
      </c>
    </row>
    <row r="1400" spans="1:5" s="1732" customFormat="1">
      <c r="A1400" s="1655" t="s">
        <v>434</v>
      </c>
      <c r="B1400" s="1655" t="s">
        <v>2001</v>
      </c>
      <c r="C1400" s="1656">
        <v>0</v>
      </c>
      <c r="D1400" s="1655" t="s">
        <v>42</v>
      </c>
      <c r="E1400" s="1655" t="s">
        <v>571</v>
      </c>
    </row>
    <row r="1401" spans="1:5" s="1732" customFormat="1">
      <c r="A1401" s="1655" t="s">
        <v>434</v>
      </c>
      <c r="B1401" s="1655" t="s">
        <v>2002</v>
      </c>
      <c r="C1401" s="1656">
        <v>0</v>
      </c>
      <c r="D1401" s="1655" t="s">
        <v>42</v>
      </c>
      <c r="E1401" s="1655" t="s">
        <v>571</v>
      </c>
    </row>
    <row r="1402" spans="1:5" s="1732" customFormat="1">
      <c r="A1402" s="1655" t="s">
        <v>434</v>
      </c>
      <c r="B1402" s="1655" t="s">
        <v>2003</v>
      </c>
      <c r="C1402" s="1656">
        <v>0</v>
      </c>
      <c r="D1402" s="1655" t="s">
        <v>42</v>
      </c>
      <c r="E1402" s="1655" t="s">
        <v>571</v>
      </c>
    </row>
    <row r="1403" spans="1:5" s="1732" customFormat="1">
      <c r="A1403" s="1655" t="s">
        <v>434</v>
      </c>
      <c r="B1403" s="1655" t="s">
        <v>2004</v>
      </c>
      <c r="C1403" s="1656">
        <v>0</v>
      </c>
      <c r="D1403" s="1655" t="s">
        <v>42</v>
      </c>
      <c r="E1403" s="1655" t="s">
        <v>571</v>
      </c>
    </row>
    <row r="1404" spans="1:5" s="1732" customFormat="1">
      <c r="A1404" s="1655" t="s">
        <v>434</v>
      </c>
      <c r="B1404" s="1655" t="s">
        <v>2005</v>
      </c>
      <c r="C1404" s="1656">
        <v>0</v>
      </c>
      <c r="D1404" s="1655" t="s">
        <v>42</v>
      </c>
      <c r="E1404" s="1655" t="s">
        <v>571</v>
      </c>
    </row>
    <row r="1405" spans="1:5" s="1732" customFormat="1">
      <c r="A1405" s="1655" t="s">
        <v>434</v>
      </c>
      <c r="B1405" s="1655" t="s">
        <v>2006</v>
      </c>
      <c r="C1405" s="1656">
        <v>0</v>
      </c>
      <c r="D1405" s="1655" t="s">
        <v>42</v>
      </c>
      <c r="E1405" s="1655" t="s">
        <v>571</v>
      </c>
    </row>
    <row r="1406" spans="1:5" s="1732" customFormat="1">
      <c r="A1406" s="1655" t="s">
        <v>434</v>
      </c>
      <c r="B1406" s="1655" t="s">
        <v>2007</v>
      </c>
      <c r="C1406" s="1656">
        <v>0</v>
      </c>
      <c r="D1406" s="1655" t="s">
        <v>42</v>
      </c>
      <c r="E1406" s="1655" t="s">
        <v>571</v>
      </c>
    </row>
    <row r="1407" spans="1:5" s="1732" customFormat="1">
      <c r="A1407" s="1655" t="s">
        <v>434</v>
      </c>
      <c r="B1407" s="1655" t="s">
        <v>2008</v>
      </c>
      <c r="C1407" s="1656">
        <v>0</v>
      </c>
      <c r="D1407" s="1655" t="s">
        <v>42</v>
      </c>
      <c r="E1407" s="1655" t="s">
        <v>571</v>
      </c>
    </row>
    <row r="1408" spans="1:5" s="1732" customFormat="1">
      <c r="A1408" s="1655" t="s">
        <v>434</v>
      </c>
      <c r="B1408" s="1655" t="s">
        <v>2009</v>
      </c>
      <c r="C1408" s="1656">
        <v>0</v>
      </c>
      <c r="D1408" s="1655" t="s">
        <v>42</v>
      </c>
      <c r="E1408" s="1655" t="s">
        <v>571</v>
      </c>
    </row>
    <row r="1409" spans="1:5" s="1732" customFormat="1">
      <c r="A1409" s="1655" t="s">
        <v>434</v>
      </c>
      <c r="B1409" s="1655" t="s">
        <v>2010</v>
      </c>
      <c r="C1409" s="1656">
        <v>0</v>
      </c>
      <c r="D1409" s="1655" t="s">
        <v>42</v>
      </c>
      <c r="E1409" s="1655" t="s">
        <v>571</v>
      </c>
    </row>
    <row r="1410" spans="1:5" s="1732" customFormat="1">
      <c r="A1410" s="1655" t="s">
        <v>434</v>
      </c>
      <c r="B1410" s="1655" t="s">
        <v>2011</v>
      </c>
      <c r="C1410" s="1656">
        <v>0</v>
      </c>
      <c r="D1410" s="1655" t="s">
        <v>42</v>
      </c>
      <c r="E1410" s="1655" t="s">
        <v>571</v>
      </c>
    </row>
    <row r="1411" spans="1:5" s="1732" customFormat="1">
      <c r="A1411" s="1655" t="s">
        <v>434</v>
      </c>
      <c r="B1411" s="1655" t="s">
        <v>2012</v>
      </c>
      <c r="C1411" s="1656">
        <v>0</v>
      </c>
      <c r="D1411" s="1655" t="s">
        <v>42</v>
      </c>
      <c r="E1411" s="1655" t="s">
        <v>571</v>
      </c>
    </row>
    <row r="1412" spans="1:5" s="1732" customFormat="1">
      <c r="A1412" s="1655" t="s">
        <v>434</v>
      </c>
      <c r="B1412" s="1655" t="s">
        <v>2013</v>
      </c>
      <c r="C1412" s="1656">
        <v>0</v>
      </c>
      <c r="D1412" s="1655" t="s">
        <v>42</v>
      </c>
      <c r="E1412" s="1655" t="s">
        <v>571</v>
      </c>
    </row>
    <row r="1413" spans="1:5" s="1732" customFormat="1">
      <c r="A1413" s="1655" t="s">
        <v>434</v>
      </c>
      <c r="B1413" s="1655" t="s">
        <v>2014</v>
      </c>
      <c r="C1413" s="1656">
        <v>0</v>
      </c>
      <c r="D1413" s="1655" t="s">
        <v>42</v>
      </c>
      <c r="E1413" s="1655" t="s">
        <v>571</v>
      </c>
    </row>
    <row r="1414" spans="1:5" s="1732" customFormat="1">
      <c r="A1414" s="1655" t="s">
        <v>434</v>
      </c>
      <c r="B1414" s="1655" t="s">
        <v>2015</v>
      </c>
      <c r="C1414" s="1656">
        <v>0</v>
      </c>
      <c r="D1414" s="1655" t="s">
        <v>42</v>
      </c>
      <c r="E1414" s="1655" t="s">
        <v>571</v>
      </c>
    </row>
    <row r="1415" spans="1:5" s="1732" customFormat="1">
      <c r="A1415" s="1655" t="s">
        <v>434</v>
      </c>
      <c r="B1415" s="1655" t="s">
        <v>2016</v>
      </c>
      <c r="C1415" s="1656">
        <v>0</v>
      </c>
      <c r="D1415" s="1655" t="s">
        <v>42</v>
      </c>
      <c r="E1415" s="1655" t="s">
        <v>571</v>
      </c>
    </row>
    <row r="1416" spans="1:5" s="1732" customFormat="1">
      <c r="A1416" s="1655" t="s">
        <v>434</v>
      </c>
      <c r="B1416" s="1655" t="s">
        <v>2017</v>
      </c>
      <c r="C1416" s="1656">
        <v>0</v>
      </c>
      <c r="D1416" s="1655" t="s">
        <v>42</v>
      </c>
      <c r="E1416" s="1655" t="s">
        <v>571</v>
      </c>
    </row>
    <row r="1417" spans="1:5" s="1732" customFormat="1">
      <c r="A1417" s="1655" t="s">
        <v>434</v>
      </c>
      <c r="B1417" s="1655" t="s">
        <v>2018</v>
      </c>
      <c r="C1417" s="1656">
        <v>0</v>
      </c>
      <c r="D1417" s="1655" t="s">
        <v>42</v>
      </c>
      <c r="E1417" s="1655" t="s">
        <v>571</v>
      </c>
    </row>
    <row r="1418" spans="1:5" s="1732" customFormat="1">
      <c r="A1418" s="1655" t="s">
        <v>434</v>
      </c>
      <c r="B1418" s="1655" t="s">
        <v>2019</v>
      </c>
      <c r="C1418" s="1656">
        <v>0</v>
      </c>
      <c r="D1418" s="1655" t="s">
        <v>42</v>
      </c>
      <c r="E1418" s="1655" t="s">
        <v>571</v>
      </c>
    </row>
    <row r="1419" spans="1:5" s="1732" customFormat="1">
      <c r="A1419" s="1655" t="s">
        <v>434</v>
      </c>
      <c r="B1419" s="1655" t="s">
        <v>2020</v>
      </c>
      <c r="C1419" s="1656">
        <v>0</v>
      </c>
      <c r="D1419" s="1655" t="s">
        <v>42</v>
      </c>
      <c r="E1419" s="1655" t="s">
        <v>571</v>
      </c>
    </row>
    <row r="1420" spans="1:5" s="1732" customFormat="1">
      <c r="A1420" s="1655" t="s">
        <v>434</v>
      </c>
      <c r="B1420" s="1655" t="s">
        <v>2021</v>
      </c>
      <c r="C1420" s="1656">
        <v>0</v>
      </c>
      <c r="D1420" s="1655" t="s">
        <v>42</v>
      </c>
      <c r="E1420" s="1655" t="s">
        <v>571</v>
      </c>
    </row>
    <row r="1421" spans="1:5" s="1732" customFormat="1">
      <c r="A1421" s="1655" t="s">
        <v>434</v>
      </c>
      <c r="B1421" s="1655" t="s">
        <v>2022</v>
      </c>
      <c r="C1421" s="1656">
        <v>0</v>
      </c>
      <c r="D1421" s="1655" t="s">
        <v>42</v>
      </c>
      <c r="E1421" s="1655" t="s">
        <v>571</v>
      </c>
    </row>
    <row r="1422" spans="1:5" s="1732" customFormat="1">
      <c r="A1422" s="1655" t="s">
        <v>434</v>
      </c>
      <c r="B1422" s="1655" t="s">
        <v>2023</v>
      </c>
      <c r="C1422" s="1656">
        <v>0</v>
      </c>
      <c r="D1422" s="1655" t="s">
        <v>42</v>
      </c>
      <c r="E1422" s="1655" t="s">
        <v>571</v>
      </c>
    </row>
    <row r="1423" spans="1:5" s="1732" customFormat="1">
      <c r="A1423" s="1655" t="s">
        <v>434</v>
      </c>
      <c r="B1423" s="1655" t="s">
        <v>2024</v>
      </c>
      <c r="C1423" s="1656">
        <v>0</v>
      </c>
      <c r="D1423" s="1655" t="s">
        <v>42</v>
      </c>
      <c r="E1423" s="1655" t="s">
        <v>571</v>
      </c>
    </row>
    <row r="1424" spans="1:5" s="1732" customFormat="1">
      <c r="A1424" s="1655" t="s">
        <v>434</v>
      </c>
      <c r="B1424" s="1655" t="s">
        <v>2025</v>
      </c>
      <c r="C1424" s="1656">
        <v>0</v>
      </c>
      <c r="D1424" s="1655" t="s">
        <v>42</v>
      </c>
      <c r="E1424" s="1655" t="s">
        <v>571</v>
      </c>
    </row>
    <row r="1425" spans="1:5" s="1732" customFormat="1">
      <c r="A1425" s="1655" t="s">
        <v>434</v>
      </c>
      <c r="B1425" s="1655" t="s">
        <v>2026</v>
      </c>
      <c r="C1425" s="1656">
        <v>0</v>
      </c>
      <c r="D1425" s="1655" t="s">
        <v>42</v>
      </c>
      <c r="E1425" s="1655" t="s">
        <v>571</v>
      </c>
    </row>
    <row r="1426" spans="1:5" s="1732" customFormat="1">
      <c r="A1426" s="1655" t="s">
        <v>434</v>
      </c>
      <c r="B1426" s="1655" t="s">
        <v>2027</v>
      </c>
      <c r="C1426" s="1656">
        <v>0</v>
      </c>
      <c r="D1426" s="1655" t="s">
        <v>42</v>
      </c>
      <c r="E1426" s="1655" t="s">
        <v>571</v>
      </c>
    </row>
    <row r="1427" spans="1:5" s="1732" customFormat="1">
      <c r="A1427" s="1655" t="s">
        <v>434</v>
      </c>
      <c r="B1427" s="1655" t="s">
        <v>2028</v>
      </c>
      <c r="C1427" s="1656">
        <v>0</v>
      </c>
      <c r="D1427" s="1655" t="s">
        <v>42</v>
      </c>
      <c r="E1427" s="1655" t="s">
        <v>571</v>
      </c>
    </row>
    <row r="1428" spans="1:5" s="1732" customFormat="1">
      <c r="A1428" s="1655" t="s">
        <v>434</v>
      </c>
      <c r="B1428" s="1655" t="s">
        <v>2029</v>
      </c>
      <c r="C1428" s="1656">
        <v>0</v>
      </c>
      <c r="D1428" s="1655" t="s">
        <v>42</v>
      </c>
      <c r="E1428" s="1655" t="s">
        <v>571</v>
      </c>
    </row>
    <row r="1429" spans="1:5" s="1732" customFormat="1">
      <c r="A1429" s="1655" t="s">
        <v>434</v>
      </c>
      <c r="B1429" s="1655" t="s">
        <v>2030</v>
      </c>
      <c r="C1429" s="1656">
        <v>0</v>
      </c>
      <c r="D1429" s="1655" t="s">
        <v>42</v>
      </c>
      <c r="E1429" s="1655" t="s">
        <v>571</v>
      </c>
    </row>
    <row r="1430" spans="1:5" s="1732" customFormat="1">
      <c r="A1430" s="1655" t="s">
        <v>434</v>
      </c>
      <c r="B1430" s="1655" t="s">
        <v>2031</v>
      </c>
      <c r="C1430" s="1656">
        <v>0</v>
      </c>
      <c r="D1430" s="1655" t="s">
        <v>42</v>
      </c>
      <c r="E1430" s="1655" t="s">
        <v>571</v>
      </c>
    </row>
    <row r="1431" spans="1:5" s="1732" customFormat="1">
      <c r="A1431" s="1655" t="s">
        <v>434</v>
      </c>
      <c r="B1431" s="1655" t="s">
        <v>2032</v>
      </c>
      <c r="C1431" s="1656">
        <v>0</v>
      </c>
      <c r="D1431" s="1655" t="s">
        <v>42</v>
      </c>
      <c r="E1431" s="1655" t="s">
        <v>571</v>
      </c>
    </row>
    <row r="1432" spans="1:5" s="1732" customFormat="1">
      <c r="A1432" s="1655" t="s">
        <v>434</v>
      </c>
      <c r="B1432" s="1655" t="s">
        <v>2033</v>
      </c>
      <c r="C1432" s="1656">
        <v>0</v>
      </c>
      <c r="D1432" s="1655" t="s">
        <v>42</v>
      </c>
      <c r="E1432" s="1655" t="s">
        <v>571</v>
      </c>
    </row>
    <row r="1433" spans="1:5" s="1732" customFormat="1">
      <c r="A1433" s="1655" t="s">
        <v>434</v>
      </c>
      <c r="B1433" s="1655" t="s">
        <v>2034</v>
      </c>
      <c r="C1433" s="1656">
        <v>0</v>
      </c>
      <c r="D1433" s="1655" t="s">
        <v>42</v>
      </c>
      <c r="E1433" s="1655" t="s">
        <v>571</v>
      </c>
    </row>
    <row r="1434" spans="1:5" s="1732" customFormat="1">
      <c r="A1434" s="1655" t="s">
        <v>434</v>
      </c>
      <c r="B1434" s="1655" t="s">
        <v>2035</v>
      </c>
      <c r="C1434" s="1656">
        <v>0</v>
      </c>
      <c r="D1434" s="1655" t="s">
        <v>42</v>
      </c>
      <c r="E1434" s="1655" t="s">
        <v>571</v>
      </c>
    </row>
    <row r="1435" spans="1:5" s="1732" customFormat="1">
      <c r="A1435" s="1655" t="s">
        <v>434</v>
      </c>
      <c r="B1435" s="1655" t="s">
        <v>2036</v>
      </c>
      <c r="C1435" s="1656">
        <v>0</v>
      </c>
      <c r="D1435" s="1655" t="s">
        <v>42</v>
      </c>
      <c r="E1435" s="1655" t="s">
        <v>571</v>
      </c>
    </row>
    <row r="1436" spans="1:5" s="1732" customFormat="1">
      <c r="A1436" s="1655" t="s">
        <v>434</v>
      </c>
      <c r="B1436" s="1655" t="s">
        <v>2037</v>
      </c>
      <c r="C1436" s="1656">
        <v>0</v>
      </c>
      <c r="D1436" s="1655" t="s">
        <v>42</v>
      </c>
      <c r="E1436" s="1655" t="s">
        <v>571</v>
      </c>
    </row>
    <row r="1437" spans="1:5" s="1732" customFormat="1">
      <c r="A1437" s="1655" t="s">
        <v>434</v>
      </c>
      <c r="B1437" s="1655" t="s">
        <v>2038</v>
      </c>
      <c r="C1437" s="1656">
        <v>0</v>
      </c>
      <c r="D1437" s="1655" t="s">
        <v>42</v>
      </c>
      <c r="E1437" s="1655" t="s">
        <v>571</v>
      </c>
    </row>
    <row r="1438" spans="1:5" s="1732" customFormat="1">
      <c r="A1438" s="1655" t="s">
        <v>434</v>
      </c>
      <c r="B1438" s="1655" t="s">
        <v>2039</v>
      </c>
      <c r="C1438" s="1656">
        <v>0</v>
      </c>
      <c r="D1438" s="1655" t="s">
        <v>42</v>
      </c>
      <c r="E1438" s="1655" t="s">
        <v>571</v>
      </c>
    </row>
    <row r="1439" spans="1:5" s="1732" customFormat="1">
      <c r="A1439" s="1655" t="s">
        <v>434</v>
      </c>
      <c r="B1439" s="1655" t="s">
        <v>2040</v>
      </c>
      <c r="C1439" s="1656">
        <v>0</v>
      </c>
      <c r="D1439" s="1655" t="s">
        <v>42</v>
      </c>
      <c r="E1439" s="1655" t="s">
        <v>571</v>
      </c>
    </row>
    <row r="1440" spans="1:5" s="1732" customFormat="1">
      <c r="A1440" s="1655" t="s">
        <v>434</v>
      </c>
      <c r="B1440" s="1655" t="s">
        <v>2041</v>
      </c>
      <c r="C1440" s="1656">
        <v>0</v>
      </c>
      <c r="D1440" s="1655" t="s">
        <v>42</v>
      </c>
      <c r="E1440" s="1655" t="s">
        <v>571</v>
      </c>
    </row>
    <row r="1441" spans="1:5" s="1732" customFormat="1">
      <c r="A1441" s="1655" t="s">
        <v>434</v>
      </c>
      <c r="B1441" s="1655" t="s">
        <v>2042</v>
      </c>
      <c r="C1441" s="1656">
        <v>0</v>
      </c>
      <c r="D1441" s="1655" t="s">
        <v>42</v>
      </c>
      <c r="E1441" s="1655" t="s">
        <v>571</v>
      </c>
    </row>
    <row r="1442" spans="1:5" s="1732" customFormat="1">
      <c r="A1442" s="1655" t="s">
        <v>434</v>
      </c>
      <c r="B1442" s="1655" t="s">
        <v>2043</v>
      </c>
      <c r="C1442" s="1656">
        <v>0</v>
      </c>
      <c r="D1442" s="1655" t="s">
        <v>42</v>
      </c>
      <c r="E1442" s="1655" t="s">
        <v>571</v>
      </c>
    </row>
    <row r="1443" spans="1:5" s="1732" customFormat="1">
      <c r="A1443" s="1655" t="s">
        <v>434</v>
      </c>
      <c r="B1443" s="1655" t="s">
        <v>2044</v>
      </c>
      <c r="C1443" s="1656">
        <v>0</v>
      </c>
      <c r="D1443" s="1655" t="s">
        <v>42</v>
      </c>
      <c r="E1443" s="1655" t="s">
        <v>571</v>
      </c>
    </row>
    <row r="1444" spans="1:5" s="1732" customFormat="1">
      <c r="A1444" s="1655" t="s">
        <v>434</v>
      </c>
      <c r="B1444" s="1655" t="s">
        <v>2045</v>
      </c>
      <c r="C1444" s="1656">
        <v>0</v>
      </c>
      <c r="D1444" s="1655" t="s">
        <v>42</v>
      </c>
      <c r="E1444" s="1655" t="s">
        <v>571</v>
      </c>
    </row>
    <row r="1445" spans="1:5" s="1732" customFormat="1">
      <c r="A1445" s="1655" t="s">
        <v>434</v>
      </c>
      <c r="B1445" s="1655" t="s">
        <v>2046</v>
      </c>
      <c r="C1445" s="1656">
        <v>0</v>
      </c>
      <c r="D1445" s="1655" t="s">
        <v>42</v>
      </c>
      <c r="E1445" s="1655" t="s">
        <v>571</v>
      </c>
    </row>
    <row r="1446" spans="1:5" s="1732" customFormat="1">
      <c r="A1446" s="1655" t="s">
        <v>434</v>
      </c>
      <c r="B1446" s="1655" t="s">
        <v>2047</v>
      </c>
      <c r="C1446" s="1656">
        <v>0</v>
      </c>
      <c r="D1446" s="1655" t="s">
        <v>42</v>
      </c>
      <c r="E1446" s="1655" t="s">
        <v>571</v>
      </c>
    </row>
    <row r="1447" spans="1:5" s="1732" customFormat="1">
      <c r="A1447" s="1655" t="s">
        <v>434</v>
      </c>
      <c r="B1447" s="1655" t="s">
        <v>2048</v>
      </c>
      <c r="C1447" s="1656">
        <v>0</v>
      </c>
      <c r="D1447" s="1655" t="s">
        <v>42</v>
      </c>
      <c r="E1447" s="1655" t="s">
        <v>571</v>
      </c>
    </row>
    <row r="1448" spans="1:5" s="1732" customFormat="1">
      <c r="A1448" s="1655" t="s">
        <v>434</v>
      </c>
      <c r="B1448" s="1655" t="s">
        <v>2049</v>
      </c>
      <c r="C1448" s="1656">
        <v>0</v>
      </c>
      <c r="D1448" s="1655" t="s">
        <v>42</v>
      </c>
      <c r="E1448" s="1655" t="s">
        <v>571</v>
      </c>
    </row>
    <row r="1449" spans="1:5" s="1732" customFormat="1">
      <c r="A1449" s="1655" t="s">
        <v>434</v>
      </c>
      <c r="B1449" s="1655" t="s">
        <v>2050</v>
      </c>
      <c r="C1449" s="1656">
        <v>0</v>
      </c>
      <c r="D1449" s="1655" t="s">
        <v>42</v>
      </c>
      <c r="E1449" s="1655" t="s">
        <v>571</v>
      </c>
    </row>
    <row r="1450" spans="1:5" s="1732" customFormat="1">
      <c r="A1450" s="1655" t="s">
        <v>434</v>
      </c>
      <c r="B1450" s="1655" t="s">
        <v>2051</v>
      </c>
      <c r="C1450" s="1656">
        <v>0</v>
      </c>
      <c r="D1450" s="1655" t="s">
        <v>42</v>
      </c>
      <c r="E1450" s="1655" t="s">
        <v>571</v>
      </c>
    </row>
    <row r="1451" spans="1:5" s="1732" customFormat="1">
      <c r="A1451" s="1655" t="s">
        <v>434</v>
      </c>
      <c r="B1451" s="1655" t="s">
        <v>2052</v>
      </c>
      <c r="C1451" s="1656">
        <v>0</v>
      </c>
      <c r="D1451" s="1655" t="s">
        <v>42</v>
      </c>
      <c r="E1451" s="1655" t="s">
        <v>571</v>
      </c>
    </row>
    <row r="1452" spans="1:5" s="1732" customFormat="1">
      <c r="A1452" s="1655" t="s">
        <v>434</v>
      </c>
      <c r="B1452" s="1655" t="s">
        <v>2053</v>
      </c>
      <c r="C1452" s="1656">
        <v>0</v>
      </c>
      <c r="D1452" s="1655" t="s">
        <v>42</v>
      </c>
      <c r="E1452" s="1655" t="s">
        <v>571</v>
      </c>
    </row>
    <row r="1453" spans="1:5" s="1732" customFormat="1">
      <c r="A1453" s="1655" t="s">
        <v>434</v>
      </c>
      <c r="B1453" s="1655" t="s">
        <v>2054</v>
      </c>
      <c r="C1453" s="1656">
        <v>0</v>
      </c>
      <c r="D1453" s="1655" t="s">
        <v>42</v>
      </c>
      <c r="E1453" s="1655" t="s">
        <v>571</v>
      </c>
    </row>
    <row r="1454" spans="1:5" s="1732" customFormat="1">
      <c r="A1454" s="1655" t="s">
        <v>434</v>
      </c>
      <c r="B1454" s="1655" t="s">
        <v>2055</v>
      </c>
      <c r="C1454" s="1656">
        <v>0</v>
      </c>
      <c r="D1454" s="1655" t="s">
        <v>42</v>
      </c>
      <c r="E1454" s="1655" t="s">
        <v>571</v>
      </c>
    </row>
    <row r="1455" spans="1:5" s="1732" customFormat="1">
      <c r="A1455" s="1655" t="s">
        <v>434</v>
      </c>
      <c r="B1455" s="1655" t="s">
        <v>2056</v>
      </c>
      <c r="C1455" s="1656">
        <v>0</v>
      </c>
      <c r="D1455" s="1655" t="s">
        <v>42</v>
      </c>
      <c r="E1455" s="1655" t="s">
        <v>571</v>
      </c>
    </row>
    <row r="1456" spans="1:5" s="1732" customFormat="1">
      <c r="A1456" s="1655" t="s">
        <v>434</v>
      </c>
      <c r="B1456" s="1655" t="s">
        <v>2057</v>
      </c>
      <c r="C1456" s="1656">
        <v>0</v>
      </c>
      <c r="D1456" s="1655" t="s">
        <v>42</v>
      </c>
      <c r="E1456" s="1655" t="s">
        <v>571</v>
      </c>
    </row>
    <row r="1457" spans="1:5" s="1732" customFormat="1">
      <c r="A1457" s="1655" t="s">
        <v>434</v>
      </c>
      <c r="B1457" s="1655" t="s">
        <v>2058</v>
      </c>
      <c r="C1457" s="1656">
        <v>0</v>
      </c>
      <c r="D1457" s="1655" t="s">
        <v>42</v>
      </c>
      <c r="E1457" s="1655" t="s">
        <v>571</v>
      </c>
    </row>
    <row r="1458" spans="1:5" s="1732" customFormat="1">
      <c r="A1458" s="1655" t="s">
        <v>434</v>
      </c>
      <c r="B1458" s="1655" t="s">
        <v>1095</v>
      </c>
      <c r="C1458" s="1656" t="s">
        <v>570</v>
      </c>
      <c r="D1458" s="1655" t="s">
        <v>43</v>
      </c>
      <c r="E1458" s="1655" t="s">
        <v>569</v>
      </c>
    </row>
    <row r="1459" spans="1:5" s="1732" customFormat="1">
      <c r="A1459" s="1655" t="s">
        <v>434</v>
      </c>
      <c r="B1459" s="1655" t="s">
        <v>1096</v>
      </c>
      <c r="C1459" s="1656" t="s">
        <v>570</v>
      </c>
      <c r="D1459" s="1655" t="s">
        <v>43</v>
      </c>
      <c r="E1459" s="1655" t="s">
        <v>569</v>
      </c>
    </row>
    <row r="1460" spans="1:5" s="1732" customFormat="1">
      <c r="A1460" s="1655" t="s">
        <v>434</v>
      </c>
      <c r="B1460" s="1655" t="s">
        <v>1097</v>
      </c>
      <c r="C1460" s="1656" t="s">
        <v>570</v>
      </c>
      <c r="D1460" s="1655" t="s">
        <v>43</v>
      </c>
      <c r="E1460" s="1655" t="s">
        <v>569</v>
      </c>
    </row>
    <row r="1461" spans="1:5" s="1732" customFormat="1">
      <c r="A1461" s="1655" t="s">
        <v>434</v>
      </c>
      <c r="B1461" s="1655" t="s">
        <v>1098</v>
      </c>
      <c r="C1461" s="1656" t="s">
        <v>570</v>
      </c>
      <c r="D1461" s="1655" t="s">
        <v>43</v>
      </c>
      <c r="E1461" s="1655" t="s">
        <v>569</v>
      </c>
    </row>
    <row r="1462" spans="1:5" s="1732" customFormat="1">
      <c r="A1462" s="1655" t="s">
        <v>434</v>
      </c>
      <c r="B1462" s="1655" t="s">
        <v>1099</v>
      </c>
      <c r="C1462" s="1656" t="s">
        <v>570</v>
      </c>
      <c r="D1462" s="1655" t="s">
        <v>43</v>
      </c>
      <c r="E1462" s="1655" t="s">
        <v>569</v>
      </c>
    </row>
    <row r="1463" spans="1:5" s="1732" customFormat="1">
      <c r="A1463" s="1655" t="s">
        <v>434</v>
      </c>
      <c r="B1463" s="1655" t="s">
        <v>1100</v>
      </c>
      <c r="C1463" s="1656" t="s">
        <v>570</v>
      </c>
      <c r="D1463" s="1655" t="s">
        <v>43</v>
      </c>
      <c r="E1463" s="1655" t="s">
        <v>569</v>
      </c>
    </row>
    <row r="1464" spans="1:5" s="1732" customFormat="1">
      <c r="A1464" s="1655" t="s">
        <v>434</v>
      </c>
      <c r="B1464" s="1655" t="s">
        <v>1101</v>
      </c>
      <c r="C1464" s="1656" t="s">
        <v>570</v>
      </c>
      <c r="D1464" s="1655" t="s">
        <v>43</v>
      </c>
      <c r="E1464" s="1655" t="s">
        <v>569</v>
      </c>
    </row>
    <row r="1465" spans="1:5" s="1732" customFormat="1">
      <c r="A1465" s="1655" t="s">
        <v>434</v>
      </c>
      <c r="B1465" s="1655" t="s">
        <v>1102</v>
      </c>
      <c r="C1465" s="1656" t="s">
        <v>570</v>
      </c>
      <c r="D1465" s="1655" t="s">
        <v>43</v>
      </c>
      <c r="E1465" s="1655" t="s">
        <v>569</v>
      </c>
    </row>
    <row r="1466" spans="1:5" s="1732" customFormat="1">
      <c r="A1466" s="1655" t="s">
        <v>434</v>
      </c>
      <c r="B1466" s="1655" t="s">
        <v>1103</v>
      </c>
      <c r="C1466" s="1656" t="s">
        <v>570</v>
      </c>
      <c r="D1466" s="1655" t="s">
        <v>43</v>
      </c>
      <c r="E1466" s="1655" t="s">
        <v>569</v>
      </c>
    </row>
    <row r="1467" spans="1:5" s="1732" customFormat="1">
      <c r="A1467" s="1655" t="s">
        <v>434</v>
      </c>
      <c r="B1467" s="1655" t="s">
        <v>1104</v>
      </c>
      <c r="C1467" s="1656" t="s">
        <v>570</v>
      </c>
      <c r="D1467" s="1655" t="s">
        <v>43</v>
      </c>
      <c r="E1467" s="1655" t="s">
        <v>569</v>
      </c>
    </row>
    <row r="1468" spans="1:5" s="1732" customFormat="1">
      <c r="A1468" s="1655" t="s">
        <v>434</v>
      </c>
      <c r="B1468" s="1655" t="s">
        <v>1105</v>
      </c>
      <c r="C1468" s="1656" t="s">
        <v>570</v>
      </c>
      <c r="D1468" s="1655" t="s">
        <v>43</v>
      </c>
      <c r="E1468" s="1655" t="s">
        <v>569</v>
      </c>
    </row>
    <row r="1469" spans="1:5" s="1732" customFormat="1">
      <c r="A1469" s="1655" t="s">
        <v>434</v>
      </c>
      <c r="B1469" s="1655" t="s">
        <v>1106</v>
      </c>
      <c r="C1469" s="1656" t="s">
        <v>570</v>
      </c>
      <c r="D1469" s="1655" t="s">
        <v>43</v>
      </c>
      <c r="E1469" s="1655" t="s">
        <v>569</v>
      </c>
    </row>
    <row r="1470" spans="1:5" s="1732" customFormat="1">
      <c r="A1470" s="1655" t="s">
        <v>434</v>
      </c>
      <c r="B1470" s="1655" t="s">
        <v>1107</v>
      </c>
      <c r="C1470" s="1656" t="s">
        <v>570</v>
      </c>
      <c r="D1470" s="1655" t="s">
        <v>43</v>
      </c>
      <c r="E1470" s="1655" t="s">
        <v>569</v>
      </c>
    </row>
    <row r="1471" spans="1:5" s="1732" customFormat="1">
      <c r="A1471" s="1655" t="s">
        <v>434</v>
      </c>
      <c r="B1471" s="1655" t="s">
        <v>1108</v>
      </c>
      <c r="C1471" s="1656" t="s">
        <v>570</v>
      </c>
      <c r="D1471" s="1655" t="s">
        <v>43</v>
      </c>
      <c r="E1471" s="1655" t="s">
        <v>569</v>
      </c>
    </row>
    <row r="1472" spans="1:5" s="1732" customFormat="1">
      <c r="A1472" s="1655" t="s">
        <v>434</v>
      </c>
      <c r="B1472" s="1655" t="s">
        <v>1109</v>
      </c>
      <c r="C1472" s="1656" t="s">
        <v>570</v>
      </c>
      <c r="D1472" s="1655" t="s">
        <v>43</v>
      </c>
      <c r="E1472" s="1655" t="s">
        <v>569</v>
      </c>
    </row>
    <row r="1473" spans="1:5" s="1732" customFormat="1">
      <c r="A1473" s="1655" t="s">
        <v>434</v>
      </c>
      <c r="B1473" s="1655" t="s">
        <v>1110</v>
      </c>
      <c r="C1473" s="1656" t="s">
        <v>570</v>
      </c>
      <c r="D1473" s="1655" t="s">
        <v>43</v>
      </c>
      <c r="E1473" s="1655" t="s">
        <v>569</v>
      </c>
    </row>
    <row r="1474" spans="1:5" s="1732" customFormat="1">
      <c r="A1474" s="1655" t="s">
        <v>434</v>
      </c>
      <c r="B1474" s="1655" t="s">
        <v>1111</v>
      </c>
      <c r="C1474" s="1656" t="s">
        <v>570</v>
      </c>
      <c r="D1474" s="1655" t="s">
        <v>43</v>
      </c>
      <c r="E1474" s="1655" t="s">
        <v>569</v>
      </c>
    </row>
    <row r="1475" spans="1:5" s="1732" customFormat="1">
      <c r="A1475" s="1655" t="s">
        <v>434</v>
      </c>
      <c r="B1475" s="1655" t="s">
        <v>1112</v>
      </c>
      <c r="C1475" s="1655" t="s">
        <v>570</v>
      </c>
      <c r="D1475" s="1655" t="s">
        <v>43</v>
      </c>
      <c r="E1475" s="1655" t="s">
        <v>569</v>
      </c>
    </row>
    <row r="1476" spans="1:5" s="1732" customFormat="1">
      <c r="A1476" s="1655" t="s">
        <v>434</v>
      </c>
      <c r="B1476" s="1655" t="s">
        <v>1113</v>
      </c>
      <c r="C1476" s="1655" t="s">
        <v>570</v>
      </c>
      <c r="D1476" s="1655" t="s">
        <v>43</v>
      </c>
      <c r="E1476" s="1655" t="s">
        <v>569</v>
      </c>
    </row>
    <row r="1477" spans="1:5" s="1732" customFormat="1">
      <c r="A1477" s="1655" t="s">
        <v>434</v>
      </c>
      <c r="B1477" s="1655" t="s">
        <v>1114</v>
      </c>
      <c r="C1477" s="1655" t="s">
        <v>570</v>
      </c>
      <c r="D1477" s="1655" t="s">
        <v>43</v>
      </c>
      <c r="E1477" s="1655" t="s">
        <v>569</v>
      </c>
    </row>
    <row r="1478" spans="1:5" s="1732" customFormat="1">
      <c r="A1478" s="1655" t="s">
        <v>434</v>
      </c>
      <c r="B1478" s="1655" t="s">
        <v>1115</v>
      </c>
      <c r="C1478" s="1655" t="s">
        <v>570</v>
      </c>
      <c r="D1478" s="1655" t="s">
        <v>43</v>
      </c>
      <c r="E1478" s="1655" t="s">
        <v>569</v>
      </c>
    </row>
    <row r="1479" spans="1:5" s="1732" customFormat="1">
      <c r="A1479" s="1655" t="s">
        <v>434</v>
      </c>
      <c r="B1479" s="1655" t="s">
        <v>1116</v>
      </c>
      <c r="C1479" s="1655" t="s">
        <v>570</v>
      </c>
      <c r="D1479" s="1655" t="s">
        <v>43</v>
      </c>
      <c r="E1479" s="1655" t="s">
        <v>569</v>
      </c>
    </row>
    <row r="1480" spans="1:5" s="1732" customFormat="1">
      <c r="A1480" s="1655" t="s">
        <v>434</v>
      </c>
      <c r="B1480" s="1655" t="s">
        <v>1117</v>
      </c>
      <c r="C1480" s="1655" t="s">
        <v>570</v>
      </c>
      <c r="D1480" s="1655" t="s">
        <v>43</v>
      </c>
      <c r="E1480" s="1655" t="s">
        <v>569</v>
      </c>
    </row>
    <row r="1481" spans="1:5" s="1732" customFormat="1">
      <c r="A1481" s="1655" t="s">
        <v>434</v>
      </c>
      <c r="B1481" s="1655" t="s">
        <v>1118</v>
      </c>
      <c r="C1481" s="1655" t="s">
        <v>570</v>
      </c>
      <c r="D1481" s="1655" t="s">
        <v>43</v>
      </c>
      <c r="E1481" s="1655" t="s">
        <v>569</v>
      </c>
    </row>
    <row r="1482" spans="1:5" s="1732" customFormat="1">
      <c r="A1482" s="1655" t="s">
        <v>434</v>
      </c>
      <c r="B1482" s="1655" t="s">
        <v>1119</v>
      </c>
      <c r="C1482" s="1655" t="s">
        <v>570</v>
      </c>
      <c r="D1482" s="1655" t="s">
        <v>43</v>
      </c>
      <c r="E1482" s="1655" t="s">
        <v>569</v>
      </c>
    </row>
    <row r="1483" spans="1:5" s="1732" customFormat="1">
      <c r="A1483" s="1655" t="s">
        <v>434</v>
      </c>
      <c r="B1483" s="1655" t="s">
        <v>1120</v>
      </c>
      <c r="C1483" s="1655" t="s">
        <v>570</v>
      </c>
      <c r="D1483" s="1655" t="s">
        <v>43</v>
      </c>
      <c r="E1483" s="1655" t="s">
        <v>569</v>
      </c>
    </row>
    <row r="1484" spans="1:5" s="1732" customFormat="1">
      <c r="A1484" s="1655" t="s">
        <v>434</v>
      </c>
      <c r="B1484" s="1655" t="s">
        <v>1121</v>
      </c>
      <c r="C1484" s="1655" t="s">
        <v>570</v>
      </c>
      <c r="D1484" s="1655" t="s">
        <v>43</v>
      </c>
      <c r="E1484" s="1655" t="s">
        <v>569</v>
      </c>
    </row>
    <row r="1485" spans="1:5" s="1732" customFormat="1">
      <c r="A1485" s="1655" t="s">
        <v>434</v>
      </c>
      <c r="B1485" s="1655" t="s">
        <v>1122</v>
      </c>
      <c r="C1485" s="1655" t="s">
        <v>570</v>
      </c>
      <c r="D1485" s="1655" t="s">
        <v>43</v>
      </c>
      <c r="E1485" s="1655" t="s">
        <v>569</v>
      </c>
    </row>
    <row r="1486" spans="1:5" s="1732" customFormat="1">
      <c r="A1486" s="1655" t="s">
        <v>434</v>
      </c>
      <c r="B1486" s="1655" t="s">
        <v>1123</v>
      </c>
      <c r="C1486" s="1655" t="s">
        <v>570</v>
      </c>
      <c r="D1486" s="1655" t="s">
        <v>43</v>
      </c>
      <c r="E1486" s="1655" t="s">
        <v>569</v>
      </c>
    </row>
    <row r="1487" spans="1:5" s="1732" customFormat="1">
      <c r="A1487" s="1655" t="s">
        <v>434</v>
      </c>
      <c r="B1487" s="1655" t="s">
        <v>1124</v>
      </c>
      <c r="C1487" s="1658" t="s">
        <v>570</v>
      </c>
      <c r="D1487" s="1655" t="s">
        <v>43</v>
      </c>
      <c r="E1487" s="1655" t="s">
        <v>569</v>
      </c>
    </row>
    <row r="1488" spans="1:5" s="1732" customFormat="1">
      <c r="A1488" s="1655" t="s">
        <v>434</v>
      </c>
      <c r="B1488" s="1655" t="s">
        <v>1125</v>
      </c>
      <c r="C1488" s="1658" t="s">
        <v>570</v>
      </c>
      <c r="D1488" s="1655" t="s">
        <v>43</v>
      </c>
      <c r="E1488" s="1655" t="s">
        <v>569</v>
      </c>
    </row>
    <row r="1489" spans="1:5" s="1732" customFormat="1">
      <c r="A1489" s="1655" t="s">
        <v>434</v>
      </c>
      <c r="B1489" s="1655" t="s">
        <v>1126</v>
      </c>
      <c r="C1489" s="1658" t="s">
        <v>570</v>
      </c>
      <c r="D1489" s="1655" t="s">
        <v>43</v>
      </c>
      <c r="E1489" s="1655" t="s">
        <v>569</v>
      </c>
    </row>
    <row r="1490" spans="1:5" s="1732" customFormat="1">
      <c r="A1490" s="1655" t="s">
        <v>434</v>
      </c>
      <c r="B1490" s="1655" t="s">
        <v>1127</v>
      </c>
      <c r="C1490" s="1658" t="s">
        <v>570</v>
      </c>
      <c r="D1490" s="1655" t="s">
        <v>43</v>
      </c>
      <c r="E1490" s="1655" t="s">
        <v>569</v>
      </c>
    </row>
    <row r="1491" spans="1:5" s="1732" customFormat="1">
      <c r="A1491" s="1655" t="s">
        <v>434</v>
      </c>
      <c r="B1491" s="1655" t="s">
        <v>1128</v>
      </c>
      <c r="C1491" s="1658" t="s">
        <v>570</v>
      </c>
      <c r="D1491" s="1655" t="s">
        <v>43</v>
      </c>
      <c r="E1491" s="1655" t="s">
        <v>569</v>
      </c>
    </row>
    <row r="1492" spans="1:5" s="1732" customFormat="1">
      <c r="A1492" s="1655" t="s">
        <v>434</v>
      </c>
      <c r="B1492" s="1655" t="s">
        <v>1129</v>
      </c>
      <c r="C1492" s="1658" t="s">
        <v>570</v>
      </c>
      <c r="D1492" s="1655" t="s">
        <v>43</v>
      </c>
      <c r="E1492" s="1655" t="s">
        <v>569</v>
      </c>
    </row>
    <row r="1493" spans="1:5" s="1732" customFormat="1">
      <c r="A1493" s="1655" t="s">
        <v>434</v>
      </c>
      <c r="B1493" s="1655" t="s">
        <v>1130</v>
      </c>
      <c r="C1493" s="1658" t="s">
        <v>570</v>
      </c>
      <c r="D1493" s="1655" t="s">
        <v>43</v>
      </c>
      <c r="E1493" s="1655" t="s">
        <v>569</v>
      </c>
    </row>
    <row r="1494" spans="1:5" s="1732" customFormat="1">
      <c r="A1494" s="1655" t="s">
        <v>434</v>
      </c>
      <c r="B1494" s="1655" t="s">
        <v>1131</v>
      </c>
      <c r="C1494" s="1658" t="s">
        <v>570</v>
      </c>
      <c r="D1494" s="1655" t="s">
        <v>43</v>
      </c>
      <c r="E1494" s="1655" t="s">
        <v>569</v>
      </c>
    </row>
    <row r="1495" spans="1:5" s="1732" customFormat="1">
      <c r="A1495" s="1655" t="s">
        <v>434</v>
      </c>
      <c r="B1495" s="1655" t="s">
        <v>1132</v>
      </c>
      <c r="C1495" s="1658" t="s">
        <v>570</v>
      </c>
      <c r="D1495" s="1655" t="s">
        <v>43</v>
      </c>
      <c r="E1495" s="1655" t="s">
        <v>569</v>
      </c>
    </row>
    <row r="1496" spans="1:5" s="1732" customFormat="1">
      <c r="A1496" s="1655" t="s">
        <v>434</v>
      </c>
      <c r="B1496" s="1655" t="s">
        <v>1133</v>
      </c>
      <c r="C1496" s="1658" t="s">
        <v>570</v>
      </c>
      <c r="D1496" s="1655" t="s">
        <v>43</v>
      </c>
      <c r="E1496" s="1655" t="s">
        <v>569</v>
      </c>
    </row>
    <row r="1497" spans="1:5" s="1732" customFormat="1">
      <c r="A1497" s="1655" t="s">
        <v>434</v>
      </c>
      <c r="B1497" s="1655" t="s">
        <v>1134</v>
      </c>
      <c r="C1497" s="1658" t="s">
        <v>570</v>
      </c>
      <c r="D1497" s="1655" t="s">
        <v>43</v>
      </c>
      <c r="E1497" s="1655" t="s">
        <v>569</v>
      </c>
    </row>
    <row r="1498" spans="1:5" s="1732" customFormat="1">
      <c r="A1498" s="1655" t="s">
        <v>2497</v>
      </c>
      <c r="B1498" s="1655" t="s">
        <v>2646</v>
      </c>
      <c r="C1498" s="1660" t="s">
        <v>2369</v>
      </c>
      <c r="D1498" s="1655" t="s">
        <v>42</v>
      </c>
      <c r="E1498" s="1655" t="s">
        <v>569</v>
      </c>
    </row>
    <row r="1499" spans="1:5" s="1732" customFormat="1">
      <c r="A1499" s="1655" t="s">
        <v>2497</v>
      </c>
      <c r="B1499" s="1655" t="s">
        <v>1231</v>
      </c>
      <c r="C1499" s="1656" t="s">
        <v>42</v>
      </c>
      <c r="D1499" s="1655" t="s">
        <v>42</v>
      </c>
      <c r="E1499" s="1655" t="s">
        <v>569</v>
      </c>
    </row>
    <row r="1500" spans="1:5" s="1732" customFormat="1">
      <c r="A1500" s="1655" t="s">
        <v>2497</v>
      </c>
      <c r="B1500" s="1655" t="s">
        <v>2193</v>
      </c>
      <c r="C1500" s="1659">
        <v>125</v>
      </c>
      <c r="D1500" s="1655" t="s">
        <v>42</v>
      </c>
      <c r="E1500" s="1655" t="s">
        <v>572</v>
      </c>
    </row>
    <row r="1501" spans="1:5" s="1732" customFormat="1">
      <c r="A1501" s="1655" t="s">
        <v>432</v>
      </c>
      <c r="B1501" s="1655" t="s">
        <v>1958</v>
      </c>
      <c r="C1501" s="2052">
        <v>0</v>
      </c>
      <c r="D1501" s="1655" t="s">
        <v>42</v>
      </c>
      <c r="E1501" s="1655" t="s">
        <v>80</v>
      </c>
    </row>
    <row r="1502" spans="1:5" s="1732" customFormat="1">
      <c r="A1502" s="1655" t="s">
        <v>432</v>
      </c>
      <c r="B1502" s="1655" t="s">
        <v>980</v>
      </c>
      <c r="C1502" s="2052">
        <v>0</v>
      </c>
      <c r="D1502" s="1655" t="s">
        <v>42</v>
      </c>
      <c r="E1502" s="1655" t="s">
        <v>80</v>
      </c>
    </row>
    <row r="1503" spans="1:5" s="1732" customFormat="1">
      <c r="A1503" s="1655" t="s">
        <v>432</v>
      </c>
      <c r="B1503" s="1655" t="s">
        <v>625</v>
      </c>
      <c r="C1503" s="1656" t="s">
        <v>570</v>
      </c>
      <c r="D1503" s="1655" t="s">
        <v>43</v>
      </c>
      <c r="E1503" s="1655" t="s">
        <v>80</v>
      </c>
    </row>
    <row r="1504" spans="1:5" s="1732" customFormat="1">
      <c r="A1504" s="1655" t="s">
        <v>432</v>
      </c>
      <c r="B1504" s="1655" t="s">
        <v>626</v>
      </c>
      <c r="C1504" s="1656" t="s">
        <v>570</v>
      </c>
      <c r="D1504" s="1655" t="s">
        <v>43</v>
      </c>
      <c r="E1504" s="1655" t="s">
        <v>80</v>
      </c>
    </row>
    <row r="1505" spans="1:5" s="1732" customFormat="1">
      <c r="A1505" s="1655" t="s">
        <v>432</v>
      </c>
      <c r="B1505" s="1655" t="s">
        <v>627</v>
      </c>
      <c r="C1505" s="1656" t="s">
        <v>570</v>
      </c>
      <c r="D1505" s="1655" t="s">
        <v>43</v>
      </c>
      <c r="E1505" s="1655" t="s">
        <v>80</v>
      </c>
    </row>
    <row r="1506" spans="1:5" s="1732" customFormat="1">
      <c r="A1506" s="1655" t="s">
        <v>432</v>
      </c>
      <c r="B1506" s="1655" t="s">
        <v>628</v>
      </c>
      <c r="C1506" s="1656" t="s">
        <v>570</v>
      </c>
      <c r="D1506" s="1655" t="s">
        <v>43</v>
      </c>
      <c r="E1506" s="1655" t="s">
        <v>80</v>
      </c>
    </row>
    <row r="1507" spans="1:5" s="1732" customFormat="1">
      <c r="A1507" s="1655" t="s">
        <v>432</v>
      </c>
      <c r="B1507" s="1655" t="s">
        <v>1089</v>
      </c>
      <c r="C1507" s="1656" t="s">
        <v>570</v>
      </c>
      <c r="D1507" s="1655" t="s">
        <v>43</v>
      </c>
      <c r="E1507" s="1655" t="s">
        <v>80</v>
      </c>
    </row>
    <row r="1508" spans="1:5" s="1732" customFormat="1">
      <c r="A1508" s="1655" t="s">
        <v>432</v>
      </c>
      <c r="B1508" s="1655" t="s">
        <v>981</v>
      </c>
      <c r="C1508" s="1656" t="s">
        <v>570</v>
      </c>
      <c r="D1508" s="1655" t="s">
        <v>43</v>
      </c>
      <c r="E1508" s="1655" t="s">
        <v>80</v>
      </c>
    </row>
    <row r="1509" spans="1:5" s="1732" customFormat="1">
      <c r="A1509" s="1655" t="s">
        <v>432</v>
      </c>
      <c r="B1509" s="1655" t="s">
        <v>982</v>
      </c>
      <c r="C1509" s="1656" t="s">
        <v>570</v>
      </c>
      <c r="D1509" s="1655" t="s">
        <v>43</v>
      </c>
      <c r="E1509" s="1655" t="s">
        <v>80</v>
      </c>
    </row>
    <row r="1510" spans="1:5" s="1732" customFormat="1">
      <c r="A1510" s="1655" t="s">
        <v>432</v>
      </c>
      <c r="B1510" s="1655" t="s">
        <v>629</v>
      </c>
      <c r="C1510" s="1656" t="s">
        <v>570</v>
      </c>
      <c r="D1510" s="1655" t="s">
        <v>43</v>
      </c>
      <c r="E1510" s="1655" t="s">
        <v>80</v>
      </c>
    </row>
    <row r="1511" spans="1:5" s="1732" customFormat="1">
      <c r="A1511" s="1655" t="s">
        <v>432</v>
      </c>
      <c r="B1511" s="1655" t="s">
        <v>630</v>
      </c>
      <c r="C1511" s="1656" t="s">
        <v>570</v>
      </c>
      <c r="D1511" s="1655" t="s">
        <v>43</v>
      </c>
      <c r="E1511" s="1655" t="s">
        <v>80</v>
      </c>
    </row>
    <row r="1512" spans="1:5" s="1732" customFormat="1">
      <c r="A1512" s="1655" t="s">
        <v>432</v>
      </c>
      <c r="B1512" s="1655" t="s">
        <v>631</v>
      </c>
      <c r="C1512" s="1656" t="s">
        <v>570</v>
      </c>
      <c r="D1512" s="1655" t="s">
        <v>43</v>
      </c>
      <c r="E1512" s="1655" t="s">
        <v>80</v>
      </c>
    </row>
    <row r="1513" spans="1:5" s="1732" customFormat="1">
      <c r="A1513" s="1655" t="s">
        <v>432</v>
      </c>
      <c r="B1513" s="1655" t="s">
        <v>632</v>
      </c>
      <c r="C1513" s="1656" t="s">
        <v>570</v>
      </c>
      <c r="D1513" s="1655" t="s">
        <v>43</v>
      </c>
      <c r="E1513" s="1655" t="s">
        <v>80</v>
      </c>
    </row>
    <row r="1514" spans="1:5" s="1732" customFormat="1">
      <c r="A1514" s="1655" t="s">
        <v>432</v>
      </c>
      <c r="B1514" s="1655" t="s">
        <v>1140</v>
      </c>
      <c r="C1514" s="1656">
        <v>0</v>
      </c>
      <c r="D1514" s="1655" t="s">
        <v>42</v>
      </c>
      <c r="E1514" s="1655" t="s">
        <v>571</v>
      </c>
    </row>
    <row r="1515" spans="1:5" s="1732" customFormat="1">
      <c r="A1515" s="1655" t="s">
        <v>432</v>
      </c>
      <c r="B1515" s="1655" t="s">
        <v>645</v>
      </c>
      <c r="C1515" s="1656">
        <v>0</v>
      </c>
      <c r="D1515" s="1655" t="s">
        <v>42</v>
      </c>
      <c r="E1515" s="1655" t="s">
        <v>571</v>
      </c>
    </row>
    <row r="1516" spans="1:5" s="1732" customFormat="1">
      <c r="A1516" s="1655" t="s">
        <v>432</v>
      </c>
      <c r="B1516" s="1655" t="s">
        <v>646</v>
      </c>
      <c r="C1516" s="1656">
        <v>0</v>
      </c>
      <c r="D1516" s="1655" t="s">
        <v>42</v>
      </c>
      <c r="E1516" s="1655" t="s">
        <v>571</v>
      </c>
    </row>
    <row r="1517" spans="1:5" s="1732" customFormat="1">
      <c r="A1517" s="1655" t="s">
        <v>432</v>
      </c>
      <c r="B1517" s="1655" t="s">
        <v>647</v>
      </c>
      <c r="C1517" s="1656">
        <v>0</v>
      </c>
      <c r="D1517" s="1655" t="s">
        <v>42</v>
      </c>
      <c r="E1517" s="1655" t="s">
        <v>571</v>
      </c>
    </row>
    <row r="1518" spans="1:5" s="1732" customFormat="1">
      <c r="A1518" s="1655" t="s">
        <v>432</v>
      </c>
      <c r="B1518" s="1655" t="s">
        <v>648</v>
      </c>
      <c r="C1518" s="1656">
        <v>0</v>
      </c>
      <c r="D1518" s="1655" t="s">
        <v>42</v>
      </c>
      <c r="E1518" s="1655" t="s">
        <v>571</v>
      </c>
    </row>
    <row r="1519" spans="1:5" s="1732" customFormat="1">
      <c r="A1519" s="1655" t="s">
        <v>432</v>
      </c>
      <c r="B1519" s="1655" t="s">
        <v>1141</v>
      </c>
      <c r="C1519" s="1656">
        <v>0</v>
      </c>
      <c r="D1519" s="1655" t="s">
        <v>42</v>
      </c>
      <c r="E1519" s="1655" t="s">
        <v>571</v>
      </c>
    </row>
    <row r="1520" spans="1:5" s="1732" customFormat="1">
      <c r="A1520" s="1655" t="s">
        <v>432</v>
      </c>
      <c r="B1520" s="1655" t="s">
        <v>1142</v>
      </c>
      <c r="C1520" s="1656">
        <v>0</v>
      </c>
      <c r="D1520" s="1655" t="s">
        <v>42</v>
      </c>
      <c r="E1520" s="1655" t="s">
        <v>571</v>
      </c>
    </row>
    <row r="1521" spans="1:5" s="1732" customFormat="1">
      <c r="A1521" s="1655" t="s">
        <v>432</v>
      </c>
      <c r="B1521" s="1655" t="s">
        <v>1143</v>
      </c>
      <c r="C1521" s="1656">
        <v>0</v>
      </c>
      <c r="D1521" s="1655" t="s">
        <v>42</v>
      </c>
      <c r="E1521" s="1655" t="s">
        <v>571</v>
      </c>
    </row>
    <row r="1522" spans="1:5" s="1732" customFormat="1">
      <c r="A1522" s="1655" t="s">
        <v>432</v>
      </c>
      <c r="B1522" s="1655" t="s">
        <v>649</v>
      </c>
      <c r="C1522" s="1656">
        <v>0</v>
      </c>
      <c r="D1522" s="1655" t="s">
        <v>42</v>
      </c>
      <c r="E1522" s="1655" t="s">
        <v>571</v>
      </c>
    </row>
    <row r="1523" spans="1:5" s="1732" customFormat="1">
      <c r="A1523" s="1655" t="s">
        <v>432</v>
      </c>
      <c r="B1523" s="1655" t="s">
        <v>650</v>
      </c>
      <c r="C1523" s="1656">
        <v>0</v>
      </c>
      <c r="D1523" s="1655" t="s">
        <v>42</v>
      </c>
      <c r="E1523" s="1655" t="s">
        <v>571</v>
      </c>
    </row>
    <row r="1524" spans="1:5" s="1732" customFormat="1">
      <c r="A1524" s="1655" t="s">
        <v>432</v>
      </c>
      <c r="B1524" s="1655" t="s">
        <v>651</v>
      </c>
      <c r="C1524" s="1656">
        <v>0</v>
      </c>
      <c r="D1524" s="1655" t="s">
        <v>42</v>
      </c>
      <c r="E1524" s="1655" t="s">
        <v>571</v>
      </c>
    </row>
    <row r="1525" spans="1:5" s="1732" customFormat="1">
      <c r="A1525" s="1655" t="s">
        <v>432</v>
      </c>
      <c r="B1525" s="1655" t="s">
        <v>652</v>
      </c>
      <c r="C1525" s="1656">
        <v>0</v>
      </c>
      <c r="D1525" s="1655" t="s">
        <v>42</v>
      </c>
      <c r="E1525" s="1655" t="s">
        <v>571</v>
      </c>
    </row>
    <row r="1526" spans="1:5" s="1732" customFormat="1">
      <c r="A1526" s="1655" t="s">
        <v>432</v>
      </c>
      <c r="B1526" s="1655" t="s">
        <v>2060</v>
      </c>
      <c r="C1526" s="1656">
        <v>0</v>
      </c>
      <c r="D1526" s="1655" t="s">
        <v>42</v>
      </c>
      <c r="E1526" s="1655" t="s">
        <v>571</v>
      </c>
    </row>
    <row r="1527" spans="1:5" s="1732" customFormat="1">
      <c r="A1527" s="1655" t="s">
        <v>432</v>
      </c>
      <c r="B1527" s="1655" t="s">
        <v>666</v>
      </c>
      <c r="C1527" s="1656">
        <v>0</v>
      </c>
      <c r="D1527" s="1655" t="s">
        <v>42</v>
      </c>
      <c r="E1527" s="1655" t="s">
        <v>571</v>
      </c>
    </row>
    <row r="1528" spans="1:5" s="1732" customFormat="1">
      <c r="A1528" s="1655" t="s">
        <v>432</v>
      </c>
      <c r="B1528" s="1655" t="s">
        <v>667</v>
      </c>
      <c r="C1528" s="1656">
        <v>0</v>
      </c>
      <c r="D1528" s="1655" t="s">
        <v>42</v>
      </c>
      <c r="E1528" s="1655" t="s">
        <v>571</v>
      </c>
    </row>
    <row r="1529" spans="1:5" s="1732" customFormat="1">
      <c r="A1529" s="1655" t="s">
        <v>432</v>
      </c>
      <c r="B1529" s="1655" t="s">
        <v>668</v>
      </c>
      <c r="C1529" s="1656">
        <v>0</v>
      </c>
      <c r="D1529" s="1655" t="s">
        <v>42</v>
      </c>
      <c r="E1529" s="1655" t="s">
        <v>571</v>
      </c>
    </row>
    <row r="1530" spans="1:5" s="1732" customFormat="1">
      <c r="A1530" s="1655" t="s">
        <v>432</v>
      </c>
      <c r="B1530" s="1655" t="s">
        <v>669</v>
      </c>
      <c r="C1530" s="1656">
        <v>0</v>
      </c>
      <c r="D1530" s="1655" t="s">
        <v>42</v>
      </c>
      <c r="E1530" s="1655" t="s">
        <v>571</v>
      </c>
    </row>
    <row r="1531" spans="1:5" s="1732" customFormat="1">
      <c r="A1531" s="1655" t="s">
        <v>432</v>
      </c>
      <c r="B1531" s="1655" t="s">
        <v>2061</v>
      </c>
      <c r="C1531" s="1656">
        <v>0</v>
      </c>
      <c r="D1531" s="1655" t="s">
        <v>42</v>
      </c>
      <c r="E1531" s="1655" t="s">
        <v>571</v>
      </c>
    </row>
    <row r="1532" spans="1:5" s="1732" customFormat="1">
      <c r="A1532" s="1655" t="s">
        <v>432</v>
      </c>
      <c r="B1532" s="1655" t="s">
        <v>2062</v>
      </c>
      <c r="C1532" s="1656">
        <v>0</v>
      </c>
      <c r="D1532" s="1655" t="s">
        <v>42</v>
      </c>
      <c r="E1532" s="1655" t="s">
        <v>571</v>
      </c>
    </row>
    <row r="1533" spans="1:5" s="1732" customFormat="1">
      <c r="A1533" s="1655" t="s">
        <v>432</v>
      </c>
      <c r="B1533" s="1655" t="s">
        <v>2063</v>
      </c>
      <c r="C1533" s="1656">
        <v>0</v>
      </c>
      <c r="D1533" s="1655" t="s">
        <v>42</v>
      </c>
      <c r="E1533" s="1655" t="s">
        <v>571</v>
      </c>
    </row>
    <row r="1534" spans="1:5" s="1732" customFormat="1">
      <c r="A1534" s="1655" t="s">
        <v>432</v>
      </c>
      <c r="B1534" s="1655" t="s">
        <v>670</v>
      </c>
      <c r="C1534" s="1656">
        <v>0</v>
      </c>
      <c r="D1534" s="1655" t="s">
        <v>42</v>
      </c>
      <c r="E1534" s="1655" t="s">
        <v>571</v>
      </c>
    </row>
    <row r="1535" spans="1:5" s="1732" customFormat="1">
      <c r="A1535" s="1655" t="s">
        <v>432</v>
      </c>
      <c r="B1535" s="1655" t="s">
        <v>671</v>
      </c>
      <c r="C1535" s="1656">
        <v>0</v>
      </c>
      <c r="D1535" s="1655" t="s">
        <v>42</v>
      </c>
      <c r="E1535" s="1655" t="s">
        <v>571</v>
      </c>
    </row>
    <row r="1536" spans="1:5" s="1732" customFormat="1">
      <c r="A1536" s="1655" t="s">
        <v>432</v>
      </c>
      <c r="B1536" s="1655" t="s">
        <v>672</v>
      </c>
      <c r="C1536" s="1656">
        <v>0</v>
      </c>
      <c r="D1536" s="1655" t="s">
        <v>42</v>
      </c>
      <c r="E1536" s="1655" t="s">
        <v>571</v>
      </c>
    </row>
    <row r="1537" spans="1:5" s="1732" customFormat="1">
      <c r="A1537" s="1655" t="s">
        <v>432</v>
      </c>
      <c r="B1537" s="1655" t="s">
        <v>673</v>
      </c>
      <c r="C1537" s="1656">
        <v>0</v>
      </c>
      <c r="D1537" s="1655" t="s">
        <v>42</v>
      </c>
      <c r="E1537" s="1655" t="s">
        <v>571</v>
      </c>
    </row>
    <row r="1538" spans="1:5" s="1732" customFormat="1">
      <c r="A1538" s="1655" t="s">
        <v>432</v>
      </c>
      <c r="B1538" s="1655" t="s">
        <v>2064</v>
      </c>
      <c r="C1538" s="1656">
        <v>0</v>
      </c>
      <c r="D1538" s="1655" t="s">
        <v>42</v>
      </c>
      <c r="E1538" s="1655" t="s">
        <v>571</v>
      </c>
    </row>
    <row r="1539" spans="1:5" s="1732" customFormat="1">
      <c r="A1539" s="1655" t="s">
        <v>432</v>
      </c>
      <c r="B1539" s="1655" t="s">
        <v>1046</v>
      </c>
      <c r="C1539" s="1656">
        <v>0</v>
      </c>
      <c r="D1539" s="1655" t="s">
        <v>42</v>
      </c>
      <c r="E1539" s="1655" t="s">
        <v>80</v>
      </c>
    </row>
    <row r="1540" spans="1:5" s="1732" customFormat="1">
      <c r="A1540" s="1655" t="s">
        <v>432</v>
      </c>
      <c r="B1540" s="1655" t="s">
        <v>1047</v>
      </c>
      <c r="C1540" s="1656" t="s">
        <v>570</v>
      </c>
      <c r="D1540" s="1655" t="s">
        <v>43</v>
      </c>
      <c r="E1540" s="1655" t="s">
        <v>80</v>
      </c>
    </row>
    <row r="1541" spans="1:5" s="1732" customFormat="1">
      <c r="A1541" s="1655" t="s">
        <v>432</v>
      </c>
      <c r="B1541" s="1655" t="s">
        <v>1048</v>
      </c>
      <c r="C1541" s="1656" t="s">
        <v>570</v>
      </c>
      <c r="D1541" s="1655" t="s">
        <v>43</v>
      </c>
      <c r="E1541" s="1655" t="s">
        <v>80</v>
      </c>
    </row>
    <row r="1542" spans="1:5" s="1732" customFormat="1">
      <c r="A1542" s="1655" t="s">
        <v>432</v>
      </c>
      <c r="B1542" s="1655" t="s">
        <v>1049</v>
      </c>
      <c r="C1542" s="1656" t="s">
        <v>570</v>
      </c>
      <c r="D1542" s="1655" t="s">
        <v>43</v>
      </c>
      <c r="E1542" s="1655" t="s">
        <v>80</v>
      </c>
    </row>
    <row r="1543" spans="1:5" s="1732" customFormat="1">
      <c r="A1543" s="1655" t="s">
        <v>432</v>
      </c>
      <c r="B1543" s="1655" t="s">
        <v>1050</v>
      </c>
      <c r="C1543" s="1656" t="s">
        <v>570</v>
      </c>
      <c r="D1543" s="1655" t="s">
        <v>43</v>
      </c>
      <c r="E1543" s="1655" t="s">
        <v>80</v>
      </c>
    </row>
    <row r="1544" spans="1:5" s="1732" customFormat="1">
      <c r="A1544" s="1655" t="s">
        <v>432</v>
      </c>
      <c r="B1544" s="1655" t="s">
        <v>1051</v>
      </c>
      <c r="C1544" s="1656" t="s">
        <v>570</v>
      </c>
      <c r="D1544" s="1655" t="s">
        <v>43</v>
      </c>
      <c r="E1544" s="1655" t="s">
        <v>80</v>
      </c>
    </row>
    <row r="1545" spans="1:5" s="1732" customFormat="1">
      <c r="A1545" s="1655" t="s">
        <v>432</v>
      </c>
      <c r="B1545" s="1655" t="s">
        <v>1052</v>
      </c>
      <c r="C1545" s="1656" t="s">
        <v>570</v>
      </c>
      <c r="D1545" s="1655" t="s">
        <v>43</v>
      </c>
      <c r="E1545" s="1655" t="s">
        <v>80</v>
      </c>
    </row>
    <row r="1546" spans="1:5" s="1732" customFormat="1">
      <c r="A1546" s="1655" t="s">
        <v>432</v>
      </c>
      <c r="B1546" s="1655" t="s">
        <v>1053</v>
      </c>
      <c r="C1546" s="1656" t="s">
        <v>570</v>
      </c>
      <c r="D1546" s="1655" t="s">
        <v>43</v>
      </c>
      <c r="E1546" s="1655" t="s">
        <v>80</v>
      </c>
    </row>
    <row r="1547" spans="1:5" s="1732" customFormat="1">
      <c r="A1547" s="1655" t="s">
        <v>432</v>
      </c>
      <c r="B1547" s="1655" t="s">
        <v>1054</v>
      </c>
      <c r="C1547" s="1656" t="s">
        <v>570</v>
      </c>
      <c r="D1547" s="1655" t="s">
        <v>43</v>
      </c>
      <c r="E1547" s="1655" t="s">
        <v>80</v>
      </c>
    </row>
    <row r="1548" spans="1:5" s="1732" customFormat="1">
      <c r="A1548" s="1655" t="s">
        <v>432</v>
      </c>
      <c r="B1548" s="1655" t="s">
        <v>1055</v>
      </c>
      <c r="C1548" s="1656" t="s">
        <v>570</v>
      </c>
      <c r="D1548" s="1655" t="s">
        <v>43</v>
      </c>
      <c r="E1548" s="1655" t="s">
        <v>80</v>
      </c>
    </row>
    <row r="1549" spans="1:5" s="1732" customFormat="1">
      <c r="A1549" s="1655" t="s">
        <v>432</v>
      </c>
      <c r="B1549" s="1655" t="s">
        <v>1056</v>
      </c>
      <c r="C1549" s="1656" t="s">
        <v>570</v>
      </c>
      <c r="D1549" s="1655" t="s">
        <v>43</v>
      </c>
      <c r="E1549" s="1655" t="s">
        <v>80</v>
      </c>
    </row>
    <row r="1550" spans="1:5" s="1732" customFormat="1">
      <c r="A1550" s="1655" t="s">
        <v>432</v>
      </c>
      <c r="B1550" s="1655" t="s">
        <v>1057</v>
      </c>
      <c r="C1550" s="1656" t="s">
        <v>570</v>
      </c>
      <c r="D1550" s="1655" t="s">
        <v>43</v>
      </c>
      <c r="E1550" s="1655" t="s">
        <v>80</v>
      </c>
    </row>
    <row r="1551" spans="1:5" s="1732" customFormat="1">
      <c r="A1551" s="1655" t="s">
        <v>432</v>
      </c>
      <c r="B1551" s="1655" t="s">
        <v>1058</v>
      </c>
      <c r="C1551" s="1656">
        <v>0</v>
      </c>
      <c r="D1551" s="1655" t="s">
        <v>42</v>
      </c>
      <c r="E1551" s="1655" t="s">
        <v>571</v>
      </c>
    </row>
    <row r="1552" spans="1:5" s="1732" customFormat="1">
      <c r="A1552" s="1655" t="s">
        <v>432</v>
      </c>
      <c r="B1552" s="1655" t="s">
        <v>1059</v>
      </c>
      <c r="C1552" s="1656">
        <v>0</v>
      </c>
      <c r="D1552" s="1655" t="s">
        <v>42</v>
      </c>
      <c r="E1552" s="1655" t="s">
        <v>571</v>
      </c>
    </row>
    <row r="1553" spans="1:5" s="1732" customFormat="1">
      <c r="A1553" s="1655" t="s">
        <v>432</v>
      </c>
      <c r="B1553" s="1655" t="s">
        <v>1060</v>
      </c>
      <c r="C1553" s="1656">
        <v>0</v>
      </c>
      <c r="D1553" s="1655" t="s">
        <v>42</v>
      </c>
      <c r="E1553" s="1655" t="s">
        <v>571</v>
      </c>
    </row>
    <row r="1554" spans="1:5" s="1732" customFormat="1">
      <c r="A1554" s="1655" t="s">
        <v>432</v>
      </c>
      <c r="B1554" s="1655" t="s">
        <v>1061</v>
      </c>
      <c r="C1554" s="1656">
        <v>0</v>
      </c>
      <c r="D1554" s="1655" t="s">
        <v>42</v>
      </c>
      <c r="E1554" s="1655" t="s">
        <v>571</v>
      </c>
    </row>
    <row r="1555" spans="1:5" s="1732" customFormat="1">
      <c r="A1555" s="1655" t="s">
        <v>432</v>
      </c>
      <c r="B1555" s="1655" t="s">
        <v>1062</v>
      </c>
      <c r="C1555" s="1656">
        <v>0</v>
      </c>
      <c r="D1555" s="1655" t="s">
        <v>42</v>
      </c>
      <c r="E1555" s="1655" t="s">
        <v>571</v>
      </c>
    </row>
    <row r="1556" spans="1:5" s="1732" customFormat="1">
      <c r="A1556" s="1655" t="s">
        <v>432</v>
      </c>
      <c r="B1556" s="1655" t="s">
        <v>1063</v>
      </c>
      <c r="C1556" s="1656">
        <v>0</v>
      </c>
      <c r="D1556" s="1655" t="s">
        <v>42</v>
      </c>
      <c r="E1556" s="1655" t="s">
        <v>571</v>
      </c>
    </row>
    <row r="1557" spans="1:5" s="1732" customFormat="1">
      <c r="A1557" s="1655" t="s">
        <v>432</v>
      </c>
      <c r="B1557" s="1655" t="s">
        <v>1064</v>
      </c>
      <c r="C1557" s="1656">
        <v>0</v>
      </c>
      <c r="D1557" s="1655" t="s">
        <v>42</v>
      </c>
      <c r="E1557" s="1655" t="s">
        <v>571</v>
      </c>
    </row>
    <row r="1558" spans="1:5" s="1732" customFormat="1">
      <c r="A1558" s="1655" t="s">
        <v>432</v>
      </c>
      <c r="B1558" s="1655" t="s">
        <v>1065</v>
      </c>
      <c r="C1558" s="1656">
        <v>0</v>
      </c>
      <c r="D1558" s="1655" t="s">
        <v>42</v>
      </c>
      <c r="E1558" s="1655" t="s">
        <v>571</v>
      </c>
    </row>
    <row r="1559" spans="1:5" s="1732" customFormat="1">
      <c r="A1559" s="1655" t="s">
        <v>432</v>
      </c>
      <c r="B1559" s="1655" t="s">
        <v>1066</v>
      </c>
      <c r="C1559" s="1656">
        <v>0</v>
      </c>
      <c r="D1559" s="1655" t="s">
        <v>42</v>
      </c>
      <c r="E1559" s="1655" t="s">
        <v>571</v>
      </c>
    </row>
    <row r="1560" spans="1:5" s="1732" customFormat="1">
      <c r="A1560" s="1655" t="s">
        <v>432</v>
      </c>
      <c r="B1560" s="1655" t="s">
        <v>1067</v>
      </c>
      <c r="C1560" s="1656">
        <v>0</v>
      </c>
      <c r="D1560" s="1655" t="s">
        <v>42</v>
      </c>
      <c r="E1560" s="1655" t="s">
        <v>571</v>
      </c>
    </row>
    <row r="1561" spans="1:5" s="1732" customFormat="1">
      <c r="A1561" s="1655" t="s">
        <v>432</v>
      </c>
      <c r="B1561" s="1655" t="s">
        <v>1068</v>
      </c>
      <c r="C1561" s="1656">
        <v>0</v>
      </c>
      <c r="D1561" s="1655" t="s">
        <v>42</v>
      </c>
      <c r="E1561" s="1655" t="s">
        <v>571</v>
      </c>
    </row>
    <row r="1562" spans="1:5" s="1732" customFormat="1">
      <c r="A1562" s="1655" t="s">
        <v>432</v>
      </c>
      <c r="B1562" s="1655" t="s">
        <v>1069</v>
      </c>
      <c r="C1562" s="1656">
        <v>0</v>
      </c>
      <c r="D1562" s="1655" t="s">
        <v>42</v>
      </c>
      <c r="E1562" s="1655" t="s">
        <v>571</v>
      </c>
    </row>
    <row r="1563" spans="1:5" s="1732" customFormat="1">
      <c r="A1563" s="1655" t="s">
        <v>432</v>
      </c>
      <c r="B1563" s="1655" t="s">
        <v>1070</v>
      </c>
      <c r="C1563" s="1656">
        <v>0</v>
      </c>
      <c r="D1563" s="1655" t="s">
        <v>42</v>
      </c>
      <c r="E1563" s="1655" t="s">
        <v>571</v>
      </c>
    </row>
    <row r="1564" spans="1:5" s="1732" customFormat="1">
      <c r="A1564" s="1655" t="s">
        <v>432</v>
      </c>
      <c r="B1564" s="1655" t="s">
        <v>1071</v>
      </c>
      <c r="C1564" s="1656">
        <v>0</v>
      </c>
      <c r="D1564" s="1655" t="s">
        <v>42</v>
      </c>
      <c r="E1564" s="1655" t="s">
        <v>571</v>
      </c>
    </row>
    <row r="1565" spans="1:5" s="1732" customFormat="1">
      <c r="A1565" s="1655" t="s">
        <v>432</v>
      </c>
      <c r="B1565" s="1655" t="s">
        <v>1072</v>
      </c>
      <c r="C1565" s="1656">
        <v>0</v>
      </c>
      <c r="D1565" s="1655" t="s">
        <v>42</v>
      </c>
      <c r="E1565" s="1655" t="s">
        <v>571</v>
      </c>
    </row>
    <row r="1566" spans="1:5" s="1732" customFormat="1">
      <c r="A1566" s="1655" t="s">
        <v>432</v>
      </c>
      <c r="B1566" s="1655" t="s">
        <v>1073</v>
      </c>
      <c r="C1566" s="1656">
        <v>0</v>
      </c>
      <c r="D1566" s="1655" t="s">
        <v>42</v>
      </c>
      <c r="E1566" s="1655" t="s">
        <v>571</v>
      </c>
    </row>
    <row r="1567" spans="1:5" s="1732" customFormat="1">
      <c r="A1567" s="1655" t="s">
        <v>432</v>
      </c>
      <c r="B1567" s="1655" t="s">
        <v>1074</v>
      </c>
      <c r="C1567" s="1656">
        <v>0</v>
      </c>
      <c r="D1567" s="1655" t="s">
        <v>42</v>
      </c>
      <c r="E1567" s="1655" t="s">
        <v>571</v>
      </c>
    </row>
    <row r="1568" spans="1:5" s="1732" customFormat="1">
      <c r="A1568" s="1655" t="s">
        <v>432</v>
      </c>
      <c r="B1568" s="1655" t="s">
        <v>1075</v>
      </c>
      <c r="C1568" s="1656">
        <v>0</v>
      </c>
      <c r="D1568" s="1655" t="s">
        <v>42</v>
      </c>
      <c r="E1568" s="1655" t="s">
        <v>571</v>
      </c>
    </row>
    <row r="1569" spans="1:5" s="1732" customFormat="1">
      <c r="A1569" s="1655" t="s">
        <v>432</v>
      </c>
      <c r="B1569" s="1655" t="s">
        <v>1076</v>
      </c>
      <c r="C1569" s="1656">
        <v>0</v>
      </c>
      <c r="D1569" s="1655" t="s">
        <v>42</v>
      </c>
      <c r="E1569" s="1655" t="s">
        <v>571</v>
      </c>
    </row>
    <row r="1570" spans="1:5" s="1732" customFormat="1">
      <c r="A1570" s="1655" t="s">
        <v>432</v>
      </c>
      <c r="B1570" s="1655" t="s">
        <v>1077</v>
      </c>
      <c r="C1570" s="1656">
        <v>0</v>
      </c>
      <c r="D1570" s="1655" t="s">
        <v>42</v>
      </c>
      <c r="E1570" s="1655" t="s">
        <v>571</v>
      </c>
    </row>
    <row r="1571" spans="1:5" s="1732" customFormat="1">
      <c r="A1571" s="1655" t="s">
        <v>432</v>
      </c>
      <c r="B1571" s="1655" t="s">
        <v>1078</v>
      </c>
      <c r="C1571" s="1656">
        <v>0</v>
      </c>
      <c r="D1571" s="1655" t="s">
        <v>42</v>
      </c>
      <c r="E1571" s="1655" t="s">
        <v>571</v>
      </c>
    </row>
    <row r="1572" spans="1:5" s="1732" customFormat="1">
      <c r="A1572" s="1655" t="s">
        <v>432</v>
      </c>
      <c r="B1572" s="1655" t="s">
        <v>1079</v>
      </c>
      <c r="C1572" s="1656">
        <v>0</v>
      </c>
      <c r="D1572" s="1655" t="s">
        <v>42</v>
      </c>
      <c r="E1572" s="1655" t="s">
        <v>571</v>
      </c>
    </row>
    <row r="1573" spans="1:5" s="1732" customFormat="1">
      <c r="A1573" s="1655" t="s">
        <v>432</v>
      </c>
      <c r="B1573" s="1655" t="s">
        <v>1080</v>
      </c>
      <c r="C1573" s="1656">
        <v>0</v>
      </c>
      <c r="D1573" s="1655" t="s">
        <v>42</v>
      </c>
      <c r="E1573" s="1655" t="s">
        <v>571</v>
      </c>
    </row>
    <row r="1574" spans="1:5" s="1732" customFormat="1">
      <c r="A1574" s="1655" t="s">
        <v>432</v>
      </c>
      <c r="B1574" s="1655" t="s">
        <v>1081</v>
      </c>
      <c r="C1574" s="1656">
        <v>0</v>
      </c>
      <c r="D1574" s="1655" t="s">
        <v>42</v>
      </c>
      <c r="E1574" s="1655" t="s">
        <v>571</v>
      </c>
    </row>
    <row r="1575" spans="1:5" s="1732" customFormat="1">
      <c r="A1575" s="1655" t="s">
        <v>432</v>
      </c>
      <c r="B1575" s="1655" t="s">
        <v>1154</v>
      </c>
      <c r="C1575" s="1656">
        <v>0</v>
      </c>
      <c r="D1575" s="1655" t="s">
        <v>42</v>
      </c>
      <c r="E1575" s="1655" t="s">
        <v>571</v>
      </c>
    </row>
    <row r="1576" spans="1:5" s="1732" customFormat="1">
      <c r="A1576" s="1655" t="s">
        <v>1298</v>
      </c>
      <c r="B1576" s="1655" t="s">
        <v>1255</v>
      </c>
      <c r="C1576" s="1656" t="s">
        <v>259</v>
      </c>
      <c r="D1576" s="1655" t="s">
        <v>42</v>
      </c>
      <c r="E1576" s="1655" t="s">
        <v>569</v>
      </c>
    </row>
    <row r="1577" spans="1:5" s="1732" customFormat="1">
      <c r="A1577" s="1655" t="s">
        <v>1298</v>
      </c>
      <c r="B1577" s="1655" t="s">
        <v>1256</v>
      </c>
      <c r="C1577" s="1656" t="s">
        <v>251</v>
      </c>
      <c r="D1577" s="1655" t="s">
        <v>42</v>
      </c>
      <c r="E1577" s="1655" t="s">
        <v>569</v>
      </c>
    </row>
    <row r="1578" spans="1:5" s="1732" customFormat="1">
      <c r="A1578" s="1655" t="s">
        <v>1298</v>
      </c>
      <c r="B1578" s="1655" t="s">
        <v>1257</v>
      </c>
      <c r="C1578" s="1656" t="s">
        <v>11</v>
      </c>
      <c r="D1578" s="1655" t="s">
        <v>42</v>
      </c>
      <c r="E1578" s="1655" t="s">
        <v>569</v>
      </c>
    </row>
    <row r="1579" spans="1:5" s="1732" customFormat="1">
      <c r="A1579" s="1655" t="s">
        <v>1298</v>
      </c>
      <c r="B1579" s="1655" t="s">
        <v>1258</v>
      </c>
      <c r="C1579" s="1656" t="s">
        <v>252</v>
      </c>
      <c r="D1579" s="1655" t="s">
        <v>42</v>
      </c>
      <c r="E1579" s="1655" t="s">
        <v>569</v>
      </c>
    </row>
    <row r="1580" spans="1:5" s="1732" customFormat="1">
      <c r="A1580" s="1655" t="s">
        <v>1298</v>
      </c>
      <c r="B1580" s="1655" t="s">
        <v>1259</v>
      </c>
      <c r="C1580" s="1656" t="s">
        <v>260</v>
      </c>
      <c r="D1580" s="1655" t="s">
        <v>42</v>
      </c>
      <c r="E1580" s="1655" t="s">
        <v>569</v>
      </c>
    </row>
    <row r="1581" spans="1:5" s="1732" customFormat="1">
      <c r="A1581" s="1655" t="s">
        <v>1298</v>
      </c>
      <c r="B1581" s="1655" t="s">
        <v>1260</v>
      </c>
      <c r="C1581" s="1656" t="s">
        <v>253</v>
      </c>
      <c r="D1581" s="1655" t="s">
        <v>42</v>
      </c>
      <c r="E1581" s="1655" t="s">
        <v>569</v>
      </c>
    </row>
    <row r="1582" spans="1:5" s="1732" customFormat="1">
      <c r="A1582" s="1655" t="s">
        <v>1298</v>
      </c>
      <c r="B1582" s="1655" t="s">
        <v>1261</v>
      </c>
      <c r="C1582" s="1656" t="s">
        <v>254</v>
      </c>
      <c r="D1582" s="1655" t="s">
        <v>42</v>
      </c>
      <c r="E1582" s="1655" t="s">
        <v>569</v>
      </c>
    </row>
    <row r="1583" spans="1:5" s="1732" customFormat="1">
      <c r="A1583" s="1655" t="s">
        <v>1298</v>
      </c>
      <c r="B1583" s="1655" t="s">
        <v>1497</v>
      </c>
      <c r="C1583" s="1656" t="s">
        <v>12</v>
      </c>
      <c r="D1583" s="1655" t="s">
        <v>42</v>
      </c>
      <c r="E1583" s="1655" t="s">
        <v>569</v>
      </c>
    </row>
    <row r="1584" spans="1:5" s="1732" customFormat="1">
      <c r="A1584" s="1655" t="s">
        <v>1298</v>
      </c>
      <c r="B1584" s="1655" t="s">
        <v>1498</v>
      </c>
      <c r="C1584" s="1656" t="s">
        <v>12</v>
      </c>
      <c r="D1584" s="1655" t="s">
        <v>42</v>
      </c>
      <c r="E1584" s="1655" t="s">
        <v>569</v>
      </c>
    </row>
    <row r="1585" spans="1:5" s="1732" customFormat="1">
      <c r="A1585" s="1655" t="s">
        <v>1298</v>
      </c>
      <c r="B1585" s="1655" t="s">
        <v>1499</v>
      </c>
      <c r="C1585" s="1656" t="s">
        <v>12</v>
      </c>
      <c r="D1585" s="1655" t="s">
        <v>42</v>
      </c>
      <c r="E1585" s="1655" t="s">
        <v>569</v>
      </c>
    </row>
    <row r="1586" spans="1:5" s="1732" customFormat="1">
      <c r="A1586" s="1655" t="s">
        <v>1298</v>
      </c>
      <c r="B1586" s="1655" t="s">
        <v>2059</v>
      </c>
      <c r="C1586" s="1655" t="s">
        <v>570</v>
      </c>
      <c r="D1586" s="1655" t="s">
        <v>43</v>
      </c>
      <c r="E1586" s="1655" t="s">
        <v>569</v>
      </c>
    </row>
    <row r="1587" spans="1:5" s="1732" customFormat="1">
      <c r="A1587" s="1655" t="s">
        <v>1298</v>
      </c>
      <c r="B1587" s="1655" t="s">
        <v>1500</v>
      </c>
      <c r="C1587" s="1655" t="s">
        <v>570</v>
      </c>
      <c r="D1587" s="1655" t="s">
        <v>43</v>
      </c>
      <c r="E1587" s="1655" t="s">
        <v>569</v>
      </c>
    </row>
    <row r="1588" spans="1:5" s="1732" customFormat="1">
      <c r="A1588" s="1655" t="s">
        <v>1298</v>
      </c>
      <c r="B1588" s="1655" t="s">
        <v>1501</v>
      </c>
      <c r="C1588" s="1655" t="s">
        <v>570</v>
      </c>
      <c r="D1588" s="1655" t="s">
        <v>43</v>
      </c>
      <c r="E1588" s="1655" t="s">
        <v>569</v>
      </c>
    </row>
    <row r="1589" spans="1:5" s="1732" customFormat="1">
      <c r="A1589" s="1655" t="s">
        <v>1298</v>
      </c>
      <c r="B1589" s="1655" t="s">
        <v>1502</v>
      </c>
      <c r="C1589" s="1656" t="s">
        <v>570</v>
      </c>
      <c r="D1589" s="1655" t="s">
        <v>43</v>
      </c>
      <c r="E1589" s="1655" t="s">
        <v>569</v>
      </c>
    </row>
    <row r="1590" spans="1:5" s="1732" customFormat="1">
      <c r="A1590" s="1655" t="s">
        <v>1298</v>
      </c>
      <c r="B1590" s="1655" t="s">
        <v>1503</v>
      </c>
      <c r="C1590" s="1656" t="s">
        <v>570</v>
      </c>
      <c r="D1590" s="1655" t="s">
        <v>43</v>
      </c>
      <c r="E1590" s="1655" t="s">
        <v>569</v>
      </c>
    </row>
    <row r="1591" spans="1:5" s="1732" customFormat="1">
      <c r="A1591" s="1655" t="s">
        <v>1298</v>
      </c>
      <c r="B1591" s="1655" t="s">
        <v>1504</v>
      </c>
      <c r="C1591" s="1656" t="s">
        <v>570</v>
      </c>
      <c r="D1591" s="1655" t="s">
        <v>43</v>
      </c>
      <c r="E1591" s="1655" t="s">
        <v>569</v>
      </c>
    </row>
    <row r="1592" spans="1:5" s="1732" customFormat="1">
      <c r="A1592" s="1655" t="s">
        <v>1298</v>
      </c>
      <c r="B1592" s="1655" t="s">
        <v>1266</v>
      </c>
      <c r="C1592" s="1656">
        <v>2000</v>
      </c>
      <c r="D1592" s="1655" t="s">
        <v>42</v>
      </c>
      <c r="E1592" s="1655" t="s">
        <v>571</v>
      </c>
    </row>
    <row r="1593" spans="1:5" s="1732" customFormat="1">
      <c r="A1593" s="1655" t="s">
        <v>1298</v>
      </c>
      <c r="B1593" s="1655" t="s">
        <v>1267</v>
      </c>
      <c r="C1593" s="1656">
        <v>600</v>
      </c>
      <c r="D1593" s="1655" t="s">
        <v>42</v>
      </c>
      <c r="E1593" s="1655" t="s">
        <v>571</v>
      </c>
    </row>
    <row r="1594" spans="1:5" s="1732" customFormat="1">
      <c r="A1594" s="1655" t="s">
        <v>1298</v>
      </c>
      <c r="B1594" s="1655" t="s">
        <v>574</v>
      </c>
      <c r="C1594" s="1656">
        <v>100</v>
      </c>
      <c r="D1594" s="1655" t="s">
        <v>42</v>
      </c>
      <c r="E1594" s="1655" t="s">
        <v>571</v>
      </c>
    </row>
    <row r="1595" spans="1:5" s="1732" customFormat="1">
      <c r="A1595" s="1655" t="s">
        <v>1298</v>
      </c>
      <c r="B1595" s="1655" t="s">
        <v>575</v>
      </c>
      <c r="C1595" s="1656">
        <v>50</v>
      </c>
      <c r="D1595" s="1655" t="s">
        <v>42</v>
      </c>
      <c r="E1595" s="1655" t="s">
        <v>571</v>
      </c>
    </row>
    <row r="1596" spans="1:5" s="1732" customFormat="1">
      <c r="A1596" s="1655" t="s">
        <v>1298</v>
      </c>
      <c r="B1596" s="1655" t="s">
        <v>576</v>
      </c>
      <c r="C1596" s="1656">
        <v>115</v>
      </c>
      <c r="D1596" s="1655" t="s">
        <v>42</v>
      </c>
      <c r="E1596" s="1655" t="s">
        <v>571</v>
      </c>
    </row>
    <row r="1597" spans="1:5" s="1732" customFormat="1">
      <c r="A1597" s="1655" t="s">
        <v>1298</v>
      </c>
      <c r="B1597" s="1655" t="s">
        <v>577</v>
      </c>
      <c r="C1597" s="1656">
        <v>100</v>
      </c>
      <c r="D1597" s="1655" t="s">
        <v>42</v>
      </c>
      <c r="E1597" s="1655" t="s">
        <v>571</v>
      </c>
    </row>
    <row r="1598" spans="1:5" s="1732" customFormat="1">
      <c r="A1598" s="1655" t="s">
        <v>1298</v>
      </c>
      <c r="B1598" s="1655" t="s">
        <v>578</v>
      </c>
      <c r="C1598" s="1656">
        <v>250</v>
      </c>
      <c r="D1598" s="1655" t="s">
        <v>42</v>
      </c>
      <c r="E1598" s="1655" t="s">
        <v>571</v>
      </c>
    </row>
    <row r="1599" spans="1:5" s="1732" customFormat="1">
      <c r="A1599" s="1655" t="s">
        <v>1298</v>
      </c>
      <c r="B1599" s="1655" t="s">
        <v>579</v>
      </c>
      <c r="C1599" s="1656">
        <v>0</v>
      </c>
      <c r="D1599" s="1655" t="s">
        <v>42</v>
      </c>
      <c r="E1599" s="1655" t="s">
        <v>571</v>
      </c>
    </row>
    <row r="1600" spans="1:5" s="1732" customFormat="1">
      <c r="A1600" s="1655" t="s">
        <v>1298</v>
      </c>
      <c r="B1600" s="1655" t="s">
        <v>580</v>
      </c>
      <c r="C1600" s="1656">
        <v>0</v>
      </c>
      <c r="D1600" s="1655" t="s">
        <v>42</v>
      </c>
      <c r="E1600" s="1655" t="s">
        <v>571</v>
      </c>
    </row>
    <row r="1601" spans="1:5" s="1732" customFormat="1">
      <c r="A1601" s="1655" t="s">
        <v>1298</v>
      </c>
      <c r="B1601" s="1655" t="s">
        <v>581</v>
      </c>
      <c r="C1601" s="1656">
        <v>0</v>
      </c>
      <c r="D1601" s="1655" t="s">
        <v>42</v>
      </c>
      <c r="E1601" s="1655" t="s">
        <v>571</v>
      </c>
    </row>
    <row r="1602" spans="1:5" s="1732" customFormat="1">
      <c r="A1602" s="1655" t="s">
        <v>1298</v>
      </c>
      <c r="B1602" s="1655" t="s">
        <v>1271</v>
      </c>
      <c r="C1602" s="1655">
        <v>2</v>
      </c>
      <c r="D1602" s="1655" t="s">
        <v>42</v>
      </c>
      <c r="E1602" s="1655" t="s">
        <v>572</v>
      </c>
    </row>
    <row r="1603" spans="1:5" s="1732" customFormat="1">
      <c r="A1603" s="1655" t="s">
        <v>1298</v>
      </c>
      <c r="B1603" s="1655" t="s">
        <v>1174</v>
      </c>
      <c r="C1603" s="1655">
        <v>2</v>
      </c>
      <c r="D1603" s="1655" t="s">
        <v>42</v>
      </c>
      <c r="E1603" s="1655" t="s">
        <v>572</v>
      </c>
    </row>
    <row r="1604" spans="1:5" s="1732" customFormat="1">
      <c r="A1604" s="1655" t="s">
        <v>1298</v>
      </c>
      <c r="B1604" s="1655" t="s">
        <v>590</v>
      </c>
      <c r="C1604" s="1655">
        <v>12</v>
      </c>
      <c r="D1604" s="1655" t="s">
        <v>42</v>
      </c>
      <c r="E1604" s="1655" t="s">
        <v>572</v>
      </c>
    </row>
    <row r="1605" spans="1:5" s="1732" customFormat="1">
      <c r="A1605" s="1655" t="s">
        <v>1298</v>
      </c>
      <c r="B1605" s="1655" t="s">
        <v>591</v>
      </c>
      <c r="C1605" s="1655">
        <v>12</v>
      </c>
      <c r="D1605" s="1655" t="s">
        <v>42</v>
      </c>
      <c r="E1605" s="1655" t="s">
        <v>572</v>
      </c>
    </row>
    <row r="1606" spans="1:5" s="1732" customFormat="1">
      <c r="A1606" s="1655" t="s">
        <v>1298</v>
      </c>
      <c r="B1606" s="1655" t="s">
        <v>592</v>
      </c>
      <c r="C1606" s="1655">
        <v>2</v>
      </c>
      <c r="D1606" s="1655" t="s">
        <v>42</v>
      </c>
      <c r="E1606" s="1655" t="s">
        <v>572</v>
      </c>
    </row>
    <row r="1607" spans="1:5" s="1732" customFormat="1">
      <c r="A1607" s="1655" t="s">
        <v>1298</v>
      </c>
      <c r="B1607" s="1655" t="s">
        <v>593</v>
      </c>
      <c r="C1607" s="1655">
        <v>12</v>
      </c>
      <c r="D1607" s="1655" t="s">
        <v>42</v>
      </c>
      <c r="E1607" s="1655" t="s">
        <v>572</v>
      </c>
    </row>
    <row r="1608" spans="1:5" s="1732" customFormat="1">
      <c r="A1608" s="1655" t="s">
        <v>1298</v>
      </c>
      <c r="B1608" s="1655" t="s">
        <v>594</v>
      </c>
      <c r="C1608" s="1655">
        <v>1</v>
      </c>
      <c r="D1608" s="1655" t="s">
        <v>42</v>
      </c>
      <c r="E1608" s="1655" t="s">
        <v>572</v>
      </c>
    </row>
    <row r="1609" spans="1:5" s="1732" customFormat="1">
      <c r="A1609" s="1655" t="s">
        <v>1298</v>
      </c>
      <c r="B1609" s="1655" t="s">
        <v>595</v>
      </c>
      <c r="C1609" s="1655">
        <v>0</v>
      </c>
      <c r="D1609" s="1655" t="s">
        <v>42</v>
      </c>
      <c r="E1609" s="1655" t="s">
        <v>572</v>
      </c>
    </row>
    <row r="1610" spans="1:5" s="1732" customFormat="1">
      <c r="A1610" s="1655" t="s">
        <v>1298</v>
      </c>
      <c r="B1610" s="1655" t="s">
        <v>596</v>
      </c>
      <c r="C1610" s="1655">
        <v>0</v>
      </c>
      <c r="D1610" s="1655" t="s">
        <v>42</v>
      </c>
      <c r="E1610" s="1655" t="s">
        <v>572</v>
      </c>
    </row>
    <row r="1611" spans="1:5" s="1732" customFormat="1">
      <c r="A1611" s="1655" t="s">
        <v>1298</v>
      </c>
      <c r="B1611" s="1655" t="s">
        <v>597</v>
      </c>
      <c r="C1611" s="1655">
        <v>0</v>
      </c>
      <c r="D1611" s="1655" t="s">
        <v>42</v>
      </c>
      <c r="E1611" s="1655" t="s">
        <v>572</v>
      </c>
    </row>
    <row r="1612" spans="1:5" s="1732" customFormat="1">
      <c r="A1612" s="1655" t="s">
        <v>1298</v>
      </c>
      <c r="B1612" s="1655" t="s">
        <v>1186</v>
      </c>
      <c r="C1612" s="1655" t="s">
        <v>42</v>
      </c>
      <c r="D1612" s="1655" t="s">
        <v>42</v>
      </c>
      <c r="E1612" s="1655" t="s">
        <v>569</v>
      </c>
    </row>
    <row r="1613" spans="1:5" s="1732" customFormat="1">
      <c r="A1613" s="1655" t="s">
        <v>1298</v>
      </c>
      <c r="B1613" s="1655" t="s">
        <v>1187</v>
      </c>
      <c r="C1613" s="1655" t="s">
        <v>42</v>
      </c>
      <c r="D1613" s="1655" t="s">
        <v>42</v>
      </c>
      <c r="E1613" s="1655" t="s">
        <v>569</v>
      </c>
    </row>
    <row r="1614" spans="1:5" s="1732" customFormat="1">
      <c r="A1614" s="1655" t="s">
        <v>1298</v>
      </c>
      <c r="B1614" s="1655" t="s">
        <v>601</v>
      </c>
      <c r="C1614" s="1655" t="s">
        <v>42</v>
      </c>
      <c r="D1614" s="1655" t="s">
        <v>42</v>
      </c>
      <c r="E1614" s="1655" t="s">
        <v>569</v>
      </c>
    </row>
    <row r="1615" spans="1:5" s="1732" customFormat="1">
      <c r="A1615" s="1655" t="s">
        <v>1298</v>
      </c>
      <c r="B1615" s="1655" t="s">
        <v>602</v>
      </c>
      <c r="C1615" s="1655" t="s">
        <v>42</v>
      </c>
      <c r="D1615" s="1655" t="s">
        <v>42</v>
      </c>
      <c r="E1615" s="1655" t="s">
        <v>569</v>
      </c>
    </row>
    <row r="1616" spans="1:5" s="1732" customFormat="1">
      <c r="A1616" s="2036" t="s">
        <v>1298</v>
      </c>
      <c r="B1616" s="2036" t="s">
        <v>603</v>
      </c>
      <c r="C1616" s="2036" t="s">
        <v>42</v>
      </c>
      <c r="D1616" s="2036" t="s">
        <v>42</v>
      </c>
      <c r="E1616" s="2036" t="s">
        <v>569</v>
      </c>
    </row>
    <row r="1617" spans="1:5" s="1732" customFormat="1">
      <c r="A1617" s="1770" t="s">
        <v>1298</v>
      </c>
      <c r="B1617" s="1770" t="s">
        <v>604</v>
      </c>
      <c r="C1617" s="1770" t="s">
        <v>42</v>
      </c>
      <c r="D1617" s="1770" t="s">
        <v>42</v>
      </c>
      <c r="E1617" s="1770" t="s">
        <v>569</v>
      </c>
    </row>
    <row r="1618" spans="1:5" s="1732" customFormat="1">
      <c r="A1618" s="1770" t="s">
        <v>1298</v>
      </c>
      <c r="B1618" s="1770" t="s">
        <v>605</v>
      </c>
      <c r="C1618" s="1770" t="s">
        <v>42</v>
      </c>
      <c r="D1618" s="1770" t="s">
        <v>42</v>
      </c>
      <c r="E1618" s="1770" t="s">
        <v>569</v>
      </c>
    </row>
    <row r="1619" spans="1:5" s="1732" customFormat="1">
      <c r="A1619" s="1770" t="s">
        <v>1298</v>
      </c>
      <c r="B1619" s="1770" t="s">
        <v>606</v>
      </c>
      <c r="C1619" s="1770" t="s">
        <v>42</v>
      </c>
      <c r="D1619" s="1770" t="s">
        <v>42</v>
      </c>
      <c r="E1619" s="1770" t="s">
        <v>569</v>
      </c>
    </row>
    <row r="1620" spans="1:5" s="1732" customFormat="1">
      <c r="A1620" s="1770" t="s">
        <v>1298</v>
      </c>
      <c r="B1620" s="1770" t="s">
        <v>607</v>
      </c>
      <c r="C1620" s="1770" t="s">
        <v>43</v>
      </c>
      <c r="D1620" s="1770" t="s">
        <v>42</v>
      </c>
      <c r="E1620" s="1770" t="s">
        <v>569</v>
      </c>
    </row>
    <row r="1621" spans="1:5" s="1732" customFormat="1">
      <c r="A1621" s="1770" t="s">
        <v>1298</v>
      </c>
      <c r="B1621" s="1770" t="s">
        <v>608</v>
      </c>
      <c r="C1621" s="1770" t="s">
        <v>43</v>
      </c>
      <c r="D1621" s="1770" t="s">
        <v>42</v>
      </c>
      <c r="E1621" s="1770" t="s">
        <v>569</v>
      </c>
    </row>
    <row r="1622" spans="1:5" s="1732" customFormat="1">
      <c r="A1622" s="1770" t="s">
        <v>1298</v>
      </c>
      <c r="B1622" s="1770" t="s">
        <v>1207</v>
      </c>
      <c r="C1622" s="1770" t="s">
        <v>395</v>
      </c>
      <c r="D1622" s="1770" t="s">
        <v>42</v>
      </c>
      <c r="E1622" s="1770" t="s">
        <v>569</v>
      </c>
    </row>
    <row r="1623" spans="1:5" s="1732" customFormat="1">
      <c r="A1623" s="1770" t="s">
        <v>1298</v>
      </c>
      <c r="B1623" s="1770" t="s">
        <v>1208</v>
      </c>
      <c r="C1623" s="1770" t="s">
        <v>395</v>
      </c>
      <c r="D1623" s="1770" t="s">
        <v>42</v>
      </c>
      <c r="E1623" s="1770" t="s">
        <v>569</v>
      </c>
    </row>
    <row r="1624" spans="1:5" s="1732" customFormat="1">
      <c r="A1624" s="1770" t="s">
        <v>1298</v>
      </c>
      <c r="B1624" s="1770" t="s">
        <v>1209</v>
      </c>
      <c r="C1624" s="1770" t="s">
        <v>395</v>
      </c>
      <c r="D1624" s="1770" t="s">
        <v>42</v>
      </c>
      <c r="E1624" s="1770" t="s">
        <v>569</v>
      </c>
    </row>
    <row r="1625" spans="1:5" s="1732" customFormat="1">
      <c r="A1625" s="1770" t="s">
        <v>1298</v>
      </c>
      <c r="B1625" s="1770" t="s">
        <v>1210</v>
      </c>
      <c r="C1625" s="1770" t="s">
        <v>395</v>
      </c>
      <c r="D1625" s="1770" t="s">
        <v>42</v>
      </c>
      <c r="E1625" s="1770" t="s">
        <v>569</v>
      </c>
    </row>
    <row r="1626" spans="1:5" s="1732" customFormat="1">
      <c r="A1626" s="1770" t="s">
        <v>1298</v>
      </c>
      <c r="B1626" s="1770" t="s">
        <v>1211</v>
      </c>
      <c r="C1626" s="1770" t="s">
        <v>395</v>
      </c>
      <c r="D1626" s="1770" t="s">
        <v>42</v>
      </c>
      <c r="E1626" s="1770" t="s">
        <v>569</v>
      </c>
    </row>
    <row r="1627" spans="1:5" s="1732" customFormat="1">
      <c r="A1627" s="1770" t="s">
        <v>1298</v>
      </c>
      <c r="B1627" s="1770" t="s">
        <v>1212</v>
      </c>
      <c r="C1627" s="1770" t="s">
        <v>395</v>
      </c>
      <c r="D1627" s="1770" t="s">
        <v>42</v>
      </c>
      <c r="E1627" s="1770" t="s">
        <v>569</v>
      </c>
    </row>
    <row r="1628" spans="1:5" s="1732" customFormat="1">
      <c r="A1628" s="1770" t="s">
        <v>1298</v>
      </c>
      <c r="B1628" s="1770" t="s">
        <v>1213</v>
      </c>
      <c r="C1628" s="1770" t="s">
        <v>395</v>
      </c>
      <c r="D1628" s="1770" t="s">
        <v>42</v>
      </c>
      <c r="E1628" s="1770" t="s">
        <v>569</v>
      </c>
    </row>
    <row r="1629" spans="1:5" s="1732" customFormat="1">
      <c r="A1629" s="1770" t="s">
        <v>1298</v>
      </c>
      <c r="B1629" s="1770" t="s">
        <v>1214</v>
      </c>
      <c r="C1629" s="1770" t="s">
        <v>402</v>
      </c>
      <c r="D1629" s="1770" t="s">
        <v>42</v>
      </c>
      <c r="E1629" s="1770" t="s">
        <v>569</v>
      </c>
    </row>
    <row r="1630" spans="1:5" s="1732" customFormat="1">
      <c r="A1630" s="1770" t="s">
        <v>1298</v>
      </c>
      <c r="B1630" s="1770" t="s">
        <v>1215</v>
      </c>
      <c r="C1630" s="1770" t="s">
        <v>402</v>
      </c>
      <c r="D1630" s="1770" t="s">
        <v>42</v>
      </c>
      <c r="E1630" s="1770" t="s">
        <v>569</v>
      </c>
    </row>
    <row r="1631" spans="1:5" s="1732" customFormat="1">
      <c r="A1631" s="1770" t="s">
        <v>1298</v>
      </c>
      <c r="B1631" s="1770" t="s">
        <v>1216</v>
      </c>
      <c r="C1631" s="1770" t="s">
        <v>402</v>
      </c>
      <c r="D1631" s="1770" t="s">
        <v>42</v>
      </c>
      <c r="E1631" s="1770" t="s">
        <v>569</v>
      </c>
    </row>
    <row r="1632" spans="1:5" s="1732" customFormat="1">
      <c r="A1632" s="1770"/>
      <c r="B1632" s="1770"/>
      <c r="C1632" s="1770"/>
      <c r="D1632" s="1770"/>
      <c r="E1632" s="1770"/>
    </row>
    <row r="1633" spans="1:5" s="1732" customFormat="1">
      <c r="A1633" s="1770"/>
      <c r="B1633" s="1770"/>
      <c r="C1633" s="1770"/>
      <c r="D1633" s="1770"/>
      <c r="E1633" s="1770"/>
    </row>
    <row r="1634" spans="1:5" s="1732" customFormat="1">
      <c r="A1634" s="1770"/>
      <c r="B1634" s="1770"/>
      <c r="C1634" s="1770"/>
      <c r="D1634" s="1770"/>
      <c r="E1634" s="1770"/>
    </row>
    <row r="1635" spans="1:5" s="1732" customFormat="1">
      <c r="A1635" s="1770"/>
      <c r="B1635" s="1770"/>
      <c r="C1635" s="1770"/>
      <c r="D1635" s="1770"/>
      <c r="E1635" s="1770"/>
    </row>
    <row r="1636" spans="1:5" s="1732" customFormat="1">
      <c r="A1636" s="1770"/>
      <c r="B1636" s="1770"/>
      <c r="C1636" s="1770"/>
      <c r="D1636" s="1770"/>
      <c r="E1636" s="1770"/>
    </row>
    <row r="1637" spans="1:5" s="1732" customFormat="1">
      <c r="A1637" s="1770"/>
      <c r="B1637" s="1770"/>
      <c r="C1637" s="1770"/>
      <c r="D1637" s="1770"/>
      <c r="E1637" s="1770"/>
    </row>
    <row r="1638" spans="1:5" s="1732" customFormat="1">
      <c r="A1638" s="1770"/>
      <c r="B1638" s="1770"/>
      <c r="C1638" s="1770"/>
      <c r="D1638" s="1770"/>
      <c r="E1638" s="1770"/>
    </row>
    <row r="1639" spans="1:5" s="1732" customFormat="1">
      <c r="A1639" s="1770"/>
      <c r="B1639" s="1770"/>
      <c r="C1639" s="1770"/>
      <c r="D1639" s="1770"/>
      <c r="E1639" s="1770"/>
    </row>
    <row r="1640" spans="1:5" s="1732" customFormat="1">
      <c r="A1640" s="1770"/>
      <c r="B1640" s="1770"/>
      <c r="C1640" s="1770"/>
      <c r="D1640" s="1770"/>
      <c r="E1640" s="1770"/>
    </row>
    <row r="1641" spans="1:5" s="1732" customFormat="1">
      <c r="A1641" s="1770"/>
      <c r="B1641" s="1770"/>
      <c r="C1641" s="1770"/>
      <c r="D1641" s="1770"/>
      <c r="E1641" s="1770"/>
    </row>
    <row r="1642" spans="1:5" s="1732" customFormat="1">
      <c r="A1642" s="1770"/>
      <c r="B1642" s="1770"/>
      <c r="C1642" s="1770"/>
      <c r="D1642" s="1770"/>
      <c r="E1642" s="1770"/>
    </row>
    <row r="1643" spans="1:5" s="1732" customFormat="1">
      <c r="A1643" s="1770"/>
      <c r="B1643" s="1770"/>
      <c r="C1643" s="1770"/>
      <c r="D1643" s="1770"/>
      <c r="E1643" s="1770"/>
    </row>
    <row r="1644" spans="1:5" s="1732" customFormat="1">
      <c r="A1644" s="1770"/>
      <c r="B1644" s="1770"/>
      <c r="C1644" s="1770"/>
      <c r="D1644" s="1770"/>
      <c r="E1644" s="1770"/>
    </row>
    <row r="1645" spans="1:5" s="1732" customFormat="1">
      <c r="A1645" s="1770"/>
      <c r="B1645" s="1770"/>
      <c r="C1645" s="1770"/>
      <c r="D1645" s="1770"/>
      <c r="E1645" s="1770"/>
    </row>
    <row r="1646" spans="1:5" s="1732" customFormat="1">
      <c r="A1646" s="1770"/>
      <c r="B1646" s="1770"/>
      <c r="C1646" s="1770"/>
      <c r="D1646" s="1770"/>
      <c r="E1646" s="1770"/>
    </row>
    <row r="1647" spans="1:5" s="1732" customFormat="1">
      <c r="A1647" s="1770"/>
      <c r="B1647" s="1770"/>
      <c r="C1647" s="1770"/>
      <c r="D1647" s="1770"/>
      <c r="E1647" s="1770"/>
    </row>
    <row r="1648" spans="1:5" s="1732" customFormat="1">
      <c r="A1648" s="1770"/>
      <c r="B1648" s="1770"/>
      <c r="C1648" s="1770"/>
      <c r="D1648" s="1770"/>
      <c r="E1648" s="1770"/>
    </row>
    <row r="1649" spans="1:5" s="1732" customFormat="1">
      <c r="A1649" s="1770"/>
      <c r="B1649" s="1770"/>
      <c r="C1649" s="1770"/>
      <c r="D1649" s="1770"/>
      <c r="E1649" s="1770"/>
    </row>
    <row r="1650" spans="1:5" s="1732" customFormat="1">
      <c r="A1650" s="1770"/>
      <c r="B1650" s="1770"/>
      <c r="C1650" s="1770"/>
      <c r="D1650" s="1770"/>
      <c r="E1650" s="1770"/>
    </row>
    <row r="1651" spans="1:5" s="1732" customFormat="1"/>
    <row r="1652" spans="1:5" s="1732" customFormat="1"/>
    <row r="1653" spans="1:5" s="1732" customFormat="1"/>
    <row r="1654" spans="1:5" s="1732" customFormat="1"/>
    <row r="1655" spans="1:5" s="1732" customFormat="1"/>
    <row r="1656" spans="1:5" s="1732" customFormat="1"/>
    <row r="1657" spans="1:5" s="1732" customFormat="1"/>
    <row r="1658" spans="1:5" s="1732" customFormat="1"/>
    <row r="1659" spans="1:5" s="1732" customFormat="1"/>
    <row r="1660" spans="1:5" s="1732" customFormat="1"/>
    <row r="1661" spans="1:5" s="1732" customFormat="1"/>
    <row r="1662" spans="1:5" s="1732" customFormat="1"/>
    <row r="1663" spans="1:5" s="1732" customFormat="1"/>
    <row r="1664" spans="1:5" s="1732" customFormat="1"/>
    <row r="1665" s="1732" customFormat="1"/>
    <row r="1666" s="1732" customFormat="1"/>
    <row r="1667" s="1732" customFormat="1"/>
    <row r="1668" s="1732" customFormat="1"/>
    <row r="1669" s="1732" customFormat="1"/>
    <row r="1670" s="1732" customFormat="1"/>
    <row r="1671" s="1732" customFormat="1"/>
    <row r="1672" s="1732" customFormat="1"/>
    <row r="1673" s="1732" customFormat="1"/>
    <row r="1674" s="1732" customFormat="1"/>
    <row r="1675" s="1732" customFormat="1"/>
    <row r="1676" s="1732" customFormat="1"/>
    <row r="1677" s="1732" customFormat="1"/>
    <row r="1678" s="1732" customFormat="1"/>
    <row r="1679" s="1732" customFormat="1"/>
    <row r="1680" s="1732" customFormat="1"/>
    <row r="1681" s="1732" customFormat="1"/>
    <row r="1682" s="1732" customFormat="1"/>
    <row r="1683" s="1732" customFormat="1"/>
    <row r="1684" s="1732" customFormat="1"/>
    <row r="1685" s="1732" customFormat="1"/>
    <row r="1686" s="1732" customFormat="1"/>
    <row r="1687" s="1732" customFormat="1"/>
    <row r="1688" s="1732" customFormat="1"/>
    <row r="1689" s="1732" customFormat="1"/>
    <row r="1690" s="1732" customFormat="1"/>
    <row r="1691" s="1732" customFormat="1"/>
    <row r="1692" s="1732" customFormat="1"/>
    <row r="1693" s="1732" customFormat="1"/>
    <row r="1694" s="1732" customFormat="1"/>
    <row r="1695" s="1732" customFormat="1"/>
    <row r="1696" s="1732" customFormat="1"/>
    <row r="1697" s="1732" customFormat="1"/>
    <row r="1698" s="1732" customFormat="1"/>
    <row r="1699" s="1732" customFormat="1"/>
    <row r="1700" s="1732" customFormat="1"/>
    <row r="1701" s="1732" customFormat="1"/>
    <row r="1702" s="1732" customFormat="1"/>
    <row r="1703" s="1732" customFormat="1"/>
    <row r="1704" s="1732" customFormat="1"/>
    <row r="1705" s="1732" customFormat="1"/>
    <row r="1706" s="1732" customFormat="1"/>
    <row r="1707" s="1732" customFormat="1"/>
    <row r="1708" s="1732" customFormat="1"/>
    <row r="1709" s="1732" customFormat="1"/>
    <row r="1710" s="1732" customFormat="1"/>
    <row r="1711" s="1732" customFormat="1"/>
    <row r="1712" s="1732" customFormat="1"/>
    <row r="1713" s="1732" customFormat="1"/>
    <row r="1714" s="1732" customFormat="1"/>
    <row r="1715" s="1732" customFormat="1"/>
    <row r="1716" s="1732" customFormat="1"/>
    <row r="1717" s="1732" customFormat="1"/>
    <row r="1718" s="1732" customFormat="1"/>
    <row r="1719" s="1732" customFormat="1"/>
    <row r="1720" s="1732" customFormat="1"/>
    <row r="1721" s="1732" customFormat="1"/>
    <row r="1722" s="1732" customFormat="1"/>
    <row r="1723" s="1732" customFormat="1"/>
    <row r="1724" s="1732" customFormat="1"/>
    <row r="1725" s="1732" customFormat="1"/>
    <row r="1726" s="1732" customFormat="1"/>
    <row r="1727" s="1732" customFormat="1"/>
    <row r="1728" s="1732" customFormat="1"/>
    <row r="1729" s="1732" customFormat="1"/>
    <row r="1730" s="1732" customFormat="1"/>
    <row r="1731" s="1732" customFormat="1"/>
    <row r="1732" s="1732" customFormat="1"/>
    <row r="1733" s="1732" customFormat="1"/>
    <row r="1734" s="1732" customFormat="1"/>
    <row r="1735" s="1732" customFormat="1"/>
    <row r="1736" s="1732" customFormat="1"/>
    <row r="1737" s="1732" customFormat="1"/>
    <row r="1738" s="1732" customFormat="1"/>
    <row r="1739" s="1732" customFormat="1"/>
    <row r="1740" s="1732" customFormat="1"/>
    <row r="1741" s="1732" customFormat="1"/>
    <row r="1742" s="1732" customFormat="1"/>
    <row r="1743" s="1732" customFormat="1"/>
    <row r="1744" s="1732" customFormat="1"/>
    <row r="1745" s="1732" customFormat="1"/>
    <row r="1746" s="1732" customFormat="1"/>
    <row r="1747" s="1732" customFormat="1"/>
    <row r="1748" s="1732" customFormat="1"/>
    <row r="1749" s="1732" customFormat="1"/>
    <row r="1750" s="1732" customFormat="1"/>
    <row r="1751" s="1732" customFormat="1"/>
    <row r="1752" s="1732" customFormat="1"/>
    <row r="1753" s="1732" customFormat="1"/>
    <row r="1754" s="1732" customFormat="1"/>
    <row r="1755" s="1732" customFormat="1"/>
    <row r="1756" s="1732" customFormat="1"/>
    <row r="1757" s="1732" customFormat="1"/>
    <row r="1758" s="1732" customFormat="1"/>
    <row r="1759" s="1732" customFormat="1"/>
    <row r="1760" s="1732" customFormat="1"/>
    <row r="1761" s="1732" customFormat="1"/>
    <row r="1762" s="1732" customFormat="1"/>
    <row r="1763" s="1732" customFormat="1"/>
    <row r="1764" s="1732" customFormat="1"/>
    <row r="1765" s="1732" customFormat="1"/>
    <row r="1766" s="1732" customFormat="1"/>
    <row r="1767" s="1732" customFormat="1"/>
    <row r="1768" s="1732" customFormat="1"/>
    <row r="1769" s="1732" customFormat="1"/>
    <row r="1770" s="1732" customFormat="1"/>
    <row r="1771" s="1732" customFormat="1"/>
    <row r="1772" s="1732" customFormat="1"/>
    <row r="1773" s="1732" customFormat="1"/>
    <row r="1774" s="1732" customFormat="1"/>
    <row r="1775" s="1732" customFormat="1"/>
    <row r="1776" s="1732" customFormat="1"/>
    <row r="1777" s="1732" customFormat="1"/>
    <row r="1778" s="1732" customFormat="1"/>
    <row r="1779" s="1732" customFormat="1"/>
    <row r="1780" s="1732" customFormat="1"/>
    <row r="1781" s="1732" customFormat="1"/>
    <row r="1782" s="1732" customFormat="1"/>
    <row r="1783" s="1732" customFormat="1"/>
    <row r="1784" s="1732" customFormat="1"/>
    <row r="1785" s="1732" customFormat="1"/>
    <row r="1786" s="1732" customFormat="1"/>
    <row r="1787" s="1732" customFormat="1"/>
    <row r="1788" s="1732" customFormat="1"/>
    <row r="1789" s="1732" customFormat="1"/>
    <row r="1790" s="1732" customFormat="1"/>
    <row r="1791" s="1732" customFormat="1"/>
    <row r="1792" s="1732" customFormat="1"/>
    <row r="1793" s="1732" customFormat="1"/>
    <row r="1794" s="1732" customFormat="1"/>
    <row r="1795" s="1732" customFormat="1"/>
    <row r="1796" s="1732" customFormat="1"/>
    <row r="1797" s="1732" customFormat="1"/>
    <row r="1798" s="1732" customFormat="1"/>
    <row r="1799" s="1732" customFormat="1"/>
    <row r="1800" s="1732" customFormat="1"/>
    <row r="1801" s="1732" customFormat="1"/>
    <row r="1802" s="1732" customFormat="1"/>
    <row r="1803" s="1732" customFormat="1"/>
    <row r="1804" s="1732" customFormat="1"/>
    <row r="1805" s="1732" customFormat="1"/>
    <row r="1806" s="1732" customFormat="1"/>
    <row r="1807" s="1732" customFormat="1"/>
    <row r="1808" s="1732" customFormat="1"/>
    <row r="1809" s="1732" customFormat="1"/>
    <row r="1810" s="1732" customFormat="1"/>
    <row r="1811" s="1732" customFormat="1"/>
    <row r="1812" s="1732" customFormat="1"/>
    <row r="1813" s="1732" customFormat="1"/>
    <row r="1814" s="1732" customFormat="1"/>
    <row r="1815" s="1732" customFormat="1"/>
    <row r="1816" s="1732" customFormat="1"/>
    <row r="1817" s="1732" customFormat="1"/>
    <row r="1818" s="1732" customFormat="1"/>
    <row r="1819" s="1732" customFormat="1"/>
    <row r="1820" s="1732" customFormat="1"/>
    <row r="1821" s="1732" customFormat="1"/>
    <row r="1822" s="1732" customFormat="1"/>
    <row r="1823" s="1732" customFormat="1"/>
    <row r="1824" s="1732" customFormat="1"/>
    <row r="1825" s="1732" customFormat="1"/>
    <row r="1826" s="1732" customFormat="1"/>
    <row r="1827" s="1732" customFormat="1"/>
    <row r="1828" s="1732" customFormat="1"/>
    <row r="1829" s="1732" customFormat="1"/>
    <row r="1830" s="1732" customFormat="1"/>
    <row r="1831" s="1732" customFormat="1"/>
    <row r="1832" s="1732" customFormat="1"/>
    <row r="1833" s="1732" customFormat="1"/>
    <row r="1834" s="1732" customFormat="1"/>
    <row r="1835" s="1732" customFormat="1"/>
    <row r="1836" s="1732" customFormat="1"/>
    <row r="1837" s="1732" customFormat="1"/>
    <row r="1838" s="1732" customFormat="1"/>
    <row r="1839" s="1732" customFormat="1"/>
    <row r="1840" s="1732" customFormat="1"/>
    <row r="1841" s="1732" customFormat="1"/>
    <row r="1842" s="1732" customFormat="1"/>
    <row r="1843" s="1732" customFormat="1"/>
    <row r="1844" s="1732" customFormat="1"/>
    <row r="1845" s="1732" customFormat="1"/>
    <row r="1846" s="1732" customFormat="1"/>
    <row r="1847" s="1732" customFormat="1"/>
    <row r="1848" s="1732" customFormat="1"/>
    <row r="1849" s="1732" customFormat="1"/>
    <row r="1850" s="1732" customFormat="1"/>
    <row r="1851" s="1732" customFormat="1"/>
    <row r="1852" s="1732" customFormat="1"/>
    <row r="1853" s="1732" customFormat="1"/>
    <row r="1854" s="1732" customFormat="1"/>
    <row r="1855" s="1732" customFormat="1"/>
    <row r="1856" s="1732" customFormat="1"/>
    <row r="1857" s="1732" customFormat="1"/>
    <row r="1858" s="1732" customFormat="1"/>
    <row r="1859" s="1732" customFormat="1"/>
    <row r="1860" s="1732" customFormat="1"/>
    <row r="1861" s="1732" customFormat="1"/>
    <row r="1862" s="1732" customFormat="1"/>
    <row r="1863" s="1732" customFormat="1"/>
    <row r="1864" s="1732" customFormat="1"/>
    <row r="1865" s="1732" customFormat="1"/>
    <row r="1866" s="1732" customFormat="1"/>
    <row r="1867" s="1732" customFormat="1"/>
    <row r="1868" s="1732" customFormat="1"/>
    <row r="1869" s="1732" customFormat="1"/>
    <row r="1870" s="1732" customFormat="1"/>
    <row r="1871" s="1732" customFormat="1"/>
    <row r="1872" s="1732" customFormat="1"/>
    <row r="1873" s="1732" customFormat="1"/>
    <row r="1874" s="1732" customFormat="1"/>
    <row r="1875" s="1732" customFormat="1"/>
    <row r="1876" s="1732" customFormat="1"/>
    <row r="1877" s="1732" customFormat="1"/>
    <row r="1878" s="1732" customFormat="1"/>
    <row r="1879" s="1732" customFormat="1"/>
    <row r="1880" s="1732" customFormat="1"/>
    <row r="1881" s="1732" customFormat="1"/>
    <row r="1882" s="1732" customFormat="1"/>
    <row r="1883" s="1732" customFormat="1"/>
    <row r="1884" s="1732" customFormat="1"/>
    <row r="1885" s="1732" customFormat="1"/>
    <row r="1886" s="1732" customFormat="1"/>
    <row r="1887" s="1732" customFormat="1"/>
    <row r="1888" s="1732"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25" zoomScaleNormal="125" workbookViewId="0">
      <pane ySplit="5" topLeftCell="A6" activePane="bottomLeft" state="frozen"/>
      <selection pane="bottomLeft" activeCell="K15" sqref="K15"/>
    </sheetView>
  </sheetViews>
  <sheetFormatPr baseColWidth="10" defaultRowHeight="16"/>
  <cols>
    <col min="1" max="1" width="5.7109375" style="383" customWidth="1"/>
    <col min="2" max="2" width="1.7109375" style="383" customWidth="1"/>
    <col min="3" max="3" width="11.7109375" style="383" customWidth="1"/>
    <col min="4" max="4" width="12.5703125" style="383" customWidth="1"/>
    <col min="5" max="5" width="12.7109375" style="383" customWidth="1"/>
    <col min="6" max="6" width="11.7109375" style="383" customWidth="1"/>
    <col min="7" max="7" width="2.7109375" style="383" customWidth="1"/>
    <col min="8" max="8" width="11.7109375" style="383" customWidth="1"/>
    <col min="9" max="9" width="12.42578125" style="383" customWidth="1"/>
    <col min="10" max="10" width="13.140625" style="383" customWidth="1"/>
    <col min="11" max="11" width="11.7109375" style="383" customWidth="1"/>
    <col min="12" max="12" width="2.7109375" style="383" customWidth="1"/>
    <col min="13" max="13" width="11.7109375" style="383" customWidth="1"/>
    <col min="14" max="14" width="12.42578125" style="383" customWidth="1"/>
    <col min="15" max="15" width="12.7109375" style="383" customWidth="1"/>
    <col min="16" max="16" width="11.7109375" style="383" customWidth="1"/>
    <col min="17" max="17" width="2.7109375" style="383" customWidth="1"/>
    <col min="18" max="19" width="11.7109375" style="383" customWidth="1"/>
    <col min="20" max="20" width="12.7109375" style="383" customWidth="1"/>
    <col min="21" max="21" width="12" style="383" customWidth="1"/>
    <col min="22" max="22" width="12.140625" style="383" customWidth="1"/>
    <col min="23" max="26" width="7.7109375" style="383" customWidth="1"/>
    <col min="27" max="16384" width="10.7109375" style="383"/>
  </cols>
  <sheetData>
    <row r="1" spans="1:26" ht="8" customHeight="1">
      <c r="A1" s="259"/>
      <c r="B1" s="259"/>
      <c r="C1" s="259"/>
      <c r="D1" s="259"/>
      <c r="E1" s="259"/>
      <c r="F1" s="259"/>
      <c r="G1" s="259"/>
      <c r="H1" s="259"/>
      <c r="I1" s="259"/>
      <c r="J1" s="259"/>
      <c r="K1" s="259"/>
      <c r="L1" s="259"/>
      <c r="M1" s="259"/>
      <c r="N1" s="259"/>
      <c r="O1" s="259"/>
      <c r="P1" s="259"/>
      <c r="Q1" s="259"/>
      <c r="R1" s="259"/>
      <c r="S1" s="259"/>
      <c r="T1" s="259"/>
      <c r="U1" s="259"/>
      <c r="V1" s="259"/>
    </row>
    <row r="2" spans="1:26" ht="40" customHeight="1">
      <c r="C2" s="394" t="s">
        <v>1311</v>
      </c>
      <c r="D2" s="384"/>
      <c r="E2" s="384"/>
      <c r="H2" s="385"/>
      <c r="I2" s="385"/>
      <c r="J2" s="385"/>
      <c r="K2" s="385"/>
      <c r="L2" s="385"/>
      <c r="M2" s="385"/>
      <c r="N2" s="2404" t="str">
        <f>IF(L8&lt;&gt;0,"Update required","")</f>
        <v/>
      </c>
      <c r="O2" s="2404"/>
      <c r="P2" s="1646"/>
      <c r="Q2" s="1646"/>
      <c r="R2" s="1646"/>
      <c r="S2" s="1647"/>
      <c r="T2" s="1647"/>
      <c r="U2" s="1647"/>
    </row>
    <row r="3" spans="1:26" s="271" customFormat="1" ht="40" customHeight="1">
      <c r="A3" s="782" t="s">
        <v>1310</v>
      </c>
      <c r="C3" s="2402" t="s">
        <v>2427</v>
      </c>
      <c r="D3" s="2403"/>
      <c r="E3" s="2403"/>
      <c r="F3" s="2403"/>
      <c r="G3" s="2403"/>
      <c r="H3" s="2403"/>
      <c r="I3" s="2403"/>
      <c r="J3" s="2403"/>
      <c r="K3" s="2403"/>
      <c r="L3" s="2403"/>
      <c r="M3" s="2403"/>
      <c r="N3" s="1646"/>
      <c r="O3" s="1646"/>
      <c r="P3" s="1646"/>
      <c r="Q3" s="1646"/>
      <c r="R3" s="1646"/>
      <c r="S3" s="1628"/>
      <c r="T3" s="1628"/>
      <c r="U3" s="1628"/>
    </row>
    <row r="4" spans="1:26" s="271" customFormat="1" ht="15" customHeight="1">
      <c r="D4" s="386"/>
      <c r="E4" s="386"/>
      <c r="G4" s="353"/>
      <c r="H4" s="387"/>
      <c r="I4" s="387"/>
      <c r="J4" s="387"/>
      <c r="K4" s="1649"/>
      <c r="L4" s="1649"/>
      <c r="M4" s="1650">
        <f>SUM(D15:F26)</f>
        <v>1002146999</v>
      </c>
      <c r="N4" s="1650">
        <f>SUM(I15:K26)</f>
        <v>1000129499</v>
      </c>
      <c r="O4" s="1650">
        <f>SUM(N15:P26)</f>
        <v>0</v>
      </c>
      <c r="P4" s="1650">
        <f>SUM(S15:U26)</f>
        <v>0</v>
      </c>
      <c r="Q4" s="1648"/>
      <c r="R4" s="1648"/>
      <c r="S4" s="1628"/>
      <c r="T4" s="1628"/>
      <c r="U4" s="1628"/>
    </row>
    <row r="5" spans="1:26" s="411" customFormat="1" ht="16" customHeight="1">
      <c r="A5" s="1856"/>
      <c r="D5" s="1857"/>
      <c r="E5" s="1857"/>
      <c r="G5" s="1858"/>
      <c r="H5" s="1649"/>
      <c r="I5" s="1649"/>
      <c r="J5" s="1649"/>
      <c r="K5" s="1650">
        <f>SUM(M4:P5)</f>
        <v>2002276499.7399998</v>
      </c>
      <c r="L5" s="1649"/>
      <c r="M5" s="1650">
        <f>SUM(C15:C26)</f>
        <v>1.62</v>
      </c>
      <c r="N5" s="1650">
        <f>SUM(H15:H26)</f>
        <v>0.12</v>
      </c>
      <c r="O5" s="1650">
        <f>SUM(M15:M26)</f>
        <v>0</v>
      </c>
      <c r="P5" s="1650">
        <f>SUM(R15:R26)</f>
        <v>0</v>
      </c>
      <c r="Q5" s="1649"/>
      <c r="R5" s="1649"/>
    </row>
    <row r="6" spans="1:26" s="271" customFormat="1" ht="5" customHeight="1">
      <c r="D6" s="386"/>
      <c r="E6" s="386"/>
      <c r="G6" s="353"/>
      <c r="H6" s="387"/>
      <c r="I6" s="387"/>
      <c r="J6" s="387"/>
      <c r="K6" s="387"/>
      <c r="L6" s="387"/>
      <c r="M6" s="387"/>
      <c r="N6" s="387"/>
      <c r="O6" s="387"/>
      <c r="P6" s="387"/>
      <c r="Q6" s="387"/>
      <c r="R6" s="387"/>
    </row>
    <row r="7" spans="1:26" s="271" customFormat="1" ht="17" customHeight="1">
      <c r="D7" s="386"/>
      <c r="E7" s="2417" t="s">
        <v>2176</v>
      </c>
      <c r="F7" s="2177"/>
      <c r="G7" s="353"/>
      <c r="H7" s="387"/>
      <c r="I7" s="387"/>
      <c r="J7" s="387"/>
      <c r="K7" s="387"/>
      <c r="L7" s="387"/>
      <c r="M7" s="387"/>
      <c r="N7" s="387"/>
      <c r="O7" s="387"/>
      <c r="P7" s="387"/>
      <c r="Q7" s="387"/>
      <c r="R7" s="387"/>
    </row>
    <row r="8" spans="1:26" ht="20" customHeight="1">
      <c r="A8" s="271"/>
      <c r="B8" s="271"/>
      <c r="C8" s="2409" t="s">
        <v>1320</v>
      </c>
      <c r="D8" s="2410"/>
      <c r="E8" s="410" t="s">
        <v>75</v>
      </c>
      <c r="F8" s="410" t="s">
        <v>163</v>
      </c>
      <c r="G8" s="411"/>
      <c r="H8" s="412"/>
      <c r="I8" s="412"/>
      <c r="J8" s="413">
        <f>IF(E8&lt;&gt;C10,1,0)</f>
        <v>0</v>
      </c>
      <c r="K8" s="413">
        <f>IF(F8&lt;&gt;D10,1,0)</f>
        <v>0</v>
      </c>
      <c r="L8" s="414">
        <f>SUM(J8:K8)</f>
        <v>0</v>
      </c>
    </row>
    <row r="9" spans="1:26" s="271" customFormat="1" ht="20" customHeight="1">
      <c r="C9" s="278" t="s">
        <v>79</v>
      </c>
      <c r="D9" s="278" t="s">
        <v>387</v>
      </c>
      <c r="E9" s="413" t="s">
        <v>388</v>
      </c>
      <c r="F9" s="413" t="s">
        <v>389</v>
      </c>
      <c r="G9" s="411"/>
      <c r="H9" s="411"/>
      <c r="I9" s="411"/>
      <c r="J9" s="411"/>
      <c r="K9" s="278" t="s">
        <v>399</v>
      </c>
      <c r="L9" s="415"/>
      <c r="M9" s="2416" t="s">
        <v>496</v>
      </c>
      <c r="N9" s="2416"/>
      <c r="O9" s="2416"/>
      <c r="P9" s="2416"/>
      <c r="Q9" s="2416"/>
      <c r="R9" s="2416"/>
      <c r="S9" s="2416"/>
    </row>
    <row r="10" spans="1:26" s="271" customFormat="1" ht="20" customHeight="1">
      <c r="C10" s="1072" t="str">
        <f>Individuals!D27</f>
        <v>Single</v>
      </c>
      <c r="D10" s="1073" t="str">
        <f>Individuals!F27</f>
        <v>Louisiana</v>
      </c>
      <c r="E10" s="410" t="str">
        <f>VLOOKUP(D10,Config!B5:C55,2)</f>
        <v>LA</v>
      </c>
      <c r="F10" s="410">
        <f>(MATCH(E10,TaxTables!C2:C700,0))+1</f>
        <v>242</v>
      </c>
      <c r="G10" s="411"/>
      <c r="H10" s="411"/>
      <c r="I10" s="411"/>
      <c r="J10" s="411"/>
      <c r="K10" s="1602">
        <v>0</v>
      </c>
      <c r="L10" s="415" t="s">
        <v>398</v>
      </c>
      <c r="M10" s="2416"/>
      <c r="N10" s="2416"/>
      <c r="O10" s="2416"/>
      <c r="P10" s="2416"/>
      <c r="Q10" s="2416"/>
      <c r="R10" s="2416"/>
      <c r="S10" s="2416"/>
    </row>
    <row r="11" spans="1:26" s="271" customFormat="1">
      <c r="C11" s="374"/>
      <c r="D11" s="374"/>
      <c r="E11" s="410">
        <f>D12</f>
        <v>0</v>
      </c>
      <c r="F11" s="410"/>
      <c r="G11" s="411"/>
      <c r="H11" s="411"/>
      <c r="I11" s="411"/>
      <c r="J11" s="411">
        <f>I12</f>
        <v>0</v>
      </c>
      <c r="L11" s="411"/>
    </row>
    <row r="12" spans="1:26" s="271" customFormat="1" ht="25" customHeight="1">
      <c r="C12" s="2385" t="s">
        <v>88</v>
      </c>
      <c r="D12" s="2385"/>
      <c r="E12" s="2385"/>
      <c r="F12" s="2385"/>
      <c r="H12" s="2385" t="s">
        <v>86</v>
      </c>
      <c r="I12" s="2385"/>
      <c r="J12" s="2385"/>
      <c r="K12" s="2385"/>
      <c r="M12" s="2385" t="s">
        <v>396</v>
      </c>
      <c r="N12" s="2385"/>
      <c r="O12" s="2385"/>
      <c r="P12" s="2385"/>
      <c r="R12" s="2385" t="s">
        <v>397</v>
      </c>
      <c r="S12" s="2385"/>
      <c r="T12" s="2385"/>
      <c r="U12" s="2385"/>
    </row>
    <row r="13" spans="1:26" s="271" customFormat="1">
      <c r="C13" s="397" t="s">
        <v>390</v>
      </c>
      <c r="D13" s="398" t="s">
        <v>93</v>
      </c>
      <c r="E13" s="399">
        <f>D14</f>
        <v>0</v>
      </c>
      <c r="F13" s="399" t="s">
        <v>94</v>
      </c>
      <c r="H13" s="397" t="s">
        <v>390</v>
      </c>
      <c r="I13" s="398" t="s">
        <v>93</v>
      </c>
      <c r="J13" s="399">
        <f>I14</f>
        <v>0</v>
      </c>
      <c r="K13" s="399" t="s">
        <v>94</v>
      </c>
      <c r="M13" s="397" t="s">
        <v>390</v>
      </c>
      <c r="N13" s="398" t="s">
        <v>93</v>
      </c>
      <c r="O13" s="399" t="s">
        <v>391</v>
      </c>
      <c r="P13" s="399" t="s">
        <v>94</v>
      </c>
      <c r="R13" s="397" t="s">
        <v>390</v>
      </c>
      <c r="S13" s="398" t="s">
        <v>93</v>
      </c>
      <c r="T13" s="399" t="s">
        <v>391</v>
      </c>
      <c r="U13" s="399" t="s">
        <v>94</v>
      </c>
    </row>
    <row r="14" spans="1:26" s="271" customFormat="1">
      <c r="A14" s="273"/>
      <c r="B14" s="273"/>
      <c r="C14" s="375"/>
      <c r="D14" s="269"/>
      <c r="E14" s="376">
        <f>D15</f>
        <v>0</v>
      </c>
      <c r="F14" s="377"/>
      <c r="H14" s="375"/>
      <c r="I14" s="269"/>
      <c r="J14" s="376">
        <f>I15</f>
        <v>0</v>
      </c>
      <c r="K14" s="377"/>
      <c r="M14" s="375"/>
      <c r="N14" s="269"/>
      <c r="O14" s="376"/>
      <c r="P14" s="377"/>
      <c r="R14" s="375"/>
      <c r="S14" s="269"/>
      <c r="T14" s="376"/>
      <c r="U14" s="377"/>
      <c r="X14" s="349"/>
    </row>
    <row r="15" spans="1:26" s="271" customFormat="1">
      <c r="A15" s="273"/>
      <c r="B15" s="273"/>
      <c r="C15" s="730">
        <v>0</v>
      </c>
      <c r="D15" s="1938">
        <v>0</v>
      </c>
      <c r="E15" s="731">
        <f>D16</f>
        <v>10275</v>
      </c>
      <c r="F15" s="732">
        <v>12950</v>
      </c>
      <c r="G15" s="733"/>
      <c r="H15" s="734">
        <v>0.02</v>
      </c>
      <c r="I15" s="735">
        <v>0</v>
      </c>
      <c r="J15" s="1942">
        <f>I16</f>
        <v>12500</v>
      </c>
      <c r="K15" s="736">
        <v>4500</v>
      </c>
      <c r="L15" s="733"/>
      <c r="M15" s="734">
        <v>0</v>
      </c>
      <c r="N15" s="735">
        <v>0</v>
      </c>
      <c r="O15" s="737">
        <v>0</v>
      </c>
      <c r="P15" s="736">
        <v>0</v>
      </c>
      <c r="Q15" s="733"/>
      <c r="R15" s="734">
        <v>0</v>
      </c>
      <c r="S15" s="735">
        <v>0</v>
      </c>
      <c r="T15" s="738">
        <v>0</v>
      </c>
      <c r="U15" s="736">
        <v>0</v>
      </c>
      <c r="V15" s="379"/>
      <c r="W15" s="379"/>
      <c r="X15" s="262"/>
      <c r="Y15" s="379"/>
      <c r="Z15" s="380"/>
    </row>
    <row r="16" spans="1:26" s="271" customFormat="1">
      <c r="A16" s="273"/>
      <c r="B16" s="273"/>
      <c r="C16" s="739">
        <v>0.12</v>
      </c>
      <c r="D16" s="1939">
        <v>10275</v>
      </c>
      <c r="E16" s="740">
        <f>D17</f>
        <v>41775</v>
      </c>
      <c r="F16" s="741"/>
      <c r="G16" s="733"/>
      <c r="H16" s="742">
        <v>0.04</v>
      </c>
      <c r="I16" s="743">
        <v>12500</v>
      </c>
      <c r="J16" s="1943">
        <f>I17</f>
        <v>50000</v>
      </c>
      <c r="K16" s="744"/>
      <c r="L16" s="733"/>
      <c r="M16" s="742"/>
      <c r="N16" s="743">
        <v>0</v>
      </c>
      <c r="O16" s="745">
        <v>0</v>
      </c>
      <c r="P16" s="746"/>
      <c r="Q16" s="733"/>
      <c r="R16" s="742"/>
      <c r="S16" s="743">
        <v>0</v>
      </c>
      <c r="T16" s="747">
        <v>0</v>
      </c>
      <c r="U16" s="746"/>
      <c r="V16" s="379"/>
      <c r="W16" s="379"/>
      <c r="X16" s="262"/>
      <c r="Y16" s="378"/>
      <c r="Z16" s="378"/>
    </row>
    <row r="17" spans="1:26" s="271" customFormat="1">
      <c r="A17" s="273"/>
      <c r="B17" s="273"/>
      <c r="C17" s="748">
        <v>0.22</v>
      </c>
      <c r="D17" s="1940">
        <v>41775</v>
      </c>
      <c r="E17" s="749">
        <f>D18</f>
        <v>89075</v>
      </c>
      <c r="F17" s="741"/>
      <c r="G17" s="733"/>
      <c r="H17" s="750">
        <v>0.06</v>
      </c>
      <c r="I17" s="751">
        <v>50000</v>
      </c>
      <c r="J17" s="1944">
        <v>999999999</v>
      </c>
      <c r="K17" s="744"/>
      <c r="L17" s="733"/>
      <c r="M17" s="750"/>
      <c r="N17" s="751">
        <v>0</v>
      </c>
      <c r="O17" s="752">
        <v>0</v>
      </c>
      <c r="P17" s="746"/>
      <c r="Q17" s="733"/>
      <c r="R17" s="750"/>
      <c r="S17" s="751">
        <v>0</v>
      </c>
      <c r="T17" s="753">
        <v>0</v>
      </c>
      <c r="U17" s="746"/>
      <c r="V17" s="379"/>
      <c r="W17" s="379"/>
      <c r="X17" s="262"/>
      <c r="Y17" s="378"/>
      <c r="Z17" s="378"/>
    </row>
    <row r="18" spans="1:26" s="271" customFormat="1">
      <c r="A18" s="273"/>
      <c r="B18" s="273"/>
      <c r="C18" s="739">
        <v>0.24</v>
      </c>
      <c r="D18" s="1939">
        <v>89075</v>
      </c>
      <c r="E18" s="740">
        <f>D19</f>
        <v>170050</v>
      </c>
      <c r="F18" s="741"/>
      <c r="G18" s="733"/>
      <c r="H18" s="742"/>
      <c r="I18" s="743"/>
      <c r="J18" s="1943">
        <v>0</v>
      </c>
      <c r="K18" s="744"/>
      <c r="L18" s="733"/>
      <c r="M18" s="742"/>
      <c r="N18" s="743">
        <v>0</v>
      </c>
      <c r="O18" s="745">
        <v>0</v>
      </c>
      <c r="P18" s="744"/>
      <c r="Q18" s="733"/>
      <c r="R18" s="742"/>
      <c r="S18" s="743">
        <v>0</v>
      </c>
      <c r="T18" s="747">
        <v>0</v>
      </c>
      <c r="U18" s="744"/>
      <c r="V18" s="379"/>
      <c r="W18" s="379"/>
      <c r="X18" s="262"/>
      <c r="Y18" s="270"/>
      <c r="Z18" s="270"/>
    </row>
    <row r="19" spans="1:26" s="271" customFormat="1">
      <c r="A19" s="273"/>
      <c r="B19" s="273"/>
      <c r="C19" s="748">
        <v>0.32</v>
      </c>
      <c r="D19" s="1940">
        <v>170050</v>
      </c>
      <c r="E19" s="749">
        <f>D20</f>
        <v>215950</v>
      </c>
      <c r="F19" s="741"/>
      <c r="G19" s="733"/>
      <c r="H19" s="750"/>
      <c r="I19" s="751"/>
      <c r="J19" s="1944">
        <v>0</v>
      </c>
      <c r="K19" s="744"/>
      <c r="L19" s="733"/>
      <c r="M19" s="750"/>
      <c r="N19" s="751">
        <v>0</v>
      </c>
      <c r="O19" s="752">
        <v>0</v>
      </c>
      <c r="P19" s="744"/>
      <c r="Q19" s="733"/>
      <c r="R19" s="750"/>
      <c r="S19" s="751">
        <v>0</v>
      </c>
      <c r="T19" s="753">
        <v>0</v>
      </c>
      <c r="U19" s="744"/>
      <c r="V19" s="379"/>
      <c r="W19" s="379"/>
      <c r="X19" s="262"/>
      <c r="Y19" s="270"/>
      <c r="Z19" s="270"/>
    </row>
    <row r="20" spans="1:26" s="271" customFormat="1">
      <c r="A20" s="273"/>
      <c r="B20" s="273"/>
      <c r="C20" s="739">
        <v>0.35</v>
      </c>
      <c r="D20" s="1939">
        <v>215950</v>
      </c>
      <c r="E20" s="740">
        <f>D21</f>
        <v>539900</v>
      </c>
      <c r="F20" s="741"/>
      <c r="G20" s="733"/>
      <c r="H20" s="742"/>
      <c r="I20" s="743"/>
      <c r="J20" s="1943">
        <v>0</v>
      </c>
      <c r="K20" s="744"/>
      <c r="L20" s="733"/>
      <c r="M20" s="742"/>
      <c r="N20" s="743">
        <v>0</v>
      </c>
      <c r="O20" s="745">
        <v>0</v>
      </c>
      <c r="P20" s="744"/>
      <c r="Q20" s="733"/>
      <c r="R20" s="742"/>
      <c r="S20" s="743">
        <v>0</v>
      </c>
      <c r="T20" s="747">
        <v>0</v>
      </c>
      <c r="U20" s="744"/>
      <c r="V20" s="379"/>
      <c r="W20" s="379"/>
      <c r="X20" s="262"/>
      <c r="Y20" s="270"/>
      <c r="Z20" s="270"/>
    </row>
    <row r="21" spans="1:26" s="271" customFormat="1">
      <c r="A21" s="273"/>
      <c r="B21" s="273"/>
      <c r="C21" s="748">
        <v>0.37</v>
      </c>
      <c r="D21" s="1940">
        <v>539900</v>
      </c>
      <c r="E21" s="749">
        <v>999999999</v>
      </c>
      <c r="F21" s="741"/>
      <c r="G21" s="733"/>
      <c r="H21" s="750"/>
      <c r="I21" s="751"/>
      <c r="J21" s="1944">
        <v>0</v>
      </c>
      <c r="K21" s="744"/>
      <c r="L21" s="733"/>
      <c r="M21" s="750"/>
      <c r="N21" s="751">
        <v>0</v>
      </c>
      <c r="O21" s="752">
        <v>0</v>
      </c>
      <c r="P21" s="744"/>
      <c r="Q21" s="733"/>
      <c r="R21" s="750"/>
      <c r="S21" s="751">
        <v>0</v>
      </c>
      <c r="T21" s="753">
        <v>0</v>
      </c>
      <c r="U21" s="744"/>
      <c r="V21" s="379"/>
      <c r="W21" s="379"/>
      <c r="X21" s="262"/>
      <c r="Y21" s="270"/>
      <c r="Z21" s="270"/>
    </row>
    <row r="22" spans="1:26" s="271" customFormat="1">
      <c r="A22" s="273"/>
      <c r="B22" s="273"/>
      <c r="C22" s="739"/>
      <c r="D22" s="1939"/>
      <c r="E22" s="740">
        <v>0</v>
      </c>
      <c r="F22" s="741"/>
      <c r="G22" s="733"/>
      <c r="H22" s="742"/>
      <c r="I22" s="743"/>
      <c r="J22" s="1943">
        <v>0</v>
      </c>
      <c r="K22" s="744"/>
      <c r="L22" s="733"/>
      <c r="M22" s="742"/>
      <c r="N22" s="743">
        <v>0</v>
      </c>
      <c r="O22" s="745">
        <v>0</v>
      </c>
      <c r="P22" s="744"/>
      <c r="Q22" s="733"/>
      <c r="R22" s="742"/>
      <c r="S22" s="743">
        <v>0</v>
      </c>
      <c r="T22" s="747">
        <v>0</v>
      </c>
      <c r="U22" s="744"/>
      <c r="V22" s="379"/>
      <c r="W22" s="379"/>
      <c r="X22" s="262"/>
      <c r="Y22" s="270"/>
      <c r="Z22" s="270"/>
    </row>
    <row r="23" spans="1:26" s="271" customFormat="1">
      <c r="A23" s="273"/>
      <c r="B23" s="273"/>
      <c r="C23" s="748"/>
      <c r="D23" s="1940"/>
      <c r="E23" s="749">
        <v>0</v>
      </c>
      <c r="F23" s="741"/>
      <c r="G23" s="733"/>
      <c r="H23" s="750"/>
      <c r="I23" s="751"/>
      <c r="J23" s="1944">
        <v>0</v>
      </c>
      <c r="K23" s="744"/>
      <c r="L23" s="733"/>
      <c r="M23" s="750"/>
      <c r="N23" s="751">
        <v>0</v>
      </c>
      <c r="O23" s="752">
        <v>0</v>
      </c>
      <c r="P23" s="744"/>
      <c r="Q23" s="733"/>
      <c r="R23" s="750"/>
      <c r="S23" s="751">
        <v>0</v>
      </c>
      <c r="T23" s="753">
        <v>0</v>
      </c>
      <c r="U23" s="744"/>
      <c r="V23" s="379"/>
      <c r="W23" s="379"/>
      <c r="X23" s="262"/>
      <c r="Y23" s="270"/>
      <c r="Z23" s="270"/>
    </row>
    <row r="24" spans="1:26" s="271" customFormat="1">
      <c r="A24" s="273"/>
      <c r="B24" s="273"/>
      <c r="C24" s="739"/>
      <c r="D24" s="1939"/>
      <c r="E24" s="740">
        <v>0</v>
      </c>
      <c r="F24" s="741"/>
      <c r="G24" s="733"/>
      <c r="H24" s="742"/>
      <c r="I24" s="743"/>
      <c r="J24" s="1943">
        <v>0</v>
      </c>
      <c r="K24" s="744"/>
      <c r="L24" s="733"/>
      <c r="M24" s="742"/>
      <c r="N24" s="743">
        <v>0</v>
      </c>
      <c r="O24" s="745">
        <v>0</v>
      </c>
      <c r="P24" s="744"/>
      <c r="Q24" s="733"/>
      <c r="R24" s="742"/>
      <c r="S24" s="743">
        <v>0</v>
      </c>
      <c r="T24" s="747">
        <v>0</v>
      </c>
      <c r="U24" s="744"/>
      <c r="V24" s="379"/>
      <c r="W24" s="379"/>
      <c r="X24" s="262"/>
      <c r="Y24" s="270"/>
      <c r="Z24" s="270"/>
    </row>
    <row r="25" spans="1:26" s="271" customFormat="1">
      <c r="A25" s="273"/>
      <c r="B25" s="273"/>
      <c r="C25" s="748"/>
      <c r="D25" s="1940"/>
      <c r="E25" s="749">
        <v>0</v>
      </c>
      <c r="F25" s="741"/>
      <c r="G25" s="733"/>
      <c r="H25" s="750"/>
      <c r="I25" s="751"/>
      <c r="J25" s="1944">
        <v>0</v>
      </c>
      <c r="K25" s="744"/>
      <c r="L25" s="733"/>
      <c r="M25" s="750"/>
      <c r="N25" s="751">
        <v>0</v>
      </c>
      <c r="O25" s="752">
        <v>0</v>
      </c>
      <c r="P25" s="744"/>
      <c r="Q25" s="733"/>
      <c r="R25" s="750"/>
      <c r="S25" s="751">
        <v>0</v>
      </c>
      <c r="T25" s="753">
        <v>0</v>
      </c>
      <c r="U25" s="744"/>
      <c r="V25" s="379"/>
      <c r="W25" s="379"/>
      <c r="X25" s="262"/>
      <c r="Y25" s="270"/>
      <c r="Z25" s="270"/>
    </row>
    <row r="26" spans="1:26" s="271" customFormat="1">
      <c r="A26" s="273"/>
      <c r="B26" s="273"/>
      <c r="C26" s="739"/>
      <c r="D26" s="1941"/>
      <c r="E26" s="740">
        <v>0</v>
      </c>
      <c r="F26" s="754"/>
      <c r="G26" s="733"/>
      <c r="H26" s="755"/>
      <c r="I26" s="756"/>
      <c r="J26" s="1945">
        <v>0</v>
      </c>
      <c r="K26" s="757"/>
      <c r="L26" s="733"/>
      <c r="M26" s="755"/>
      <c r="N26" s="756">
        <v>0</v>
      </c>
      <c r="O26" s="758">
        <v>0</v>
      </c>
      <c r="P26" s="757"/>
      <c r="Q26" s="733"/>
      <c r="R26" s="755"/>
      <c r="S26" s="756">
        <v>0</v>
      </c>
      <c r="T26" s="759">
        <v>0</v>
      </c>
      <c r="U26" s="757"/>
      <c r="V26" s="379"/>
      <c r="W26" s="379"/>
      <c r="X26" s="262"/>
      <c r="Y26" s="270"/>
      <c r="Z26" s="270"/>
    </row>
    <row r="27" spans="1:26" s="380" customFormat="1" ht="16" customHeight="1">
      <c r="A27" s="381"/>
      <c r="B27" s="381"/>
      <c r="C27" s="446"/>
      <c r="D27" s="446"/>
      <c r="E27" s="446"/>
      <c r="F27" s="447"/>
      <c r="G27" s="408"/>
      <c r="H27" s="408"/>
      <c r="I27" s="408"/>
      <c r="J27" s="448">
        <f>SUM(J15:J26)</f>
        <v>1000062499</v>
      </c>
      <c r="K27" s="408"/>
      <c r="L27" s="408"/>
      <c r="M27" s="449">
        <f>SUM(M15:M26)</f>
        <v>0</v>
      </c>
      <c r="N27" s="1326"/>
      <c r="O27" s="448">
        <f>SUM(O15:O26)</f>
        <v>0</v>
      </c>
      <c r="P27" s="1326"/>
      <c r="Q27" s="1326"/>
      <c r="R27" s="449">
        <f>SUM(R15:R26)</f>
        <v>0</v>
      </c>
      <c r="S27" s="450"/>
      <c r="T27" s="448">
        <f>SUM(T15:T26)</f>
        <v>0</v>
      </c>
      <c r="U27" s="450"/>
    </row>
    <row r="28" spans="1:26" s="271" customFormat="1" ht="22" customHeight="1">
      <c r="A28" s="381"/>
      <c r="B28" s="381"/>
      <c r="C28" s="2405" t="s">
        <v>1313</v>
      </c>
      <c r="D28" s="2405"/>
      <c r="E28" s="395"/>
      <c r="F28" s="262"/>
      <c r="G28" s="382"/>
      <c r="H28" s="262"/>
      <c r="I28" s="262"/>
      <c r="J28" s="262"/>
      <c r="K28" s="262"/>
      <c r="L28" s="382"/>
      <c r="M28" s="2411" t="s">
        <v>2289</v>
      </c>
      <c r="N28" s="2411"/>
      <c r="O28" s="2411"/>
      <c r="P28" s="2411"/>
      <c r="Q28" s="2411"/>
      <c r="R28" s="2411"/>
      <c r="S28" s="2411"/>
      <c r="T28" s="2411"/>
      <c r="U28" s="2411"/>
    </row>
    <row r="29" spans="1:26" s="271" customFormat="1" ht="18" customHeight="1">
      <c r="A29" s="381"/>
      <c r="B29" s="381"/>
      <c r="D29" s="395"/>
      <c r="E29" s="395"/>
      <c r="F29" s="262"/>
      <c r="G29" s="382"/>
      <c r="H29" s="382"/>
      <c r="I29" s="382"/>
      <c r="J29" s="382"/>
      <c r="K29" s="382"/>
      <c r="L29" s="382"/>
      <c r="M29" s="1855" t="s">
        <v>2535</v>
      </c>
      <c r="N29" s="1855"/>
      <c r="O29" s="1855"/>
      <c r="P29" s="1855"/>
      <c r="Q29" s="1855"/>
      <c r="R29" s="411"/>
      <c r="S29" s="411"/>
      <c r="T29" s="411"/>
      <c r="U29" s="411"/>
    </row>
    <row r="30" spans="1:26" ht="31" hidden="1" customHeight="1">
      <c r="A30" s="388"/>
      <c r="B30" s="388"/>
      <c r="C30" s="396" t="s">
        <v>1312</v>
      </c>
      <c r="D30" s="395"/>
      <c r="E30" s="395"/>
      <c r="F30" s="382"/>
      <c r="G30" s="388"/>
      <c r="H30" s="388"/>
      <c r="I30" s="388"/>
      <c r="J30" s="388"/>
      <c r="K30" s="388"/>
      <c r="L30" s="388"/>
      <c r="M30" s="388"/>
      <c r="N30" s="388"/>
      <c r="O30" s="388"/>
      <c r="P30" s="388"/>
      <c r="Q30" s="388"/>
    </row>
    <row r="31" spans="1:26" ht="32" hidden="1" customHeight="1">
      <c r="A31" s="388"/>
      <c r="B31" s="388"/>
      <c r="D31" s="389"/>
      <c r="E31" s="390"/>
      <c r="F31" s="382"/>
      <c r="G31" s="388"/>
      <c r="H31" s="388"/>
      <c r="I31" s="388"/>
      <c r="J31" s="388"/>
      <c r="K31" s="388"/>
      <c r="L31" s="388"/>
      <c r="M31" s="388"/>
      <c r="N31" s="388"/>
      <c r="O31" s="388"/>
      <c r="P31" s="388"/>
      <c r="Q31" s="388"/>
    </row>
    <row r="32" spans="1:26" ht="39" hidden="1" customHeight="1">
      <c r="A32" s="388"/>
      <c r="B32" s="388"/>
      <c r="C32" s="388"/>
      <c r="D32" s="388"/>
      <c r="E32" s="388"/>
      <c r="F32" s="388"/>
      <c r="G32" s="388"/>
      <c r="H32" s="2415" t="s">
        <v>414</v>
      </c>
      <c r="I32" s="2415"/>
      <c r="J32" s="2415"/>
      <c r="K32" s="2415"/>
      <c r="L32" s="2415"/>
      <c r="M32" s="2415"/>
      <c r="N32" s="409"/>
      <c r="O32" s="388"/>
      <c r="P32" s="388"/>
      <c r="Q32" s="388"/>
    </row>
    <row r="33" spans="1:22" hidden="1">
      <c r="A33" s="388"/>
      <c r="B33" s="388"/>
      <c r="C33" s="401"/>
      <c r="D33" s="2412" t="s">
        <v>394</v>
      </c>
      <c r="E33" s="2413"/>
      <c r="F33" s="382"/>
      <c r="G33" s="382"/>
      <c r="H33" s="2414" t="s">
        <v>407</v>
      </c>
      <c r="I33" s="2412"/>
      <c r="J33" s="2412"/>
      <c r="K33" s="2413"/>
      <c r="L33" s="382"/>
      <c r="M33" s="406" t="s">
        <v>48</v>
      </c>
      <c r="N33" s="382"/>
      <c r="O33" s="382"/>
      <c r="P33" s="382"/>
      <c r="Q33" s="382"/>
      <c r="R33" s="2406" t="s">
        <v>426</v>
      </c>
      <c r="S33" s="2407"/>
      <c r="T33" s="2407"/>
      <c r="U33" s="2408"/>
      <c r="V33" s="271"/>
    </row>
    <row r="34" spans="1:22" s="271" customFormat="1" hidden="1">
      <c r="A34" s="273"/>
      <c r="B34" s="273"/>
      <c r="C34" s="402" t="s">
        <v>6</v>
      </c>
      <c r="D34" s="400" t="s">
        <v>76</v>
      </c>
      <c r="E34" s="403" t="s">
        <v>69</v>
      </c>
      <c r="F34" s="391"/>
      <c r="H34" s="404" t="s">
        <v>88</v>
      </c>
      <c r="I34" s="278" t="s">
        <v>86</v>
      </c>
      <c r="J34" s="278" t="s">
        <v>396</v>
      </c>
      <c r="K34" s="405" t="s">
        <v>397</v>
      </c>
      <c r="M34" s="407" t="s">
        <v>413</v>
      </c>
      <c r="N34" s="382"/>
      <c r="O34" s="382"/>
      <c r="P34" s="382"/>
      <c r="Q34" s="382"/>
      <c r="R34" s="404" t="s">
        <v>88</v>
      </c>
      <c r="S34" s="278" t="s">
        <v>86</v>
      </c>
      <c r="T34" s="278" t="s">
        <v>396</v>
      </c>
      <c r="U34" s="405" t="s">
        <v>397</v>
      </c>
    </row>
    <row r="35" spans="1:22" hidden="1">
      <c r="A35" s="392" t="str">
        <f ca="1">IF(C35=Retire!$D$12,"==&gt;","")</f>
        <v/>
      </c>
      <c r="B35" s="392"/>
      <c r="C35" s="1444">
        <f ca="1">Income!C16</f>
        <v>2022</v>
      </c>
      <c r="D35" s="1445">
        <f ca="1">ROUND(Income!R16,0)</f>
        <v>210000</v>
      </c>
      <c r="E35" s="1446"/>
      <c r="F35" s="393"/>
      <c r="G35" s="271"/>
      <c r="H35" s="1453">
        <f ca="1">IF(K10=0,ROUND(SUMPRODUCT(C15:C21-C14:C20, R35-D15:D21, N(R35&gt;D15:D21)),0),0)</f>
        <v>42260</v>
      </c>
      <c r="I35" s="1445">
        <f ca="1">IF(K10=0,ROUND(SUMPRODUCT(H15:H17-H14:H16, S35-I15:I17, N(S35&gt;I15:I17)),0),0)</f>
        <v>11080</v>
      </c>
      <c r="J35" s="1445">
        <f>IF(K10=0,ROUND(SUMPRODUCT(M15:M17-M14:M16, T35-N15:N17, N(T35&gt;N15:N17)),0),0)</f>
        <v>0</v>
      </c>
      <c r="K35" s="1446">
        <f>IF(K10=0,ROUND(SUMPRODUCT(R15:R17-R14:R16, U35-S15:S17, N(U35&gt;S15:S17)),0),0)</f>
        <v>0</v>
      </c>
      <c r="L35" s="1235"/>
      <c r="M35" s="1454">
        <f t="shared" ref="M35:M74" ca="1" si="0">IF($K$10&gt;0,SUM(D35:F35)*$K$10,SUM(H35:K35))</f>
        <v>53340</v>
      </c>
      <c r="N35" s="1455"/>
      <c r="O35" s="1456"/>
      <c r="P35" s="1456"/>
      <c r="Q35" s="1455"/>
      <c r="R35" s="1457">
        <f ca="1">SUM(D35:E35)-$F$15</f>
        <v>197050</v>
      </c>
      <c r="S35" s="1458">
        <f ca="1">IF($J$27&gt;0,SUM(D35:F35)-$K$15,0)</f>
        <v>205500</v>
      </c>
      <c r="T35" s="1458">
        <f>IF($O$27&gt;0,SUM(D35:F35)-$P$15,0)</f>
        <v>0</v>
      </c>
      <c r="U35" s="1459">
        <f>IF($T$27&gt;0,SUM(D35:F35)-$U$15,0)</f>
        <v>0</v>
      </c>
    </row>
    <row r="36" spans="1:22" hidden="1">
      <c r="A36" s="392" t="str">
        <f ca="1">IF(C36=Retire!$D$12,"==&gt;","")</f>
        <v/>
      </c>
      <c r="B36" s="392"/>
      <c r="C36" s="1447">
        <f ca="1">Income!C17</f>
        <v>2023</v>
      </c>
      <c r="D36" s="1448">
        <f ca="1">ROUND(Income!R17,0)</f>
        <v>214200</v>
      </c>
      <c r="E36" s="1449"/>
      <c r="F36" s="393"/>
      <c r="G36" s="271"/>
      <c r="H36" s="1460">
        <f ca="1">IF(K10=0,ROUND(SUMPRODUCT(C15:C21-C14:C20, R36-D15:D21, N(R36&gt;D15:D21)),0),0)</f>
        <v>43604</v>
      </c>
      <c r="I36" s="1448">
        <f ca="1">IF(K10=0,ROUND(SUMPRODUCT(H15:H17-H14:H16, S36-I15:I17, N(S36&gt;I15:I17)),0),0)</f>
        <v>11332</v>
      </c>
      <c r="J36" s="1448">
        <f>IF(K10=0,ROUND(SUMPRODUCT(M15:M17-M14:M16, T36-N15:N17, N(T36&gt;N15:N17)),0),0)</f>
        <v>0</v>
      </c>
      <c r="K36" s="1449">
        <f>IF(K10=0,ROUND(SUMPRODUCT(R15:R17-R14:R16, U36-S15:S17, N(U36&gt;S15:S17)),0),0)</f>
        <v>0</v>
      </c>
      <c r="L36" s="1235"/>
      <c r="M36" s="1461">
        <f t="shared" ca="1" si="0"/>
        <v>54936</v>
      </c>
      <c r="N36" s="1455"/>
      <c r="O36" s="1456"/>
      <c r="P36" s="1456"/>
      <c r="Q36" s="1455"/>
      <c r="R36" s="1462">
        <f t="shared" ref="R36:R74" ca="1" si="1">SUM(D36:E36)-$F$15</f>
        <v>201250</v>
      </c>
      <c r="S36" s="1463">
        <f t="shared" ref="S36:S74" ca="1" si="2">IF($J$27&gt;0,SUM(D36:F36)-$K$15,0)</f>
        <v>209700</v>
      </c>
      <c r="T36" s="1463">
        <f t="shared" ref="T36:T74" si="3">IF($O$27&gt;0,SUM(D36:F36)-$P$15,0)</f>
        <v>0</v>
      </c>
      <c r="U36" s="1464">
        <f t="shared" ref="U36:U74" si="4">IF($T$27&gt;0,SUM(D36:F36)-$U$15,0)</f>
        <v>0</v>
      </c>
    </row>
    <row r="37" spans="1:22" hidden="1">
      <c r="A37" s="392" t="str">
        <f ca="1">IF(C37=Retire!$D$12,"==&gt;","")</f>
        <v/>
      </c>
      <c r="C37" s="1444">
        <f ca="1">Income!C18</f>
        <v>2024</v>
      </c>
      <c r="D37" s="1445">
        <f ca="1">ROUND(Income!R18,0)</f>
        <v>218484</v>
      </c>
      <c r="E37" s="1446"/>
      <c r="F37" s="393"/>
      <c r="G37" s="271"/>
      <c r="H37" s="1453">
        <f ca="1">IF(K10=0,ROUND(SUMPRODUCT(C15:C21-C14:C20, R37-D15:D21, N(R37&gt;D15:D21)),0),0)</f>
        <v>44975</v>
      </c>
      <c r="I37" s="1445">
        <f ca="1">IF(K10=0,ROUND(SUMPRODUCT(H15:H17-H14:H16, S37-I15:I17, N(S37&gt;I15:I17)),0),0)</f>
        <v>11589</v>
      </c>
      <c r="J37" s="1445">
        <f>IF(K10=0,ROUND(SUMPRODUCT(M15:M17-M14:M16, T37-N15:N17, N(T37&gt;N15:N17)),0),0)</f>
        <v>0</v>
      </c>
      <c r="K37" s="1446">
        <f>IF(K10=0,ROUND(SUMPRODUCT(R15:R17-R14:R16, U37-S15:S17, N(U37&gt;S15:S17)),0),0)</f>
        <v>0</v>
      </c>
      <c r="L37" s="1235"/>
      <c r="M37" s="1454">
        <f t="shared" ca="1" si="0"/>
        <v>56564</v>
      </c>
      <c r="N37" s="1455"/>
      <c r="O37" s="1456"/>
      <c r="P37" s="1455"/>
      <c r="Q37" s="1455"/>
      <c r="R37" s="1457">
        <f t="shared" ca="1" si="1"/>
        <v>205534</v>
      </c>
      <c r="S37" s="1458">
        <f t="shared" ca="1" si="2"/>
        <v>213984</v>
      </c>
      <c r="T37" s="1458">
        <f t="shared" si="3"/>
        <v>0</v>
      </c>
      <c r="U37" s="1459">
        <f t="shared" si="4"/>
        <v>0</v>
      </c>
    </row>
    <row r="38" spans="1:22" hidden="1">
      <c r="A38" s="392" t="str">
        <f ca="1">IF(C38=Retire!$D$12,"==&gt;","")</f>
        <v/>
      </c>
      <c r="C38" s="1447">
        <f ca="1">Income!C19</f>
        <v>2025</v>
      </c>
      <c r="D38" s="1448">
        <f ca="1">ROUND(Income!R19,0)</f>
        <v>222854</v>
      </c>
      <c r="E38" s="1449"/>
      <c r="F38" s="393"/>
      <c r="G38" s="271"/>
      <c r="H38" s="1460">
        <f ca="1">IF(K10=0,ROUND(SUMPRODUCT(C15:C21-C14:C20, R38-D15:D21, N(R38&gt;D15:D21)),0),0)</f>
        <v>46373</v>
      </c>
      <c r="I38" s="1448">
        <f ca="1">IF(K10=0,ROUND(SUMPRODUCT(H15:H17-H14:H16, S38-I15:I17, N(S38&gt;I15:I17)),0),0)</f>
        <v>11851</v>
      </c>
      <c r="J38" s="1448">
        <f>IF(K10=0,ROUND(SUMPRODUCT(M15:M17-M14:M16, T38-N15:N17, N(T38&gt;N15:N17)),0),0)</f>
        <v>0</v>
      </c>
      <c r="K38" s="1449">
        <f>IF(K10=0,ROUND(SUMPRODUCT(R15:R17-R14:R16, U38-S15:S17, N(U38&gt;S15:S17)),0),0)</f>
        <v>0</v>
      </c>
      <c r="L38" s="1235"/>
      <c r="M38" s="1461">
        <f t="shared" ca="1" si="0"/>
        <v>58224</v>
      </c>
      <c r="N38" s="1455"/>
      <c r="O38" s="1456"/>
      <c r="P38" s="1455"/>
      <c r="Q38" s="1455"/>
      <c r="R38" s="1462">
        <f t="shared" ca="1" si="1"/>
        <v>209904</v>
      </c>
      <c r="S38" s="1463">
        <f t="shared" ca="1" si="2"/>
        <v>218354</v>
      </c>
      <c r="T38" s="1463">
        <f t="shared" si="3"/>
        <v>0</v>
      </c>
      <c r="U38" s="1464">
        <f t="shared" si="4"/>
        <v>0</v>
      </c>
    </row>
    <row r="39" spans="1:22" hidden="1">
      <c r="A39" s="392" t="str">
        <f ca="1">IF(C39=Retire!$D$12,"==&gt;","")</f>
        <v/>
      </c>
      <c r="C39" s="1444">
        <f ca="1">Income!C20</f>
        <v>2026</v>
      </c>
      <c r="D39" s="1445">
        <f ca="1">ROUND(Income!R20,0)</f>
        <v>227311</v>
      </c>
      <c r="E39" s="1446"/>
      <c r="F39" s="393"/>
      <c r="G39" s="271"/>
      <c r="H39" s="1453">
        <f ca="1">IF(K10=0,ROUND(SUMPRODUCT(C15:C21-C14:C20, R39-D15:D21, N(R39&gt;D15:D21)),0),0)</f>
        <v>47800</v>
      </c>
      <c r="I39" s="1445">
        <f ca="1">IF(K10=0,ROUND(SUMPRODUCT(H15:H17-H14:H16, S39-I15:I17, N(S39&gt;I15:I17)),0),0)</f>
        <v>12119</v>
      </c>
      <c r="J39" s="1445">
        <f>IF(K10=0,ROUND(SUMPRODUCT(M15:M17-M14:M16, T39-N15:N17, N(T39&gt;N15:N17)),0),0)</f>
        <v>0</v>
      </c>
      <c r="K39" s="1446">
        <f>IF(K10=0,ROUND(SUMPRODUCT(R15:R17-R14:R16, U39-S15:S17, N(U39&gt;S15:S17)),0),0)</f>
        <v>0</v>
      </c>
      <c r="L39" s="1235"/>
      <c r="M39" s="1454">
        <f t="shared" ca="1" si="0"/>
        <v>59919</v>
      </c>
      <c r="N39" s="1455"/>
      <c r="O39" s="1456"/>
      <c r="P39" s="1455"/>
      <c r="Q39" s="1455"/>
      <c r="R39" s="1457">
        <f t="shared" ca="1" si="1"/>
        <v>214361</v>
      </c>
      <c r="S39" s="1458">
        <f t="shared" ca="1" si="2"/>
        <v>222811</v>
      </c>
      <c r="T39" s="1458">
        <f t="shared" si="3"/>
        <v>0</v>
      </c>
      <c r="U39" s="1459">
        <f t="shared" si="4"/>
        <v>0</v>
      </c>
    </row>
    <row r="40" spans="1:22" hidden="1">
      <c r="A40" s="392" t="str">
        <f ca="1">IF(C40=Retire!$D$12,"==&gt;","")</f>
        <v/>
      </c>
      <c r="C40" s="1447">
        <f ca="1">Income!C21</f>
        <v>2027</v>
      </c>
      <c r="D40" s="1448">
        <f ca="1">ROUND(Income!R21,0)</f>
        <v>231857</v>
      </c>
      <c r="E40" s="1449"/>
      <c r="F40" s="393"/>
      <c r="G40" s="271"/>
      <c r="H40" s="1460">
        <f ca="1">IF(K10=0,ROUND(SUMPRODUCT(C15:C21-C14:C20, R40-D15:D21, N(R40&gt;D15:D21)),0),0)</f>
        <v>49343</v>
      </c>
      <c r="I40" s="1448">
        <f ca="1">IF(K10=0,ROUND(SUMPRODUCT(H15:H17-H14:H16, S40-I15:I17, N(S40&gt;I15:I17)),0),0)</f>
        <v>12391</v>
      </c>
      <c r="J40" s="1448">
        <f>IF(K10=0,ROUND(SUMPRODUCT(M15:M17-M14:M16, T40-N15:N17, N(T40&gt;N15:N17)),0),0)</f>
        <v>0</v>
      </c>
      <c r="K40" s="1449">
        <f>IF(K10=0,ROUND(SUMPRODUCT(R15:R17-R14:R16, U40-S15:S17, N(U40&gt;S15:S17)),0),0)</f>
        <v>0</v>
      </c>
      <c r="L40" s="1235"/>
      <c r="M40" s="1461">
        <f t="shared" ca="1" si="0"/>
        <v>61734</v>
      </c>
      <c r="N40" s="1455"/>
      <c r="O40" s="1456"/>
      <c r="P40" s="1455"/>
      <c r="Q40" s="1455"/>
      <c r="R40" s="1462">
        <f t="shared" ca="1" si="1"/>
        <v>218907</v>
      </c>
      <c r="S40" s="1463">
        <f t="shared" ca="1" si="2"/>
        <v>227357</v>
      </c>
      <c r="T40" s="1463">
        <f t="shared" si="3"/>
        <v>0</v>
      </c>
      <c r="U40" s="1464">
        <f t="shared" si="4"/>
        <v>0</v>
      </c>
    </row>
    <row r="41" spans="1:22" hidden="1">
      <c r="A41" s="392" t="str">
        <f ca="1">IF(C41=Retire!$D$12,"==&gt;","")</f>
        <v/>
      </c>
      <c r="C41" s="1444">
        <f ca="1">Income!C22</f>
        <v>2028</v>
      </c>
      <c r="D41" s="1445">
        <f ca="1">ROUND(Income!R22,0)</f>
        <v>236494</v>
      </c>
      <c r="E41" s="1446"/>
      <c r="F41" s="393"/>
      <c r="G41" s="271"/>
      <c r="H41" s="1453">
        <f ca="1">IF(K10=0,ROUND(SUMPRODUCT(C15:C21-C14:C20, R41-D15:D21, N(R41&gt;D15:D21)),0),0)</f>
        <v>50966</v>
      </c>
      <c r="I41" s="1445">
        <f ca="1">IF(K10=0,ROUND(SUMPRODUCT(H15:H17-H14:H16, S41-I15:I17, N(S41&gt;I15:I17)),0),0)</f>
        <v>12670</v>
      </c>
      <c r="J41" s="1445">
        <f>IF(K10=0,ROUND(SUMPRODUCT(M15:M17-M14:M16, T41-N15:N17, N(T41&gt;N15:N17)),0),0)</f>
        <v>0</v>
      </c>
      <c r="K41" s="1446">
        <f>IF(K10=0,ROUND(SUMPRODUCT(R15:R17-R14:R16, U41-S15:S17, N(U41&gt;S15:S17)),0),0)</f>
        <v>0</v>
      </c>
      <c r="L41" s="1235"/>
      <c r="M41" s="1454">
        <f t="shared" ca="1" si="0"/>
        <v>63636</v>
      </c>
      <c r="N41" s="1455"/>
      <c r="O41" s="1456"/>
      <c r="P41" s="1455"/>
      <c r="Q41" s="1455"/>
      <c r="R41" s="1457">
        <f t="shared" ca="1" si="1"/>
        <v>223544</v>
      </c>
      <c r="S41" s="1458">
        <f t="shared" ca="1" si="2"/>
        <v>231994</v>
      </c>
      <c r="T41" s="1458">
        <f t="shared" si="3"/>
        <v>0</v>
      </c>
      <c r="U41" s="1459">
        <f t="shared" si="4"/>
        <v>0</v>
      </c>
    </row>
    <row r="42" spans="1:22" hidden="1">
      <c r="A42" s="392" t="str">
        <f ca="1">IF(C42=Retire!$D$12,"==&gt;","")</f>
        <v/>
      </c>
      <c r="C42" s="1447">
        <f ca="1">Income!C23</f>
        <v>2029</v>
      </c>
      <c r="D42" s="1448">
        <f ca="1">ROUND(Income!R23,0)</f>
        <v>241224</v>
      </c>
      <c r="E42" s="1449"/>
      <c r="F42" s="393"/>
      <c r="G42" s="271"/>
      <c r="H42" s="1460">
        <f ca="1">IF(K10=0,ROUND(SUMPRODUCT(C15:C21-C14:C20, R42-D15:D21, N(R42&gt;D15:D21)),0),0)</f>
        <v>52621</v>
      </c>
      <c r="I42" s="1448">
        <f ca="1">IF(K10=0,ROUND(SUMPRODUCT(H15:H17-H14:H16, S42-I15:I17, N(S42&gt;I15:I17)),0),0)</f>
        <v>12953</v>
      </c>
      <c r="J42" s="1448">
        <f>IF(K10=0,ROUND(SUMPRODUCT(M15:M17-M14:M16, T42-N15:N17, N(T42&gt;N15:N17)),0),0)</f>
        <v>0</v>
      </c>
      <c r="K42" s="1449">
        <f>IF(K10=0,ROUND(SUMPRODUCT(R15:R17-R14:R16, U42-S15:S17, N(U42&gt;S15:S17)),0),0)</f>
        <v>0</v>
      </c>
      <c r="L42" s="1235"/>
      <c r="M42" s="1461">
        <f t="shared" ca="1" si="0"/>
        <v>65574</v>
      </c>
      <c r="N42" s="1455"/>
      <c r="O42" s="1456"/>
      <c r="P42" s="1455"/>
      <c r="Q42" s="1455"/>
      <c r="R42" s="1462">
        <f t="shared" ca="1" si="1"/>
        <v>228274</v>
      </c>
      <c r="S42" s="1463">
        <f t="shared" ca="1" si="2"/>
        <v>236724</v>
      </c>
      <c r="T42" s="1463">
        <f t="shared" si="3"/>
        <v>0</v>
      </c>
      <c r="U42" s="1464">
        <f t="shared" si="4"/>
        <v>0</v>
      </c>
    </row>
    <row r="43" spans="1:22" hidden="1">
      <c r="A43" s="392" t="str">
        <f ca="1">IF(C43=Retire!$D$12,"==&gt;","")</f>
        <v/>
      </c>
      <c r="C43" s="1444">
        <f ca="1">Income!C24</f>
        <v>2030</v>
      </c>
      <c r="D43" s="1445">
        <f ca="1">ROUND(Income!R24,0)</f>
        <v>246048</v>
      </c>
      <c r="E43" s="1446"/>
      <c r="F43" s="393"/>
      <c r="G43" s="271"/>
      <c r="H43" s="1453">
        <f ca="1">IF(K10=0,ROUND(SUMPRODUCT(C15:C21-C14:C20, R43-D15:D21, N(R43&gt;D15:D21)),0),0)</f>
        <v>54310</v>
      </c>
      <c r="I43" s="1445">
        <f ca="1">IF(K10=0,ROUND(SUMPRODUCT(H15:H17-H14:H16, S43-I15:I17, N(S43&gt;I15:I17)),0),0)</f>
        <v>13243</v>
      </c>
      <c r="J43" s="1445">
        <f>IF(K10=0,ROUND(SUMPRODUCT(M15:M17-M14:M16, T43-N15:N17, N(T43&gt;N15:N17)),0),0)</f>
        <v>0</v>
      </c>
      <c r="K43" s="1446">
        <f>IF(K10=0,ROUND(SUMPRODUCT(R15:R17-R14:R16, U43-S15:S17, N(U43&gt;S15:S17)),0),0)</f>
        <v>0</v>
      </c>
      <c r="L43" s="1235"/>
      <c r="M43" s="1454">
        <f t="shared" ca="1" si="0"/>
        <v>67553</v>
      </c>
      <c r="N43" s="1455"/>
      <c r="O43" s="1456"/>
      <c r="P43" s="1455"/>
      <c r="Q43" s="1455"/>
      <c r="R43" s="1457">
        <f t="shared" ca="1" si="1"/>
        <v>233098</v>
      </c>
      <c r="S43" s="1458">
        <f t="shared" ca="1" si="2"/>
        <v>241548</v>
      </c>
      <c r="T43" s="1458">
        <f t="shared" si="3"/>
        <v>0</v>
      </c>
      <c r="U43" s="1459">
        <f t="shared" si="4"/>
        <v>0</v>
      </c>
    </row>
    <row r="44" spans="1:22" hidden="1">
      <c r="A44" s="392" t="str">
        <f ca="1">IF(C44=Retire!$D$12,"==&gt;","")</f>
        <v/>
      </c>
      <c r="C44" s="1447">
        <f ca="1">Income!C25</f>
        <v>2031</v>
      </c>
      <c r="D44" s="1448">
        <f ca="1">ROUND(Income!R25,0)</f>
        <v>250969</v>
      </c>
      <c r="E44" s="1449"/>
      <c r="F44" s="393"/>
      <c r="G44" s="271"/>
      <c r="H44" s="1460">
        <f ca="1">IF(K10=0,ROUND(SUMPRODUCT(C15:C21-C14:C20, R44-D15:D21, N(R44&gt;D15:D21)),0),0)</f>
        <v>56032</v>
      </c>
      <c r="I44" s="1448">
        <f ca="1">IF(K10=0,ROUND(SUMPRODUCT(H15:H17-H14:H16, S44-I15:I17, N(S44&gt;I15:I17)),0),0)</f>
        <v>13538</v>
      </c>
      <c r="J44" s="1448">
        <f>IF(K10=0,ROUND(SUMPRODUCT(M15:M17-M14:M16, T44-N15:N17, N(T44&gt;N15:N17)),0),0)</f>
        <v>0</v>
      </c>
      <c r="K44" s="1449">
        <f>IF(K10=0,ROUND(SUMPRODUCT(R15:R17-R14:R16, U44-S15:S17, N(U44&gt;S15:S17)),0),0)</f>
        <v>0</v>
      </c>
      <c r="L44" s="1235"/>
      <c r="M44" s="1461">
        <f t="shared" ca="1" si="0"/>
        <v>69570</v>
      </c>
      <c r="N44" s="1455"/>
      <c r="O44" s="1455"/>
      <c r="P44" s="1455"/>
      <c r="Q44" s="1455"/>
      <c r="R44" s="1462">
        <f t="shared" ca="1" si="1"/>
        <v>238019</v>
      </c>
      <c r="S44" s="1463">
        <f t="shared" ca="1" si="2"/>
        <v>246469</v>
      </c>
      <c r="T44" s="1463">
        <f t="shared" si="3"/>
        <v>0</v>
      </c>
      <c r="U44" s="1464">
        <f t="shared" si="4"/>
        <v>0</v>
      </c>
    </row>
    <row r="45" spans="1:22" hidden="1">
      <c r="A45" s="392" t="str">
        <f ca="1">IF(C45=Retire!$D$12,"==&gt;","")</f>
        <v/>
      </c>
      <c r="C45" s="1444">
        <f ca="1">Income!C26</f>
        <v>2032</v>
      </c>
      <c r="D45" s="1445">
        <f ca="1">ROUND(Income!R26,0)</f>
        <v>255989</v>
      </c>
      <c r="E45" s="1446"/>
      <c r="F45" s="393"/>
      <c r="G45" s="271"/>
      <c r="H45" s="1453">
        <f ca="1">IF(K10=0,ROUND(SUMPRODUCT(C15:C21-C14:C20, R45-D15:D21, N(R45&gt;D15:D21)),0),0)</f>
        <v>57789</v>
      </c>
      <c r="I45" s="1445">
        <f ca="1">IF(K10=0,ROUND(SUMPRODUCT(H15:H17-H14:H16, S45-I15:I17, N(S45&gt;I15:I17)),0),0)</f>
        <v>13839</v>
      </c>
      <c r="J45" s="1445">
        <f>IF(K10=0,ROUND(SUMPRODUCT(M15:M17-M14:M16, T45-N15:N17, N(T45&gt;N15:N17)),0),0)</f>
        <v>0</v>
      </c>
      <c r="K45" s="1446">
        <f>IF(K10=0,ROUND(SUMPRODUCT(R15:R17-R14:R16, U45-S15:S17, N(U45&gt;S15:S17)),0),0)</f>
        <v>0</v>
      </c>
      <c r="L45" s="1235"/>
      <c r="M45" s="1454">
        <f t="shared" ca="1" si="0"/>
        <v>71628</v>
      </c>
      <c r="N45" s="1455"/>
      <c r="O45" s="1455"/>
      <c r="P45" s="1455"/>
      <c r="Q45" s="1455"/>
      <c r="R45" s="1457">
        <f t="shared" ca="1" si="1"/>
        <v>243039</v>
      </c>
      <c r="S45" s="1458">
        <f t="shared" ca="1" si="2"/>
        <v>251489</v>
      </c>
      <c r="T45" s="1458">
        <f t="shared" si="3"/>
        <v>0</v>
      </c>
      <c r="U45" s="1459">
        <f t="shared" si="4"/>
        <v>0</v>
      </c>
    </row>
    <row r="46" spans="1:22" hidden="1">
      <c r="A46" s="392" t="str">
        <f ca="1">IF(C46=Retire!$D$12,"==&gt;","")</f>
        <v/>
      </c>
      <c r="C46" s="1447">
        <f ca="1">Income!C27</f>
        <v>2033</v>
      </c>
      <c r="D46" s="1448">
        <f ca="1">ROUND(Income!R27,0)</f>
        <v>261109</v>
      </c>
      <c r="E46" s="1449"/>
      <c r="F46" s="393"/>
      <c r="G46" s="271"/>
      <c r="H46" s="1460">
        <f ca="1">IF(K10=0,ROUND(SUMPRODUCT(C15:C21-C14:C20, R46-D15:D21, N(R46&gt;D15:D21)),0),0)</f>
        <v>59581</v>
      </c>
      <c r="I46" s="1448">
        <f ca="1">IF(K10=0,ROUND(SUMPRODUCT(H15:H17-H14:H16, S46-I15:I17, N(S46&gt;I15:I17)),0),0)</f>
        <v>14147</v>
      </c>
      <c r="J46" s="1448">
        <f>IF(K10=0,ROUND(SUMPRODUCT(M15:M17-M14:M16, T46-N15:N17, N(T46&gt;N15:N17)),0),0)</f>
        <v>0</v>
      </c>
      <c r="K46" s="1449">
        <f>IF(K10=0,ROUND(SUMPRODUCT(R15:R17-R14:R16, U46-S15:S17, N(U46&gt;S15:S17)),0),0)</f>
        <v>0</v>
      </c>
      <c r="L46" s="1235"/>
      <c r="M46" s="1461">
        <f t="shared" ca="1" si="0"/>
        <v>73728</v>
      </c>
      <c r="N46" s="1455"/>
      <c r="O46" s="1455"/>
      <c r="P46" s="1455"/>
      <c r="Q46" s="1455"/>
      <c r="R46" s="1462">
        <f t="shared" ca="1" si="1"/>
        <v>248159</v>
      </c>
      <c r="S46" s="1463">
        <f t="shared" ca="1" si="2"/>
        <v>256609</v>
      </c>
      <c r="T46" s="1463">
        <f t="shared" si="3"/>
        <v>0</v>
      </c>
      <c r="U46" s="1464">
        <f t="shared" si="4"/>
        <v>0</v>
      </c>
    </row>
    <row r="47" spans="1:22" hidden="1">
      <c r="A47" s="392" t="str">
        <f ca="1">IF(C47=Retire!$D$12,"==&gt;","")</f>
        <v>==&gt;</v>
      </c>
      <c r="C47" s="1444">
        <f ca="1">Income!C28</f>
        <v>2034</v>
      </c>
      <c r="D47" s="1445">
        <f ca="1">ROUND(Income!R28,0)</f>
        <v>172391</v>
      </c>
      <c r="E47" s="1446">
        <f ca="1">IF( Retire!U9&gt;0,      Retire!U9-(Retire!U9*Retire!BC9), 0)</f>
        <v>16107.50688220058</v>
      </c>
      <c r="F47" s="393"/>
      <c r="G47" s="271"/>
      <c r="H47" s="1453">
        <f ca="1">IF(K10=0,ROUND(SUMPRODUCT(C15:C21-C14:C20, R47-D15:D21, N(R47&gt;D15:D21)),0),0)</f>
        <v>35380</v>
      </c>
      <c r="I47" s="1445">
        <f ca="1">IF(K10=0,ROUND(SUMPRODUCT(H15:H17-H14:H16, S47-I15:I17, N(S47&gt;I15:I17)),0),0)</f>
        <v>9790</v>
      </c>
      <c r="J47" s="1445">
        <f>IF(K10=0,ROUND(SUMPRODUCT(M15:M17-M14:M16, T47-N15:N17, N(T47&gt;N15:N17)),0),0)</f>
        <v>0</v>
      </c>
      <c r="K47" s="1446">
        <f>IF(K10=0,ROUND(SUMPRODUCT(R15:R17-R14:R16, U47-S15:S17, N(U47&gt;S15:S17)),0),0)</f>
        <v>0</v>
      </c>
      <c r="L47" s="1235"/>
      <c r="M47" s="1454">
        <f t="shared" ca="1" si="0"/>
        <v>45170</v>
      </c>
      <c r="N47" s="1455"/>
      <c r="O47" s="1455"/>
      <c r="P47" s="1455"/>
      <c r="Q47" s="1455"/>
      <c r="R47" s="1457">
        <f t="shared" ca="1" si="1"/>
        <v>175548.50688220057</v>
      </c>
      <c r="S47" s="1458">
        <f t="shared" ca="1" si="2"/>
        <v>183998.50688220057</v>
      </c>
      <c r="T47" s="1458">
        <f t="shared" si="3"/>
        <v>0</v>
      </c>
      <c r="U47" s="1459">
        <f t="shared" si="4"/>
        <v>0</v>
      </c>
    </row>
    <row r="48" spans="1:22" hidden="1">
      <c r="A48" s="392" t="str">
        <f ca="1">IF(C48=Retire!$D$12,"==&gt;","")</f>
        <v/>
      </c>
      <c r="C48" s="1447">
        <f ca="1">Income!C29</f>
        <v>2035</v>
      </c>
      <c r="D48" s="1448">
        <f ca="1">ROUND(Income!R29,0)</f>
        <v>175614</v>
      </c>
      <c r="E48" s="1449">
        <f ca="1">IF( Retire!U10&gt;0,      Retire!U10-(Retire!U10*Retire!BC10), 0)</f>
        <v>21904.200357980029</v>
      </c>
      <c r="F48" s="393"/>
      <c r="G48" s="271"/>
      <c r="H48" s="1460">
        <f ca="1">IF(K10=0,ROUND(SUMPRODUCT(C15:C21-C14:C20, R48-D15:D21, N(R48&gt;D15:D21)),0),0)</f>
        <v>38266</v>
      </c>
      <c r="I48" s="1448">
        <f ca="1">IF(K10=0,ROUND(SUMPRODUCT(H15:H17-H14:H16, S48-I15:I17, N(S48&gt;I15:I17)),0),0)</f>
        <v>10331</v>
      </c>
      <c r="J48" s="1448">
        <f>IF(K10=0,ROUND(SUMPRODUCT(M15:M17-M14:M16, T48-N15:N17, N(T48&gt;N15:N17)),0),0)</f>
        <v>0</v>
      </c>
      <c r="K48" s="1449">
        <f>IF(K10=0,ROUND(SUMPRODUCT(R15:R17-R14:R16, U48-S15:S17, N(U48&gt;S15:S17)),0),0)</f>
        <v>0</v>
      </c>
      <c r="L48" s="1235"/>
      <c r="M48" s="1461">
        <f t="shared" ca="1" si="0"/>
        <v>48597</v>
      </c>
      <c r="N48" s="1455"/>
      <c r="O48" s="1455"/>
      <c r="P48" s="1455"/>
      <c r="Q48" s="1455"/>
      <c r="R48" s="1462">
        <f t="shared" ca="1" si="1"/>
        <v>184568.20035798004</v>
      </c>
      <c r="S48" s="1463">
        <f t="shared" ca="1" si="2"/>
        <v>193018.20035798004</v>
      </c>
      <c r="T48" s="1463">
        <f t="shared" si="3"/>
        <v>0</v>
      </c>
      <c r="U48" s="1464">
        <f t="shared" si="4"/>
        <v>0</v>
      </c>
    </row>
    <row r="49" spans="1:21" hidden="1">
      <c r="A49" s="392" t="str">
        <f ca="1">IF(C49=Retire!$D$12,"==&gt;","")</f>
        <v/>
      </c>
      <c r="C49" s="1444">
        <f ca="1">Income!C30</f>
        <v>2036</v>
      </c>
      <c r="D49" s="1445">
        <f ca="1">ROUND(Income!R30,0)</f>
        <v>82828</v>
      </c>
      <c r="E49" s="1446">
        <f ca="1">IF( Retire!U11&gt;0,      Retire!U11-(Retire!U11*Retire!BC11), 0)</f>
        <v>78954.707013360239</v>
      </c>
      <c r="F49" s="393"/>
      <c r="G49" s="271"/>
      <c r="H49" s="1453">
        <f ca="1">IF(K10=0,ROUND(SUMPRODUCT(C15:C21-C14:C20, R49-D15:D21, N(R49&gt;D15:D21)),0),0)</f>
        <v>28528</v>
      </c>
      <c r="I49" s="1445">
        <f ca="1">IF(K10=0,ROUND(SUMPRODUCT(H15:H17-H14:H16, S49-I15:I17, N(S49&gt;I15:I17)),0),0)</f>
        <v>8187</v>
      </c>
      <c r="J49" s="1445">
        <f>IF(K10=0,ROUND(SUMPRODUCT(M15:M17-M14:M16, T49-N15:N17, N(T49&gt;N15:N17)),0),0)</f>
        <v>0</v>
      </c>
      <c r="K49" s="1446">
        <f>IF(K10=0,ROUND(SUMPRODUCT(R15:R17-R14:R16, U49-S15:S17, N(U49&gt;S15:S17)),0),0)</f>
        <v>0</v>
      </c>
      <c r="L49" s="1235"/>
      <c r="M49" s="1454">
        <f t="shared" ca="1" si="0"/>
        <v>36715</v>
      </c>
      <c r="N49" s="1455"/>
      <c r="O49" s="1455"/>
      <c r="P49" s="1455"/>
      <c r="Q49" s="1455"/>
      <c r="R49" s="1457">
        <f t="shared" ca="1" si="1"/>
        <v>148832.70701336022</v>
      </c>
      <c r="S49" s="1458">
        <f t="shared" ca="1" si="2"/>
        <v>157282.70701336022</v>
      </c>
      <c r="T49" s="1458">
        <f t="shared" si="3"/>
        <v>0</v>
      </c>
      <c r="U49" s="1459">
        <f t="shared" si="4"/>
        <v>0</v>
      </c>
    </row>
    <row r="50" spans="1:21" hidden="1">
      <c r="A50" s="392" t="str">
        <f ca="1">IF(C50=Retire!$D$12,"==&gt;","")</f>
        <v/>
      </c>
      <c r="C50" s="1447">
        <f ca="1">Income!C31</f>
        <v>2037</v>
      </c>
      <c r="D50" s="1448">
        <f ca="1">ROUND(Income!R31,0)</f>
        <v>84042</v>
      </c>
      <c r="E50" s="1449">
        <f ca="1">IF( Retire!U12&gt;0,      Retire!U12-(Retire!U12*Retire!BC12), 0)</f>
        <v>81391.871327485918</v>
      </c>
      <c r="F50" s="393"/>
      <c r="G50" s="271"/>
      <c r="H50" s="1460">
        <f ca="1">IF(K10=0,ROUND(SUMPRODUCT(C15:C21-C14:C20, R50-D15:D21, N(R50&gt;D15:D21)),0),0)</f>
        <v>29404</v>
      </c>
      <c r="I50" s="1448">
        <f ca="1">IF(K10=0,ROUND(SUMPRODUCT(H15:H17-H14:H16, S50-I15:I17, N(S50&gt;I15:I17)),0),0)</f>
        <v>8406</v>
      </c>
      <c r="J50" s="1448">
        <f>IF(K10=0,ROUND(SUMPRODUCT(M15:M17-M14:M16, T50-N15:N17, N(T50&gt;N15:N17)),0),0)</f>
        <v>0</v>
      </c>
      <c r="K50" s="1449">
        <f>IF(K10=0,ROUND(SUMPRODUCT(R15:R17-R14:R16, U50-S15:S17, N(U50&gt;S15:S17)),0),0)</f>
        <v>0</v>
      </c>
      <c r="L50" s="1235"/>
      <c r="M50" s="1461">
        <f t="shared" ca="1" si="0"/>
        <v>37810</v>
      </c>
      <c r="N50" s="1455"/>
      <c r="O50" s="1455"/>
      <c r="P50" s="1455"/>
      <c r="Q50" s="1455"/>
      <c r="R50" s="1462">
        <f t="shared" ca="1" si="1"/>
        <v>152483.87132748592</v>
      </c>
      <c r="S50" s="1463">
        <f t="shared" ca="1" si="2"/>
        <v>160933.87132748592</v>
      </c>
      <c r="T50" s="1463">
        <f t="shared" si="3"/>
        <v>0</v>
      </c>
      <c r="U50" s="1464">
        <f t="shared" si="4"/>
        <v>0</v>
      </c>
    </row>
    <row r="51" spans="1:21" hidden="1">
      <c r="A51" s="392" t="str">
        <f ca="1">IF(C51=Retire!$D$12,"==&gt;","")</f>
        <v/>
      </c>
      <c r="C51" s="1444">
        <f ca="1">Income!C32</f>
        <v>2038</v>
      </c>
      <c r="D51" s="1445">
        <f ca="1">ROUND(Income!R32,0)</f>
        <v>85275</v>
      </c>
      <c r="E51" s="1446">
        <f ca="1">IF( Retire!U13&gt;0,      Retire!U13-(Retire!U13*Retire!BC13), 0)</f>
        <v>83332.908936658467</v>
      </c>
      <c r="F51" s="393"/>
      <c r="G51" s="271"/>
      <c r="H51" s="1453">
        <f ca="1">IF(K10=0,ROUND(SUMPRODUCT(C15:C21-C14:C20, R51-D15:D21, N(R51&gt;D15:D21)),0),0)</f>
        <v>30166</v>
      </c>
      <c r="I51" s="1445">
        <f ca="1">IF(K10=0,ROUND(SUMPRODUCT(H15:H17-H14:H16, S51-I15:I17, N(S51&gt;I15:I17)),0),0)</f>
        <v>8596</v>
      </c>
      <c r="J51" s="1445">
        <f>IF(K10=0,ROUND(SUMPRODUCT(M15:M17-M14:M16, T51-N15:N17, N(T51&gt;N15:N17)),0),0)</f>
        <v>0</v>
      </c>
      <c r="K51" s="1446">
        <f>IF(K10=0,ROUND(SUMPRODUCT(R15:R17-R14:R16, U51-S15:S17, N(U51&gt;S15:S17)),0),0)</f>
        <v>0</v>
      </c>
      <c r="L51" s="1235"/>
      <c r="M51" s="1454">
        <f t="shared" ca="1" si="0"/>
        <v>38762</v>
      </c>
      <c r="N51" s="1455"/>
      <c r="O51" s="1455"/>
      <c r="P51" s="1455"/>
      <c r="Q51" s="1455"/>
      <c r="R51" s="1457">
        <f t="shared" ca="1" si="1"/>
        <v>155657.90893665847</v>
      </c>
      <c r="S51" s="1458">
        <f t="shared" ca="1" si="2"/>
        <v>164107.90893665847</v>
      </c>
      <c r="T51" s="1458">
        <f t="shared" si="3"/>
        <v>0</v>
      </c>
      <c r="U51" s="1459">
        <f t="shared" si="4"/>
        <v>0</v>
      </c>
    </row>
    <row r="52" spans="1:21" hidden="1">
      <c r="A52" s="392" t="str">
        <f ca="1">IF(C52=Retire!$D$12,"==&gt;","")</f>
        <v/>
      </c>
      <c r="C52" s="1447">
        <f ca="1">Income!C33</f>
        <v>2039</v>
      </c>
      <c r="D52" s="1448">
        <f ca="1">ROUND(Income!R33,0)</f>
        <v>86527</v>
      </c>
      <c r="E52" s="1449">
        <f ca="1">IF( Retire!U14&gt;0,      Retire!U14-(Retire!U14*Retire!BC14), 0)</f>
        <v>84599.629352941818</v>
      </c>
      <c r="F52" s="393"/>
      <c r="G52" s="271"/>
      <c r="H52" s="1460">
        <f ca="1">IF(K10=0,ROUND(SUMPRODUCT(C15:C21-C14:C20, R52-D15:D21, N(R52&gt;D15:D21)),0),0)</f>
        <v>30770</v>
      </c>
      <c r="I52" s="1448">
        <f ca="1">IF(K10=0,ROUND(SUMPRODUCT(H15:H17-H14:H16, S52-I15:I17, N(S52&gt;I15:I17)),0),0)</f>
        <v>8748</v>
      </c>
      <c r="J52" s="1448">
        <f>IF(K10=0,ROUND(SUMPRODUCT(M15:M17-M14:M16, T52-N15:N17, N(T52&gt;N15:N17)),0),0)</f>
        <v>0</v>
      </c>
      <c r="K52" s="1449">
        <f>IF(K10=0,ROUND(SUMPRODUCT(R15:R17-R14:R16, U52-S15:S17, N(U52&gt;S15:S17)),0),0)</f>
        <v>0</v>
      </c>
      <c r="L52" s="1235"/>
      <c r="M52" s="1461">
        <f t="shared" ca="1" si="0"/>
        <v>39518</v>
      </c>
      <c r="N52" s="1455"/>
      <c r="O52" s="1455"/>
      <c r="P52" s="1455"/>
      <c r="Q52" s="1455"/>
      <c r="R52" s="1462">
        <f t="shared" ca="1" si="1"/>
        <v>158176.62935294182</v>
      </c>
      <c r="S52" s="1463">
        <f t="shared" ca="1" si="2"/>
        <v>166626.62935294182</v>
      </c>
      <c r="T52" s="1463">
        <f t="shared" si="3"/>
        <v>0</v>
      </c>
      <c r="U52" s="1464">
        <f t="shared" si="4"/>
        <v>0</v>
      </c>
    </row>
    <row r="53" spans="1:21" hidden="1">
      <c r="A53" s="392" t="str">
        <f ca="1">IF(C53=Retire!$D$12,"==&gt;","")</f>
        <v/>
      </c>
      <c r="C53" s="1444">
        <f ca="1">Income!C34</f>
        <v>2040</v>
      </c>
      <c r="D53" s="1445">
        <f ca="1">ROUND(Income!R34,0)</f>
        <v>87797</v>
      </c>
      <c r="E53" s="1446">
        <f ca="1">IF( Retire!U15&gt;0,      Retire!U15-(Retire!U15*Retire!BC15), 0)</f>
        <v>84985.781139293569</v>
      </c>
      <c r="F53" s="393"/>
      <c r="G53" s="271"/>
      <c r="H53" s="1453">
        <f ca="1">IF(K10=0,ROUND(SUMPRODUCT(C15:C21-C14:C20, R53-D15:D21, N(R53&gt;D15:D21)),0),0)</f>
        <v>31168</v>
      </c>
      <c r="I53" s="1445">
        <f ca="1">IF(K10=0,ROUND(SUMPRODUCT(H15:H17-H14:H16, S53-I15:I17, N(S53&gt;I15:I17)),0),0)</f>
        <v>8847</v>
      </c>
      <c r="J53" s="1445">
        <f>IF(K10=0,ROUND(SUMPRODUCT(M15:M17-M14:M16, T53-N15:N17, N(T53&gt;N15:N17)),0),0)</f>
        <v>0</v>
      </c>
      <c r="K53" s="1446">
        <f>IF(K10=0,ROUND(SUMPRODUCT(R15:R17-R14:R16, U53-S15:S17, N(U53&gt;S15:S17)),0),0)</f>
        <v>0</v>
      </c>
      <c r="L53" s="1235"/>
      <c r="M53" s="1454">
        <f t="shared" ca="1" si="0"/>
        <v>40015</v>
      </c>
      <c r="N53" s="1455"/>
      <c r="O53" s="1455"/>
      <c r="P53" s="1455"/>
      <c r="Q53" s="1455"/>
      <c r="R53" s="1457">
        <f t="shared" ca="1" si="1"/>
        <v>159832.78113929357</v>
      </c>
      <c r="S53" s="1458">
        <f t="shared" ca="1" si="2"/>
        <v>168282.78113929357</v>
      </c>
      <c r="T53" s="1458">
        <f t="shared" si="3"/>
        <v>0</v>
      </c>
      <c r="U53" s="1459">
        <f t="shared" si="4"/>
        <v>0</v>
      </c>
    </row>
    <row r="54" spans="1:21" hidden="1">
      <c r="A54" s="392" t="str">
        <f ca="1">IF(C54=Retire!$D$12,"==&gt;","")</f>
        <v/>
      </c>
      <c r="C54" s="1447">
        <f ca="1">Income!C35</f>
        <v>2041</v>
      </c>
      <c r="D54" s="1448">
        <f ca="1">ROUND(Income!R35,0)</f>
        <v>89087</v>
      </c>
      <c r="E54" s="1449">
        <f ca="1">IF( Retire!U16&gt;0,      Retire!U16-(Retire!U16*Retire!BC16), 0)</f>
        <v>84219.015060681442</v>
      </c>
      <c r="F54" s="393"/>
      <c r="G54" s="271"/>
      <c r="H54" s="1460">
        <f ca="1">IF(K10=0,ROUND(SUMPRODUCT(C15:C21-C14:C20, R54-D15:D21, N(R54&gt;D15:D21)),0),0)</f>
        <v>31293</v>
      </c>
      <c r="I54" s="1448">
        <f ca="1">IF(K10=0,ROUND(SUMPRODUCT(H15:H17-H14:H16, S54-I15:I17, N(S54&gt;I15:I17)),0),0)</f>
        <v>8878</v>
      </c>
      <c r="J54" s="1448">
        <f>IF(K10=0,ROUND(SUMPRODUCT(M15:M17-M14:M16, T54-N15:N17, N(T54&gt;N15:N17)),0),0)</f>
        <v>0</v>
      </c>
      <c r="K54" s="1449">
        <f>IF(K10=0,ROUND(SUMPRODUCT(R15:R17-R14:R16, U54-S15:S17, N(U54&gt;S15:S17)),0),0)</f>
        <v>0</v>
      </c>
      <c r="L54" s="1235"/>
      <c r="M54" s="1461">
        <f t="shared" ca="1" si="0"/>
        <v>40171</v>
      </c>
      <c r="N54" s="1455"/>
      <c r="O54" s="1455"/>
      <c r="P54" s="1455"/>
      <c r="Q54" s="1455"/>
      <c r="R54" s="1462">
        <f t="shared" ca="1" si="1"/>
        <v>160356.01506068144</v>
      </c>
      <c r="S54" s="1463">
        <f t="shared" ca="1" si="2"/>
        <v>168806.01506068144</v>
      </c>
      <c r="T54" s="1463">
        <f t="shared" si="3"/>
        <v>0</v>
      </c>
      <c r="U54" s="1464">
        <f t="shared" si="4"/>
        <v>0</v>
      </c>
    </row>
    <row r="55" spans="1:21" hidden="1">
      <c r="A55" s="392" t="str">
        <f ca="1">IF(C55=Retire!$D$12,"==&gt;","")</f>
        <v/>
      </c>
      <c r="C55" s="1444">
        <f ca="1">Income!C36</f>
        <v>2042</v>
      </c>
      <c r="D55" s="1445">
        <f ca="1">ROUND(Income!R36,0)</f>
        <v>90397</v>
      </c>
      <c r="E55" s="1446">
        <f ca="1">IF( Retire!U17&gt;0,      Retire!U17-(Retire!U17*Retire!BC17), 0)</f>
        <v>81968.322218526067</v>
      </c>
      <c r="F55" s="393"/>
      <c r="G55" s="271"/>
      <c r="H55" s="1453">
        <f ca="1">IF(K10=0,ROUND(SUMPRODUCT(C15:C21-C14:C20, R55-D15:D21, N(R55&gt;D15:D21)),0),0)</f>
        <v>31068</v>
      </c>
      <c r="I55" s="1445">
        <f ca="1">IF(K10=0,ROUND(SUMPRODUCT(H15:H17-H14:H16, S55-I15:I17, N(S55&gt;I15:I17)),0),0)</f>
        <v>8822</v>
      </c>
      <c r="J55" s="1445">
        <f>IF(K10=0,ROUND(SUMPRODUCT(M15:M17-M14:M16, T55-N15:N17, N(T55&gt;N15:N17)),0),0)</f>
        <v>0</v>
      </c>
      <c r="K55" s="1446">
        <f>IF(K10=0,ROUND(SUMPRODUCT(R15:R17-R14:R16, U55-S15:S17, N(U55&gt;S15:S17)),0),0)</f>
        <v>0</v>
      </c>
      <c r="L55" s="1235"/>
      <c r="M55" s="1454">
        <f t="shared" ca="1" si="0"/>
        <v>39890</v>
      </c>
      <c r="N55" s="1455"/>
      <c r="O55" s="1455"/>
      <c r="P55" s="1455"/>
      <c r="Q55" s="1455"/>
      <c r="R55" s="1457">
        <f t="shared" ca="1" si="1"/>
        <v>159415.32221852607</v>
      </c>
      <c r="S55" s="1458">
        <f t="shared" ca="1" si="2"/>
        <v>167865.32221852607</v>
      </c>
      <c r="T55" s="1458">
        <f t="shared" si="3"/>
        <v>0</v>
      </c>
      <c r="U55" s="1459">
        <f t="shared" si="4"/>
        <v>0</v>
      </c>
    </row>
    <row r="56" spans="1:21" hidden="1">
      <c r="A56" s="392" t="str">
        <f ca="1">IF(C56=Retire!$D$12,"==&gt;","")</f>
        <v/>
      </c>
      <c r="C56" s="1447">
        <f ca="1">Income!C37</f>
        <v>2043</v>
      </c>
      <c r="D56" s="1448">
        <f ca="1">ROUND(Income!R37,0)</f>
        <v>91727</v>
      </c>
      <c r="E56" s="1449">
        <f ca="1">IF( Retire!U18&gt;0,      Retire!U18-(Retire!U18*Retire!BC18), 0)</f>
        <v>77744.098374356967</v>
      </c>
      <c r="F56" s="393"/>
      <c r="G56" s="271"/>
      <c r="H56" s="1460">
        <f ca="1">IF(K10=0,ROUND(SUMPRODUCT(C15:C21-C14:C20, R56-D15:D21, N(R56&gt;D15:D21)),0),0)</f>
        <v>30373</v>
      </c>
      <c r="I56" s="1448">
        <f ca="1">IF(K10=0,ROUND(SUMPRODUCT(H15:H17-H14:H16, S56-I15:I17, N(S56&gt;I15:I17)),0),0)</f>
        <v>8648</v>
      </c>
      <c r="J56" s="1448">
        <f>IF(K10=0,ROUND(SUMPRODUCT(M15:M17-M14:M16, T56-N15:N17, N(T56&gt;N15:N17)),0),0)</f>
        <v>0</v>
      </c>
      <c r="K56" s="1449">
        <f>IF(K10=0,ROUND(SUMPRODUCT(R15:R17-R14:R16, U56-S15:S17, N(U56&gt;S15:S17)),0),0)</f>
        <v>0</v>
      </c>
      <c r="L56" s="1235"/>
      <c r="M56" s="1461">
        <f t="shared" ca="1" si="0"/>
        <v>39021</v>
      </c>
      <c r="N56" s="1455"/>
      <c r="O56" s="1455"/>
      <c r="P56" s="1455"/>
      <c r="Q56" s="1455"/>
      <c r="R56" s="1462">
        <f t="shared" ca="1" si="1"/>
        <v>156521.09837435698</v>
      </c>
      <c r="S56" s="1463">
        <f t="shared" ca="1" si="2"/>
        <v>164971.09837435698</v>
      </c>
      <c r="T56" s="1463">
        <f t="shared" si="3"/>
        <v>0</v>
      </c>
      <c r="U56" s="1464">
        <f t="shared" si="4"/>
        <v>0</v>
      </c>
    </row>
    <row r="57" spans="1:21" hidden="1">
      <c r="A57" s="392" t="str">
        <f ca="1">IF(C57=Retire!$D$12,"==&gt;","")</f>
        <v/>
      </c>
      <c r="C57" s="1444">
        <f ca="1">Income!C38</f>
        <v>2044</v>
      </c>
      <c r="D57" s="1445">
        <f ca="1">ROUND(Income!R38,0)</f>
        <v>93077</v>
      </c>
      <c r="E57" s="1446">
        <f ca="1">IF( Retire!U19&gt;0,      Retire!U19-(Retire!U19*Retire!BC19), 0)</f>
        <v>70972.822120130149</v>
      </c>
      <c r="F57" s="393"/>
      <c r="G57" s="271"/>
      <c r="H57" s="1453">
        <f ca="1">IF(K10=0,ROUND(SUMPRODUCT(C15:C21-C14:C20, R57-D15:D21, N(R57&gt;D15:D21)),0),0)</f>
        <v>29072</v>
      </c>
      <c r="I57" s="1445">
        <f ca="1">IF(K10=0,ROUND(SUMPRODUCT(H15:H17-H14:H16, S57-I15:I17, N(S57&gt;I15:I17)),0),0)</f>
        <v>8323</v>
      </c>
      <c r="J57" s="1445">
        <f>IF(K10=0,ROUND(SUMPRODUCT(M15:M17-M14:M16, T57-N15:N17, N(T57&gt;N15:N17)),0),0)</f>
        <v>0</v>
      </c>
      <c r="K57" s="1446">
        <f>IF(K10=0,ROUND(SUMPRODUCT(R15:R17-R14:R16, U57-S15:S17, N(U57&gt;S15:S17)),0),0)</f>
        <v>0</v>
      </c>
      <c r="L57" s="1235"/>
      <c r="M57" s="1454">
        <f t="shared" ca="1" si="0"/>
        <v>37395</v>
      </c>
      <c r="N57" s="1455"/>
      <c r="O57" s="1455"/>
      <c r="P57" s="1455"/>
      <c r="Q57" s="1455"/>
      <c r="R57" s="1457">
        <f t="shared" ca="1" si="1"/>
        <v>151099.82212013015</v>
      </c>
      <c r="S57" s="1458">
        <f t="shared" ca="1" si="2"/>
        <v>159549.82212013015</v>
      </c>
      <c r="T57" s="1458">
        <f t="shared" si="3"/>
        <v>0</v>
      </c>
      <c r="U57" s="1459">
        <f t="shared" si="4"/>
        <v>0</v>
      </c>
    </row>
    <row r="58" spans="1:21" hidden="1">
      <c r="A58" s="392" t="str">
        <f ca="1">IF(C58=Retire!$D$12,"==&gt;","")</f>
        <v/>
      </c>
      <c r="C58" s="1447">
        <f ca="1">Income!C39</f>
        <v>2045</v>
      </c>
      <c r="D58" s="1448">
        <f ca="1">ROUND(Income!R39,0)</f>
        <v>94447</v>
      </c>
      <c r="E58" s="1449">
        <f ca="1">IF( Retire!U20&gt;0,      Retire!U20-(Retire!U20*Retire!BC20), 0)</f>
        <v>60917.580117716258</v>
      </c>
      <c r="F58" s="393"/>
      <c r="G58" s="271"/>
      <c r="H58" s="1460">
        <f ca="1">IF(K10=0,ROUND(SUMPRODUCT(C15:C21-C14:C20, R58-D15:D21, N(R58&gt;D15:D21)),0),0)</f>
        <v>26987</v>
      </c>
      <c r="I58" s="1448">
        <f ca="1">IF(K10=0,ROUND(SUMPRODUCT(H15:H17-H14:H16, S58-I15:I17, N(S58&gt;I15:I17)),0),0)</f>
        <v>7802</v>
      </c>
      <c r="J58" s="1448">
        <f>IF(K10=0,ROUND(SUMPRODUCT(M15:M17-M14:M16, T58-N15:N17, N(T58&gt;N15:N17)),0),0)</f>
        <v>0</v>
      </c>
      <c r="K58" s="1449">
        <f>IF(K10=0,ROUND(SUMPRODUCT(R15:R17-R14:R16, U58-S15:S17, N(U58&gt;S15:S17)),0),0)</f>
        <v>0</v>
      </c>
      <c r="L58" s="1235"/>
      <c r="M58" s="1461">
        <f t="shared" ca="1" si="0"/>
        <v>34789</v>
      </c>
      <c r="N58" s="1455"/>
      <c r="O58" s="1456"/>
      <c r="P58" s="1455"/>
      <c r="Q58" s="1455"/>
      <c r="R58" s="1462">
        <f t="shared" ca="1" si="1"/>
        <v>142414.58011771625</v>
      </c>
      <c r="S58" s="1463">
        <f t="shared" ca="1" si="2"/>
        <v>150864.58011771625</v>
      </c>
      <c r="T58" s="1463">
        <f t="shared" si="3"/>
        <v>0</v>
      </c>
      <c r="U58" s="1464">
        <f t="shared" si="4"/>
        <v>0</v>
      </c>
    </row>
    <row r="59" spans="1:21" hidden="1">
      <c r="A59" s="392" t="str">
        <f ca="1">IF(C59=Retire!$D$12,"==&gt;","")</f>
        <v/>
      </c>
      <c r="C59" s="1444">
        <f ca="1">Income!C40</f>
        <v>2046</v>
      </c>
      <c r="D59" s="1445">
        <f ca="1">ROUND(Income!R40,0)</f>
        <v>95839</v>
      </c>
      <c r="E59" s="1446">
        <f ca="1">IF( Retire!U21&gt;0,      Retire!U21-(Retire!U21*Retire!BC21), 0)</f>
        <v>46704.504004605587</v>
      </c>
      <c r="F59" s="393"/>
      <c r="G59" s="271"/>
      <c r="H59" s="1453">
        <f ca="1">IF(K10=0,ROUND(SUMPRODUCT(C15:C21-C14:C20, R59-D15:D21, N(R59&gt;D15:D21)),0),0)</f>
        <v>23910</v>
      </c>
      <c r="I59" s="1445">
        <f ca="1">IF(K10=0,ROUND(SUMPRODUCT(H15:H17-H14:H16, S59-I15:I17, N(S59&gt;I15:I17)),0),0)</f>
        <v>7033</v>
      </c>
      <c r="J59" s="1445">
        <f>IF(K10=0,ROUND(SUMPRODUCT(M15:M17-M14:M16, T59-N15:N17, N(T59&gt;N15:N17)),0),0)</f>
        <v>0</v>
      </c>
      <c r="K59" s="1446">
        <f>IF(K10=0,ROUND(SUMPRODUCT(R15:R17-R14:R16, U59-S15:S17, N(U59&gt;S15:S17)),0),0)</f>
        <v>0</v>
      </c>
      <c r="L59" s="1235"/>
      <c r="M59" s="1454">
        <f t="shared" ca="1" si="0"/>
        <v>30943</v>
      </c>
      <c r="N59" s="1455"/>
      <c r="O59" s="1455"/>
      <c r="P59" s="1455"/>
      <c r="Q59" s="1455"/>
      <c r="R59" s="1457">
        <f t="shared" ca="1" si="1"/>
        <v>129593.50400460558</v>
      </c>
      <c r="S59" s="1458">
        <f t="shared" ca="1" si="2"/>
        <v>138043.50400460558</v>
      </c>
      <c r="T59" s="1458">
        <f t="shared" si="3"/>
        <v>0</v>
      </c>
      <c r="U59" s="1459">
        <f t="shared" si="4"/>
        <v>0</v>
      </c>
    </row>
    <row r="60" spans="1:21" hidden="1">
      <c r="A60" s="392" t="str">
        <f ca="1">IF(C60=Retire!$D$12,"==&gt;","")</f>
        <v/>
      </c>
      <c r="C60" s="1447">
        <f ca="1">Income!C41</f>
        <v>2047</v>
      </c>
      <c r="D60" s="1448">
        <f ca="1">ROUND(Income!R41,0)</f>
        <v>97252</v>
      </c>
      <c r="E60" s="1449">
        <f ca="1">IF( Retire!U22&gt;0,      Retire!U22-(Retire!U22*Retire!BC22), 0)</f>
        <v>27447.628859972698</v>
      </c>
      <c r="F60" s="393"/>
      <c r="G60" s="271"/>
      <c r="H60" s="1460">
        <f ca="1">IF(K10=0,ROUND(SUMPRODUCT(C15:C21-C14:C20, R60-D15:D21, N(R60&gt;D15:D21)),0),0)</f>
        <v>19628</v>
      </c>
      <c r="I60" s="1448">
        <f ca="1">IF(K10=0,ROUND(SUMPRODUCT(H15:H17-H14:H16, S60-I15:I17, N(S60&gt;I15:I17)),0),0)</f>
        <v>5962</v>
      </c>
      <c r="J60" s="1448">
        <f>IF(K10=0,ROUND(SUMPRODUCT(M15:M17-M14:M16, T60-N15:N17, N(T60&gt;N15:N17)),0),0)</f>
        <v>0</v>
      </c>
      <c r="K60" s="1449">
        <f>IF(K10=0,ROUND(SUMPRODUCT(R15:R17-R14:R16, U60-S15:S17, N(U60&gt;S15:S17)),0),0)</f>
        <v>0</v>
      </c>
      <c r="L60" s="1235"/>
      <c r="M60" s="1461">
        <f t="shared" ca="1" si="0"/>
        <v>25590</v>
      </c>
      <c r="N60" s="1455"/>
      <c r="O60" s="1455"/>
      <c r="P60" s="1455"/>
      <c r="Q60" s="1455"/>
      <c r="R60" s="1462">
        <f t="shared" ca="1" si="1"/>
        <v>111749.6288599727</v>
      </c>
      <c r="S60" s="1463">
        <f t="shared" ca="1" si="2"/>
        <v>120199.6288599727</v>
      </c>
      <c r="T60" s="1463">
        <f t="shared" si="3"/>
        <v>0</v>
      </c>
      <c r="U60" s="1464">
        <f t="shared" si="4"/>
        <v>0</v>
      </c>
    </row>
    <row r="61" spans="1:21" hidden="1">
      <c r="A61" s="392" t="str">
        <f ca="1">IF(C61=Retire!$D$12,"==&gt;","")</f>
        <v/>
      </c>
      <c r="C61" s="1444">
        <f ca="1">Income!C42</f>
        <v>2048</v>
      </c>
      <c r="D61" s="1445">
        <f ca="1">ROUND(Income!R42,0)</f>
        <v>98687</v>
      </c>
      <c r="E61" s="1446">
        <f ca="1">IF( Retire!U23&gt;0,      Retire!U23-(Retire!U23*Retire!BC23), 0)</f>
        <v>2498.4656225123035</v>
      </c>
      <c r="F61" s="393"/>
      <c r="G61" s="271"/>
      <c r="H61" s="1453">
        <f ca="1">IF(K10=0,ROUND(SUMPRODUCT(C15:C21-C14:C20, R61-D15:D21, N(R61&gt;D15:D21)),0),0)</f>
        <v>14001</v>
      </c>
      <c r="I61" s="1445">
        <f ca="1">IF(K10=0,ROUND(SUMPRODUCT(H15:H17-H14:H16, S61-I15:I17, N(S61&gt;I15:I17)),0),0)</f>
        <v>4551</v>
      </c>
      <c r="J61" s="1445">
        <f>IF(K10=0,ROUND(SUMPRODUCT(M15:M17-M14:M16, T61-N15:N17, N(T61&gt;N15:N17)),0),0)</f>
        <v>0</v>
      </c>
      <c r="K61" s="1446">
        <f>IF(K10=0,ROUND(SUMPRODUCT(R15:R17-R14:R16, U61-S15:S17, N(U61&gt;S15:S17)),0),0)</f>
        <v>0</v>
      </c>
      <c r="L61" s="1235"/>
      <c r="M61" s="1454">
        <f t="shared" ca="1" si="0"/>
        <v>18552</v>
      </c>
      <c r="N61" s="1455"/>
      <c r="O61" s="1455"/>
      <c r="P61" s="1455"/>
      <c r="Q61" s="1455"/>
      <c r="R61" s="1457">
        <f t="shared" ca="1" si="1"/>
        <v>88235.465622512304</v>
      </c>
      <c r="S61" s="1458">
        <f t="shared" ca="1" si="2"/>
        <v>96685.465622512304</v>
      </c>
      <c r="T61" s="1458">
        <f t="shared" si="3"/>
        <v>0</v>
      </c>
      <c r="U61" s="1459">
        <f t="shared" si="4"/>
        <v>0</v>
      </c>
    </row>
    <row r="62" spans="1:21" hidden="1">
      <c r="A62" s="392" t="str">
        <f ca="1">IF(C62=Retire!$D$12,"==&gt;","")</f>
        <v/>
      </c>
      <c r="C62" s="1447">
        <f ca="1">Income!C43</f>
        <v>2049</v>
      </c>
      <c r="D62" s="1448">
        <f ca="1">ROUND(Income!R43,0)</f>
        <v>100143</v>
      </c>
      <c r="E62" s="1449">
        <f ca="1">IF( Retire!U24&gt;0,      Retire!U24-(Retire!U24*Retire!BC24), 0)</f>
        <v>141.64693785106647</v>
      </c>
      <c r="F62" s="393"/>
      <c r="G62" s="271"/>
      <c r="H62" s="1460">
        <f ca="1">IF(K10=0,ROUND(SUMPRODUCT(C15:C21-C14:C20, R62-D15:D21, N(R62&gt;D15:D21)),0),0)</f>
        <v>13803</v>
      </c>
      <c r="I62" s="1448">
        <f ca="1">IF(K10=0,ROUND(SUMPRODUCT(H15:H17-H14:H16, S62-I15:I17, N(S62&gt;I15:I17)),0),0)</f>
        <v>4497</v>
      </c>
      <c r="J62" s="1448">
        <f>IF(K10=0,ROUND(SUMPRODUCT(M15:M17-M14:M16, T62-N15:N17, N(T62&gt;N15:N17)),0),0)</f>
        <v>0</v>
      </c>
      <c r="K62" s="1449">
        <f>IF(K10=0,ROUND(SUMPRODUCT(R15:R17-R14:R16, U62-S15:S17, N(U62&gt;S15:S17)),0),0)</f>
        <v>0</v>
      </c>
      <c r="L62" s="1235"/>
      <c r="M62" s="1461">
        <f t="shared" ca="1" si="0"/>
        <v>18300</v>
      </c>
      <c r="N62" s="1455"/>
      <c r="O62" s="1455"/>
      <c r="P62" s="1455"/>
      <c r="Q62" s="1455"/>
      <c r="R62" s="1462">
        <f t="shared" ca="1" si="1"/>
        <v>87334.646937851066</v>
      </c>
      <c r="S62" s="1463">
        <f t="shared" ca="1" si="2"/>
        <v>95784.646937851066</v>
      </c>
      <c r="T62" s="1463">
        <f t="shared" si="3"/>
        <v>0</v>
      </c>
      <c r="U62" s="1464">
        <f t="shared" si="4"/>
        <v>0</v>
      </c>
    </row>
    <row r="63" spans="1:21" hidden="1">
      <c r="A63" s="392" t="str">
        <f ca="1">IF(C63=Retire!$D$12,"==&gt;","")</f>
        <v/>
      </c>
      <c r="C63" s="1444">
        <f ca="1">Income!C44</f>
        <v>2050</v>
      </c>
      <c r="D63" s="1445">
        <f ca="1">ROUND(Income!R44,0)</f>
        <v>101622</v>
      </c>
      <c r="E63" s="1446">
        <f ca="1">IF( Retire!U25&gt;0,      Retire!U25-(Retire!U25*Retire!BC25), 0)</f>
        <v>1.5940219772019191</v>
      </c>
      <c r="F63" s="393"/>
      <c r="G63" s="271"/>
      <c r="H63" s="1453">
        <f ca="1">IF(K10=0,ROUND(SUMPRODUCT(C15:C21-C14:C20, R63-D15:D21, N(R63&gt;D15:D21)),0),0)</f>
        <v>14098</v>
      </c>
      <c r="I63" s="1445">
        <f ca="1">IF(K10=0,ROUND(SUMPRODUCT(H15:H17-H14:H16, S63-I15:I17, N(S63&gt;I15:I17)),0),0)</f>
        <v>4577</v>
      </c>
      <c r="J63" s="1445">
        <f>IF(K10=0,ROUND(SUMPRODUCT(M15:M17-M14:M16, T63-N15:N17, N(T63&gt;N15:N17)),0),0)</f>
        <v>0</v>
      </c>
      <c r="K63" s="1446">
        <f>IF(K10=0,ROUND(SUMPRODUCT(R15:R17-R14:R16, U63-S15:S17, N(U63&gt;S15:S17)),0),0)</f>
        <v>0</v>
      </c>
      <c r="L63" s="1235"/>
      <c r="M63" s="1454">
        <f t="shared" ca="1" si="0"/>
        <v>18675</v>
      </c>
      <c r="N63" s="1455"/>
      <c r="O63" s="1455"/>
      <c r="P63" s="1455"/>
      <c r="Q63" s="1455"/>
      <c r="R63" s="1457">
        <f t="shared" ca="1" si="1"/>
        <v>88673.594021977202</v>
      </c>
      <c r="S63" s="1458">
        <f t="shared" ca="1" si="2"/>
        <v>97123.594021977202</v>
      </c>
      <c r="T63" s="1458">
        <f t="shared" si="3"/>
        <v>0</v>
      </c>
      <c r="U63" s="1459">
        <f t="shared" si="4"/>
        <v>0</v>
      </c>
    </row>
    <row r="64" spans="1:21" hidden="1">
      <c r="A64" s="392" t="str">
        <f ca="1">IF(C64=Retire!$D$12,"==&gt;","")</f>
        <v/>
      </c>
      <c r="C64" s="1447">
        <f ca="1">Income!C45</f>
        <v>2051</v>
      </c>
      <c r="D64" s="1448">
        <f ca="1">ROUND(Income!R45,0)</f>
        <v>103124</v>
      </c>
      <c r="E64" s="1449">
        <f ca="1">IF( Retire!U26&gt;0,      Retire!U26-(Retire!U26*Retire!BC26), 0)</f>
        <v>7.2780437330948189E-2</v>
      </c>
      <c r="F64" s="393"/>
      <c r="G64" s="271"/>
      <c r="H64" s="1460">
        <f ca="1">IF(K10=0,ROUND(SUMPRODUCT(C15:C21-C14:C20, R64-D15:D21, N(R64&gt;D15:D21)),0),0)</f>
        <v>14450</v>
      </c>
      <c r="I64" s="1448">
        <f ca="1">IF(K10=0,ROUND(SUMPRODUCT(H15:H17-H14:H16, S64-I15:I17, N(S64&gt;I15:I17)),0),0)</f>
        <v>4667</v>
      </c>
      <c r="J64" s="1448">
        <f>IF(K10=0,ROUND(SUMPRODUCT(M15:M17-M14:M16, T64-N15:N17, N(T64&gt;N15:N17)),0),0)</f>
        <v>0</v>
      </c>
      <c r="K64" s="1449">
        <f>IF(K10=0,ROUND(SUMPRODUCT(R15:R17-R14:R16, U64-S15:S17, N(U64&gt;S15:S17)),0),0)</f>
        <v>0</v>
      </c>
      <c r="L64" s="1235"/>
      <c r="M64" s="1461">
        <f t="shared" ca="1" si="0"/>
        <v>19117</v>
      </c>
      <c r="N64" s="1455"/>
      <c r="O64" s="1455"/>
      <c r="P64" s="1455"/>
      <c r="Q64" s="1455"/>
      <c r="R64" s="1462">
        <f t="shared" ca="1" si="1"/>
        <v>90174.072780437331</v>
      </c>
      <c r="S64" s="1463">
        <f t="shared" ca="1" si="2"/>
        <v>98624.072780437331</v>
      </c>
      <c r="T64" s="1463">
        <f t="shared" si="3"/>
        <v>0</v>
      </c>
      <c r="U64" s="1464">
        <f t="shared" si="4"/>
        <v>0</v>
      </c>
    </row>
    <row r="65" spans="1:21" hidden="1">
      <c r="A65" s="392" t="str">
        <f ca="1">IF(C65=Retire!$D$12,"==&gt;","")</f>
        <v/>
      </c>
      <c r="C65" s="1444">
        <f ca="1">Income!C46</f>
        <v>2052</v>
      </c>
      <c r="D65" s="1445">
        <f ca="1">ROUND(Income!R46,0)</f>
        <v>104649</v>
      </c>
      <c r="E65" s="1446">
        <f ca="1">IF( Retire!U27&gt;0,      Retire!U27-(Retire!U27*Retire!BC27), 0)</f>
        <v>3.3886303281178698E-3</v>
      </c>
      <c r="F65" s="393"/>
      <c r="G65" s="271"/>
      <c r="H65" s="1453">
        <f ca="1">IF(K10=0,ROUND(SUMPRODUCT(C15:C21-C14:C20, R65-D15:D21, N(R65&gt;D15:D21)),0),0)</f>
        <v>14816</v>
      </c>
      <c r="I65" s="1445">
        <f ca="1">IF(K10=0,ROUND(SUMPRODUCT(H15:H17-H14:H16, S65-I15:I17, N(S65&gt;I15:I17)),0),0)</f>
        <v>4759</v>
      </c>
      <c r="J65" s="1445">
        <f>IF(K10=0,ROUND(SUMPRODUCT(M15:M17-M14:M16, T65-N15:N17, N(T65&gt;N15:N17)),0),0)</f>
        <v>0</v>
      </c>
      <c r="K65" s="1446">
        <f>IF(K10=0,ROUND(SUMPRODUCT(R15:R17-R14:R16, U65-S15:S17, N(U65&gt;S15:S17)),0),0)</f>
        <v>0</v>
      </c>
      <c r="L65" s="1235"/>
      <c r="M65" s="1454">
        <f t="shared" ca="1" si="0"/>
        <v>19575</v>
      </c>
      <c r="N65" s="1455"/>
      <c r="O65" s="1455"/>
      <c r="P65" s="1455"/>
      <c r="Q65" s="1455"/>
      <c r="R65" s="1457">
        <f t="shared" ca="1" si="1"/>
        <v>91699.003388630328</v>
      </c>
      <c r="S65" s="1458">
        <f t="shared" ca="1" si="2"/>
        <v>100149.00338863033</v>
      </c>
      <c r="T65" s="1458">
        <f t="shared" si="3"/>
        <v>0</v>
      </c>
      <c r="U65" s="1459">
        <f t="shared" si="4"/>
        <v>0</v>
      </c>
    </row>
    <row r="66" spans="1:21" hidden="1">
      <c r="A66" s="392" t="str">
        <f ca="1">IF(C66=Retire!$D$12,"==&gt;","")</f>
        <v/>
      </c>
      <c r="C66" s="1447">
        <f ca="1">Income!C47</f>
        <v>2053</v>
      </c>
      <c r="D66" s="1448">
        <f ca="1">ROUND(Income!R47,0)</f>
        <v>106197</v>
      </c>
      <c r="E66" s="1449">
        <f ca="1">IF( Retire!U28&gt;0,      Retire!U28-(Retire!U28*Retire!BC28), 0)</f>
        <v>1.5804100257810205E-4</v>
      </c>
      <c r="F66" s="393"/>
      <c r="G66" s="271"/>
      <c r="H66" s="1460">
        <f ca="1">IF(K10=0,ROUND(SUMPRODUCT(C15:C21-C14:C20, R66-D15:D21, N(R66&gt;D15:D21)),0),0)</f>
        <v>15187</v>
      </c>
      <c r="I66" s="1448">
        <f ca="1">IF(K10=0,ROUND(SUMPRODUCT(H15:H17-H14:H16, S66-I15:I17, N(S66&gt;I15:I17)),0),0)</f>
        <v>4852</v>
      </c>
      <c r="J66" s="1448">
        <f>IF(K10=0,ROUND(SUMPRODUCT(M15:M17-M14:M16, T66-N15:N17, N(T66&gt;N15:N17)),0),0)</f>
        <v>0</v>
      </c>
      <c r="K66" s="1449">
        <f>IF(K10=0,ROUND(SUMPRODUCT(R15:R17-R14:R16, U66-S15:S17, N(U66&gt;S15:S17)),0),0)</f>
        <v>0</v>
      </c>
      <c r="L66" s="1235"/>
      <c r="M66" s="1461">
        <f t="shared" ca="1" si="0"/>
        <v>20039</v>
      </c>
      <c r="N66" s="1455"/>
      <c r="O66" s="1455"/>
      <c r="P66" s="1455"/>
      <c r="Q66" s="1455"/>
      <c r="R66" s="1462">
        <f t="shared" ca="1" si="1"/>
        <v>93247.000158041003</v>
      </c>
      <c r="S66" s="1463">
        <f t="shared" ca="1" si="2"/>
        <v>101697.000158041</v>
      </c>
      <c r="T66" s="1463">
        <f t="shared" si="3"/>
        <v>0</v>
      </c>
      <c r="U66" s="1464">
        <f t="shared" si="4"/>
        <v>0</v>
      </c>
    </row>
    <row r="67" spans="1:21" hidden="1">
      <c r="A67" s="392" t="str">
        <f ca="1">IF(C67=Retire!$D$12,"==&gt;","")</f>
        <v/>
      </c>
      <c r="C67" s="1444">
        <f ca="1">Income!C48</f>
        <v>2054</v>
      </c>
      <c r="D67" s="1445">
        <f ca="1">ROUND(Income!R48,0)</f>
        <v>107769</v>
      </c>
      <c r="E67" s="1446">
        <f ca="1">IF( Retire!U29&gt;0,      Retire!U29-(Retire!U29*Retire!BC29), 0)</f>
        <v>7.8549201134592295E-6</v>
      </c>
      <c r="F67" s="393"/>
      <c r="G67" s="271"/>
      <c r="H67" s="1453">
        <f ca="1">IF(K10=0,ROUND(SUMPRODUCT(C15:C21-C14:C20, R67-D15:D21, N(R67&gt;D15:D21)),0),0)</f>
        <v>15565</v>
      </c>
      <c r="I67" s="1445">
        <f ca="1">IF(K10=0,ROUND(SUMPRODUCT(H15:H17-H14:H16, S67-I15:I17, N(S67&gt;I15:I17)),0),0)</f>
        <v>4946</v>
      </c>
      <c r="J67" s="1445">
        <f>IF(K10=0,ROUND(SUMPRODUCT(M15:M17-M14:M16, T67-N15:N17, N(T67&gt;N15:N17)),0),0)</f>
        <v>0</v>
      </c>
      <c r="K67" s="1446">
        <f>IF(K10=0,ROUND(SUMPRODUCT(R15:R17-R14:R16, U67-S15:S17, N(U67&gt;S15:S17)),0),0)</f>
        <v>0</v>
      </c>
      <c r="L67" s="1235"/>
      <c r="M67" s="1454">
        <f t="shared" ca="1" si="0"/>
        <v>20511</v>
      </c>
      <c r="N67" s="1455"/>
      <c r="O67" s="1455"/>
      <c r="P67" s="1455"/>
      <c r="Q67" s="1455"/>
      <c r="R67" s="1457">
        <f t="shared" ca="1" si="1"/>
        <v>94819.00000785492</v>
      </c>
      <c r="S67" s="1458">
        <f t="shared" ca="1" si="2"/>
        <v>103269.00000785492</v>
      </c>
      <c r="T67" s="1458">
        <f t="shared" si="3"/>
        <v>0</v>
      </c>
      <c r="U67" s="1459">
        <f t="shared" si="4"/>
        <v>0</v>
      </c>
    </row>
    <row r="68" spans="1:21" hidden="1">
      <c r="A68" s="392" t="str">
        <f ca="1">IF(C68=Retire!$D$12,"==&gt;","")</f>
        <v/>
      </c>
      <c r="C68" s="1447">
        <f ca="1">Income!C49</f>
        <v>2055</v>
      </c>
      <c r="D68" s="1448">
        <f ca="1">ROUND(Income!R49,0)</f>
        <v>109366</v>
      </c>
      <c r="E68" s="1449">
        <f ca="1">IF( Retire!U30&gt;0,      Retire!U30-(Retire!U30*Retire!BC30), 0)</f>
        <v>1.0714036761783063E-5</v>
      </c>
      <c r="F68" s="393"/>
      <c r="G68" s="271"/>
      <c r="H68" s="1460">
        <f ca="1">IF(K10=0,ROUND(SUMPRODUCT(C15:C21-C14:C20, R68-D15:D21, N(R68&gt;D15:D21)),0),0)</f>
        <v>15948</v>
      </c>
      <c r="I68" s="1448">
        <f ca="1">IF(K10=0,ROUND(SUMPRODUCT(H15:H17-H14:H16, S68-I15:I17, N(S68&gt;I15:I17)),0),0)</f>
        <v>5042</v>
      </c>
      <c r="J68" s="1448">
        <f>IF(K10=0,ROUND(SUMPRODUCT(M15:M17-M14:M16, T68-N15:N17, N(T68&gt;N15:N17)),0),0)</f>
        <v>0</v>
      </c>
      <c r="K68" s="1449">
        <f>IF(K10=0,ROUND(SUMPRODUCT(R15:R17-R14:R16, U68-S15:S17, N(U68&gt;S15:S17)),0),0)</f>
        <v>0</v>
      </c>
      <c r="L68" s="1235"/>
      <c r="M68" s="1461">
        <f t="shared" ca="1" si="0"/>
        <v>20990</v>
      </c>
      <c r="N68" s="1455"/>
      <c r="O68" s="1455"/>
      <c r="P68" s="1455"/>
      <c r="Q68" s="1455"/>
      <c r="R68" s="1462">
        <f t="shared" ca="1" si="1"/>
        <v>96416.000010714037</v>
      </c>
      <c r="S68" s="1463">
        <f t="shared" ca="1" si="2"/>
        <v>104866.00001071404</v>
      </c>
      <c r="T68" s="1463">
        <f t="shared" si="3"/>
        <v>0</v>
      </c>
      <c r="U68" s="1464">
        <f t="shared" si="4"/>
        <v>0</v>
      </c>
    </row>
    <row r="69" spans="1:21" hidden="1">
      <c r="A69" s="392" t="str">
        <f ca="1">IF(C69=Retire!$D$12,"==&gt;","")</f>
        <v/>
      </c>
      <c r="C69" s="1444">
        <f ca="1">Income!C50</f>
        <v>2056</v>
      </c>
      <c r="D69" s="1445">
        <f ca="1">ROUND(Income!R50,0)</f>
        <v>110987</v>
      </c>
      <c r="E69" s="1446">
        <f ca="1">IF( Retire!U31&gt;0,      Retire!U31-(Retire!U31*Retire!BC31), 0)</f>
        <v>1.6155594494193792E-5</v>
      </c>
      <c r="F69" s="393"/>
      <c r="G69" s="271"/>
      <c r="H69" s="1453">
        <f ca="1">IF(K10=0,ROUND(SUMPRODUCT(C15:C21-C14:C20, R69-D15:D21, N(R69&gt;D15:D21)),0),0)</f>
        <v>16337</v>
      </c>
      <c r="I69" s="1445">
        <f ca="1">IF(K10=0,ROUND(SUMPRODUCT(H15:H17-H14:H16, S69-I15:I17, N(S69&gt;I15:I17)),0),0)</f>
        <v>5139</v>
      </c>
      <c r="J69" s="1445">
        <f>IF(K10=0,ROUND(SUMPRODUCT(M15:M17-M14:M16, T69-N15:N17, N(T69&gt;N15:N17)),0),0)</f>
        <v>0</v>
      </c>
      <c r="K69" s="1446">
        <f>IF(K10=0,ROUND(SUMPRODUCT(R15:R17-R14:R16, U69-S15:S17, N(U69&gt;S15:S17)),0),0)</f>
        <v>0</v>
      </c>
      <c r="L69" s="1235"/>
      <c r="M69" s="1454">
        <f t="shared" ca="1" si="0"/>
        <v>21476</v>
      </c>
      <c r="N69" s="1455"/>
      <c r="O69" s="1455"/>
      <c r="P69" s="1455"/>
      <c r="Q69" s="1455"/>
      <c r="R69" s="1457">
        <f t="shared" ca="1" si="1"/>
        <v>98037.000016155594</v>
      </c>
      <c r="S69" s="1458">
        <f t="shared" ca="1" si="2"/>
        <v>106487.00001615559</v>
      </c>
      <c r="T69" s="1458">
        <f t="shared" si="3"/>
        <v>0</v>
      </c>
      <c r="U69" s="1459">
        <f t="shared" si="4"/>
        <v>0</v>
      </c>
    </row>
    <row r="70" spans="1:21" hidden="1">
      <c r="A70" s="392" t="str">
        <f ca="1">IF(C70=Retire!$D$12,"==&gt;","")</f>
        <v/>
      </c>
      <c r="C70" s="1447">
        <f ca="1">Income!C51</f>
        <v>2057</v>
      </c>
      <c r="D70" s="1448">
        <f ca="1">ROUND(Income!R51,0)</f>
        <v>112633</v>
      </c>
      <c r="E70" s="1449">
        <f ca="1">IF( Retire!U32&gt;0,      Retire!U32-(Retire!U32*Retire!BC32), 0)</f>
        <v>3.0471303034573793E-5</v>
      </c>
      <c r="F70" s="393"/>
      <c r="G70" s="271"/>
      <c r="H70" s="1460">
        <f ca="1">IF(K10=0,ROUND(SUMPRODUCT(C15:C21-C14:C20, R70-D15:D21, N(R70&gt;D15:D21)),0),0)</f>
        <v>16732</v>
      </c>
      <c r="I70" s="1448">
        <f ca="1">IF(K10=0,ROUND(SUMPRODUCT(H15:H17-H14:H16, S70-I15:I17, N(S70&gt;I15:I17)),0),0)</f>
        <v>5238</v>
      </c>
      <c r="J70" s="1448">
        <f>IF(K10=0,ROUND(SUMPRODUCT(M15:M17-M14:M16, T70-N15:N17, N(T70&gt;N15:N17)),0),0)</f>
        <v>0</v>
      </c>
      <c r="K70" s="1449">
        <f>IF(K10=0,ROUND(SUMPRODUCT(R15:R17-R14:R16, U70-S15:S17, N(U70&gt;S15:S17)),0),0)</f>
        <v>0</v>
      </c>
      <c r="L70" s="1235"/>
      <c r="M70" s="1461">
        <f t="shared" ca="1" si="0"/>
        <v>21970</v>
      </c>
      <c r="N70" s="1455"/>
      <c r="O70" s="1455"/>
      <c r="P70" s="1455"/>
      <c r="Q70" s="1455"/>
      <c r="R70" s="1462">
        <f t="shared" ca="1" si="1"/>
        <v>99683.000030471303</v>
      </c>
      <c r="S70" s="1463">
        <f t="shared" ca="1" si="2"/>
        <v>108133.0000304713</v>
      </c>
      <c r="T70" s="1463">
        <f t="shared" si="3"/>
        <v>0</v>
      </c>
      <c r="U70" s="1464">
        <f t="shared" si="4"/>
        <v>0</v>
      </c>
    </row>
    <row r="71" spans="1:21" hidden="1">
      <c r="A71" s="392" t="str">
        <f ca="1">IF(C71=Retire!$D$12,"==&gt;","")</f>
        <v/>
      </c>
      <c r="C71" s="1444">
        <f ca="1">Income!C52</f>
        <v>2058</v>
      </c>
      <c r="D71" s="1445">
        <f ca="1">ROUND(Income!R52,0)</f>
        <v>114304</v>
      </c>
      <c r="E71" s="1446">
        <f ca="1">IF( Retire!U33&gt;0,      Retire!U33-(Retire!U33*Retire!BC33), 0)</f>
        <v>1.682447618804872E-4</v>
      </c>
      <c r="F71" s="393"/>
      <c r="G71" s="271"/>
      <c r="H71" s="1453">
        <f ca="1">IF(K10=0,ROUND(SUMPRODUCT(C15:C21-C14:C20, R71-D15:D21, N(R71&gt;D15:D21)),0),0)</f>
        <v>17133</v>
      </c>
      <c r="I71" s="1445">
        <f ca="1">IF(K10=0,ROUND(SUMPRODUCT(H15:H17-H14:H16, S71-I15:I17, N(S71&gt;I15:I17)),0),0)</f>
        <v>5338</v>
      </c>
      <c r="J71" s="1445">
        <f>IF(K10=0,ROUND(SUMPRODUCT(M15:M17-M14:M16, T71-N15:N17, N(T71&gt;N15:N17)),0),0)</f>
        <v>0</v>
      </c>
      <c r="K71" s="1446">
        <f>IF(K10=0,ROUND(SUMPRODUCT(R15:R17-R14:R16, U71-S15:S17, N(U71&gt;S15:S17)),0),0)</f>
        <v>0</v>
      </c>
      <c r="L71" s="1235"/>
      <c r="M71" s="1454">
        <f t="shared" ca="1" si="0"/>
        <v>22471</v>
      </c>
      <c r="N71" s="1455"/>
      <c r="O71" s="1455"/>
      <c r="P71" s="1455"/>
      <c r="Q71" s="1455"/>
      <c r="R71" s="1457">
        <f t="shared" ca="1" si="1"/>
        <v>101354.00016824476</v>
      </c>
      <c r="S71" s="1458">
        <f t="shared" ca="1" si="2"/>
        <v>109804.00016824476</v>
      </c>
      <c r="T71" s="1458">
        <f t="shared" si="3"/>
        <v>0</v>
      </c>
      <c r="U71" s="1459">
        <f t="shared" si="4"/>
        <v>0</v>
      </c>
    </row>
    <row r="72" spans="1:21" hidden="1">
      <c r="A72" s="392" t="str">
        <f ca="1">IF(C72=Retire!$D$12,"==&gt;","")</f>
        <v/>
      </c>
      <c r="C72" s="1447">
        <f ca="1">Income!C53</f>
        <v>2059</v>
      </c>
      <c r="D72" s="1448">
        <f ca="1">ROUND(Income!R53,0)</f>
        <v>116001</v>
      </c>
      <c r="E72" s="1449">
        <f>IF( Retire!U34&gt;0,      Retire!U34-(Retire!U34*Retire!BC34), 0)</f>
        <v>0</v>
      </c>
      <c r="F72" s="393"/>
      <c r="G72" s="271"/>
      <c r="H72" s="1460">
        <f ca="1">IF(K10=0,ROUND(SUMPRODUCT(C15:C21-C14:C20, R72-D15:D21, N(R72&gt;D15:D21)),0),0)</f>
        <v>17540</v>
      </c>
      <c r="I72" s="1448">
        <f ca="1">IF(K10=0,ROUND(SUMPRODUCT(H15:H17-H14:H16, S72-I15:I17, N(S72&gt;I15:I17)),0),0)</f>
        <v>5440</v>
      </c>
      <c r="J72" s="1448">
        <f>IF(K10=0,ROUND(SUMPRODUCT(M15:M17-M14:M16, T72-N15:N17, N(T72&gt;N15:N17)),0),0)</f>
        <v>0</v>
      </c>
      <c r="K72" s="1449">
        <f>IF(K10=0,ROUND(SUMPRODUCT(R15:R17-R14:R16, U72-S15:S17, N(U72&gt;S15:S17)),0),0)</f>
        <v>0</v>
      </c>
      <c r="L72" s="1235"/>
      <c r="M72" s="1461">
        <f t="shared" ca="1" si="0"/>
        <v>22980</v>
      </c>
      <c r="N72" s="1455"/>
      <c r="O72" s="1455"/>
      <c r="P72" s="1455"/>
      <c r="Q72" s="1455"/>
      <c r="R72" s="1462">
        <f t="shared" ca="1" si="1"/>
        <v>103051</v>
      </c>
      <c r="S72" s="1463">
        <f t="shared" ca="1" si="2"/>
        <v>111501</v>
      </c>
      <c r="T72" s="1463">
        <f t="shared" si="3"/>
        <v>0</v>
      </c>
      <c r="U72" s="1464">
        <f t="shared" si="4"/>
        <v>0</v>
      </c>
    </row>
    <row r="73" spans="1:21" hidden="1">
      <c r="A73" s="392" t="str">
        <f ca="1">IF(C73=Retire!$D$12,"==&gt;","")</f>
        <v/>
      </c>
      <c r="C73" s="1444">
        <f ca="1">Income!C54</f>
        <v>2060</v>
      </c>
      <c r="D73" s="1445">
        <f ca="1">ROUND(Income!R54,0)</f>
        <v>117724</v>
      </c>
      <c r="E73" s="1446">
        <f>IF( Retire!U35&gt;0,      Retire!U35-(Retire!U35*Retire!BC35), 0)</f>
        <v>0</v>
      </c>
      <c r="F73" s="393"/>
      <c r="G73" s="271"/>
      <c r="H73" s="1453">
        <f ca="1">IF(K10=0,ROUND(SUMPRODUCT(C15:C21-C14:C20, R73-D15:D21, N(R73&gt;D15:D21)),0),0)</f>
        <v>17954</v>
      </c>
      <c r="I73" s="1445">
        <f ca="1">IF(K10=0,ROUND(SUMPRODUCT(H15:H17-H14:H16, S73-I15:I17, N(S73&gt;I15:I17)),0),0)</f>
        <v>5543</v>
      </c>
      <c r="J73" s="1445">
        <f>IF(K10=0,ROUND(SUMPRODUCT(M15:M17-M14:M16, T73-N15:N17, N(T73&gt;N15:N17)),0),0)</f>
        <v>0</v>
      </c>
      <c r="K73" s="1446">
        <f>IF(K10=0,ROUND(SUMPRODUCT(R15:R17-R14:R16, U73-S15:S17, N(U73&gt;S15:S17)),0),0)</f>
        <v>0</v>
      </c>
      <c r="L73" s="1235"/>
      <c r="M73" s="1454">
        <f t="shared" ca="1" si="0"/>
        <v>23497</v>
      </c>
      <c r="N73" s="1455"/>
      <c r="O73" s="1455"/>
      <c r="P73" s="1455"/>
      <c r="Q73" s="1455"/>
      <c r="R73" s="1457">
        <f t="shared" ca="1" si="1"/>
        <v>104774</v>
      </c>
      <c r="S73" s="1458">
        <f t="shared" ca="1" si="2"/>
        <v>113224</v>
      </c>
      <c r="T73" s="1458">
        <f t="shared" si="3"/>
        <v>0</v>
      </c>
      <c r="U73" s="1459">
        <f t="shared" si="4"/>
        <v>0</v>
      </c>
    </row>
    <row r="74" spans="1:21" hidden="1">
      <c r="A74" s="392" t="str">
        <f ca="1">IF(C74=Retire!$D$12,"==&gt;","")</f>
        <v/>
      </c>
      <c r="C74" s="1450">
        <f ca="1">Income!C55</f>
        <v>2061</v>
      </c>
      <c r="D74" s="1451">
        <f ca="1">ROUND(Income!R55,0)</f>
        <v>119475</v>
      </c>
      <c r="E74" s="1452">
        <f>IF( Retire!U36&gt;0,      Retire!U36-(Retire!U36*Retire!BC36), 0)</f>
        <v>0</v>
      </c>
      <c r="F74" s="393"/>
      <c r="G74" s="271"/>
      <c r="H74" s="1465">
        <f ca="1">IF(K10=0,ROUND(SUMPRODUCT(C15:C21-C14:C20, R74-D15:D21, N(R74&gt;D15:D21)),0),0)</f>
        <v>18374</v>
      </c>
      <c r="I74" s="1451">
        <f ca="1">IF(K10=0,ROUND(SUMPRODUCT(H15:H17-H14:H16, S74-I15:I17, N(S74&gt;I15:I17)),0),0)</f>
        <v>5649</v>
      </c>
      <c r="J74" s="1451">
        <f>IF(K10=0,ROUND(SUMPRODUCT(M15:M17-M14:M16, T74-N15:N17, N(T74&gt;N15:N17)),0),0)</f>
        <v>0</v>
      </c>
      <c r="K74" s="1452">
        <f>IF(K10=0,ROUND(SUMPRODUCT(R15:R17-R14:R16, U74-S15:S17, N(U74&gt;S15:S17)),0),0)</f>
        <v>0</v>
      </c>
      <c r="L74" s="1235"/>
      <c r="M74" s="1466">
        <f t="shared" ca="1" si="0"/>
        <v>24023</v>
      </c>
      <c r="N74" s="1455"/>
      <c r="O74" s="1455"/>
      <c r="P74" s="1455"/>
      <c r="Q74" s="1455"/>
      <c r="R74" s="1467">
        <f t="shared" ca="1" si="1"/>
        <v>106525</v>
      </c>
      <c r="S74" s="1468">
        <f t="shared" ca="1" si="2"/>
        <v>114975</v>
      </c>
      <c r="T74" s="1468">
        <f t="shared" si="3"/>
        <v>0</v>
      </c>
      <c r="U74" s="1469">
        <f t="shared" si="4"/>
        <v>0</v>
      </c>
    </row>
    <row r="75" spans="1:21" hidden="1">
      <c r="A75" s="392" t="str">
        <f ca="1">IF(C75=Retire!$D$12,"==&gt;","")</f>
        <v/>
      </c>
      <c r="C75" s="1493">
        <f ca="1">Income!C56</f>
        <v>2062</v>
      </c>
      <c r="D75" s="1494">
        <f ca="1">ROUND(Income!R56,0)</f>
        <v>121252</v>
      </c>
      <c r="E75" s="1495">
        <f>IF( Retire!U37&gt;0,      Retire!U37-(Retire!U37*Retire!BC37), 0)</f>
        <v>0</v>
      </c>
      <c r="F75" s="393"/>
      <c r="G75" s="271"/>
      <c r="H75" s="1496">
        <f ca="1">IF(K10=0,ROUND(SUMPRODUCT(C15:C21-C14:C20, R75-D15:D21, N(R75&gt;D15:D21)),0),0)</f>
        <v>18800</v>
      </c>
      <c r="I75" s="1494">
        <f ca="1">IF(K10=0,ROUND(SUMPRODUCT(H15:H17-H14:H16, S75-I15:I17, N(S75&gt;I15:I17)),0),0)</f>
        <v>5755</v>
      </c>
      <c r="J75" s="1494">
        <f>IF(K10=0,ROUND(SUMPRODUCT(M15:M17-M14:M16, T75-N15:N17, N(T75&gt;N15:N17)),0),0)</f>
        <v>0</v>
      </c>
      <c r="K75" s="1495">
        <f>IF(K10=0,ROUND(SUMPRODUCT(R15:R17-R14:R16, U75-S15:S17, N(U75&gt;S15:S17)),0),0)</f>
        <v>0</v>
      </c>
      <c r="L75" s="1235"/>
      <c r="M75" s="1497">
        <f t="shared" ref="M75:M125" ca="1" si="5">IF($K$10&gt;0,SUM(D75:F75)*$K$10,SUM(H75:K75))</f>
        <v>24555</v>
      </c>
      <c r="N75" s="1455"/>
      <c r="O75" s="1455"/>
      <c r="P75" s="1455"/>
      <c r="Q75" s="1455"/>
      <c r="R75" s="1498">
        <f t="shared" ref="R75:R125" ca="1" si="6">SUM(D75:E75)-$F$15</f>
        <v>108302</v>
      </c>
      <c r="S75" s="1499">
        <f t="shared" ref="S75:S125" ca="1" si="7">IF($J$27&gt;0,SUM(D75:F75)-$K$15,0)</f>
        <v>116752</v>
      </c>
      <c r="T75" s="1499">
        <f t="shared" ref="T75:T125" si="8">IF($O$27&gt;0,SUM(D75:F75)-$P$15,0)</f>
        <v>0</v>
      </c>
      <c r="U75" s="1500">
        <f t="shared" ref="U75:U125" si="9">IF($T$27&gt;0,SUM(D75:F75)-$U$15,0)</f>
        <v>0</v>
      </c>
    </row>
    <row r="76" spans="1:21" hidden="1">
      <c r="A76" s="392" t="str">
        <f ca="1">IF(C76=Retire!$D$12,"==&gt;","")</f>
        <v/>
      </c>
      <c r="C76" s="1450">
        <f ca="1">Income!C57</f>
        <v>2063</v>
      </c>
      <c r="D76" s="1451">
        <f ca="1">ROUND(Income!R57,0)</f>
        <v>123056</v>
      </c>
      <c r="E76" s="1452">
        <f>IF( Retire!U38&gt;0,      Retire!U38-(Retire!U38*Retire!BC38), 0)</f>
        <v>0</v>
      </c>
      <c r="F76" s="393"/>
      <c r="G76" s="271"/>
      <c r="H76" s="1465">
        <f ca="1">IF(K10=0,ROUND(SUMPRODUCT(C15:C21-C14:C20, R76-D15:D21, N(R76&gt;D15:D21)),0),0)</f>
        <v>19233</v>
      </c>
      <c r="I76" s="1451">
        <f ca="1">IF(K10=0,ROUND(SUMPRODUCT(H15:H17-H14:H16, S76-I15:I17, N(S76&gt;I15:I17)),0),0)</f>
        <v>5863</v>
      </c>
      <c r="J76" s="1451">
        <f>IF(K10=0,ROUND(SUMPRODUCT(M15:M17-M14:M16, T76-N15:N17, N(T76&gt;N15:N17)),0),0)</f>
        <v>0</v>
      </c>
      <c r="K76" s="1452">
        <f>IF(K10=0,ROUND(SUMPRODUCT(R15:R17-R14:R16, U76-S15:S17, N(U76&gt;S15:S17)),0),0)</f>
        <v>0</v>
      </c>
      <c r="L76" s="1235"/>
      <c r="M76" s="1466">
        <f t="shared" ca="1" si="5"/>
        <v>25096</v>
      </c>
      <c r="N76" s="1455"/>
      <c r="O76" s="1455"/>
      <c r="P76" s="1455"/>
      <c r="Q76" s="1455"/>
      <c r="R76" s="1467">
        <f t="shared" ca="1" si="6"/>
        <v>110106</v>
      </c>
      <c r="S76" s="1468">
        <f t="shared" ca="1" si="7"/>
        <v>118556</v>
      </c>
      <c r="T76" s="1468">
        <f t="shared" si="8"/>
        <v>0</v>
      </c>
      <c r="U76" s="1469">
        <f t="shared" si="9"/>
        <v>0</v>
      </c>
    </row>
    <row r="77" spans="1:21" hidden="1">
      <c r="A77" s="392" t="str">
        <f ca="1">IF(C77=Retire!$D$12,"==&gt;","")</f>
        <v/>
      </c>
      <c r="C77" s="1493">
        <f ca="1">Income!C58</f>
        <v>2064</v>
      </c>
      <c r="D77" s="1494">
        <f ca="1">ROUND(Income!R58,0)</f>
        <v>124889</v>
      </c>
      <c r="E77" s="1495">
        <f>IF( Retire!U39&gt;0,      Retire!U39-(Retire!U39*Retire!BC39), 0)</f>
        <v>0</v>
      </c>
      <c r="F77" s="393"/>
      <c r="G77" s="271"/>
      <c r="H77" s="1496">
        <f ca="1">IF(K10=0,ROUND(SUMPRODUCT(C15:C21-C14:C20, R77-D15:D21, N(R77&gt;D15:D21)),0),0)</f>
        <v>19673</v>
      </c>
      <c r="I77" s="1494">
        <f ca="1">IF(K10=0,ROUND(SUMPRODUCT(H15:H17-H14:H16, S77-I15:I17, N(S77&gt;I15:I17)),0),0)</f>
        <v>5973</v>
      </c>
      <c r="J77" s="1494">
        <f>IF(K10=0,ROUND(SUMPRODUCT(M15:M17-M14:M16, T77-N15:N17, N(T77&gt;N15:N17)),0),0)</f>
        <v>0</v>
      </c>
      <c r="K77" s="1495">
        <f>IF(K10=0,ROUND(SUMPRODUCT(R15:R17-R14:R16, U77-S15:S17, N(U77&gt;S15:S17)),0),0)</f>
        <v>0</v>
      </c>
      <c r="L77" s="1235"/>
      <c r="M77" s="1497">
        <f t="shared" ca="1" si="5"/>
        <v>25646</v>
      </c>
      <c r="N77" s="1455"/>
      <c r="O77" s="1455"/>
      <c r="P77" s="1455"/>
      <c r="Q77" s="1455"/>
      <c r="R77" s="1498">
        <f t="shared" ca="1" si="6"/>
        <v>111939</v>
      </c>
      <c r="S77" s="1499">
        <f t="shared" ca="1" si="7"/>
        <v>120389</v>
      </c>
      <c r="T77" s="1499">
        <f t="shared" si="8"/>
        <v>0</v>
      </c>
      <c r="U77" s="1500">
        <f t="shared" si="9"/>
        <v>0</v>
      </c>
    </row>
    <row r="78" spans="1:21" hidden="1">
      <c r="A78" s="392" t="str">
        <f ca="1">IF(C78=Retire!$D$12,"==&gt;","")</f>
        <v/>
      </c>
      <c r="C78" s="1450">
        <f ca="1">Income!C59</f>
        <v>2065</v>
      </c>
      <c r="D78" s="1451">
        <f ca="1">ROUND(Income!R59,0)</f>
        <v>126750</v>
      </c>
      <c r="E78" s="1452">
        <f>IF( Retire!U40&gt;0,      Retire!U40-(Retire!U40*Retire!BC40), 0)</f>
        <v>0</v>
      </c>
      <c r="F78" s="393"/>
      <c r="G78" s="271"/>
      <c r="H78" s="1465">
        <f ca="1">IF(K10=0,ROUND(SUMPRODUCT(C15:C21-C14:C20, R78-D15:D21, N(R78&gt;D15:D21)),0),0)</f>
        <v>20120</v>
      </c>
      <c r="I78" s="1451">
        <f ca="1">IF(K10=0,ROUND(SUMPRODUCT(H15:H17-H14:H16, S78-I15:I17, N(S78&gt;I15:I17)),0),0)</f>
        <v>6085</v>
      </c>
      <c r="J78" s="1451">
        <f>IF(K10=0,ROUND(SUMPRODUCT(M15:M17-M14:M16, T78-N15:N17, N(T78&gt;N15:N17)),0),0)</f>
        <v>0</v>
      </c>
      <c r="K78" s="1452">
        <f>IF(K10=0,ROUND(SUMPRODUCT(R15:R17-R14:R16, U78-S15:S17, N(U78&gt;S15:S17)),0),0)</f>
        <v>0</v>
      </c>
      <c r="L78" s="1235"/>
      <c r="M78" s="1466">
        <f t="shared" ca="1" si="5"/>
        <v>26205</v>
      </c>
      <c r="N78" s="1455"/>
      <c r="O78" s="1455"/>
      <c r="P78" s="1455"/>
      <c r="Q78" s="1455"/>
      <c r="R78" s="1467">
        <f t="shared" ca="1" si="6"/>
        <v>113800</v>
      </c>
      <c r="S78" s="1468">
        <f t="shared" ca="1" si="7"/>
        <v>122250</v>
      </c>
      <c r="T78" s="1468">
        <f t="shared" si="8"/>
        <v>0</v>
      </c>
      <c r="U78" s="1469">
        <f t="shared" si="9"/>
        <v>0</v>
      </c>
    </row>
    <row r="79" spans="1:21" hidden="1">
      <c r="A79" s="392" t="str">
        <f ca="1">IF(C79=Retire!$D$12,"==&gt;","")</f>
        <v/>
      </c>
      <c r="C79" s="1493">
        <f ca="1">Income!C60</f>
        <v>2066</v>
      </c>
      <c r="D79" s="1494">
        <f ca="1">ROUND(Income!R60,0)</f>
        <v>128640</v>
      </c>
      <c r="E79" s="1495">
        <f>IF( Retire!U41&gt;0,      Retire!U41-(Retire!U41*Retire!BC41), 0)</f>
        <v>0</v>
      </c>
      <c r="F79" s="393"/>
      <c r="G79" s="271"/>
      <c r="H79" s="1496">
        <f ca="1">IF(K10=0,ROUND(SUMPRODUCT(C15:C21-C14:C20, R79-D15:D21, N(R79&gt;D15:D21)),0),0)</f>
        <v>20574</v>
      </c>
      <c r="I79" s="1494">
        <f ca="1">IF(K10=0,ROUND(SUMPRODUCT(H15:H17-H14:H16, S79-I15:I17, N(S79&gt;I15:I17)),0),0)</f>
        <v>6198</v>
      </c>
      <c r="J79" s="1494">
        <f>IF(K10=0,ROUND(SUMPRODUCT(M15:M17-M14:M16, T79-N15:N17, N(T79&gt;N15:N17)),0),0)</f>
        <v>0</v>
      </c>
      <c r="K79" s="1495">
        <f>IF(K10=0,ROUND(SUMPRODUCT(R15:R17-R14:R16, U79-S15:S17, N(U79&gt;S15:S17)),0),0)</f>
        <v>0</v>
      </c>
      <c r="L79" s="1235"/>
      <c r="M79" s="1497">
        <f t="shared" ca="1" si="5"/>
        <v>26772</v>
      </c>
      <c r="N79" s="1455"/>
      <c r="O79" s="1455"/>
      <c r="P79" s="1455"/>
      <c r="Q79" s="1455"/>
      <c r="R79" s="1498">
        <f t="shared" ca="1" si="6"/>
        <v>115690</v>
      </c>
      <c r="S79" s="1499">
        <f t="shared" ca="1" si="7"/>
        <v>124140</v>
      </c>
      <c r="T79" s="1499">
        <f t="shared" si="8"/>
        <v>0</v>
      </c>
      <c r="U79" s="1500">
        <f t="shared" si="9"/>
        <v>0</v>
      </c>
    </row>
    <row r="80" spans="1:21" hidden="1">
      <c r="A80" s="392" t="str">
        <f ca="1">IF(C80=Retire!$D$12,"==&gt;","")</f>
        <v/>
      </c>
      <c r="C80" s="1450">
        <f ca="1">Income!C61</f>
        <v>2067</v>
      </c>
      <c r="D80" s="1451">
        <f ca="1">ROUND(Income!R61,0)</f>
        <v>130559</v>
      </c>
      <c r="E80" s="1452">
        <f>IF( Retire!U42&gt;0,      Retire!U42-(Retire!U42*Retire!BC42), 0)</f>
        <v>0</v>
      </c>
      <c r="F80" s="393"/>
      <c r="G80" s="271"/>
      <c r="H80" s="1465">
        <f ca="1">IF(K10=0,ROUND(SUMPRODUCT(C15:C21-C14:C20, R80-D15:D21, N(R80&gt;D15:D21)),0),0)</f>
        <v>21034</v>
      </c>
      <c r="I80" s="1451">
        <f ca="1">IF(K10=0,ROUND(SUMPRODUCT(H15:H17-H14:H16, S80-I15:I17, N(S80&gt;I15:I17)),0),0)</f>
        <v>6314</v>
      </c>
      <c r="J80" s="1451">
        <f>IF(K10=0,ROUND(SUMPRODUCT(M15:M17-M14:M16, T80-N15:N17, N(T80&gt;N15:N17)),0),0)</f>
        <v>0</v>
      </c>
      <c r="K80" s="1452">
        <f>IF(K10=0,ROUND(SUMPRODUCT(R15:R17-R14:R16, U80-S15:S17, N(U80&gt;S15:S17)),0),0)</f>
        <v>0</v>
      </c>
      <c r="L80" s="1235"/>
      <c r="M80" s="1466">
        <f t="shared" ca="1" si="5"/>
        <v>27348</v>
      </c>
      <c r="N80" s="1455"/>
      <c r="O80" s="1455"/>
      <c r="P80" s="1455"/>
      <c r="Q80" s="1455"/>
      <c r="R80" s="1467">
        <f t="shared" ca="1" si="6"/>
        <v>117609</v>
      </c>
      <c r="S80" s="1468">
        <f t="shared" ca="1" si="7"/>
        <v>126059</v>
      </c>
      <c r="T80" s="1468">
        <f t="shared" si="8"/>
        <v>0</v>
      </c>
      <c r="U80" s="1469">
        <f t="shared" si="9"/>
        <v>0</v>
      </c>
    </row>
    <row r="81" spans="1:21" ht="17" hidden="1" customHeight="1">
      <c r="A81" s="392" t="str">
        <f ca="1">IF(C81=Retire!$D$12,"==&gt;","")</f>
        <v/>
      </c>
      <c r="C81" s="1493">
        <f ca="1">Income!C62</f>
        <v>2068</v>
      </c>
      <c r="D81" s="1494">
        <f ca="1">ROUND(Income!R62,0)</f>
        <v>132508</v>
      </c>
      <c r="E81" s="1495">
        <f>IF( Retire!U43&gt;0,      Retire!U43-(Retire!U43*Retire!BC43), 0)</f>
        <v>0</v>
      </c>
      <c r="F81" s="393"/>
      <c r="G81" s="271"/>
      <c r="H81" s="1496">
        <f ca="1">IF(K10=0,ROUND(SUMPRODUCT(C15:C21-C14:C20, R81-D15:D21, N(R81&gt;D15:D21)),0),0)</f>
        <v>21502</v>
      </c>
      <c r="I81" s="1494">
        <f ca="1">IF(K10=0,ROUND(SUMPRODUCT(H15:H17-H14:H16, S81-I15:I17, N(S81&gt;I15:I17)),0),0)</f>
        <v>6430</v>
      </c>
      <c r="J81" s="1494">
        <f>IF(K10=0,ROUND(SUMPRODUCT(M15:M17-M14:M16, T81-N15:N17, N(T81&gt;N15:N17)),0),0)</f>
        <v>0</v>
      </c>
      <c r="K81" s="1495">
        <f>IF(K10=0,ROUND(SUMPRODUCT(R15:R17-R14:R16, U81-S15:S17, N(U81&gt;S15:S17)),0),0)</f>
        <v>0</v>
      </c>
      <c r="L81" s="1235"/>
      <c r="M81" s="1497">
        <f t="shared" ca="1" si="5"/>
        <v>27932</v>
      </c>
      <c r="N81" s="1455"/>
      <c r="O81" s="1455"/>
      <c r="P81" s="1455"/>
      <c r="Q81" s="1455"/>
      <c r="R81" s="1498">
        <f t="shared" ca="1" si="6"/>
        <v>119558</v>
      </c>
      <c r="S81" s="1499">
        <f t="shared" ca="1" si="7"/>
        <v>128008</v>
      </c>
      <c r="T81" s="1499">
        <f t="shared" si="8"/>
        <v>0</v>
      </c>
      <c r="U81" s="1500">
        <f t="shared" si="9"/>
        <v>0</v>
      </c>
    </row>
    <row r="82" spans="1:21" hidden="1">
      <c r="A82" s="392" t="str">
        <f ca="1">IF(C82=Retire!$D$12,"==&gt;","")</f>
        <v/>
      </c>
      <c r="C82" s="1450">
        <f ca="1">Income!C63</f>
        <v>2069</v>
      </c>
      <c r="D82" s="1451">
        <f ca="1">ROUND(Income!R63,0)</f>
        <v>134487</v>
      </c>
      <c r="E82" s="1452">
        <f>IF( Retire!U44&gt;0,      Retire!U44-(Retire!U44*Retire!BC44), 0)</f>
        <v>0</v>
      </c>
      <c r="F82" s="393"/>
      <c r="G82" s="271"/>
      <c r="H82" s="1465">
        <f ca="1">IF(K10=0,ROUND(SUMPRODUCT(C15:C21-C14:C20, R82-D15:D21, N(R82&gt;D15:D21)),0),0)</f>
        <v>21977</v>
      </c>
      <c r="I82" s="1451">
        <f ca="1">IF(K10=0,ROUND(SUMPRODUCT(H15:H17-H14:H16, S82-I15:I17, N(S82&gt;I15:I17)),0),0)</f>
        <v>6549</v>
      </c>
      <c r="J82" s="1451">
        <f>IF(K10=0,ROUND(SUMPRODUCT(M15:M17-M14:M16, T82-N15:N17, N(T82&gt;N15:N17)),0),0)</f>
        <v>0</v>
      </c>
      <c r="K82" s="1452">
        <f>IF(K10=0,ROUND(SUMPRODUCT(R15:R17-R14:R16, U82-S15:S17, N(U82&gt;S15:S17)),0),0)</f>
        <v>0</v>
      </c>
      <c r="L82" s="1235"/>
      <c r="M82" s="1466">
        <f t="shared" ca="1" si="5"/>
        <v>28526</v>
      </c>
      <c r="N82" s="1455"/>
      <c r="O82" s="1455"/>
      <c r="P82" s="1455"/>
      <c r="Q82" s="1455"/>
      <c r="R82" s="1467">
        <f t="shared" ca="1" si="6"/>
        <v>121537</v>
      </c>
      <c r="S82" s="1468">
        <f t="shared" ca="1" si="7"/>
        <v>129987</v>
      </c>
      <c r="T82" s="1468">
        <f t="shared" si="8"/>
        <v>0</v>
      </c>
      <c r="U82" s="1469">
        <f t="shared" si="9"/>
        <v>0</v>
      </c>
    </row>
    <row r="83" spans="1:21" hidden="1">
      <c r="A83" s="392" t="str">
        <f ca="1">IF(C83=Retire!$D$12,"==&gt;","")</f>
        <v/>
      </c>
      <c r="C83" s="1493">
        <f ca="1">Income!C64</f>
        <v>2070</v>
      </c>
      <c r="D83" s="1494">
        <f ca="1">ROUND(Income!R64,0)</f>
        <v>136498</v>
      </c>
      <c r="E83" s="1495">
        <f>IF( Retire!U45&gt;0,      Retire!U45-(Retire!U45*Retire!BC45), 0)</f>
        <v>0</v>
      </c>
      <c r="F83" s="393"/>
      <c r="G83" s="271"/>
      <c r="H83" s="1496">
        <f ca="1">IF(K10=0,ROUND(SUMPRODUCT(C15:C21-C14:C20, R83-D15:D21, N(R83&gt;D15:D21)),0),0)</f>
        <v>22460</v>
      </c>
      <c r="I83" s="1494">
        <f ca="1">IF(K10=0,ROUND(SUMPRODUCT(H15:H17-H14:H16, S83-I15:I17, N(S83&gt;I15:I17)),0),0)</f>
        <v>6670</v>
      </c>
      <c r="J83" s="1494">
        <f>IF(K10=0,ROUND(SUMPRODUCT(M15:M17-M14:M16, T83-N15:N17, N(T83&gt;N15:N17)),0),0)</f>
        <v>0</v>
      </c>
      <c r="K83" s="1495">
        <f>IF(K10=0,ROUND(SUMPRODUCT(R15:R17-R14:R16, U83-S15:S17, N(U83&gt;S15:S17)),0),0)</f>
        <v>0</v>
      </c>
      <c r="L83" s="1235"/>
      <c r="M83" s="1497">
        <f t="shared" ca="1" si="5"/>
        <v>29130</v>
      </c>
      <c r="N83" s="1455"/>
      <c r="O83" s="1455"/>
      <c r="P83" s="1455"/>
      <c r="Q83" s="1455"/>
      <c r="R83" s="1498">
        <f t="shared" ca="1" si="6"/>
        <v>123548</v>
      </c>
      <c r="S83" s="1499">
        <f t="shared" ca="1" si="7"/>
        <v>131998</v>
      </c>
      <c r="T83" s="1499">
        <f t="shared" si="8"/>
        <v>0</v>
      </c>
      <c r="U83" s="1500">
        <f t="shared" si="9"/>
        <v>0</v>
      </c>
    </row>
    <row r="84" spans="1:21" hidden="1">
      <c r="A84" s="392" t="str">
        <f ca="1">IF(C84=Retire!$D$12,"==&gt;","")</f>
        <v/>
      </c>
      <c r="C84" s="1450">
        <f ca="1">Income!C65</f>
        <v>2071</v>
      </c>
      <c r="D84" s="1451">
        <f ca="1">ROUND(Income!R65,0)</f>
        <v>138539</v>
      </c>
      <c r="E84" s="1452">
        <f>IF( Retire!U46&gt;0,      Retire!U46-(Retire!U46*Retire!BC46), 0)</f>
        <v>0</v>
      </c>
      <c r="F84" s="393"/>
      <c r="G84" s="271"/>
      <c r="H84" s="1465">
        <f ca="1">IF(K10=0,ROUND(SUMPRODUCT(C15:C21-C14:C20, R84-D15:D21, N(R84&gt;D15:D21)),0),0)</f>
        <v>22949</v>
      </c>
      <c r="I84" s="1451">
        <f ca="1">IF(K10=0,ROUND(SUMPRODUCT(H15:H17-H14:H16, S84-I15:I17, N(S84&gt;I15:I17)),0),0)</f>
        <v>6792</v>
      </c>
      <c r="J84" s="1451">
        <f>IF(K10=0,ROUND(SUMPRODUCT(M15:M17-M14:M16, T84-N15:N17, N(T84&gt;N15:N17)),0),0)</f>
        <v>0</v>
      </c>
      <c r="K84" s="1452">
        <f>IF(K10=0,ROUND(SUMPRODUCT(R15:R17-R14:R16, U84-S15:S17, N(U84&gt;S15:S17)),0),0)</f>
        <v>0</v>
      </c>
      <c r="L84" s="1235"/>
      <c r="M84" s="1466">
        <f t="shared" ca="1" si="5"/>
        <v>29741</v>
      </c>
      <c r="N84" s="1455"/>
      <c r="O84" s="1455"/>
      <c r="P84" s="1455"/>
      <c r="Q84" s="1455"/>
      <c r="R84" s="1467">
        <f t="shared" ca="1" si="6"/>
        <v>125589</v>
      </c>
      <c r="S84" s="1468">
        <f t="shared" ca="1" si="7"/>
        <v>134039</v>
      </c>
      <c r="T84" s="1468">
        <f t="shared" si="8"/>
        <v>0</v>
      </c>
      <c r="U84" s="1469">
        <f t="shared" si="9"/>
        <v>0</v>
      </c>
    </row>
    <row r="85" spans="1:21" hidden="1">
      <c r="A85" s="392" t="str">
        <f ca="1">IF(C85=Retire!$D$12,"==&gt;","")</f>
        <v/>
      </c>
      <c r="C85" s="1493">
        <f ca="1">Income!C66</f>
        <v>2072</v>
      </c>
      <c r="D85" s="1494">
        <f ca="1">ROUND(Income!R66,0)</f>
        <v>140612</v>
      </c>
      <c r="E85" s="1495">
        <f>IF( Retire!U47&gt;0,      Retire!U47-(Retire!U47*Retire!BC47), 0)</f>
        <v>0</v>
      </c>
      <c r="F85" s="393"/>
      <c r="G85" s="271"/>
      <c r="H85" s="1496">
        <f ca="1">IF(K10=0,ROUND(SUMPRODUCT(C15:C21-C14:C20, R85-D15:D21, N(R85&gt;D15:D21)),0),0)</f>
        <v>23447</v>
      </c>
      <c r="I85" s="1494">
        <f ca="1">IF(K10=0,ROUND(SUMPRODUCT(H15:H17-H14:H16, S85-I15:I17, N(S85&gt;I15:I17)),0),0)</f>
        <v>6917</v>
      </c>
      <c r="J85" s="1494">
        <f>IF(K10=0,ROUND(SUMPRODUCT(M15:M17-M14:M16, T85-N15:N17, N(T85&gt;N15:N17)),0),0)</f>
        <v>0</v>
      </c>
      <c r="K85" s="1495">
        <f>IF(K10=0,ROUND(SUMPRODUCT(R15:R17-R14:R16, U85-S15:S17, N(U85&gt;S15:S17)),0),0)</f>
        <v>0</v>
      </c>
      <c r="L85" s="1235"/>
      <c r="M85" s="1497">
        <f t="shared" ca="1" si="5"/>
        <v>30364</v>
      </c>
      <c r="N85" s="1455"/>
      <c r="O85" s="1455"/>
      <c r="P85" s="1455"/>
      <c r="Q85" s="1455"/>
      <c r="R85" s="1498">
        <f t="shared" ca="1" si="6"/>
        <v>127662</v>
      </c>
      <c r="S85" s="1499">
        <f t="shared" ca="1" si="7"/>
        <v>136112</v>
      </c>
      <c r="T85" s="1499">
        <f t="shared" si="8"/>
        <v>0</v>
      </c>
      <c r="U85" s="1500">
        <f t="shared" si="9"/>
        <v>0</v>
      </c>
    </row>
    <row r="86" spans="1:21" hidden="1">
      <c r="A86" s="392" t="str">
        <f ca="1">IF(C86=Retire!$D$12,"==&gt;","")</f>
        <v/>
      </c>
      <c r="C86" s="1450">
        <f ca="1">Income!C67</f>
        <v>2073</v>
      </c>
      <c r="D86" s="1451">
        <f ca="1">ROUND(Income!R67,0)</f>
        <v>142718</v>
      </c>
      <c r="E86" s="1452">
        <f>IF( Retire!U48&gt;0,      Retire!U48-(Retire!U48*Retire!BC48), 0)</f>
        <v>0</v>
      </c>
      <c r="F86" s="393"/>
      <c r="G86" s="271"/>
      <c r="H86" s="1465">
        <f ca="1">IF(K10=0,ROUND(SUMPRODUCT(C15:C21-C14:C20, R86-D15:D21, N(R86&gt;D15:D21)),0),0)</f>
        <v>23952</v>
      </c>
      <c r="I86" s="1451">
        <f ca="1">IF(K10=0,ROUND(SUMPRODUCT(H15:H17-H14:H16, S86-I15:I17, N(S86&gt;I15:I17)),0),0)</f>
        <v>7043</v>
      </c>
      <c r="J86" s="1451">
        <f>IF(K10=0,ROUND(SUMPRODUCT(M15:M17-M14:M16, T86-N15:N17, N(T86&gt;N15:N17)),0),0)</f>
        <v>0</v>
      </c>
      <c r="K86" s="1452">
        <f>IF(K10=0,ROUND(SUMPRODUCT(R15:R17-R14:R16, U86-S15:S17, N(U86&gt;S15:S17)),0),0)</f>
        <v>0</v>
      </c>
      <c r="L86" s="1235"/>
      <c r="M86" s="1466">
        <f t="shared" ca="1" si="5"/>
        <v>30995</v>
      </c>
      <c r="N86" s="1455"/>
      <c r="O86" s="1455"/>
      <c r="P86" s="1455"/>
      <c r="Q86" s="1455"/>
      <c r="R86" s="1467">
        <f t="shared" ca="1" si="6"/>
        <v>129768</v>
      </c>
      <c r="S86" s="1468">
        <f t="shared" ca="1" si="7"/>
        <v>138218</v>
      </c>
      <c r="T86" s="1468">
        <f t="shared" si="8"/>
        <v>0</v>
      </c>
      <c r="U86" s="1469">
        <f t="shared" si="9"/>
        <v>0</v>
      </c>
    </row>
    <row r="87" spans="1:21" hidden="1">
      <c r="A87" s="392" t="str">
        <f ca="1">IF(C87=Retire!$D$12,"==&gt;","")</f>
        <v/>
      </c>
      <c r="C87" s="1493">
        <f ca="1">Income!C68</f>
        <v>2074</v>
      </c>
      <c r="D87" s="1494">
        <f ca="1">ROUND(Income!R68,0)</f>
        <v>144856</v>
      </c>
      <c r="E87" s="1495"/>
      <c r="F87" s="393"/>
      <c r="G87" s="271"/>
      <c r="H87" s="1496">
        <f ca="1">IF(K10=0,ROUND(SUMPRODUCT(C15:C21-C14:C20, R87-D15:D21, N(R87&gt;D15:D21)),0),0)</f>
        <v>24465</v>
      </c>
      <c r="I87" s="1494">
        <f ca="1">IF(K10=0,ROUND(SUMPRODUCT(H15:H17-H14:H16, S87-I15:I17, N(S87&gt;I15:I17)),0),0)</f>
        <v>7171</v>
      </c>
      <c r="J87" s="1494">
        <f>IF(K10=0,ROUND(SUMPRODUCT(M15:M17-M14:M16, T87-N15:N17, N(T87&gt;N15:N17)),0),0)</f>
        <v>0</v>
      </c>
      <c r="K87" s="1495">
        <f>IF(K10=0,ROUND(SUMPRODUCT(R15:R17-R14:R16, U87-S15:S17, N(U87&gt;S15:S17)),0),0)</f>
        <v>0</v>
      </c>
      <c r="L87" s="1235"/>
      <c r="M87" s="1497">
        <f t="shared" ca="1" si="5"/>
        <v>31636</v>
      </c>
      <c r="N87" s="1455"/>
      <c r="O87" s="1455"/>
      <c r="P87" s="1455"/>
      <c r="Q87" s="1455"/>
      <c r="R87" s="1498">
        <f t="shared" ca="1" si="6"/>
        <v>131906</v>
      </c>
      <c r="S87" s="1499">
        <f t="shared" ca="1" si="7"/>
        <v>140356</v>
      </c>
      <c r="T87" s="1499">
        <f t="shared" si="8"/>
        <v>0</v>
      </c>
      <c r="U87" s="1500">
        <f t="shared" si="9"/>
        <v>0</v>
      </c>
    </row>
    <row r="88" spans="1:21" hidden="1">
      <c r="A88" s="392" t="str">
        <f ca="1">IF(C88=Retire!$D$12,"==&gt;","")</f>
        <v/>
      </c>
      <c r="C88" s="1450">
        <f ca="1">Income!C69</f>
        <v>2075</v>
      </c>
      <c r="D88" s="1451">
        <f ca="1">ROUND(Income!R69,0)</f>
        <v>147028</v>
      </c>
      <c r="E88" s="1452"/>
      <c r="F88" s="393"/>
      <c r="G88" s="271"/>
      <c r="H88" s="1465">
        <f ca="1">IF(K10=0,ROUND(SUMPRODUCT(C15:C21-C14:C20, R88-D15:D21, N(R88&gt;D15:D21)),0),0)</f>
        <v>24987</v>
      </c>
      <c r="I88" s="1451">
        <f ca="1">IF(K10=0,ROUND(SUMPRODUCT(H15:H17-H14:H16, S88-I15:I17, N(S88&gt;I15:I17)),0),0)</f>
        <v>7302</v>
      </c>
      <c r="J88" s="1451">
        <f>IF(K10=0,ROUND(SUMPRODUCT(M15:M17-M14:M16, T88-N15:N17, N(T88&gt;N15:N17)),0),0)</f>
        <v>0</v>
      </c>
      <c r="K88" s="1452">
        <f>IF(K10=0,ROUND(SUMPRODUCT(R15:R17-R14:R16, U88-S15:S17, N(U88&gt;S15:S17)),0),0)</f>
        <v>0</v>
      </c>
      <c r="L88" s="1235"/>
      <c r="M88" s="1466">
        <f t="shared" ca="1" si="5"/>
        <v>32289</v>
      </c>
      <c r="N88" s="1455"/>
      <c r="O88" s="1455"/>
      <c r="P88" s="1455"/>
      <c r="Q88" s="1455"/>
      <c r="R88" s="1467">
        <f t="shared" ca="1" si="6"/>
        <v>134078</v>
      </c>
      <c r="S88" s="1468">
        <f t="shared" ca="1" si="7"/>
        <v>142528</v>
      </c>
      <c r="T88" s="1468">
        <f t="shared" si="8"/>
        <v>0</v>
      </c>
      <c r="U88" s="1469">
        <f t="shared" si="9"/>
        <v>0</v>
      </c>
    </row>
    <row r="89" spans="1:21" hidden="1">
      <c r="A89" s="392" t="str">
        <f ca="1">IF(C89=Retire!$D$12,"==&gt;","")</f>
        <v/>
      </c>
      <c r="C89" s="1493">
        <f ca="1">Income!C70</f>
        <v>2076</v>
      </c>
      <c r="D89" s="1494">
        <f ca="1">ROUND(Income!R70,0)</f>
        <v>149234</v>
      </c>
      <c r="E89" s="1495"/>
      <c r="F89" s="393"/>
      <c r="G89" s="271"/>
      <c r="H89" s="1496">
        <f ca="1">IF(K10=0,ROUND(SUMPRODUCT(C15:C21-C14:C20, R89-D15:D21, N(R89&gt;D15:D21)),0),0)</f>
        <v>25516</v>
      </c>
      <c r="I89" s="1494">
        <f ca="1">IF(K10=0,ROUND(SUMPRODUCT(H15:H17-H14:H16, S89-I15:I17, N(S89&gt;I15:I17)),0),0)</f>
        <v>7434</v>
      </c>
      <c r="J89" s="1494">
        <f>IF(K10=0,ROUND(SUMPRODUCT(M15:M17-M14:M16, T89-N15:N17, N(T89&gt;N15:N17)),0),0)</f>
        <v>0</v>
      </c>
      <c r="K89" s="1495">
        <f>IF(K10=0,ROUND(SUMPRODUCT(R15:R17-R14:R16, U89-S15:S17, N(U89&gt;S15:S17)),0),0)</f>
        <v>0</v>
      </c>
      <c r="L89" s="1235"/>
      <c r="M89" s="1497">
        <f t="shared" ca="1" si="5"/>
        <v>32950</v>
      </c>
      <c r="N89" s="1455"/>
      <c r="O89" s="1455"/>
      <c r="P89" s="1455"/>
      <c r="Q89" s="1455"/>
      <c r="R89" s="1498">
        <f t="shared" ca="1" si="6"/>
        <v>136284</v>
      </c>
      <c r="S89" s="1499">
        <f t="shared" ca="1" si="7"/>
        <v>144734</v>
      </c>
      <c r="T89" s="1499">
        <f t="shared" si="8"/>
        <v>0</v>
      </c>
      <c r="U89" s="1500">
        <f t="shared" si="9"/>
        <v>0</v>
      </c>
    </row>
    <row r="90" spans="1:21" hidden="1">
      <c r="A90" s="392" t="str">
        <f ca="1">IF(C90=Retire!$D$12,"==&gt;","")</f>
        <v/>
      </c>
      <c r="C90" s="1450">
        <f ca="1">Income!C71</f>
        <v>2077</v>
      </c>
      <c r="D90" s="1451">
        <f ca="1">ROUND(Income!R71,0)</f>
        <v>151474</v>
      </c>
      <c r="E90" s="1452"/>
      <c r="F90" s="393"/>
      <c r="G90" s="271"/>
      <c r="H90" s="1465">
        <f ca="1">IF(K10=0,ROUND(SUMPRODUCT(C15:C21-C14:C20, R90-D15:D21, N(R90&gt;D15:D21)),0),0)</f>
        <v>26054</v>
      </c>
      <c r="I90" s="1451">
        <f ca="1">IF(K10=0,ROUND(SUMPRODUCT(H15:H17-H14:H16, S90-I15:I17, N(S90&gt;I15:I17)),0),0)</f>
        <v>7568</v>
      </c>
      <c r="J90" s="1451">
        <f>IF(K10=0,ROUND(SUMPRODUCT(M15:M17-M14:M16, T90-N15:N17, N(T90&gt;N15:N17)),0),0)</f>
        <v>0</v>
      </c>
      <c r="K90" s="1452">
        <f>IF(K10=0,ROUND(SUMPRODUCT(R15:R17-R14:R16, U90-S15:S17, N(U90&gt;S15:S17)),0),0)</f>
        <v>0</v>
      </c>
      <c r="L90" s="1235"/>
      <c r="M90" s="1466">
        <f t="shared" ca="1" si="5"/>
        <v>33622</v>
      </c>
      <c r="N90" s="1455"/>
      <c r="O90" s="1455"/>
      <c r="P90" s="1455"/>
      <c r="Q90" s="1455"/>
      <c r="R90" s="1467">
        <f t="shared" ca="1" si="6"/>
        <v>138524</v>
      </c>
      <c r="S90" s="1468">
        <f t="shared" ca="1" si="7"/>
        <v>146974</v>
      </c>
      <c r="T90" s="1468">
        <f t="shared" si="8"/>
        <v>0</v>
      </c>
      <c r="U90" s="1469">
        <f t="shared" si="9"/>
        <v>0</v>
      </c>
    </row>
    <row r="91" spans="1:21" hidden="1">
      <c r="A91" s="392" t="str">
        <f ca="1">IF(C91=Retire!$D$12,"==&gt;","")</f>
        <v/>
      </c>
      <c r="C91" s="1493">
        <f ca="1">Income!C72</f>
        <v>2078</v>
      </c>
      <c r="D91" s="1494">
        <f ca="1">ROUND(Income!R72,0)</f>
        <v>153750</v>
      </c>
      <c r="E91" s="1495"/>
      <c r="F91" s="393"/>
      <c r="G91" s="271"/>
      <c r="H91" s="1496">
        <f ca="1">IF(K10=0,ROUND(SUMPRODUCT(C15:C21-C14:C20, R91-D15:D21, N(R91&gt;D15:D21)),0),0)</f>
        <v>26600</v>
      </c>
      <c r="I91" s="1494">
        <f ca="1">IF(K10=0,ROUND(SUMPRODUCT(H15:H17-H14:H16, S91-I15:I17, N(S91&gt;I15:I17)),0),0)</f>
        <v>7705</v>
      </c>
      <c r="J91" s="1494">
        <f>IF(K10=0,ROUND(SUMPRODUCT(M15:M17-M14:M16, T91-N15:N17, N(T91&gt;N15:N17)),0),0)</f>
        <v>0</v>
      </c>
      <c r="K91" s="1495">
        <f>IF(K10=0,ROUND(SUMPRODUCT(R15:R17-R14:R16, U91-S15:S17, N(U91&gt;S15:S17)),0),0)</f>
        <v>0</v>
      </c>
      <c r="L91" s="1235"/>
      <c r="M91" s="1497">
        <f t="shared" ca="1" si="5"/>
        <v>34305</v>
      </c>
      <c r="N91" s="1455"/>
      <c r="O91" s="1455"/>
      <c r="P91" s="1455"/>
      <c r="Q91" s="1455"/>
      <c r="R91" s="1498">
        <f t="shared" ca="1" si="6"/>
        <v>140800</v>
      </c>
      <c r="S91" s="1499">
        <f t="shared" ca="1" si="7"/>
        <v>149250</v>
      </c>
      <c r="T91" s="1499">
        <f t="shared" si="8"/>
        <v>0</v>
      </c>
      <c r="U91" s="1500">
        <f t="shared" si="9"/>
        <v>0</v>
      </c>
    </row>
    <row r="92" spans="1:21" hidden="1">
      <c r="A92" s="392" t="str">
        <f ca="1">IF(C92=Retire!$D$12,"==&gt;","")</f>
        <v/>
      </c>
      <c r="C92" s="1450">
        <f ca="1">Income!C73</f>
        <v>2079</v>
      </c>
      <c r="D92" s="1451">
        <f ca="1">ROUND(Income!R73,0)</f>
        <v>156061</v>
      </c>
      <c r="E92" s="1452"/>
      <c r="F92" s="393"/>
      <c r="G92" s="271"/>
      <c r="H92" s="1465">
        <f ca="1">IF(K10=0,ROUND(SUMPRODUCT(C15:C21-C14:C20, R92-D15:D21, N(R92&gt;D15:D21)),0),0)</f>
        <v>27155</v>
      </c>
      <c r="I92" s="1451">
        <f ca="1">IF(K10=0,ROUND(SUMPRODUCT(H15:H17-H14:H16, S92-I15:I17, N(S92&gt;I15:I17)),0),0)</f>
        <v>7844</v>
      </c>
      <c r="J92" s="1451">
        <f>IF(K10=0,ROUND(SUMPRODUCT(M15:M17-M14:M16, T92-N15:N17, N(T92&gt;N15:N17)),0),0)</f>
        <v>0</v>
      </c>
      <c r="K92" s="1452">
        <f>IF(K10=0,ROUND(SUMPRODUCT(R15:R17-R14:R16, U92-S15:S17, N(U92&gt;S15:S17)),0),0)</f>
        <v>0</v>
      </c>
      <c r="L92" s="1235"/>
      <c r="M92" s="1466">
        <f t="shared" ca="1" si="5"/>
        <v>34999</v>
      </c>
      <c r="N92" s="1455"/>
      <c r="O92" s="1455"/>
      <c r="P92" s="1455"/>
      <c r="Q92" s="1455"/>
      <c r="R92" s="1467">
        <f t="shared" ca="1" si="6"/>
        <v>143111</v>
      </c>
      <c r="S92" s="1468">
        <f t="shared" ca="1" si="7"/>
        <v>151561</v>
      </c>
      <c r="T92" s="1468">
        <f t="shared" si="8"/>
        <v>0</v>
      </c>
      <c r="U92" s="1469">
        <f t="shared" si="9"/>
        <v>0</v>
      </c>
    </row>
    <row r="93" spans="1:21" hidden="1">
      <c r="A93" s="392" t="str">
        <f ca="1">IF(C93=Retire!$D$12,"==&gt;","")</f>
        <v/>
      </c>
      <c r="C93" s="1493">
        <f ca="1">Income!C74</f>
        <v>2080</v>
      </c>
      <c r="D93" s="1494">
        <f ca="1">ROUND(Income!R74,0)</f>
        <v>158408</v>
      </c>
      <c r="E93" s="1495"/>
      <c r="F93" s="393"/>
      <c r="G93" s="271"/>
      <c r="H93" s="1496">
        <f ca="1">IF(K10=0,ROUND(SUMPRODUCT(C15:C21-C14:C20, R93-D15:D21, N(R93&gt;D15:D21)),0),0)</f>
        <v>27718</v>
      </c>
      <c r="I93" s="1494">
        <f ca="1">IF(K10=0,ROUND(SUMPRODUCT(H15:H17-H14:H16, S93-I15:I17, N(S93&gt;I15:I17)),0),0)</f>
        <v>7984</v>
      </c>
      <c r="J93" s="1494">
        <f>IF(K10=0,ROUND(SUMPRODUCT(M15:M17-M14:M16, T93-N15:N17, N(T93&gt;N15:N17)),0),0)</f>
        <v>0</v>
      </c>
      <c r="K93" s="1495">
        <f>IF(K10=0,ROUND(SUMPRODUCT(R15:R17-R14:R16, U93-S15:S17, N(U93&gt;S15:S17)),0),0)</f>
        <v>0</v>
      </c>
      <c r="L93" s="1235"/>
      <c r="M93" s="1497">
        <f t="shared" ca="1" si="5"/>
        <v>35702</v>
      </c>
      <c r="N93" s="1455"/>
      <c r="O93" s="1455"/>
      <c r="P93" s="1455"/>
      <c r="Q93" s="1455"/>
      <c r="R93" s="1498">
        <f t="shared" ca="1" si="6"/>
        <v>145458</v>
      </c>
      <c r="S93" s="1499">
        <f t="shared" ca="1" si="7"/>
        <v>153908</v>
      </c>
      <c r="T93" s="1499">
        <f t="shared" si="8"/>
        <v>0</v>
      </c>
      <c r="U93" s="1500">
        <f t="shared" si="9"/>
        <v>0</v>
      </c>
    </row>
    <row r="94" spans="1:21" hidden="1">
      <c r="A94" s="392" t="str">
        <f ca="1">IF(C94=Retire!$D$12,"==&gt;","")</f>
        <v/>
      </c>
      <c r="C94" s="1450">
        <f ca="1">Income!C75</f>
        <v>2081</v>
      </c>
      <c r="D94" s="1451">
        <f ca="1">ROUND(Income!R75,0)</f>
        <v>160792</v>
      </c>
      <c r="E94" s="1452"/>
      <c r="F94" s="393"/>
      <c r="G94" s="271"/>
      <c r="H94" s="1465">
        <f ca="1">IF(K10=0,ROUND(SUMPRODUCT(C15:C21-C14:C20, R94-D15:D21, N(R94&gt;D15:D21)),0),0)</f>
        <v>28290</v>
      </c>
      <c r="I94" s="1451">
        <f ca="1">IF(K10=0,ROUND(SUMPRODUCT(H15:H17-H14:H16, S94-I15:I17, N(S94&gt;I15:I17)),0),0)</f>
        <v>8128</v>
      </c>
      <c r="J94" s="1451">
        <f>IF(K10=0,ROUND(SUMPRODUCT(M15:M17-M14:M16, T94-N15:N17, N(T94&gt;N15:N17)),0),0)</f>
        <v>0</v>
      </c>
      <c r="K94" s="1452">
        <f>IF(K10=0,ROUND(SUMPRODUCT(R15:R17-R14:R16, U94-S15:S17, N(U94&gt;S15:S17)),0),0)</f>
        <v>0</v>
      </c>
      <c r="L94" s="1235"/>
      <c r="M94" s="1466">
        <f t="shared" ca="1" si="5"/>
        <v>36418</v>
      </c>
      <c r="N94" s="1455"/>
      <c r="O94" s="1455"/>
      <c r="P94" s="1455"/>
      <c r="Q94" s="1455"/>
      <c r="R94" s="1467">
        <f t="shared" ca="1" si="6"/>
        <v>147842</v>
      </c>
      <c r="S94" s="1468">
        <f t="shared" ca="1" si="7"/>
        <v>156292</v>
      </c>
      <c r="T94" s="1468">
        <f t="shared" si="8"/>
        <v>0</v>
      </c>
      <c r="U94" s="1469">
        <f t="shared" si="9"/>
        <v>0</v>
      </c>
    </row>
    <row r="95" spans="1:21" hidden="1">
      <c r="A95" s="392" t="str">
        <f ca="1">IF(C95=Retire!$D$12,"==&gt;","")</f>
        <v/>
      </c>
      <c r="C95" s="1493">
        <f ca="1">Income!C76</f>
        <v>2082</v>
      </c>
      <c r="D95" s="1494">
        <f ca="1">ROUND(Income!R76,0)</f>
        <v>163213</v>
      </c>
      <c r="E95" s="1495"/>
      <c r="F95" s="393"/>
      <c r="G95" s="271"/>
      <c r="H95" s="1496">
        <f ca="1">IF(K10=0,ROUND(SUMPRODUCT(C15:C21-C14:C20, R95-D15:D21, N(R95&gt;D15:D21)),0),0)</f>
        <v>28871</v>
      </c>
      <c r="I95" s="1494">
        <f ca="1">IF(K10=0,ROUND(SUMPRODUCT(H15:H17-H14:H16, S95-I15:I17, N(S95&gt;I15:I17)),0),0)</f>
        <v>8273</v>
      </c>
      <c r="J95" s="1494">
        <f>IF(K10=0,ROUND(SUMPRODUCT(M15:M17-M14:M16, T95-N15:N17, N(T95&gt;N15:N17)),0),0)</f>
        <v>0</v>
      </c>
      <c r="K95" s="1495">
        <f>IF(K10=0,ROUND(SUMPRODUCT(R15:R17-R14:R16, U95-S15:S17, N(U95&gt;S15:S17)),0),0)</f>
        <v>0</v>
      </c>
      <c r="L95" s="1235"/>
      <c r="M95" s="1497">
        <f t="shared" ca="1" si="5"/>
        <v>37144</v>
      </c>
      <c r="N95" s="1455"/>
      <c r="O95" s="1455"/>
      <c r="P95" s="1455"/>
      <c r="Q95" s="1455"/>
      <c r="R95" s="1498">
        <f t="shared" ca="1" si="6"/>
        <v>150263</v>
      </c>
      <c r="S95" s="1499">
        <f t="shared" ca="1" si="7"/>
        <v>158713</v>
      </c>
      <c r="T95" s="1499">
        <f t="shared" si="8"/>
        <v>0</v>
      </c>
      <c r="U95" s="1500">
        <f t="shared" si="9"/>
        <v>0</v>
      </c>
    </row>
    <row r="96" spans="1:21" hidden="1">
      <c r="A96" s="392" t="str">
        <f ca="1">IF(C96=Retire!$D$12,"==&gt;","")</f>
        <v/>
      </c>
      <c r="C96" s="1450">
        <f ca="1">Income!C77</f>
        <v>2083</v>
      </c>
      <c r="D96" s="1451">
        <f ca="1">ROUND(Income!R77,0)</f>
        <v>165673</v>
      </c>
      <c r="E96" s="1452"/>
      <c r="F96" s="393"/>
      <c r="G96" s="271"/>
      <c r="H96" s="1465">
        <f ca="1">IF(K10=0,ROUND(SUMPRODUCT(C15:C21-C14:C20, R96-D15:D21, N(R96&gt;D15:D21)),0),0)</f>
        <v>29462</v>
      </c>
      <c r="I96" s="1451">
        <f ca="1">IF(K10=0,ROUND(SUMPRODUCT(H15:H17-H14:H16, S96-I15:I17, N(S96&gt;I15:I17)),0),0)</f>
        <v>8420</v>
      </c>
      <c r="J96" s="1451">
        <f>IF(K10=0,ROUND(SUMPRODUCT(M15:M17-M14:M16, T96-N15:N17, N(T96&gt;N15:N17)),0),0)</f>
        <v>0</v>
      </c>
      <c r="K96" s="1452">
        <f>IF(K10=0,ROUND(SUMPRODUCT(R15:R17-R14:R16, U96-S15:S17, N(U96&gt;S15:S17)),0),0)</f>
        <v>0</v>
      </c>
      <c r="L96" s="1235"/>
      <c r="M96" s="1466">
        <f t="shared" ca="1" si="5"/>
        <v>37882</v>
      </c>
      <c r="N96" s="1455"/>
      <c r="O96" s="1455"/>
      <c r="P96" s="1455"/>
      <c r="Q96" s="1455"/>
      <c r="R96" s="1467">
        <f t="shared" ca="1" si="6"/>
        <v>152723</v>
      </c>
      <c r="S96" s="1468">
        <f t="shared" ca="1" si="7"/>
        <v>161173</v>
      </c>
      <c r="T96" s="1468">
        <f t="shared" si="8"/>
        <v>0</v>
      </c>
      <c r="U96" s="1469">
        <f t="shared" si="9"/>
        <v>0</v>
      </c>
    </row>
    <row r="97" spans="1:21" hidden="1">
      <c r="A97" s="392" t="str">
        <f ca="1">IF(C97=Retire!$D$12,"==&gt;","")</f>
        <v/>
      </c>
      <c r="C97" s="1493">
        <f ca="1">Income!C78</f>
        <v>2084</v>
      </c>
      <c r="D97" s="1494">
        <f ca="1">ROUND(Income!R78,0)</f>
        <v>168171</v>
      </c>
      <c r="E97" s="1495"/>
      <c r="F97" s="393"/>
      <c r="G97" s="271"/>
      <c r="H97" s="1496">
        <f ca="1">IF(K10=0,ROUND(SUMPRODUCT(C15:C21-C14:C20, R97-D15:D21, N(R97&gt;D15:D21)),0),0)</f>
        <v>30061</v>
      </c>
      <c r="I97" s="1494">
        <f ca="1">IF(K10=0,ROUND(SUMPRODUCT(H15:H17-H14:H16, S97-I15:I17, N(S97&gt;I15:I17)),0),0)</f>
        <v>8570</v>
      </c>
      <c r="J97" s="1494">
        <f>IF(K10=0,ROUND(SUMPRODUCT(M15:M17-M14:M16, T97-N15:N17, N(T97&gt;N15:N17)),0),0)</f>
        <v>0</v>
      </c>
      <c r="K97" s="1495">
        <f>IF(K10=0,ROUND(SUMPRODUCT(R15:R17-R14:R16, U97-S15:S17, N(U97&gt;S15:S17)),0),0)</f>
        <v>0</v>
      </c>
      <c r="L97" s="1235"/>
      <c r="M97" s="1497">
        <f t="shared" ca="1" si="5"/>
        <v>38631</v>
      </c>
      <c r="N97" s="1455"/>
      <c r="O97" s="1455"/>
      <c r="P97" s="1455"/>
      <c r="Q97" s="1455"/>
      <c r="R97" s="1498">
        <f t="shared" ca="1" si="6"/>
        <v>155221</v>
      </c>
      <c r="S97" s="1499">
        <f t="shared" ca="1" si="7"/>
        <v>163671</v>
      </c>
      <c r="T97" s="1499">
        <f t="shared" si="8"/>
        <v>0</v>
      </c>
      <c r="U97" s="1500">
        <f t="shared" si="9"/>
        <v>0</v>
      </c>
    </row>
    <row r="98" spans="1:21" hidden="1">
      <c r="A98" s="392" t="str">
        <f ca="1">IF(C98=Retire!$D$12,"==&gt;","")</f>
        <v/>
      </c>
      <c r="C98" s="1450">
        <f ca="1">Income!C79</f>
        <v>2085</v>
      </c>
      <c r="D98" s="1451">
        <f ca="1">ROUND(Income!R79,0)</f>
        <v>170708</v>
      </c>
      <c r="E98" s="1452"/>
      <c r="F98" s="393"/>
      <c r="G98" s="271"/>
      <c r="H98" s="1465">
        <f ca="1">IF(K10=0,ROUND(SUMPRODUCT(C15:C21-C14:C20, R98-D15:D21, N(R98&gt;D15:D21)),0),0)</f>
        <v>30670</v>
      </c>
      <c r="I98" s="1451">
        <f ca="1">IF(K10=0,ROUND(SUMPRODUCT(H15:H17-H14:H16, S98-I15:I17, N(S98&gt;I15:I17)),0),0)</f>
        <v>8722</v>
      </c>
      <c r="J98" s="1451">
        <f>IF(K10=0,ROUND(SUMPRODUCT(M15:M17-M14:M16, T98-N15:N17, N(T98&gt;N15:N17)),0),0)</f>
        <v>0</v>
      </c>
      <c r="K98" s="1452">
        <f>IF(K10=0,ROUND(SUMPRODUCT(R15:R17-R14:R16, U98-S15:S17, N(U98&gt;S15:S17)),0),0)</f>
        <v>0</v>
      </c>
      <c r="L98" s="1235"/>
      <c r="M98" s="1466">
        <f t="shared" ca="1" si="5"/>
        <v>39392</v>
      </c>
      <c r="N98" s="1455"/>
      <c r="O98" s="1455"/>
      <c r="P98" s="1455"/>
      <c r="Q98" s="1455"/>
      <c r="R98" s="1467">
        <f t="shared" ca="1" si="6"/>
        <v>157758</v>
      </c>
      <c r="S98" s="1468">
        <f t="shared" ca="1" si="7"/>
        <v>166208</v>
      </c>
      <c r="T98" s="1468">
        <f t="shared" si="8"/>
        <v>0</v>
      </c>
      <c r="U98" s="1469">
        <f t="shared" si="9"/>
        <v>0</v>
      </c>
    </row>
    <row r="99" spans="1:21" hidden="1">
      <c r="A99" s="392" t="str">
        <f ca="1">IF(C99=Retire!$D$12,"==&gt;","")</f>
        <v/>
      </c>
      <c r="C99" s="1493">
        <f ca="1">Income!C80</f>
        <v>2086</v>
      </c>
      <c r="D99" s="1494">
        <f ca="1">ROUND(Income!R80,0)</f>
        <v>173285</v>
      </c>
      <c r="E99" s="1495"/>
      <c r="F99" s="393"/>
      <c r="G99" s="271"/>
      <c r="H99" s="1496">
        <f ca="1">IF(K10=0,ROUND(SUMPRODUCT(C15:C21-C14:C20, R99-D15:D21, N(R99&gt;D15:D21)),0),0)</f>
        <v>31288</v>
      </c>
      <c r="I99" s="1494">
        <f ca="1">IF(K10=0,ROUND(SUMPRODUCT(H15:H17-H14:H16, S99-I15:I17, N(S99&gt;I15:I17)),0),0)</f>
        <v>8877</v>
      </c>
      <c r="J99" s="1494">
        <f>IF(K10=0,ROUND(SUMPRODUCT(M15:M17-M14:M16, T99-N15:N17, N(T99&gt;N15:N17)),0),0)</f>
        <v>0</v>
      </c>
      <c r="K99" s="1495">
        <f>IF(K10=0,ROUND(SUMPRODUCT(R15:R17-R14:R16, U99-S15:S17, N(U99&gt;S15:S17)),0),0)</f>
        <v>0</v>
      </c>
      <c r="L99" s="1235"/>
      <c r="M99" s="1497">
        <f t="shared" ca="1" si="5"/>
        <v>40165</v>
      </c>
      <c r="N99" s="1455"/>
      <c r="O99" s="1455"/>
      <c r="P99" s="1455"/>
      <c r="Q99" s="1455"/>
      <c r="R99" s="1498">
        <f t="shared" ca="1" si="6"/>
        <v>160335</v>
      </c>
      <c r="S99" s="1499">
        <f t="shared" ca="1" si="7"/>
        <v>168785</v>
      </c>
      <c r="T99" s="1499">
        <f t="shared" si="8"/>
        <v>0</v>
      </c>
      <c r="U99" s="1500">
        <f t="shared" si="9"/>
        <v>0</v>
      </c>
    </row>
    <row r="100" spans="1:21" hidden="1">
      <c r="A100" s="392" t="str">
        <f ca="1">IF(C100=Retire!$D$12,"==&gt;","")</f>
        <v/>
      </c>
      <c r="C100" s="1450">
        <f ca="1">Income!C81</f>
        <v>2087</v>
      </c>
      <c r="D100" s="1451">
        <f ca="1">ROUND(Income!R81,0)</f>
        <v>175903</v>
      </c>
      <c r="E100" s="1452"/>
      <c r="F100" s="393"/>
      <c r="G100" s="271"/>
      <c r="H100" s="1465">
        <f ca="1">IF(K10=0,ROUND(SUMPRODUCT(C15:C21-C14:C20, R100-D15:D21, N(R100&gt;D15:D21)),0),0)</f>
        <v>31917</v>
      </c>
      <c r="I100" s="1451">
        <f ca="1">IF(K10=0,ROUND(SUMPRODUCT(H15:H17-H14:H16, S100-I15:I17, N(S100&gt;I15:I17)),0),0)</f>
        <v>9034</v>
      </c>
      <c r="J100" s="1451">
        <f>IF(K10=0,ROUND(SUMPRODUCT(M15:M17-M14:M16, T100-N15:N17, N(T100&gt;N15:N17)),0),0)</f>
        <v>0</v>
      </c>
      <c r="K100" s="1452">
        <f>IF(K10=0,ROUND(SUMPRODUCT(R15:R17-R14:R16, U100-S15:S17, N(U100&gt;S15:S17)),0),0)</f>
        <v>0</v>
      </c>
      <c r="L100" s="1235"/>
      <c r="M100" s="1466">
        <f t="shared" ca="1" si="5"/>
        <v>40951</v>
      </c>
      <c r="N100" s="1455"/>
      <c r="O100" s="1455"/>
      <c r="P100" s="1455"/>
      <c r="Q100" s="1455"/>
      <c r="R100" s="1467">
        <f t="shared" ca="1" si="6"/>
        <v>162953</v>
      </c>
      <c r="S100" s="1468">
        <f t="shared" ca="1" si="7"/>
        <v>171403</v>
      </c>
      <c r="T100" s="1468">
        <f t="shared" si="8"/>
        <v>0</v>
      </c>
      <c r="U100" s="1469">
        <f t="shared" si="9"/>
        <v>0</v>
      </c>
    </row>
    <row r="101" spans="1:21" hidden="1">
      <c r="A101" s="392" t="str">
        <f ca="1">IF(C101=Retire!$D$12,"==&gt;","")</f>
        <v/>
      </c>
      <c r="C101" s="1493">
        <f ca="1">Income!C82</f>
        <v>2088</v>
      </c>
      <c r="D101" s="1494">
        <f ca="1">ROUND(Income!R82,0)</f>
        <v>178562</v>
      </c>
      <c r="E101" s="1495"/>
      <c r="F101" s="393"/>
      <c r="G101" s="271"/>
      <c r="H101" s="1496">
        <f ca="1">IF(K10=0,ROUND(SUMPRODUCT(C15:C21-C14:C20, R101-D15:D21, N(R101&gt;D15:D21)),0),0)</f>
        <v>32555</v>
      </c>
      <c r="I101" s="1494">
        <f ca="1">IF(K10=0,ROUND(SUMPRODUCT(H15:H17-H14:H16, S101-I15:I17, N(S101&gt;I15:I17)),0),0)</f>
        <v>9194</v>
      </c>
      <c r="J101" s="1494">
        <f>IF(K10=0,ROUND(SUMPRODUCT(M15:M17-M14:M16, T101-N15:N17, N(T101&gt;N15:N17)),0),0)</f>
        <v>0</v>
      </c>
      <c r="K101" s="1495">
        <f>IF(K10=0,ROUND(SUMPRODUCT(R15:R17-R14:R16, U101-S15:S17, N(U101&gt;S15:S17)),0),0)</f>
        <v>0</v>
      </c>
      <c r="L101" s="1235"/>
      <c r="M101" s="1497">
        <f t="shared" ca="1" si="5"/>
        <v>41749</v>
      </c>
      <c r="N101" s="1455"/>
      <c r="O101" s="1455"/>
      <c r="P101" s="1455"/>
      <c r="Q101" s="1455"/>
      <c r="R101" s="1498">
        <f t="shared" ca="1" si="6"/>
        <v>165612</v>
      </c>
      <c r="S101" s="1499">
        <f t="shared" ca="1" si="7"/>
        <v>174062</v>
      </c>
      <c r="T101" s="1499">
        <f t="shared" si="8"/>
        <v>0</v>
      </c>
      <c r="U101" s="1500">
        <f t="shared" si="9"/>
        <v>0</v>
      </c>
    </row>
    <row r="102" spans="1:21" hidden="1">
      <c r="A102" s="392" t="str">
        <f ca="1">IF(C102=Retire!$D$12,"==&gt;","")</f>
        <v/>
      </c>
      <c r="C102" s="1450">
        <f ca="1">Income!C83</f>
        <v>2089</v>
      </c>
      <c r="D102" s="1451">
        <f ca="1">ROUND(Income!R83,0)</f>
        <v>181263</v>
      </c>
      <c r="E102" s="1452"/>
      <c r="F102" s="393"/>
      <c r="G102" s="271"/>
      <c r="H102" s="1465">
        <f ca="1">IF(K10=0,ROUND(SUMPRODUCT(C15:C21-C14:C20, R102-D15:D21, N(R102&gt;D15:D21)),0),0)</f>
        <v>33203</v>
      </c>
      <c r="I102" s="1451">
        <f ca="1">IF(K10=0,ROUND(SUMPRODUCT(H15:H17-H14:H16, S102-I15:I17, N(S102&gt;I15:I17)),0),0)</f>
        <v>9356</v>
      </c>
      <c r="J102" s="1451">
        <f>IF(K10=0,ROUND(SUMPRODUCT(M15:M17-M14:M16, T102-N15:N17, N(T102&gt;N15:N17)),0),0)</f>
        <v>0</v>
      </c>
      <c r="K102" s="1452">
        <f>IF(K10=0,ROUND(SUMPRODUCT(R15:R17-R14:R16, U102-S15:S17, N(U102&gt;S15:S17)),0),0)</f>
        <v>0</v>
      </c>
      <c r="L102" s="1235"/>
      <c r="M102" s="1466">
        <f t="shared" ca="1" si="5"/>
        <v>42559</v>
      </c>
      <c r="N102" s="1455"/>
      <c r="O102" s="1455"/>
      <c r="P102" s="1455"/>
      <c r="Q102" s="1455"/>
      <c r="R102" s="1467">
        <f t="shared" ca="1" si="6"/>
        <v>168313</v>
      </c>
      <c r="S102" s="1468">
        <f t="shared" ca="1" si="7"/>
        <v>176763</v>
      </c>
      <c r="T102" s="1468">
        <f t="shared" si="8"/>
        <v>0</v>
      </c>
      <c r="U102" s="1469">
        <f t="shared" si="9"/>
        <v>0</v>
      </c>
    </row>
    <row r="103" spans="1:21" hidden="1">
      <c r="A103" s="392" t="str">
        <f ca="1">IF(C103=Retire!$D$12,"==&gt;","")</f>
        <v/>
      </c>
      <c r="C103" s="1493">
        <f ca="1">Income!C84</f>
        <v>2090</v>
      </c>
      <c r="D103" s="1494">
        <f ca="1">ROUND(Income!R84,0)</f>
        <v>184007</v>
      </c>
      <c r="E103" s="1495"/>
      <c r="F103" s="393"/>
      <c r="G103" s="271"/>
      <c r="H103" s="1496">
        <f ca="1">IF(K10=0,ROUND(SUMPRODUCT(C15:C21-C14:C20, R103-D15:D21, N(R103&gt;D15:D21)),0),0)</f>
        <v>33942</v>
      </c>
      <c r="I103" s="1494">
        <f ca="1">IF(K10=0,ROUND(SUMPRODUCT(H15:H17-H14:H16, S103-I15:I17, N(S103&gt;I15:I17)),0),0)</f>
        <v>9520</v>
      </c>
      <c r="J103" s="1494">
        <f>IF(K10=0,ROUND(SUMPRODUCT(M15:M17-M14:M16, T103-N15:N17, N(T103&gt;N15:N17)),0),0)</f>
        <v>0</v>
      </c>
      <c r="K103" s="1495">
        <f>IF(K10=0,ROUND(SUMPRODUCT(R15:R17-R14:R16, U103-S15:S17, N(U103&gt;S15:S17)),0),0)</f>
        <v>0</v>
      </c>
      <c r="L103" s="1235"/>
      <c r="M103" s="1497">
        <f t="shared" ca="1" si="5"/>
        <v>43462</v>
      </c>
      <c r="N103" s="1455"/>
      <c r="O103" s="1455"/>
      <c r="P103" s="1455"/>
      <c r="Q103" s="1455"/>
      <c r="R103" s="1498">
        <f t="shared" ca="1" si="6"/>
        <v>171057</v>
      </c>
      <c r="S103" s="1499">
        <f t="shared" ca="1" si="7"/>
        <v>179507</v>
      </c>
      <c r="T103" s="1499">
        <f t="shared" si="8"/>
        <v>0</v>
      </c>
      <c r="U103" s="1500">
        <f t="shared" si="9"/>
        <v>0</v>
      </c>
    </row>
    <row r="104" spans="1:21" hidden="1">
      <c r="A104" s="392" t="str">
        <f ca="1">IF(C104=Retire!$D$12,"==&gt;","")</f>
        <v/>
      </c>
      <c r="C104" s="1450">
        <f ca="1">Income!C85</f>
        <v>2091</v>
      </c>
      <c r="D104" s="1451">
        <f ca="1">ROUND(Income!R85,0)</f>
        <v>186794</v>
      </c>
      <c r="E104" s="1452"/>
      <c r="F104" s="393"/>
      <c r="G104" s="271"/>
      <c r="H104" s="1465">
        <f ca="1">IF(K10=0,ROUND(SUMPRODUCT(C15:C21-C14:C20, R104-D15:D21, N(R104&gt;D15:D21)),0),0)</f>
        <v>34834</v>
      </c>
      <c r="I104" s="1451">
        <f ca="1">IF(K10=0,ROUND(SUMPRODUCT(H15:H17-H14:H16, S104-I15:I17, N(S104&gt;I15:I17)),0),0)</f>
        <v>9688</v>
      </c>
      <c r="J104" s="1451">
        <f>IF(K10=0,ROUND(SUMPRODUCT(M15:M17-M14:M16, T104-N15:N17, N(T104&gt;N15:N17)),0),0)</f>
        <v>0</v>
      </c>
      <c r="K104" s="1452">
        <f>IF(K10=0,ROUND(SUMPRODUCT(R15:R17-R14:R16, U104-S15:S17, N(U104&gt;S15:S17)),0),0)</f>
        <v>0</v>
      </c>
      <c r="L104" s="1235"/>
      <c r="M104" s="1466">
        <f t="shared" ca="1" si="5"/>
        <v>44522</v>
      </c>
      <c r="N104" s="1455"/>
      <c r="O104" s="1455"/>
      <c r="P104" s="1455"/>
      <c r="Q104" s="1455"/>
      <c r="R104" s="1467">
        <f t="shared" ca="1" si="6"/>
        <v>173844</v>
      </c>
      <c r="S104" s="1468">
        <f t="shared" ca="1" si="7"/>
        <v>182294</v>
      </c>
      <c r="T104" s="1468">
        <f t="shared" si="8"/>
        <v>0</v>
      </c>
      <c r="U104" s="1469">
        <f t="shared" si="9"/>
        <v>0</v>
      </c>
    </row>
    <row r="105" spans="1:21" hidden="1">
      <c r="A105" s="392" t="str">
        <f ca="1">IF(C105=Retire!$D$12,"==&gt;","")</f>
        <v/>
      </c>
      <c r="C105" s="1493">
        <f ca="1">Income!C86</f>
        <v>2092</v>
      </c>
      <c r="D105" s="1494">
        <f ca="1">ROUND(Income!R86,0)</f>
        <v>189625</v>
      </c>
      <c r="E105" s="1495"/>
      <c r="F105" s="393"/>
      <c r="G105" s="271"/>
      <c r="H105" s="1496">
        <f ca="1">IF(K10=0,ROUND(SUMPRODUCT(C15:C21-C14:C20, R105-D15:D21, N(R105&gt;D15:D21)),0),0)</f>
        <v>35740</v>
      </c>
      <c r="I105" s="1494">
        <f ca="1">IF(K10=0,ROUND(SUMPRODUCT(H15:H17-H14:H16, S105-I15:I17, N(S105&gt;I15:I17)),0),0)</f>
        <v>9858</v>
      </c>
      <c r="J105" s="1494">
        <f>IF(K10=0,ROUND(SUMPRODUCT(M15:M17-M14:M16, T105-N15:N17, N(T105&gt;N15:N17)),0),0)</f>
        <v>0</v>
      </c>
      <c r="K105" s="1495">
        <f>IF(K10=0,ROUND(SUMPRODUCT(R15:R17-R14:R16, U105-S15:S17, N(U105&gt;S15:S17)),0),0)</f>
        <v>0</v>
      </c>
      <c r="L105" s="1235"/>
      <c r="M105" s="1497">
        <f t="shared" ca="1" si="5"/>
        <v>45598</v>
      </c>
      <c r="N105" s="1455"/>
      <c r="O105" s="1455"/>
      <c r="P105" s="1455"/>
      <c r="Q105" s="1455"/>
      <c r="R105" s="1498">
        <f t="shared" ca="1" si="6"/>
        <v>176675</v>
      </c>
      <c r="S105" s="1499">
        <f t="shared" ca="1" si="7"/>
        <v>185125</v>
      </c>
      <c r="T105" s="1499">
        <f t="shared" si="8"/>
        <v>0</v>
      </c>
      <c r="U105" s="1500">
        <f t="shared" si="9"/>
        <v>0</v>
      </c>
    </row>
    <row r="106" spans="1:21" hidden="1">
      <c r="A106" s="392" t="str">
        <f ca="1">IF(C106=Retire!$D$12,"==&gt;","")</f>
        <v/>
      </c>
      <c r="C106" s="1450">
        <f ca="1">Income!C87</f>
        <v>2093</v>
      </c>
      <c r="D106" s="1451">
        <f ca="1">ROUND(Income!R87,0)</f>
        <v>192501</v>
      </c>
      <c r="E106" s="1452"/>
      <c r="F106" s="393"/>
      <c r="G106" s="271"/>
      <c r="H106" s="1465">
        <f ca="1">IF(K10=0,ROUND(SUMPRODUCT(C15:C21-C14:C20, R106-D15:D21, N(R106&gt;D15:D21)),0),0)</f>
        <v>36660</v>
      </c>
      <c r="I106" s="1451">
        <f ca="1">IF(K10=0,ROUND(SUMPRODUCT(H15:H17-H14:H16, S106-I15:I17, N(S106&gt;I15:I17)),0),0)</f>
        <v>10030</v>
      </c>
      <c r="J106" s="1451">
        <f>IF(K10=0,ROUND(SUMPRODUCT(M15:M17-M14:M16, T106-N15:N17, N(T106&gt;N15:N17)),0),0)</f>
        <v>0</v>
      </c>
      <c r="K106" s="1452">
        <f>IF(K10=0,ROUND(SUMPRODUCT(R15:R17-R14:R16, U106-S15:S17, N(U106&gt;S15:S17)),0),0)</f>
        <v>0</v>
      </c>
      <c r="L106" s="1235"/>
      <c r="M106" s="1466">
        <f t="shared" ca="1" si="5"/>
        <v>46690</v>
      </c>
      <c r="N106" s="1455"/>
      <c r="O106" s="1455"/>
      <c r="P106" s="1455"/>
      <c r="Q106" s="1455"/>
      <c r="R106" s="1467">
        <f t="shared" ca="1" si="6"/>
        <v>179551</v>
      </c>
      <c r="S106" s="1468">
        <f t="shared" ca="1" si="7"/>
        <v>188001</v>
      </c>
      <c r="T106" s="1468">
        <f t="shared" si="8"/>
        <v>0</v>
      </c>
      <c r="U106" s="1469">
        <f t="shared" si="9"/>
        <v>0</v>
      </c>
    </row>
    <row r="107" spans="1:21" hidden="1">
      <c r="A107" s="392" t="str">
        <f ca="1">IF(C107=Retire!$D$12,"==&gt;","")</f>
        <v/>
      </c>
      <c r="C107" s="1493">
        <f ca="1">Income!C88</f>
        <v>2094</v>
      </c>
      <c r="D107" s="1494">
        <f ca="1">ROUND(Income!R88,0)</f>
        <v>195422</v>
      </c>
      <c r="E107" s="1495"/>
      <c r="F107" s="393"/>
      <c r="G107" s="271"/>
      <c r="H107" s="1496">
        <f ca="1">IF(K10=0,ROUND(SUMPRODUCT(C15:C21-C14:C20, R107-D15:D21, N(R107&gt;D15:D21)),0),0)</f>
        <v>37595</v>
      </c>
      <c r="I107" s="1494">
        <f ca="1">IF(K10=0,ROUND(SUMPRODUCT(H15:H17-H14:H16, S107-I15:I17, N(S107&gt;I15:I17)),0),0)</f>
        <v>10205</v>
      </c>
      <c r="J107" s="1494">
        <f>IF(K10=0,ROUND(SUMPRODUCT(M15:M17-M14:M16, T107-N15:N17, N(T107&gt;N15:N17)),0),0)</f>
        <v>0</v>
      </c>
      <c r="K107" s="1495">
        <f>IF(K10=0,ROUND(SUMPRODUCT(R15:R17-R14:R16, U107-S15:S17, N(U107&gt;S15:S17)),0),0)</f>
        <v>0</v>
      </c>
      <c r="L107" s="1235"/>
      <c r="M107" s="1497">
        <f t="shared" ca="1" si="5"/>
        <v>47800</v>
      </c>
      <c r="N107" s="1455"/>
      <c r="O107" s="1455"/>
      <c r="P107" s="1455"/>
      <c r="Q107" s="1455"/>
      <c r="R107" s="1498">
        <f t="shared" ca="1" si="6"/>
        <v>182472</v>
      </c>
      <c r="S107" s="1499">
        <f t="shared" ca="1" si="7"/>
        <v>190922</v>
      </c>
      <c r="T107" s="1499">
        <f t="shared" si="8"/>
        <v>0</v>
      </c>
      <c r="U107" s="1500">
        <f t="shared" si="9"/>
        <v>0</v>
      </c>
    </row>
    <row r="108" spans="1:21" hidden="1">
      <c r="A108" s="392" t="str">
        <f ca="1">IF(C108=Retire!$D$12,"==&gt;","")</f>
        <v/>
      </c>
      <c r="C108" s="1450">
        <f ca="1">Income!C89</f>
        <v>2095</v>
      </c>
      <c r="D108" s="1451">
        <f ca="1">ROUND(Income!R89,0)</f>
        <v>198389</v>
      </c>
      <c r="E108" s="1452"/>
      <c r="F108" s="393"/>
      <c r="G108" s="271"/>
      <c r="H108" s="1465">
        <f ca="1">IF(K10=0,ROUND(SUMPRODUCT(C15:C21-C14:C20, R108-D15:D21, N(R108&gt;D15:D21)),0),0)</f>
        <v>38544</v>
      </c>
      <c r="I108" s="1451">
        <f ca="1">IF(K10=0,ROUND(SUMPRODUCT(H15:H17-H14:H16, S108-I15:I17, N(S108&gt;I15:I17)),0),0)</f>
        <v>10383</v>
      </c>
      <c r="J108" s="1451">
        <f>IF(K10=0,ROUND(SUMPRODUCT(M15:M17-M14:M16, T108-N15:N17, N(T108&gt;N15:N17)),0),0)</f>
        <v>0</v>
      </c>
      <c r="K108" s="1452">
        <f>IF(K10=0,ROUND(SUMPRODUCT(R15:R17-R14:R16, U108-S15:S17, N(U108&gt;S15:S17)),0),0)</f>
        <v>0</v>
      </c>
      <c r="L108" s="1235"/>
      <c r="M108" s="1466">
        <f t="shared" ca="1" si="5"/>
        <v>48927</v>
      </c>
      <c r="N108" s="1455"/>
      <c r="O108" s="1455"/>
      <c r="P108" s="1455"/>
      <c r="Q108" s="1455"/>
      <c r="R108" s="1467">
        <f t="shared" ca="1" si="6"/>
        <v>185439</v>
      </c>
      <c r="S108" s="1468">
        <f t="shared" ca="1" si="7"/>
        <v>193889</v>
      </c>
      <c r="T108" s="1468">
        <f t="shared" si="8"/>
        <v>0</v>
      </c>
      <c r="U108" s="1469">
        <f t="shared" si="9"/>
        <v>0</v>
      </c>
    </row>
    <row r="109" spans="1:21" hidden="1">
      <c r="A109" s="392" t="str">
        <f ca="1">IF(C109=Retire!$D$12,"==&gt;","")</f>
        <v/>
      </c>
      <c r="C109" s="1493">
        <f ca="1">Income!C90</f>
        <v>2096</v>
      </c>
      <c r="D109" s="1494">
        <f ca="1">ROUND(Income!R90,0)</f>
        <v>201404</v>
      </c>
      <c r="E109" s="1495"/>
      <c r="F109" s="393"/>
      <c r="G109" s="271"/>
      <c r="H109" s="1496">
        <f ca="1">IF(K10=0,ROUND(SUMPRODUCT(C15:C21-C14:C20, R109-D15:D21, N(R109&gt;D15:D21)),0),0)</f>
        <v>39509</v>
      </c>
      <c r="I109" s="1494">
        <f ca="1">IF(K10=0,ROUND(SUMPRODUCT(H15:H17-H14:H16, S109-I15:I17, N(S109&gt;I15:I17)),0),0)</f>
        <v>10564</v>
      </c>
      <c r="J109" s="1494">
        <f>IF(K10=0,ROUND(SUMPRODUCT(M15:M17-M14:M16, T109-N15:N17, N(T109&gt;N15:N17)),0),0)</f>
        <v>0</v>
      </c>
      <c r="K109" s="1495">
        <f>IF(K10=0,ROUND(SUMPRODUCT(R15:R17-R14:R16, U109-S15:S17, N(U109&gt;S15:S17)),0),0)</f>
        <v>0</v>
      </c>
      <c r="L109" s="1235"/>
      <c r="M109" s="1497">
        <f t="shared" ca="1" si="5"/>
        <v>50073</v>
      </c>
      <c r="N109" s="1455"/>
      <c r="O109" s="1455"/>
      <c r="P109" s="1455"/>
      <c r="Q109" s="1455"/>
      <c r="R109" s="1498">
        <f t="shared" ca="1" si="6"/>
        <v>188454</v>
      </c>
      <c r="S109" s="1499">
        <f t="shared" ca="1" si="7"/>
        <v>196904</v>
      </c>
      <c r="T109" s="1499">
        <f t="shared" si="8"/>
        <v>0</v>
      </c>
      <c r="U109" s="1500">
        <f t="shared" si="9"/>
        <v>0</v>
      </c>
    </row>
    <row r="110" spans="1:21" hidden="1">
      <c r="A110" s="392" t="str">
        <f ca="1">IF(C110=Retire!$D$12,"==&gt;","")</f>
        <v/>
      </c>
      <c r="C110" s="1450">
        <f ca="1">Income!C91</f>
        <v>2097</v>
      </c>
      <c r="D110" s="1451">
        <f ca="1">ROUND(Income!R91,0)</f>
        <v>204466</v>
      </c>
      <c r="E110" s="1452"/>
      <c r="F110" s="393"/>
      <c r="G110" s="271"/>
      <c r="H110" s="1465">
        <f ca="1">IF(K10=0,ROUND(SUMPRODUCT(C15:C21-C14:C20, R110-D15:D21, N(R110&gt;D15:D21)),0),0)</f>
        <v>40489</v>
      </c>
      <c r="I110" s="1451">
        <f ca="1">IF(K10=0,ROUND(SUMPRODUCT(H15:H17-H14:H16, S110-I15:I17, N(S110&gt;I15:I17)),0),0)</f>
        <v>10748</v>
      </c>
      <c r="J110" s="1451">
        <f>IF(K10=0,ROUND(SUMPRODUCT(M15:M17-M14:M16, T110-N15:N17, N(T110&gt;N15:N17)),0),0)</f>
        <v>0</v>
      </c>
      <c r="K110" s="1452">
        <f>IF(K10=0,ROUND(SUMPRODUCT(R15:R17-R14:R16, U110-S15:S17, N(U110&gt;S15:S17)),0),0)</f>
        <v>0</v>
      </c>
      <c r="L110" s="1235"/>
      <c r="M110" s="1466">
        <f t="shared" ca="1" si="5"/>
        <v>51237</v>
      </c>
      <c r="N110" s="1455"/>
      <c r="O110" s="1455"/>
      <c r="P110" s="1455"/>
      <c r="Q110" s="1455"/>
      <c r="R110" s="1467">
        <f t="shared" ca="1" si="6"/>
        <v>191516</v>
      </c>
      <c r="S110" s="1468">
        <f t="shared" ca="1" si="7"/>
        <v>199966</v>
      </c>
      <c r="T110" s="1468">
        <f t="shared" si="8"/>
        <v>0</v>
      </c>
      <c r="U110" s="1469">
        <f t="shared" si="9"/>
        <v>0</v>
      </c>
    </row>
    <row r="111" spans="1:21" hidden="1">
      <c r="A111" s="392" t="str">
        <f ca="1">IF(C111=Retire!$D$12,"==&gt;","")</f>
        <v/>
      </c>
      <c r="C111" s="1493">
        <f ca="1">Income!C92</f>
        <v>2098</v>
      </c>
      <c r="D111" s="1494">
        <f ca="1">ROUND(Income!R92,0)</f>
        <v>207577</v>
      </c>
      <c r="E111" s="1495"/>
      <c r="F111" s="393"/>
      <c r="G111" s="271"/>
      <c r="H111" s="1496">
        <f ca="1">IF(K10=0,ROUND(SUMPRODUCT(C15:C21-C14:C20, R111-D15:D21, N(R111&gt;D15:D21)),0),0)</f>
        <v>41485</v>
      </c>
      <c r="I111" s="1494">
        <f ca="1">IF(K10=0,ROUND(SUMPRODUCT(H15:H17-H14:H16, S111-I15:I17, N(S111&gt;I15:I17)),0),0)</f>
        <v>10935</v>
      </c>
      <c r="J111" s="1494">
        <f>IF(K10=0,ROUND(SUMPRODUCT(M15:M17-M14:M16, T111-N15:N17, N(T111&gt;N15:N17)),0),0)</f>
        <v>0</v>
      </c>
      <c r="K111" s="1495">
        <f>IF(K10=0,ROUND(SUMPRODUCT(R15:R17-R14:R16, U111-S15:S17, N(U111&gt;S15:S17)),0),0)</f>
        <v>0</v>
      </c>
      <c r="L111" s="1235"/>
      <c r="M111" s="1497">
        <f t="shared" ca="1" si="5"/>
        <v>52420</v>
      </c>
      <c r="N111" s="1455"/>
      <c r="O111" s="1455"/>
      <c r="P111" s="1455"/>
      <c r="Q111" s="1455"/>
      <c r="R111" s="1498">
        <f t="shared" ca="1" si="6"/>
        <v>194627</v>
      </c>
      <c r="S111" s="1499">
        <f t="shared" ca="1" si="7"/>
        <v>203077</v>
      </c>
      <c r="T111" s="1499">
        <f t="shared" si="8"/>
        <v>0</v>
      </c>
      <c r="U111" s="1500">
        <f t="shared" si="9"/>
        <v>0</v>
      </c>
    </row>
    <row r="112" spans="1:21" hidden="1">
      <c r="A112" s="392" t="str">
        <f ca="1">IF(C112=Retire!$D$12,"==&gt;","")</f>
        <v/>
      </c>
      <c r="C112" s="1450">
        <f ca="1">Income!C93</f>
        <v>2099</v>
      </c>
      <c r="D112" s="1451">
        <f ca="1">ROUND(Income!R93,0)</f>
        <v>210738</v>
      </c>
      <c r="E112" s="1452"/>
      <c r="F112" s="393"/>
      <c r="G112" s="271"/>
      <c r="H112" s="1465">
        <f ca="1">IF(K10=0,ROUND(SUMPRODUCT(C15:C21-C14:C20, R112-D15:D21, N(R112&gt;D15:D21)),0),0)</f>
        <v>42496</v>
      </c>
      <c r="I112" s="1451">
        <f ca="1">IF(K10=0,ROUND(SUMPRODUCT(H15:H17-H14:H16, S112-I15:I17, N(S112&gt;I15:I17)),0),0)</f>
        <v>11124</v>
      </c>
      <c r="J112" s="1451">
        <f>IF(K10=0,ROUND(SUMPRODUCT(M15:M17-M14:M16, T112-N15:N17, N(T112&gt;N15:N17)),0),0)</f>
        <v>0</v>
      </c>
      <c r="K112" s="1452">
        <f>IF(K10=0,ROUND(SUMPRODUCT(R15:R17-R14:R16, U112-S15:S17, N(U112&gt;S15:S17)),0),0)</f>
        <v>0</v>
      </c>
      <c r="L112" s="1235"/>
      <c r="M112" s="1466">
        <f t="shared" ca="1" si="5"/>
        <v>53620</v>
      </c>
      <c r="N112" s="1455"/>
      <c r="O112" s="1455"/>
      <c r="P112" s="1455"/>
      <c r="Q112" s="1455"/>
      <c r="R112" s="1467">
        <f t="shared" ca="1" si="6"/>
        <v>197788</v>
      </c>
      <c r="S112" s="1468">
        <f t="shared" ca="1" si="7"/>
        <v>206238</v>
      </c>
      <c r="T112" s="1468">
        <f t="shared" si="8"/>
        <v>0</v>
      </c>
      <c r="U112" s="1469">
        <f t="shared" si="9"/>
        <v>0</v>
      </c>
    </row>
    <row r="113" spans="1:21" hidden="1">
      <c r="A113" s="392" t="str">
        <f ca="1">IF(C113=Retire!$D$12,"==&gt;","")</f>
        <v/>
      </c>
      <c r="C113" s="1493">
        <f ca="1">Income!C94</f>
        <v>2100</v>
      </c>
      <c r="D113" s="1494">
        <f ca="1">ROUND(Income!R94,0)</f>
        <v>213948</v>
      </c>
      <c r="E113" s="1495"/>
      <c r="F113" s="393"/>
      <c r="G113" s="271"/>
      <c r="H113" s="1496">
        <f ca="1">IF(K10=0,ROUND(SUMPRODUCT(C15:C21-C14:C20, R113-D15:D21, N(R113&gt;D15:D21)),0),0)</f>
        <v>43523</v>
      </c>
      <c r="I113" s="1494">
        <f ca="1">IF(K10=0,ROUND(SUMPRODUCT(H15:H17-H14:H16, S113-I15:I17, N(S113&gt;I15:I17)),0),0)</f>
        <v>11317</v>
      </c>
      <c r="J113" s="1494">
        <f>IF(K10=0,ROUND(SUMPRODUCT(M15:M17-M14:M16, T113-N15:N17, N(T113&gt;N15:N17)),0),0)</f>
        <v>0</v>
      </c>
      <c r="K113" s="1495">
        <f>IF(K10=0,ROUND(SUMPRODUCT(R15:R17-R14:R16, U113-S15:S17, N(U113&gt;S15:S17)),0),0)</f>
        <v>0</v>
      </c>
      <c r="L113" s="1235"/>
      <c r="M113" s="1497">
        <f t="shared" ca="1" si="5"/>
        <v>54840</v>
      </c>
      <c r="N113" s="1455"/>
      <c r="O113" s="1455"/>
      <c r="P113" s="1455"/>
      <c r="Q113" s="1455"/>
      <c r="R113" s="1498">
        <f t="shared" ca="1" si="6"/>
        <v>200998</v>
      </c>
      <c r="S113" s="1499">
        <f t="shared" ca="1" si="7"/>
        <v>209448</v>
      </c>
      <c r="T113" s="1499">
        <f t="shared" si="8"/>
        <v>0</v>
      </c>
      <c r="U113" s="1500">
        <f t="shared" si="9"/>
        <v>0</v>
      </c>
    </row>
    <row r="114" spans="1:21" hidden="1">
      <c r="A114" s="392" t="str">
        <f ca="1">IF(C114=Retire!$D$12,"==&gt;","")</f>
        <v/>
      </c>
      <c r="C114" s="1450">
        <f ca="1">Income!C95</f>
        <v>2101</v>
      </c>
      <c r="D114" s="1451">
        <f ca="1">ROUND(Income!R95,0)</f>
        <v>217210</v>
      </c>
      <c r="E114" s="1452"/>
      <c r="F114" s="393"/>
      <c r="G114" s="271"/>
      <c r="H114" s="1465">
        <f ca="1">IF(K10=0,ROUND(SUMPRODUCT(C15:C21-C14:C20, R114-D15:D21, N(R114&gt;D15:D21)),0),0)</f>
        <v>44567</v>
      </c>
      <c r="I114" s="1451">
        <f ca="1">IF(K10=0,ROUND(SUMPRODUCT(H15:H17-H14:H16, S114-I15:I17, N(S114&gt;I15:I17)),0),0)</f>
        <v>11513</v>
      </c>
      <c r="J114" s="1451">
        <f>IF(K10=0,ROUND(SUMPRODUCT(M15:M17-M14:M16, T114-N15:N17, N(T114&gt;N15:N17)),0),0)</f>
        <v>0</v>
      </c>
      <c r="K114" s="1452">
        <f>IF(K10=0,ROUND(SUMPRODUCT(R15:R17-R14:R16, U114-S15:S17, N(U114&gt;S15:S17)),0),0)</f>
        <v>0</v>
      </c>
      <c r="L114" s="1235"/>
      <c r="M114" s="1466">
        <f t="shared" ca="1" si="5"/>
        <v>56080</v>
      </c>
      <c r="N114" s="1455"/>
      <c r="O114" s="1455"/>
      <c r="P114" s="1455"/>
      <c r="Q114" s="1455"/>
      <c r="R114" s="1467">
        <f t="shared" ca="1" si="6"/>
        <v>204260</v>
      </c>
      <c r="S114" s="1468">
        <f t="shared" ca="1" si="7"/>
        <v>212710</v>
      </c>
      <c r="T114" s="1468">
        <f t="shared" si="8"/>
        <v>0</v>
      </c>
      <c r="U114" s="1469">
        <f t="shared" si="9"/>
        <v>0</v>
      </c>
    </row>
    <row r="115" spans="1:21" hidden="1">
      <c r="A115" s="392" t="str">
        <f ca="1">IF(C115=Retire!$D$12,"==&gt;","")</f>
        <v/>
      </c>
      <c r="C115" s="1493">
        <f ca="1">Income!C96</f>
        <v>2102</v>
      </c>
      <c r="D115" s="1494">
        <f ca="1">ROUND(Income!R96,0)</f>
        <v>220523</v>
      </c>
      <c r="E115" s="1495"/>
      <c r="F115" s="393"/>
      <c r="G115" s="271"/>
      <c r="H115" s="1496">
        <f ca="1">IF(K10=0,ROUND(SUMPRODUCT(C15:C21-C14:C20, R115-D15:D21, N(R115&gt;D15:D21)),0),0)</f>
        <v>45627</v>
      </c>
      <c r="I115" s="1494">
        <f ca="1">IF(K10=0,ROUND(SUMPRODUCT(H15:H17-H14:H16, S115-I15:I17, N(S115&gt;I15:I17)),0),0)</f>
        <v>11711</v>
      </c>
      <c r="J115" s="1494">
        <f>IF(K10=0,ROUND(SUMPRODUCT(M15:M17-M14:M16, T115-N15:N17, N(T115&gt;N15:N17)),0),0)</f>
        <v>0</v>
      </c>
      <c r="K115" s="1495">
        <f>IF(K10=0,ROUND(SUMPRODUCT(R15:R17-R14:R16, U115-S15:S17, N(U115&gt;S15:S17)),0),0)</f>
        <v>0</v>
      </c>
      <c r="L115" s="1235"/>
      <c r="M115" s="1497">
        <f t="shared" ca="1" si="5"/>
        <v>57338</v>
      </c>
      <c r="N115" s="1455"/>
      <c r="O115" s="1455"/>
      <c r="P115" s="1455"/>
      <c r="Q115" s="1455"/>
      <c r="R115" s="1498">
        <f t="shared" ca="1" si="6"/>
        <v>207573</v>
      </c>
      <c r="S115" s="1499">
        <f t="shared" ca="1" si="7"/>
        <v>216023</v>
      </c>
      <c r="T115" s="1499">
        <f t="shared" si="8"/>
        <v>0</v>
      </c>
      <c r="U115" s="1500">
        <f t="shared" si="9"/>
        <v>0</v>
      </c>
    </row>
    <row r="116" spans="1:21" hidden="1">
      <c r="A116" s="392" t="str">
        <f ca="1">IF(C116=Retire!$D$12,"==&gt;","")</f>
        <v/>
      </c>
      <c r="C116" s="1450">
        <f ca="1">Income!C97</f>
        <v>2103</v>
      </c>
      <c r="D116" s="1451">
        <f ca="1">ROUND(Income!R97,0)</f>
        <v>223890</v>
      </c>
      <c r="E116" s="1452"/>
      <c r="F116" s="393"/>
      <c r="G116" s="271"/>
      <c r="H116" s="1465">
        <f ca="1">IF(K10=0,ROUND(SUMPRODUCT(C15:C21-C14:C20, R116-D15:D21, N(R116&gt;D15:D21)),0),0)</f>
        <v>46705</v>
      </c>
      <c r="I116" s="1451">
        <f ca="1">IF(K10=0,ROUND(SUMPRODUCT(H15:H17-H14:H16, S116-I15:I17, N(S116&gt;I15:I17)),0),0)</f>
        <v>11913</v>
      </c>
      <c r="J116" s="1451">
        <f>IF(K10=0,ROUND(SUMPRODUCT(M15:M17-M14:M16, T116-N15:N17, N(T116&gt;N15:N17)),0),0)</f>
        <v>0</v>
      </c>
      <c r="K116" s="1452">
        <f>IF(K10=0,ROUND(SUMPRODUCT(R15:R17-R14:R16, U116-S15:S17, N(U116&gt;S15:S17)),0),0)</f>
        <v>0</v>
      </c>
      <c r="L116" s="1235"/>
      <c r="M116" s="1466">
        <f t="shared" ca="1" si="5"/>
        <v>58618</v>
      </c>
      <c r="N116" s="1455"/>
      <c r="O116" s="1455"/>
      <c r="P116" s="1455"/>
      <c r="Q116" s="1455"/>
      <c r="R116" s="1467">
        <f t="shared" ca="1" si="6"/>
        <v>210940</v>
      </c>
      <c r="S116" s="1468">
        <f t="shared" ca="1" si="7"/>
        <v>219390</v>
      </c>
      <c r="T116" s="1468">
        <f t="shared" si="8"/>
        <v>0</v>
      </c>
      <c r="U116" s="1469">
        <f t="shared" si="9"/>
        <v>0</v>
      </c>
    </row>
    <row r="117" spans="1:21" hidden="1">
      <c r="A117" s="392" t="str">
        <f ca="1">IF(C117=Retire!$D$12,"==&gt;","")</f>
        <v/>
      </c>
      <c r="C117" s="1493">
        <f ca="1">Income!C98</f>
        <v>2104</v>
      </c>
      <c r="D117" s="1494">
        <f ca="1">ROUND(Income!R98,0)</f>
        <v>227310</v>
      </c>
      <c r="E117" s="1495"/>
      <c r="F117" s="393"/>
      <c r="G117" s="271"/>
      <c r="H117" s="1496">
        <f ca="1">IF(K10=0,ROUND(SUMPRODUCT(C15:C21-C14:C20, R117-D15:D21, N(R117&gt;D15:D21)),0),0)</f>
        <v>47799</v>
      </c>
      <c r="I117" s="1494">
        <f ca="1">IF(K10=0,ROUND(SUMPRODUCT(H15:H17-H14:H16, S117-I15:I17, N(S117&gt;I15:I17)),0),0)</f>
        <v>12119</v>
      </c>
      <c r="J117" s="1494">
        <f>IF(K10=0,ROUND(SUMPRODUCT(M15:M17-M14:M16, T117-N15:N17, N(T117&gt;N15:N17)),0),0)</f>
        <v>0</v>
      </c>
      <c r="K117" s="1495">
        <f>IF(K10=0,ROUND(SUMPRODUCT(R15:R17-R14:R16, U117-S15:S17, N(U117&gt;S15:S17)),0),0)</f>
        <v>0</v>
      </c>
      <c r="L117" s="1235"/>
      <c r="M117" s="1497">
        <f t="shared" ca="1" si="5"/>
        <v>59918</v>
      </c>
      <c r="N117" s="1455"/>
      <c r="O117" s="1455"/>
      <c r="P117" s="1455"/>
      <c r="Q117" s="1455"/>
      <c r="R117" s="1498">
        <f t="shared" ca="1" si="6"/>
        <v>214360</v>
      </c>
      <c r="S117" s="1499">
        <f t="shared" ca="1" si="7"/>
        <v>222810</v>
      </c>
      <c r="T117" s="1499">
        <f t="shared" si="8"/>
        <v>0</v>
      </c>
      <c r="U117" s="1500">
        <f t="shared" si="9"/>
        <v>0</v>
      </c>
    </row>
    <row r="118" spans="1:21" hidden="1">
      <c r="A118" s="392" t="str">
        <f ca="1">IF(C118=Retire!$D$12,"==&gt;","")</f>
        <v/>
      </c>
      <c r="C118" s="1450">
        <f ca="1">Income!C99</f>
        <v>2105</v>
      </c>
      <c r="D118" s="1451">
        <f ca="1">ROUND(Income!R99,0)</f>
        <v>230784</v>
      </c>
      <c r="E118" s="1452"/>
      <c r="F118" s="393"/>
      <c r="G118" s="271"/>
      <c r="H118" s="1465">
        <f ca="1">IF(K10=0,ROUND(SUMPRODUCT(C15:C21-C14:C20, R118-D15:D21, N(R118&gt;D15:D21)),0),0)</f>
        <v>48967</v>
      </c>
      <c r="I118" s="1451">
        <f ca="1">IF(K10=0,ROUND(SUMPRODUCT(H15:H17-H14:H16, S118-I15:I17, N(S118&gt;I15:I17)),0),0)</f>
        <v>12327</v>
      </c>
      <c r="J118" s="1451">
        <f>IF(K10=0,ROUND(SUMPRODUCT(M15:M17-M14:M16, T118-N15:N17, N(T118&gt;N15:N17)),0),0)</f>
        <v>0</v>
      </c>
      <c r="K118" s="1452">
        <f>IF(K10=0,ROUND(SUMPRODUCT(R15:R17-R14:R16, U118-S15:S17, N(U118&gt;S15:S17)),0),0)</f>
        <v>0</v>
      </c>
      <c r="L118" s="1235"/>
      <c r="M118" s="1466">
        <f t="shared" ca="1" si="5"/>
        <v>61294</v>
      </c>
      <c r="N118" s="1455"/>
      <c r="O118" s="1455"/>
      <c r="P118" s="1455"/>
      <c r="Q118" s="1455"/>
      <c r="R118" s="1467">
        <f t="shared" ca="1" si="6"/>
        <v>217834</v>
      </c>
      <c r="S118" s="1468">
        <f t="shared" ca="1" si="7"/>
        <v>226284</v>
      </c>
      <c r="T118" s="1468">
        <f t="shared" si="8"/>
        <v>0</v>
      </c>
      <c r="U118" s="1469">
        <f t="shared" si="9"/>
        <v>0</v>
      </c>
    </row>
    <row r="119" spans="1:21" hidden="1">
      <c r="A119" s="392" t="str">
        <f ca="1">IF(C119=Retire!$D$12,"==&gt;","")</f>
        <v/>
      </c>
      <c r="C119" s="1493">
        <f ca="1">Income!C100</f>
        <v>2106</v>
      </c>
      <c r="D119" s="1494">
        <f ca="1">ROUND(Income!R100,0)</f>
        <v>234314</v>
      </c>
      <c r="E119" s="1495"/>
      <c r="F119" s="393"/>
      <c r="G119" s="271"/>
      <c r="H119" s="1496">
        <f ca="1">IF(K10=0,ROUND(SUMPRODUCT(C15:C21-C14:C20, R119-D15:D21, N(R119&gt;D15:D21)),0),0)</f>
        <v>50203</v>
      </c>
      <c r="I119" s="1494">
        <f ca="1">IF(K10=0,ROUND(SUMPRODUCT(H15:H17-H14:H16, S119-I15:I17, N(S119&gt;I15:I17)),0),0)</f>
        <v>12539</v>
      </c>
      <c r="J119" s="1494">
        <f>IF(K10=0,ROUND(SUMPRODUCT(M15:M17-M14:M16, T119-N15:N17, N(T119&gt;N15:N17)),0),0)</f>
        <v>0</v>
      </c>
      <c r="K119" s="1495">
        <f>IF(K10=0,ROUND(SUMPRODUCT(R15:R17-R14:R16, U119-S15:S17, N(U119&gt;S15:S17)),0),0)</f>
        <v>0</v>
      </c>
      <c r="L119" s="1235"/>
      <c r="M119" s="1497">
        <f t="shared" ca="1" si="5"/>
        <v>62742</v>
      </c>
      <c r="N119" s="1455"/>
      <c r="O119" s="1455"/>
      <c r="P119" s="1455"/>
      <c r="Q119" s="1455"/>
      <c r="R119" s="1498">
        <f t="shared" ca="1" si="6"/>
        <v>221364</v>
      </c>
      <c r="S119" s="1499">
        <f t="shared" ca="1" si="7"/>
        <v>229814</v>
      </c>
      <c r="T119" s="1499">
        <f t="shared" si="8"/>
        <v>0</v>
      </c>
      <c r="U119" s="1500">
        <f t="shared" si="9"/>
        <v>0</v>
      </c>
    </row>
    <row r="120" spans="1:21" hidden="1">
      <c r="A120" s="392" t="str">
        <f ca="1">IF(C120=Retire!$D$12,"==&gt;","")</f>
        <v/>
      </c>
      <c r="C120" s="1450">
        <f ca="1">Income!C101</f>
        <v>2107</v>
      </c>
      <c r="D120" s="1451">
        <f ca="1">ROUND(Income!R101,0)</f>
        <v>237900</v>
      </c>
      <c r="E120" s="1452"/>
      <c r="F120" s="393"/>
      <c r="G120" s="271"/>
      <c r="H120" s="1465">
        <f ca="1">IF(K10=0,ROUND(SUMPRODUCT(C15:C21-C14:C20, R120-D15:D21, N(R120&gt;D15:D21)),0),0)</f>
        <v>51458</v>
      </c>
      <c r="I120" s="1451">
        <f ca="1">IF(K10=0,ROUND(SUMPRODUCT(H15:H17-H14:H16, S120-I15:I17, N(S120&gt;I15:I17)),0),0)</f>
        <v>12754</v>
      </c>
      <c r="J120" s="1451">
        <f>IF(K10=0,ROUND(SUMPRODUCT(M15:M17-M14:M16, T120-N15:N17, N(T120&gt;N15:N17)),0),0)</f>
        <v>0</v>
      </c>
      <c r="K120" s="1452">
        <f>IF(K10=0,ROUND(SUMPRODUCT(R15:R17-R14:R16, U120-S15:S17, N(U120&gt;S15:S17)),0),0)</f>
        <v>0</v>
      </c>
      <c r="L120" s="1235"/>
      <c r="M120" s="1466">
        <f t="shared" ca="1" si="5"/>
        <v>64212</v>
      </c>
      <c r="N120" s="1455"/>
      <c r="O120" s="1455"/>
      <c r="P120" s="1455"/>
      <c r="Q120" s="1455"/>
      <c r="R120" s="1467">
        <f t="shared" ca="1" si="6"/>
        <v>224950</v>
      </c>
      <c r="S120" s="1468">
        <f t="shared" ca="1" si="7"/>
        <v>233400</v>
      </c>
      <c r="T120" s="1468">
        <f t="shared" si="8"/>
        <v>0</v>
      </c>
      <c r="U120" s="1469">
        <f t="shared" si="9"/>
        <v>0</v>
      </c>
    </row>
    <row r="121" spans="1:21" hidden="1">
      <c r="A121" s="392" t="str">
        <f ca="1">IF(C121=Retire!$D$12,"==&gt;","")</f>
        <v/>
      </c>
      <c r="C121" s="1493">
        <f ca="1">Income!C102</f>
        <v>2108</v>
      </c>
      <c r="D121" s="1494">
        <f ca="1">ROUND(Income!R102,0)</f>
        <v>241544</v>
      </c>
      <c r="E121" s="1495"/>
      <c r="F121" s="393"/>
      <c r="G121" s="271"/>
      <c r="H121" s="1496">
        <f ca="1">IF(K10=0,ROUND(SUMPRODUCT(C15:C21-C14:C20, R121-D15:D21, N(R121&gt;D15:D21)),0),0)</f>
        <v>52733</v>
      </c>
      <c r="I121" s="1494">
        <f ca="1">IF(K10=0,ROUND(SUMPRODUCT(H15:H17-H14:H16, S121-I15:I17, N(S121&gt;I15:I17)),0),0)</f>
        <v>12973</v>
      </c>
      <c r="J121" s="1494">
        <f>IF(K10=0,ROUND(SUMPRODUCT(M15:M17-M14:M16, T121-N15:N17, N(T121&gt;N15:N17)),0),0)</f>
        <v>0</v>
      </c>
      <c r="K121" s="1495">
        <f>IF(K10=0,ROUND(SUMPRODUCT(R15:R17-R14:R16, U121-S15:S17, N(U121&gt;S15:S17)),0),0)</f>
        <v>0</v>
      </c>
      <c r="L121" s="1235"/>
      <c r="M121" s="1497">
        <f t="shared" ca="1" si="5"/>
        <v>65706</v>
      </c>
      <c r="N121" s="1455"/>
      <c r="O121" s="1455"/>
      <c r="P121" s="1455"/>
      <c r="Q121" s="1455"/>
      <c r="R121" s="1498">
        <f t="shared" ca="1" si="6"/>
        <v>228594</v>
      </c>
      <c r="S121" s="1499">
        <f t="shared" ca="1" si="7"/>
        <v>237044</v>
      </c>
      <c r="T121" s="1499">
        <f t="shared" si="8"/>
        <v>0</v>
      </c>
      <c r="U121" s="1500">
        <f t="shared" si="9"/>
        <v>0</v>
      </c>
    </row>
    <row r="122" spans="1:21" hidden="1">
      <c r="A122" s="392" t="str">
        <f ca="1">IF(C122=Retire!$D$12,"==&gt;","")</f>
        <v/>
      </c>
      <c r="C122" s="1450">
        <f ca="1">Income!C103</f>
        <v>2109</v>
      </c>
      <c r="D122" s="1451">
        <f ca="1">ROUND(Income!R103,0)</f>
        <v>245246</v>
      </c>
      <c r="E122" s="1452"/>
      <c r="F122" s="393"/>
      <c r="G122" s="271"/>
      <c r="H122" s="1465">
        <f ca="1">IF(K10=0,ROUND(SUMPRODUCT(C15:C21-C14:C20, R122-D15:D21, N(R122&gt;D15:D21)),0),0)</f>
        <v>54029</v>
      </c>
      <c r="I122" s="1451">
        <f ca="1">IF(K10=0,ROUND(SUMPRODUCT(H15:H17-H14:H16, S122-I15:I17, N(S122&gt;I15:I17)),0),0)</f>
        <v>13195</v>
      </c>
      <c r="J122" s="1451">
        <f>IF(K10=0,ROUND(SUMPRODUCT(M15:M17-M14:M16, T122-N15:N17, N(T122&gt;N15:N17)),0),0)</f>
        <v>0</v>
      </c>
      <c r="K122" s="1452">
        <f>IF(K10=0,ROUND(SUMPRODUCT(R15:R17-R14:R16, U122-S15:S17, N(U122&gt;S15:S17)),0),0)</f>
        <v>0</v>
      </c>
      <c r="L122" s="1235"/>
      <c r="M122" s="1466">
        <f t="shared" ca="1" si="5"/>
        <v>67224</v>
      </c>
      <c r="N122" s="1455"/>
      <c r="O122" s="1455"/>
      <c r="P122" s="1455"/>
      <c r="Q122" s="1455"/>
      <c r="R122" s="1467">
        <f t="shared" ca="1" si="6"/>
        <v>232296</v>
      </c>
      <c r="S122" s="1468">
        <f t="shared" ca="1" si="7"/>
        <v>240746</v>
      </c>
      <c r="T122" s="1468">
        <f t="shared" si="8"/>
        <v>0</v>
      </c>
      <c r="U122" s="1469">
        <f t="shared" si="9"/>
        <v>0</v>
      </c>
    </row>
    <row r="123" spans="1:21" hidden="1">
      <c r="A123" s="392" t="str">
        <f ca="1">IF(C123=Retire!$D$12,"==&gt;","")</f>
        <v/>
      </c>
      <c r="C123" s="1493">
        <f ca="1">Income!C104</f>
        <v>2110</v>
      </c>
      <c r="D123" s="1494">
        <f ca="1">ROUND(Income!R104,0)</f>
        <v>249007</v>
      </c>
      <c r="E123" s="1495"/>
      <c r="F123" s="393"/>
      <c r="G123" s="271"/>
      <c r="H123" s="1496">
        <f ca="1">IF(K10=0,ROUND(SUMPRODUCT(C15:C21-C14:C20, R123-D15:D21, N(R123&gt;D15:D21)),0),0)</f>
        <v>55345</v>
      </c>
      <c r="I123" s="1494">
        <f ca="1">IF(K10=0,ROUND(SUMPRODUCT(H15:H17-H14:H16, S123-I15:I17, N(S123&gt;I15:I17)),0),0)</f>
        <v>13420</v>
      </c>
      <c r="J123" s="1494">
        <f>IF(K10=0,ROUND(SUMPRODUCT(M15:M17-M14:M16, T123-N15:N17, N(T123&gt;N15:N17)),0),0)</f>
        <v>0</v>
      </c>
      <c r="K123" s="1495">
        <f>IF(K10=0,ROUND(SUMPRODUCT(R15:R17-R14:R16, U123-S15:S17, N(U123&gt;S15:S17)),0),0)</f>
        <v>0</v>
      </c>
      <c r="L123" s="1235"/>
      <c r="M123" s="1497">
        <f t="shared" ca="1" si="5"/>
        <v>68765</v>
      </c>
      <c r="N123" s="1455"/>
      <c r="O123" s="1455"/>
      <c r="P123" s="1455"/>
      <c r="Q123" s="1455"/>
      <c r="R123" s="1498">
        <f t="shared" ca="1" si="6"/>
        <v>236057</v>
      </c>
      <c r="S123" s="1499">
        <f t="shared" ca="1" si="7"/>
        <v>244507</v>
      </c>
      <c r="T123" s="1499">
        <f t="shared" si="8"/>
        <v>0</v>
      </c>
      <c r="U123" s="1500">
        <f t="shared" si="9"/>
        <v>0</v>
      </c>
    </row>
    <row r="124" spans="1:21" hidden="1">
      <c r="A124" s="392" t="str">
        <f ca="1">IF(C124=Retire!$D$12,"==&gt;","")</f>
        <v/>
      </c>
      <c r="C124" s="1450">
        <f ca="1">Income!C105</f>
        <v>2111</v>
      </c>
      <c r="D124" s="1451">
        <f ca="1">ROUND(Income!R105,0)</f>
        <v>252829</v>
      </c>
      <c r="E124" s="1452"/>
      <c r="F124" s="393"/>
      <c r="G124" s="271"/>
      <c r="H124" s="1465">
        <f ca="1">IF(K10=0,ROUND(SUMPRODUCT(C15:C21-C14:C20, R124-D15:D21, N(R124&gt;D15:D21)),0),0)</f>
        <v>56683</v>
      </c>
      <c r="I124" s="1451">
        <f ca="1">IF(K10=0,ROUND(SUMPRODUCT(H15:H17-H14:H16, S124-I15:I17, N(S124&gt;I15:I17)),0),0)</f>
        <v>13650</v>
      </c>
      <c r="J124" s="1451">
        <f>IF(K10=0,ROUND(SUMPRODUCT(M15:M17-M14:M16, T124-N15:N17, N(T124&gt;N15:N17)),0),0)</f>
        <v>0</v>
      </c>
      <c r="K124" s="1452">
        <f>IF(K10=0,ROUND(SUMPRODUCT(R15:R17-R14:R16, U124-S15:S17, N(U124&gt;S15:S17)),0),0)</f>
        <v>0</v>
      </c>
      <c r="L124" s="1235"/>
      <c r="M124" s="1466">
        <f t="shared" ca="1" si="5"/>
        <v>70333</v>
      </c>
      <c r="N124" s="1455"/>
      <c r="O124" s="1455"/>
      <c r="P124" s="1455"/>
      <c r="Q124" s="1455"/>
      <c r="R124" s="1467">
        <f t="shared" ca="1" si="6"/>
        <v>239879</v>
      </c>
      <c r="S124" s="1468">
        <f t="shared" ca="1" si="7"/>
        <v>248329</v>
      </c>
      <c r="T124" s="1468">
        <f t="shared" si="8"/>
        <v>0</v>
      </c>
      <c r="U124" s="1469">
        <f t="shared" si="9"/>
        <v>0</v>
      </c>
    </row>
    <row r="125" spans="1:21" hidden="1">
      <c r="A125" s="392" t="str">
        <f ca="1">IF(C125=Retire!$D$12,"==&gt;","")</f>
        <v/>
      </c>
      <c r="C125" s="1493">
        <f ca="1">Income!C106</f>
        <v>2112</v>
      </c>
      <c r="D125" s="1494">
        <f ca="1">ROUND(Income!R106,0)</f>
        <v>256711</v>
      </c>
      <c r="E125" s="1495"/>
      <c r="F125" s="393"/>
      <c r="G125" s="271"/>
      <c r="H125" s="1496">
        <f ca="1">IF(K10=0,ROUND(SUMPRODUCT(C15:C21-C14:C20, R125-D15:D21, N(R125&gt;D15:D21)),0),0)</f>
        <v>58042</v>
      </c>
      <c r="I125" s="1494">
        <f ca="1">IF(K10=0,ROUND(SUMPRODUCT(H15:H17-H14:H16, S125-I15:I17, N(S125&gt;I15:I17)),0),0)</f>
        <v>13883</v>
      </c>
      <c r="J125" s="1494">
        <f>IF(K10=0,ROUND(SUMPRODUCT(M15:M17-M14:M16, T125-N15:N17, N(T125&gt;N15:N17)),0),0)</f>
        <v>0</v>
      </c>
      <c r="K125" s="1495">
        <f>IF(K10=0,ROUND(SUMPRODUCT(R15:R17-R14:R16, U125-S15:S17, N(U125&gt;S15:S17)),0),0)</f>
        <v>0</v>
      </c>
      <c r="L125" s="1235"/>
      <c r="M125" s="1497">
        <f t="shared" ca="1" si="5"/>
        <v>71925</v>
      </c>
      <c r="N125" s="1455"/>
      <c r="O125" s="1455"/>
      <c r="P125" s="1455"/>
      <c r="Q125" s="1455"/>
      <c r="R125" s="1498">
        <f t="shared" ca="1" si="6"/>
        <v>243761</v>
      </c>
      <c r="S125" s="1499">
        <f t="shared" ca="1" si="7"/>
        <v>252211</v>
      </c>
      <c r="T125" s="1499">
        <f t="shared" si="8"/>
        <v>0</v>
      </c>
      <c r="U125" s="1500">
        <f t="shared" si="9"/>
        <v>0</v>
      </c>
    </row>
    <row r="126" spans="1:21" hidden="1">
      <c r="A126" s="392" t="str">
        <f ca="1">IF(C126=Retire!$D$12,"==&gt;","")</f>
        <v/>
      </c>
      <c r="C126" s="1450">
        <f ca="1">Income!C107</f>
        <v>2113</v>
      </c>
      <c r="D126" s="1451">
        <f ca="1">ROUND(Income!R107,0)</f>
        <v>260656</v>
      </c>
      <c r="E126" s="1452"/>
      <c r="F126" s="393"/>
      <c r="G126" s="271"/>
      <c r="H126" s="1465">
        <f ca="1">IF(K10=0,ROUND(SUMPRODUCT(C15:C21-C14:C20, R126-D15:D21, N(R126&gt;D15:D21)),0),0)</f>
        <v>59423</v>
      </c>
      <c r="I126" s="1451">
        <f ca="1">IF(K10=0,ROUND(SUMPRODUCT(H15:H17-H14:H16, S126-I15:I17, N(S126&gt;I15:I17)),0),0)</f>
        <v>14119</v>
      </c>
      <c r="J126" s="1451">
        <f>IF(K10=0,ROUND(SUMPRODUCT(M15:M17-M14:M16, T126-N15:N17, N(T126&gt;N15:N17)),0),0)</f>
        <v>0</v>
      </c>
      <c r="K126" s="1452">
        <f>IF(K10=0,ROUND(SUMPRODUCT(R15:R17-R14:R16, U126-S15:S17, N(U126&gt;S15:S17)),0),0)</f>
        <v>0</v>
      </c>
      <c r="L126" s="1235"/>
      <c r="M126" s="1466">
        <f ca="1">IF($K$10&gt;0,SUM(D126:F126)*$K$10,SUM(H126:K126))</f>
        <v>73542</v>
      </c>
      <c r="N126" s="1455"/>
      <c r="O126" s="1455"/>
      <c r="P126" s="1455"/>
      <c r="Q126" s="1455"/>
      <c r="R126" s="1467">
        <f ca="1">SUM(D126:E126)-$F$15</f>
        <v>247706</v>
      </c>
      <c r="S126" s="1468">
        <f ca="1">IF($J$27&gt;0,SUM(D126:F126)-$K$15,0)</f>
        <v>256156</v>
      </c>
      <c r="T126" s="1468">
        <f>IF($O$27&gt;0,SUM(D126:F126)-$P$15,0)</f>
        <v>0</v>
      </c>
      <c r="U126" s="1469">
        <f>IF($T$27&gt;0,SUM(D126:F126)-$U$15,0)</f>
        <v>0</v>
      </c>
    </row>
    <row r="127" spans="1:21" hidden="1">
      <c r="A127" s="392" t="str">
        <f ca="1">IF(C127=Retire!$D$12,"==&gt;","")</f>
        <v/>
      </c>
      <c r="C127" s="1493">
        <f ca="1">Income!C108</f>
        <v>2114</v>
      </c>
      <c r="D127" s="1494">
        <f ca="1">ROUND(Income!R108,0)</f>
        <v>264664</v>
      </c>
      <c r="E127" s="1495"/>
      <c r="F127" s="393"/>
      <c r="G127" s="271"/>
      <c r="H127" s="1496">
        <f ca="1">IF(K10=0,ROUND(SUMPRODUCT(C15:C21-C14:C20, R127-D15:D21, N(R127&gt;D15:D21)),0),0)</f>
        <v>60825</v>
      </c>
      <c r="I127" s="1494">
        <f ca="1">IF(K10=0,ROUND(SUMPRODUCT(H15:H17-H14:H16, S127-I15:I17, N(S127&gt;I15:I17)),0),0)</f>
        <v>14360</v>
      </c>
      <c r="J127" s="1494">
        <f>IF(K10=0,ROUND(SUMPRODUCT(M15:M17-M14:M16, T127-N15:N17, N(T127&gt;N15:N17)),0),0)</f>
        <v>0</v>
      </c>
      <c r="K127" s="1495">
        <f>IF(K10=0,ROUND(SUMPRODUCT(R15:R17-R14:R16, U127-S15:S17, N(U127&gt;S15:S17)),0),0)</f>
        <v>0</v>
      </c>
      <c r="L127" s="1235"/>
      <c r="M127" s="1497">
        <f ca="1">IF($K$10&gt;0,SUM(D127:F127)*$K$10,SUM(H127:K127))</f>
        <v>75185</v>
      </c>
      <c r="N127" s="1455"/>
      <c r="O127" s="1455"/>
      <c r="P127" s="1455"/>
      <c r="Q127" s="1455"/>
      <c r="R127" s="1498">
        <f ca="1">SUM(D127:E127)-$F$15</f>
        <v>251714</v>
      </c>
      <c r="S127" s="1499">
        <f ca="1">IF($J$27&gt;0,SUM(D127:F127)-$K$15,0)</f>
        <v>260164</v>
      </c>
      <c r="T127" s="1499">
        <f>IF($O$27&gt;0,SUM(D127:F127)-$P$15,0)</f>
        <v>0</v>
      </c>
      <c r="U127" s="1500">
        <f>IF($T$27&gt;0,SUM(D127:F127)-$U$15,0)</f>
        <v>0</v>
      </c>
    </row>
    <row r="128" spans="1:21" hidden="1">
      <c r="A128" s="392" t="str">
        <f ca="1">IF(C128=Retire!$D$12,"==&gt;","")</f>
        <v/>
      </c>
      <c r="C128" s="1450">
        <f ca="1">Income!C109</f>
        <v>2115</v>
      </c>
      <c r="D128" s="1451">
        <f ca="1">ROUND(Income!R109,0)</f>
        <v>268737</v>
      </c>
      <c r="E128" s="1452"/>
      <c r="F128" s="393"/>
      <c r="G128" s="271"/>
      <c r="H128" s="1465">
        <f ca="1">IF(K10=0,ROUND(SUMPRODUCT(C15:C21-C14:C20, R128-D15:D21, N(R128&gt;D15:D21)),0),0)</f>
        <v>62251</v>
      </c>
      <c r="I128" s="1451">
        <f ca="1">IF(K10=0,ROUND(SUMPRODUCT(H15:H17-H14:H16, S128-I15:I17, N(S128&gt;I15:I17)),0),0)</f>
        <v>14604</v>
      </c>
      <c r="J128" s="1451">
        <f>IF(K10=0,ROUND(SUMPRODUCT(M15:M17-M14:M16, T128-N15:N17, N(T128&gt;N15:N17)),0),0)</f>
        <v>0</v>
      </c>
      <c r="K128" s="1452">
        <f>IF(K10=0,ROUND(SUMPRODUCT(R15:R17-R14:R16, U128-S15:S17, N(U128&gt;S15:S17)),0),0)</f>
        <v>0</v>
      </c>
      <c r="L128" s="1235"/>
      <c r="M128" s="1466">
        <f t="shared" ref="M128:M159" ca="1" si="10">IF($K$10&gt;0,SUM(D128:F128)*$K$10,SUM(H128:K128))</f>
        <v>76855</v>
      </c>
      <c r="N128" s="1455"/>
      <c r="O128" s="1455"/>
      <c r="P128" s="1455"/>
      <c r="Q128" s="1455"/>
      <c r="R128" s="1467">
        <f t="shared" ref="R128:R159" ca="1" si="11">SUM(D128:E128)-$F$15</f>
        <v>255787</v>
      </c>
      <c r="S128" s="1468">
        <f t="shared" ref="S128:S159" ca="1" si="12">IF($J$27&gt;0,SUM(D128:F128)-$K$15,0)</f>
        <v>264237</v>
      </c>
      <c r="T128" s="1468">
        <f t="shared" ref="T128:T159" si="13">IF($O$27&gt;0,SUM(D128:F128)-$P$15,0)</f>
        <v>0</v>
      </c>
      <c r="U128" s="1469">
        <f t="shared" ref="U128:U159" si="14">IF($T$27&gt;0,SUM(D128:F128)-$U$15,0)</f>
        <v>0</v>
      </c>
    </row>
    <row r="129" spans="1:21" hidden="1">
      <c r="A129" s="392" t="str">
        <f ca="1">IF(C129=Retire!$D$12,"==&gt;","")</f>
        <v/>
      </c>
      <c r="C129" s="1493">
        <f ca="1">Income!C110</f>
        <v>2116</v>
      </c>
      <c r="D129" s="1494">
        <f ca="1">ROUND(Income!R110,0)</f>
        <v>272875</v>
      </c>
      <c r="E129" s="1495"/>
      <c r="F129" s="393"/>
      <c r="G129" s="271"/>
      <c r="H129" s="1496">
        <f ca="1">IF(K10=0,ROUND(SUMPRODUCT(C15:C21-C14:C20, R129-D15:D21, N(R129&gt;D15:D21)),0),0)</f>
        <v>63699</v>
      </c>
      <c r="I129" s="1494">
        <f ca="1">IF(K10=0,ROUND(SUMPRODUCT(H15:H17-H14:H16, S129-I15:I17, N(S129&gt;I15:I17)),0),0)</f>
        <v>14853</v>
      </c>
      <c r="J129" s="1494">
        <f>IF(K10=0,ROUND(SUMPRODUCT(M15:M17-M14:M16, T129-N15:N17, N(T129&gt;N15:N17)),0),0)</f>
        <v>0</v>
      </c>
      <c r="K129" s="1495">
        <f>IF(K10=0,ROUND(SUMPRODUCT(R15:R17-R14:R16, U129-S15:S17, N(U129&gt;S15:S17)),0),0)</f>
        <v>0</v>
      </c>
      <c r="L129" s="1235"/>
      <c r="M129" s="1497">
        <f t="shared" ca="1" si="10"/>
        <v>78552</v>
      </c>
      <c r="N129" s="1455"/>
      <c r="O129" s="1455"/>
      <c r="P129" s="1455"/>
      <c r="Q129" s="1455"/>
      <c r="R129" s="1498">
        <f t="shared" ca="1" si="11"/>
        <v>259925</v>
      </c>
      <c r="S129" s="1499">
        <f t="shared" ca="1" si="12"/>
        <v>268375</v>
      </c>
      <c r="T129" s="1499">
        <f t="shared" si="13"/>
        <v>0</v>
      </c>
      <c r="U129" s="1500">
        <f t="shared" si="14"/>
        <v>0</v>
      </c>
    </row>
    <row r="130" spans="1:21" hidden="1">
      <c r="A130" s="392" t="str">
        <f ca="1">IF(C130=Retire!$D$12,"==&gt;","")</f>
        <v/>
      </c>
      <c r="C130" s="1450">
        <f ca="1">Income!C111</f>
        <v>2117</v>
      </c>
      <c r="D130" s="1451">
        <f ca="1">ROUND(Income!R111,0)</f>
        <v>277080</v>
      </c>
      <c r="E130" s="1452"/>
      <c r="F130" s="393"/>
      <c r="G130" s="271"/>
      <c r="H130" s="1465">
        <f ca="1">IF(K10=0,ROUND(SUMPRODUCT(C15:C21-C14:C20, R130-D15:D21, N(R130&gt;D15:D21)),0),0)</f>
        <v>65171</v>
      </c>
      <c r="I130" s="1451">
        <f ca="1">IF(K10=0,ROUND(SUMPRODUCT(H15:H17-H14:H16, S130-I15:I17, N(S130&gt;I15:I17)),0),0)</f>
        <v>15105</v>
      </c>
      <c r="J130" s="1451">
        <f>IF(K10=0,ROUND(SUMPRODUCT(M15:M17-M14:M16, T130-N15:N17, N(T130&gt;N15:N17)),0),0)</f>
        <v>0</v>
      </c>
      <c r="K130" s="1452">
        <f>IF(K10=0,ROUND(SUMPRODUCT(R15:R17-R14:R16, U130-S15:S17, N(U130&gt;S15:S17)),0),0)</f>
        <v>0</v>
      </c>
      <c r="L130" s="1235"/>
      <c r="M130" s="1466">
        <f t="shared" ca="1" si="10"/>
        <v>80276</v>
      </c>
      <c r="N130" s="1455"/>
      <c r="O130" s="1455"/>
      <c r="P130" s="1455"/>
      <c r="Q130" s="1455"/>
      <c r="R130" s="1467">
        <f t="shared" ca="1" si="11"/>
        <v>264130</v>
      </c>
      <c r="S130" s="1468">
        <f t="shared" ca="1" si="12"/>
        <v>272580</v>
      </c>
      <c r="T130" s="1468">
        <f t="shared" si="13"/>
        <v>0</v>
      </c>
      <c r="U130" s="1469">
        <f t="shared" si="14"/>
        <v>0</v>
      </c>
    </row>
    <row r="131" spans="1:21" hidden="1">
      <c r="A131" s="392" t="str">
        <f ca="1">IF(C131=Retire!$D$12,"==&gt;","")</f>
        <v/>
      </c>
      <c r="C131" s="1493">
        <f ca="1">Income!C112</f>
        <v>2118</v>
      </c>
      <c r="D131" s="1494">
        <f ca="1">ROUND(Income!R112,0)</f>
        <v>281352</v>
      </c>
      <c r="E131" s="1495"/>
      <c r="F131" s="393"/>
      <c r="G131" s="271"/>
      <c r="H131" s="1496">
        <f ca="1">IF(K10=0,ROUND(SUMPRODUCT(C15:C21-C14:C20, R131-D15:D21, N(R131&gt;D15:D21)),0),0)</f>
        <v>66666</v>
      </c>
      <c r="I131" s="1494">
        <f ca="1">IF(K10=0,ROUND(SUMPRODUCT(H15:H17-H14:H16, S131-I15:I17, N(S131&gt;I15:I17)),0),0)</f>
        <v>15361</v>
      </c>
      <c r="J131" s="1494">
        <f>IF(K10=0,ROUND(SUMPRODUCT(M15:M17-M14:M16, T131-N15:N17, N(T131&gt;N15:N17)),0),0)</f>
        <v>0</v>
      </c>
      <c r="K131" s="1495">
        <f>IF(K10=0,ROUND(SUMPRODUCT(R15:R17-R14:R16, U131-S15:S17, N(U131&gt;S15:S17)),0),0)</f>
        <v>0</v>
      </c>
      <c r="L131" s="1235"/>
      <c r="M131" s="1497">
        <f t="shared" ca="1" si="10"/>
        <v>82027</v>
      </c>
      <c r="N131" s="1455"/>
      <c r="O131" s="1455"/>
      <c r="P131" s="1455"/>
      <c r="Q131" s="1455"/>
      <c r="R131" s="1498">
        <f t="shared" ca="1" si="11"/>
        <v>268402</v>
      </c>
      <c r="S131" s="1499">
        <f t="shared" ca="1" si="12"/>
        <v>276852</v>
      </c>
      <c r="T131" s="1499">
        <f t="shared" si="13"/>
        <v>0</v>
      </c>
      <c r="U131" s="1500">
        <f t="shared" si="14"/>
        <v>0</v>
      </c>
    </row>
    <row r="132" spans="1:21" hidden="1">
      <c r="A132" s="392" t="str">
        <f ca="1">IF(C132=Retire!$D$12,"==&gt;","")</f>
        <v/>
      </c>
      <c r="C132" s="1450">
        <f ca="1">Income!C113</f>
        <v>2119</v>
      </c>
      <c r="D132" s="1451">
        <f ca="1">ROUND(Income!R113,0)</f>
        <v>285693</v>
      </c>
      <c r="E132" s="1452"/>
      <c r="F132" s="393"/>
      <c r="G132" s="271"/>
      <c r="H132" s="1465">
        <f ca="1">IF(K10=0,ROUND(SUMPRODUCT(C15:C21-C14:C20, R132-D15:D21, N(R132&gt;D15:D21)),0),0)</f>
        <v>68186</v>
      </c>
      <c r="I132" s="1451">
        <f ca="1">IF(K10=0,ROUND(SUMPRODUCT(H15:H17-H14:H16, S132-I15:I17, N(S132&gt;I15:I17)),0),0)</f>
        <v>15622</v>
      </c>
      <c r="J132" s="1451">
        <f>IF(K10=0,ROUND(SUMPRODUCT(M15:M17-M14:M16, T132-N15:N17, N(T132&gt;N15:N17)),0),0)</f>
        <v>0</v>
      </c>
      <c r="K132" s="1452">
        <f>IF(K10=0,ROUND(SUMPRODUCT(R15:R17-R14:R16, U132-S15:S17, N(U132&gt;S15:S17)),0),0)</f>
        <v>0</v>
      </c>
      <c r="L132" s="1235"/>
      <c r="M132" s="1466">
        <f t="shared" ca="1" si="10"/>
        <v>83808</v>
      </c>
      <c r="N132" s="1455"/>
      <c r="O132" s="1455"/>
      <c r="P132" s="1455"/>
      <c r="Q132" s="1455"/>
      <c r="R132" s="1467">
        <f t="shared" ca="1" si="11"/>
        <v>272743</v>
      </c>
      <c r="S132" s="1468">
        <f t="shared" ca="1" si="12"/>
        <v>281193</v>
      </c>
      <c r="T132" s="1468">
        <f t="shared" si="13"/>
        <v>0</v>
      </c>
      <c r="U132" s="1469">
        <f t="shared" si="14"/>
        <v>0</v>
      </c>
    </row>
    <row r="133" spans="1:21" hidden="1">
      <c r="A133" s="392" t="str">
        <f ca="1">IF(C133=Retire!$D$12,"==&gt;","")</f>
        <v/>
      </c>
      <c r="C133" s="1493">
        <f ca="1">Income!C114</f>
        <v>2120</v>
      </c>
      <c r="D133" s="1494">
        <f ca="1">ROUND(Income!R114,0)</f>
        <v>290104</v>
      </c>
      <c r="E133" s="1495"/>
      <c r="F133" s="393"/>
      <c r="G133" s="271"/>
      <c r="H133" s="1496">
        <f ca="1">IF(K10=0,ROUND(SUMPRODUCT(C15:C21-C14:C20, R133-D15:D21, N(R133&gt;D15:D21)),0),0)</f>
        <v>69729</v>
      </c>
      <c r="I133" s="1494">
        <f ca="1">IF(K10=0,ROUND(SUMPRODUCT(H15:H17-H14:H16, S133-I15:I17, N(S133&gt;I15:I17)),0),0)</f>
        <v>15886</v>
      </c>
      <c r="J133" s="1494">
        <f>IF(K10=0,ROUND(SUMPRODUCT(M15:M17-M14:M16, T133-N15:N17, N(T133&gt;N15:N17)),0),0)</f>
        <v>0</v>
      </c>
      <c r="K133" s="1495">
        <f>IF(K10=0,ROUND(SUMPRODUCT(R15:R17-R14:R16, U133-S15:S17, N(U133&gt;S15:S17)),0),0)</f>
        <v>0</v>
      </c>
      <c r="L133" s="1235"/>
      <c r="M133" s="1497">
        <f t="shared" ca="1" si="10"/>
        <v>85615</v>
      </c>
      <c r="N133" s="1455"/>
      <c r="O133" s="1455"/>
      <c r="P133" s="1455"/>
      <c r="Q133" s="1455"/>
      <c r="R133" s="1498">
        <f t="shared" ca="1" si="11"/>
        <v>277154</v>
      </c>
      <c r="S133" s="1499">
        <f t="shared" ca="1" si="12"/>
        <v>285604</v>
      </c>
      <c r="T133" s="1499">
        <f t="shared" si="13"/>
        <v>0</v>
      </c>
      <c r="U133" s="1500">
        <f t="shared" si="14"/>
        <v>0</v>
      </c>
    </row>
    <row r="134" spans="1:21" hidden="1">
      <c r="A134" s="392" t="str">
        <f ca="1">IF(C134=Retire!$D$12,"==&gt;","")</f>
        <v/>
      </c>
      <c r="C134" s="1450">
        <f ca="1">Income!C115</f>
        <v>2121</v>
      </c>
      <c r="D134" s="1451">
        <f ca="1">ROUND(Income!R115,0)</f>
        <v>294587</v>
      </c>
      <c r="E134" s="1452"/>
      <c r="F134" s="393"/>
      <c r="G134" s="271"/>
      <c r="H134" s="1465">
        <f ca="1">IF(K10=0,ROUND(SUMPRODUCT(C15:C21-C14:C20, R134-D15:D21, N(R134&gt;D15:D21)),0),0)</f>
        <v>71298</v>
      </c>
      <c r="I134" s="1451">
        <f ca="1">IF(K10=0,ROUND(SUMPRODUCT(H15:H17-H14:H16, S134-I15:I17, N(S134&gt;I15:I17)),0),0)</f>
        <v>16155</v>
      </c>
      <c r="J134" s="1451">
        <f>IF(K10=0,ROUND(SUMPRODUCT(M15:M17-M14:M16, T134-N15:N17, N(T134&gt;N15:N17)),0),0)</f>
        <v>0</v>
      </c>
      <c r="K134" s="1452">
        <f>IF(K10=0,ROUND(SUMPRODUCT(R15:R17-R14:R16, U134-S15:S17, N(U134&gt;S15:S17)),0),0)</f>
        <v>0</v>
      </c>
      <c r="L134" s="1235"/>
      <c r="M134" s="1466">
        <f t="shared" ca="1" si="10"/>
        <v>87453</v>
      </c>
      <c r="N134" s="1455"/>
      <c r="O134" s="1455"/>
      <c r="P134" s="1455"/>
      <c r="Q134" s="1455"/>
      <c r="R134" s="1467">
        <f t="shared" ca="1" si="11"/>
        <v>281637</v>
      </c>
      <c r="S134" s="1468">
        <f t="shared" ca="1" si="12"/>
        <v>290087</v>
      </c>
      <c r="T134" s="1468">
        <f t="shared" si="13"/>
        <v>0</v>
      </c>
      <c r="U134" s="1469">
        <f t="shared" si="14"/>
        <v>0</v>
      </c>
    </row>
    <row r="135" spans="1:21" hidden="1">
      <c r="A135" s="392" t="str">
        <f ca="1">IF(C135=Retire!$D$12,"==&gt;","")</f>
        <v/>
      </c>
      <c r="C135" s="1493">
        <f ca="1">Income!C116</f>
        <v>2122</v>
      </c>
      <c r="D135" s="1494">
        <f ca="1">ROUND(Income!R116,0)</f>
        <v>299141</v>
      </c>
      <c r="E135" s="1495"/>
      <c r="F135" s="393"/>
      <c r="G135" s="271"/>
      <c r="H135" s="1496">
        <f ca="1">IF(K10=0,ROUND(SUMPRODUCT(C15:C21-C14:C20, R135-D15:D21, N(R135&gt;D15:D21)),0),0)</f>
        <v>72892</v>
      </c>
      <c r="I135" s="1494">
        <f ca="1">IF(K10=0,ROUND(SUMPRODUCT(H15:H17-H14:H16, S135-I15:I17, N(S135&gt;I15:I17)),0),0)</f>
        <v>16428</v>
      </c>
      <c r="J135" s="1494">
        <f>IF(K10=0,ROUND(SUMPRODUCT(M15:M17-M14:M16, T135-N15:N17, N(T135&gt;N15:N17)),0),0)</f>
        <v>0</v>
      </c>
      <c r="K135" s="1495">
        <f>IF(K10=0,ROUND(SUMPRODUCT(R15:R17-R14:R16, U135-S15:S17, N(U135&gt;S15:S17)),0),0)</f>
        <v>0</v>
      </c>
      <c r="L135" s="1235"/>
      <c r="M135" s="1497">
        <f t="shared" ca="1" si="10"/>
        <v>89320</v>
      </c>
      <c r="N135" s="1455"/>
      <c r="O135" s="1455"/>
      <c r="P135" s="1455"/>
      <c r="Q135" s="1455"/>
      <c r="R135" s="1498">
        <f t="shared" ca="1" si="11"/>
        <v>286191</v>
      </c>
      <c r="S135" s="1499">
        <f t="shared" ca="1" si="12"/>
        <v>294641</v>
      </c>
      <c r="T135" s="1499">
        <f t="shared" si="13"/>
        <v>0</v>
      </c>
      <c r="U135" s="1500">
        <f t="shared" si="14"/>
        <v>0</v>
      </c>
    </row>
    <row r="136" spans="1:21" hidden="1">
      <c r="A136" s="392" t="str">
        <f ca="1">IF(C136=Retire!$D$12,"==&gt;","")</f>
        <v/>
      </c>
      <c r="C136" s="1450">
        <f ca="1">Income!C117</f>
        <v>2123</v>
      </c>
      <c r="D136" s="1451">
        <f ca="1">ROUND(Income!R117,0)</f>
        <v>303770</v>
      </c>
      <c r="E136" s="1452"/>
      <c r="F136" s="393"/>
      <c r="G136" s="271"/>
      <c r="H136" s="1465">
        <f ca="1">IF(K10=0,ROUND(SUMPRODUCT(C15:C21-C14:C20, R136-D15:D21, N(R136&gt;D15:D21)),0),0)</f>
        <v>74513</v>
      </c>
      <c r="I136" s="1451">
        <f ca="1">IF(K10=0,ROUND(SUMPRODUCT(H15:H17-H14:H16, S136-I15:I17, N(S136&gt;I15:I17)),0),0)</f>
        <v>16706</v>
      </c>
      <c r="J136" s="1451">
        <f>IF(K10=0,ROUND(SUMPRODUCT(M15:M17-M14:M16, T136-N15:N17, N(T136&gt;N15:N17)),0),0)</f>
        <v>0</v>
      </c>
      <c r="K136" s="1452">
        <f>IF(K10=0,ROUND(SUMPRODUCT(R15:R17-R14:R16, U136-S15:S17, N(U136&gt;S15:S17)),0),0)</f>
        <v>0</v>
      </c>
      <c r="L136" s="1235"/>
      <c r="M136" s="1466">
        <f t="shared" ca="1" si="10"/>
        <v>91219</v>
      </c>
      <c r="N136" s="1455"/>
      <c r="O136" s="1455"/>
      <c r="P136" s="1455"/>
      <c r="Q136" s="1455"/>
      <c r="R136" s="1467">
        <f t="shared" ca="1" si="11"/>
        <v>290820</v>
      </c>
      <c r="S136" s="1468">
        <f t="shared" ca="1" si="12"/>
        <v>299270</v>
      </c>
      <c r="T136" s="1468">
        <f t="shared" si="13"/>
        <v>0</v>
      </c>
      <c r="U136" s="1469">
        <f t="shared" si="14"/>
        <v>0</v>
      </c>
    </row>
    <row r="137" spans="1:21" hidden="1">
      <c r="A137" s="392" t="str">
        <f ca="1">IF(C137=Retire!$D$12,"==&gt;","")</f>
        <v/>
      </c>
      <c r="C137" s="1493">
        <f ca="1">Income!C118</f>
        <v>2124</v>
      </c>
      <c r="D137" s="1494">
        <f ca="1">ROUND(Income!R118,0)</f>
        <v>308473</v>
      </c>
      <c r="E137" s="1495"/>
      <c r="F137" s="393"/>
      <c r="G137" s="271"/>
      <c r="H137" s="1496">
        <f ca="1">IF(K10=0,ROUND(SUMPRODUCT(C15:C21-C14:C20, R137-D15:D21, N(R137&gt;D15:D21)),0),0)</f>
        <v>76159</v>
      </c>
      <c r="I137" s="1494">
        <f ca="1">IF(K10=0,ROUND(SUMPRODUCT(H15:H17-H14:H16, S137-I15:I17, N(S137&gt;I15:I17)),0),0)</f>
        <v>16988</v>
      </c>
      <c r="J137" s="1494">
        <f>IF(K10=0,ROUND(SUMPRODUCT(M15:M17-M14:M16, T137-N15:N17, N(T137&gt;N15:N17)),0),0)</f>
        <v>0</v>
      </c>
      <c r="K137" s="1495">
        <f>IF(K10=0,ROUND(SUMPRODUCT(R15:R17-R14:R16, U137-S15:S17, N(U137&gt;S15:S17)),0),0)</f>
        <v>0</v>
      </c>
      <c r="L137" s="1235"/>
      <c r="M137" s="1497">
        <f t="shared" ca="1" si="10"/>
        <v>93147</v>
      </c>
      <c r="N137" s="1455"/>
      <c r="O137" s="1455"/>
      <c r="P137" s="1455"/>
      <c r="Q137" s="1455"/>
      <c r="R137" s="1498">
        <f t="shared" ca="1" si="11"/>
        <v>295523</v>
      </c>
      <c r="S137" s="1499">
        <f t="shared" ca="1" si="12"/>
        <v>303973</v>
      </c>
      <c r="T137" s="1499">
        <f t="shared" si="13"/>
        <v>0</v>
      </c>
      <c r="U137" s="1500">
        <f t="shared" si="14"/>
        <v>0</v>
      </c>
    </row>
    <row r="138" spans="1:21" hidden="1">
      <c r="A138" s="392" t="str">
        <f ca="1">IF(C138=Retire!$D$12,"==&gt;","")</f>
        <v/>
      </c>
      <c r="C138" s="1450">
        <f ca="1">Income!C119</f>
        <v>2125</v>
      </c>
      <c r="D138" s="1451">
        <f ca="1">ROUND(Income!R119,0)</f>
        <v>313252</v>
      </c>
      <c r="E138" s="1452"/>
      <c r="F138" s="393"/>
      <c r="G138" s="271"/>
      <c r="H138" s="1465">
        <f ca="1">IF(K10=0,ROUND(SUMPRODUCT(C15:C21-C14:C20, R138-D15:D21, N(R138&gt;D15:D21)),0),0)</f>
        <v>77831</v>
      </c>
      <c r="I138" s="1451">
        <f ca="1">IF(K10=0,ROUND(SUMPRODUCT(H15:H17-H14:H16, S138-I15:I17, N(S138&gt;I15:I17)),0),0)</f>
        <v>17275</v>
      </c>
      <c r="J138" s="1451">
        <f>IF(K10=0,ROUND(SUMPRODUCT(M15:M17-M14:M16, T138-N15:N17, N(T138&gt;N15:N17)),0),0)</f>
        <v>0</v>
      </c>
      <c r="K138" s="1452">
        <f>IF(K10=0,ROUND(SUMPRODUCT(R15:R17-R14:R16, U138-S15:S17, N(U138&gt;S15:S17)),0),0)</f>
        <v>0</v>
      </c>
      <c r="L138" s="1235"/>
      <c r="M138" s="1466">
        <f t="shared" ca="1" si="10"/>
        <v>95106</v>
      </c>
      <c r="N138" s="1455"/>
      <c r="O138" s="1455"/>
      <c r="P138" s="1455"/>
      <c r="Q138" s="1455"/>
      <c r="R138" s="1467">
        <f t="shared" ca="1" si="11"/>
        <v>300302</v>
      </c>
      <c r="S138" s="1468">
        <f t="shared" ca="1" si="12"/>
        <v>308752</v>
      </c>
      <c r="T138" s="1468">
        <f t="shared" si="13"/>
        <v>0</v>
      </c>
      <c r="U138" s="1469">
        <f t="shared" si="14"/>
        <v>0</v>
      </c>
    </row>
    <row r="139" spans="1:21" hidden="1">
      <c r="A139" s="392" t="str">
        <f ca="1">IF(C139=Retire!$D$12,"==&gt;","")</f>
        <v/>
      </c>
      <c r="C139" s="1493">
        <f ca="1">Income!C120</f>
        <v>2126</v>
      </c>
      <c r="D139" s="1494">
        <f ca="1">ROUND(Income!R120,0)</f>
        <v>318108</v>
      </c>
      <c r="E139" s="1495"/>
      <c r="F139" s="393"/>
      <c r="G139" s="271"/>
      <c r="H139" s="1496">
        <f ca="1">IF(K10=0,ROUND(SUMPRODUCT(C15:C21-C14:C20, R139-D15:D21, N(R139&gt;D15:D21)),0),0)</f>
        <v>79531</v>
      </c>
      <c r="I139" s="1494">
        <f ca="1">IF(K10=0,ROUND(SUMPRODUCT(H15:H17-H14:H16, S139-I15:I17, N(S139&gt;I15:I17)),0),0)</f>
        <v>17566</v>
      </c>
      <c r="J139" s="1494">
        <f>IF(K10=0,ROUND(SUMPRODUCT(M15:M17-M14:M16, T139-N15:N17, N(T139&gt;N15:N17)),0),0)</f>
        <v>0</v>
      </c>
      <c r="K139" s="1495">
        <f>IF(K10=0,ROUND(SUMPRODUCT(R15:R17-R14:R16, U139-S15:S17, N(U139&gt;S15:S17)),0),0)</f>
        <v>0</v>
      </c>
      <c r="L139" s="1235"/>
      <c r="M139" s="1497">
        <f t="shared" ca="1" si="10"/>
        <v>97097</v>
      </c>
      <c r="N139" s="1455"/>
      <c r="O139" s="1455"/>
      <c r="P139" s="1455"/>
      <c r="Q139" s="1455"/>
      <c r="R139" s="1498">
        <f t="shared" ca="1" si="11"/>
        <v>305158</v>
      </c>
      <c r="S139" s="1499">
        <f t="shared" ca="1" si="12"/>
        <v>313608</v>
      </c>
      <c r="T139" s="1499">
        <f t="shared" si="13"/>
        <v>0</v>
      </c>
      <c r="U139" s="1500">
        <f t="shared" si="14"/>
        <v>0</v>
      </c>
    </row>
    <row r="140" spans="1:21" hidden="1">
      <c r="A140" s="392" t="str">
        <f ca="1">IF(C140=Retire!$D$12,"==&gt;","")</f>
        <v/>
      </c>
      <c r="C140" s="1450">
        <f ca="1">Income!C121</f>
        <v>2127</v>
      </c>
      <c r="D140" s="1451">
        <f ca="1">ROUND(Income!R121,0)</f>
        <v>323043</v>
      </c>
      <c r="E140" s="1452"/>
      <c r="F140" s="393"/>
      <c r="G140" s="271"/>
      <c r="H140" s="1465">
        <f ca="1">IF(K10=0,ROUND(SUMPRODUCT(C15:C21-C14:C20, R140-D15:D21, N(R140&gt;D15:D21)),0),0)</f>
        <v>81258</v>
      </c>
      <c r="I140" s="1451">
        <f ca="1">IF(K10=0,ROUND(SUMPRODUCT(H15:H17-H14:H16, S140-I15:I17, N(S140&gt;I15:I17)),0),0)</f>
        <v>17863</v>
      </c>
      <c r="J140" s="1451">
        <f>IF(K10=0,ROUND(SUMPRODUCT(M15:M17-M14:M16, T140-N15:N17, N(T140&gt;N15:N17)),0),0)</f>
        <v>0</v>
      </c>
      <c r="K140" s="1452">
        <f>IF(K10=0,ROUND(SUMPRODUCT(R15:R17-R14:R16, U140-S15:S17, N(U140&gt;S15:S17)),0),0)</f>
        <v>0</v>
      </c>
      <c r="L140" s="1235"/>
      <c r="M140" s="1466">
        <f t="shared" ca="1" si="10"/>
        <v>99121</v>
      </c>
      <c r="N140" s="1455"/>
      <c r="O140" s="1455"/>
      <c r="P140" s="1455"/>
      <c r="Q140" s="1455"/>
      <c r="R140" s="1467">
        <f t="shared" ca="1" si="11"/>
        <v>310093</v>
      </c>
      <c r="S140" s="1468">
        <f t="shared" ca="1" si="12"/>
        <v>318543</v>
      </c>
      <c r="T140" s="1468">
        <f t="shared" si="13"/>
        <v>0</v>
      </c>
      <c r="U140" s="1469">
        <f t="shared" si="14"/>
        <v>0</v>
      </c>
    </row>
    <row r="141" spans="1:21" hidden="1">
      <c r="A141" s="392" t="str">
        <f ca="1">IF(C141=Retire!$D$12,"==&gt;","")</f>
        <v/>
      </c>
      <c r="C141" s="1493">
        <f ca="1">Income!C122</f>
        <v>2128</v>
      </c>
      <c r="D141" s="1494">
        <f ca="1">ROUND(Income!R122,0)</f>
        <v>328059</v>
      </c>
      <c r="E141" s="1495"/>
      <c r="F141" s="393"/>
      <c r="G141" s="271"/>
      <c r="H141" s="1496">
        <f ca="1">IF(K10=0,ROUND(SUMPRODUCT(C15:C21-C14:C20, R141-D15:D21, N(R141&gt;D15:D21)),0),0)</f>
        <v>83014</v>
      </c>
      <c r="I141" s="1494">
        <f ca="1">IF(K10=0,ROUND(SUMPRODUCT(H15:H17-H14:H16, S141-I15:I17, N(S141&gt;I15:I17)),0),0)</f>
        <v>18164</v>
      </c>
      <c r="J141" s="1494">
        <f>IF(K10=0,ROUND(SUMPRODUCT(M15:M17-M14:M16, T141-N15:N17, N(T141&gt;N15:N17)),0),0)</f>
        <v>0</v>
      </c>
      <c r="K141" s="1495">
        <f>IF(K10=0,ROUND(SUMPRODUCT(R15:R17-R14:R16, U141-S15:S17, N(U141&gt;S15:S17)),0),0)</f>
        <v>0</v>
      </c>
      <c r="L141" s="1235"/>
      <c r="M141" s="1497">
        <f t="shared" ca="1" si="10"/>
        <v>101178</v>
      </c>
      <c r="N141" s="1455"/>
      <c r="O141" s="1455"/>
      <c r="P141" s="1455"/>
      <c r="Q141" s="1455"/>
      <c r="R141" s="1498">
        <f t="shared" ca="1" si="11"/>
        <v>315109</v>
      </c>
      <c r="S141" s="1499">
        <f t="shared" ca="1" si="12"/>
        <v>323559</v>
      </c>
      <c r="T141" s="1499">
        <f t="shared" si="13"/>
        <v>0</v>
      </c>
      <c r="U141" s="1500">
        <f t="shared" si="14"/>
        <v>0</v>
      </c>
    </row>
    <row r="142" spans="1:21" hidden="1">
      <c r="A142" s="392" t="str">
        <f ca="1">IF(C142=Retire!$D$12,"==&gt;","")</f>
        <v/>
      </c>
      <c r="C142" s="1450">
        <f ca="1">Income!C123</f>
        <v>2129</v>
      </c>
      <c r="D142" s="1451">
        <f ca="1">ROUND(Income!R123,0)</f>
        <v>333155</v>
      </c>
      <c r="E142" s="1452"/>
      <c r="F142" s="393"/>
      <c r="G142" s="271"/>
      <c r="H142" s="1465">
        <f ca="1">IF(K10=0,ROUND(SUMPRODUCT(C15:C21-C14:C20, R142-D15:D21, N(R142&gt;D15:D21)),0),0)</f>
        <v>84797</v>
      </c>
      <c r="I142" s="1451">
        <f ca="1">IF(K10=0,ROUND(SUMPRODUCT(H15:H17-H14:H16, S142-I15:I17, N(S142&gt;I15:I17)),0),0)</f>
        <v>18469</v>
      </c>
      <c r="J142" s="1451">
        <f>IF(K10=0,ROUND(SUMPRODUCT(M15:M17-M14:M16, T142-N15:N17, N(T142&gt;N15:N17)),0),0)</f>
        <v>0</v>
      </c>
      <c r="K142" s="1452">
        <f>IF(K10=0,ROUND(SUMPRODUCT(R15:R17-R14:R16, U142-S15:S17, N(U142&gt;S15:S17)),0),0)</f>
        <v>0</v>
      </c>
      <c r="L142" s="1235"/>
      <c r="M142" s="1466">
        <f t="shared" ca="1" si="10"/>
        <v>103266</v>
      </c>
      <c r="N142" s="1455"/>
      <c r="O142" s="1455"/>
      <c r="P142" s="1455"/>
      <c r="Q142" s="1455"/>
      <c r="R142" s="1467">
        <f t="shared" ca="1" si="11"/>
        <v>320205</v>
      </c>
      <c r="S142" s="1468">
        <f t="shared" ca="1" si="12"/>
        <v>328655</v>
      </c>
      <c r="T142" s="1468">
        <f t="shared" si="13"/>
        <v>0</v>
      </c>
      <c r="U142" s="1469">
        <f t="shared" si="14"/>
        <v>0</v>
      </c>
    </row>
    <row r="143" spans="1:21" hidden="1">
      <c r="A143" s="392" t="str">
        <f ca="1">IF(C143=Retire!$D$12,"==&gt;","")</f>
        <v/>
      </c>
      <c r="C143" s="1493">
        <f ca="1">Income!C124</f>
        <v>2130</v>
      </c>
      <c r="D143" s="1494">
        <f ca="1">ROUND(Income!R124,0)</f>
        <v>338334</v>
      </c>
      <c r="E143" s="1495"/>
      <c r="F143" s="393"/>
      <c r="G143" s="271"/>
      <c r="H143" s="1496">
        <f ca="1">IF(K10=0,ROUND(SUMPRODUCT(C15:C21-C14:C20, R143-D15:D21, N(R143&gt;D15:D21)),0),0)</f>
        <v>86610</v>
      </c>
      <c r="I143" s="1494">
        <f ca="1">IF(K10=0,ROUND(SUMPRODUCT(H15:H17-H14:H16, S143-I15:I17, N(S143&gt;I15:I17)),0),0)</f>
        <v>18780</v>
      </c>
      <c r="J143" s="1494">
        <f>IF(K10=0,ROUND(SUMPRODUCT(M15:M17-M14:M16, T143-N15:N17, N(T143&gt;N15:N17)),0),0)</f>
        <v>0</v>
      </c>
      <c r="K143" s="1495">
        <f>IF(K10=0,ROUND(SUMPRODUCT(R15:R17-R14:R16, U143-S15:S17, N(U143&gt;S15:S17)),0),0)</f>
        <v>0</v>
      </c>
      <c r="L143" s="1235"/>
      <c r="M143" s="1497">
        <f t="shared" ca="1" si="10"/>
        <v>105390</v>
      </c>
      <c r="N143" s="1455"/>
      <c r="O143" s="1455"/>
      <c r="P143" s="1455"/>
      <c r="Q143" s="1455"/>
      <c r="R143" s="1498">
        <f t="shared" ca="1" si="11"/>
        <v>325384</v>
      </c>
      <c r="S143" s="1499">
        <f t="shared" ca="1" si="12"/>
        <v>333834</v>
      </c>
      <c r="T143" s="1499">
        <f t="shared" si="13"/>
        <v>0</v>
      </c>
      <c r="U143" s="1500">
        <f t="shared" si="14"/>
        <v>0</v>
      </c>
    </row>
    <row r="144" spans="1:21" hidden="1">
      <c r="A144" s="392" t="str">
        <f ca="1">IF(C144=Retire!$D$12,"==&gt;","")</f>
        <v/>
      </c>
      <c r="C144" s="1450">
        <f ca="1">Income!C125</f>
        <v>2131</v>
      </c>
      <c r="D144" s="1451">
        <f ca="1">ROUND(Income!R125,0)</f>
        <v>343598</v>
      </c>
      <c r="E144" s="1452"/>
      <c r="F144" s="393"/>
      <c r="G144" s="271"/>
      <c r="H144" s="1465">
        <f ca="1">IF(K10=0,ROUND(SUMPRODUCT(C15:C21-C14:C20, R144-D15:D21, N(R144&gt;D15:D21)),0),0)</f>
        <v>88452</v>
      </c>
      <c r="I144" s="1451">
        <f ca="1">IF(K10=0,ROUND(SUMPRODUCT(H15:H17-H14:H16, S144-I15:I17, N(S144&gt;I15:I17)),0),0)</f>
        <v>19096</v>
      </c>
      <c r="J144" s="1451">
        <f>IF(K10=0,ROUND(SUMPRODUCT(M15:M17-M14:M16, T144-N15:N17, N(T144&gt;N15:N17)),0),0)</f>
        <v>0</v>
      </c>
      <c r="K144" s="1452">
        <f>IF(K10=0,ROUND(SUMPRODUCT(R15:R17-R14:R16, U144-S15:S17, N(U144&gt;S15:S17)),0),0)</f>
        <v>0</v>
      </c>
      <c r="L144" s="1235"/>
      <c r="M144" s="1466">
        <f t="shared" ca="1" si="10"/>
        <v>107548</v>
      </c>
      <c r="N144" s="1455"/>
      <c r="O144" s="1455"/>
      <c r="P144" s="1455"/>
      <c r="Q144" s="1455"/>
      <c r="R144" s="1467">
        <f t="shared" ca="1" si="11"/>
        <v>330648</v>
      </c>
      <c r="S144" s="1468">
        <f t="shared" ca="1" si="12"/>
        <v>339098</v>
      </c>
      <c r="T144" s="1468">
        <f t="shared" si="13"/>
        <v>0</v>
      </c>
      <c r="U144" s="1469">
        <f t="shared" si="14"/>
        <v>0</v>
      </c>
    </row>
    <row r="145" spans="1:21" hidden="1">
      <c r="A145" s="392" t="str">
        <f ca="1">IF(C145=Retire!$D$12,"==&gt;","")</f>
        <v/>
      </c>
      <c r="C145" s="1493">
        <f ca="1">Income!C126</f>
        <v>2132</v>
      </c>
      <c r="D145" s="1494">
        <f ca="1">ROUND(Income!R126,0)</f>
        <v>348947</v>
      </c>
      <c r="E145" s="1495"/>
      <c r="F145" s="393"/>
      <c r="G145" s="271"/>
      <c r="H145" s="1496">
        <f ca="1">IF(K10=0,ROUND(SUMPRODUCT(C15:C21-C14:C20, R145-D15:D21, N(R145&gt;D15:D21)),0),0)</f>
        <v>90324</v>
      </c>
      <c r="I145" s="1494">
        <f ca="1">IF(K10=0,ROUND(SUMPRODUCT(H15:H17-H14:H16, S145-I15:I17, N(S145&gt;I15:I17)),0),0)</f>
        <v>19417</v>
      </c>
      <c r="J145" s="1494">
        <f>IF(K10=0,ROUND(SUMPRODUCT(M15:M17-M14:M16, T145-N15:N17, N(T145&gt;N15:N17)),0),0)</f>
        <v>0</v>
      </c>
      <c r="K145" s="1495">
        <f>IF(K10=0,ROUND(SUMPRODUCT(R15:R17-R14:R16, U145-S15:S17, N(U145&gt;S15:S17)),0),0)</f>
        <v>0</v>
      </c>
      <c r="L145" s="1235"/>
      <c r="M145" s="1497">
        <f t="shared" ca="1" si="10"/>
        <v>109741</v>
      </c>
      <c r="N145" s="1455"/>
      <c r="O145" s="1455"/>
      <c r="P145" s="1455"/>
      <c r="Q145" s="1455"/>
      <c r="R145" s="1498">
        <f t="shared" ca="1" si="11"/>
        <v>335997</v>
      </c>
      <c r="S145" s="1499">
        <f t="shared" ca="1" si="12"/>
        <v>344447</v>
      </c>
      <c r="T145" s="1499">
        <f t="shared" si="13"/>
        <v>0</v>
      </c>
      <c r="U145" s="1500">
        <f t="shared" si="14"/>
        <v>0</v>
      </c>
    </row>
    <row r="146" spans="1:21" hidden="1">
      <c r="A146" s="392" t="str">
        <f ca="1">IF(C146=Retire!$D$12,"==&gt;","")</f>
        <v/>
      </c>
      <c r="C146" s="1450">
        <f ca="1">Income!C127</f>
        <v>2133</v>
      </c>
      <c r="D146" s="1451">
        <f ca="1">ROUND(Income!R127,0)</f>
        <v>354383</v>
      </c>
      <c r="E146" s="1452"/>
      <c r="F146" s="393"/>
      <c r="G146" s="271"/>
      <c r="H146" s="1465">
        <f ca="1">IF(K10=0,ROUND(SUMPRODUCT(C15:C21-C14:C20, R146-D15:D21, N(R146&gt;D15:D21)),0),0)</f>
        <v>92227</v>
      </c>
      <c r="I146" s="1451">
        <f ca="1">IF(K10=0,ROUND(SUMPRODUCT(H15:H17-H14:H16, S146-I15:I17, N(S146&gt;I15:I17)),0),0)</f>
        <v>19743</v>
      </c>
      <c r="J146" s="1451">
        <f>IF(K10=0,ROUND(SUMPRODUCT(M15:M17-M14:M16, T146-N15:N17, N(T146&gt;N15:N17)),0),0)</f>
        <v>0</v>
      </c>
      <c r="K146" s="1452">
        <f>IF(K10=0,ROUND(SUMPRODUCT(R15:R17-R14:R16, U146-S15:S17, N(U146&gt;S15:S17)),0),0)</f>
        <v>0</v>
      </c>
      <c r="L146" s="1235"/>
      <c r="M146" s="1466">
        <f t="shared" ca="1" si="10"/>
        <v>111970</v>
      </c>
      <c r="N146" s="1455"/>
      <c r="O146" s="1455"/>
      <c r="P146" s="1455"/>
      <c r="Q146" s="1455"/>
      <c r="R146" s="1467">
        <f t="shared" ca="1" si="11"/>
        <v>341433</v>
      </c>
      <c r="S146" s="1468">
        <f t="shared" ca="1" si="12"/>
        <v>349883</v>
      </c>
      <c r="T146" s="1468">
        <f t="shared" si="13"/>
        <v>0</v>
      </c>
      <c r="U146" s="1469">
        <f t="shared" si="14"/>
        <v>0</v>
      </c>
    </row>
    <row r="147" spans="1:21" hidden="1">
      <c r="A147" s="392" t="str">
        <f ca="1">IF(C147=Retire!$D$12,"==&gt;","")</f>
        <v/>
      </c>
      <c r="C147" s="1493">
        <f ca="1">Income!C128</f>
        <v>2134</v>
      </c>
      <c r="D147" s="1494">
        <f ca="1">ROUND(Income!R128,0)</f>
        <v>359908</v>
      </c>
      <c r="E147" s="1495"/>
      <c r="F147" s="393"/>
      <c r="G147" s="271"/>
      <c r="H147" s="1496">
        <f ca="1">IF(K10=0,ROUND(SUMPRODUCT(C15:C21-C14:C20, R147-D15:D21, N(R147&gt;D15:D21)),0),0)</f>
        <v>94161</v>
      </c>
      <c r="I147" s="1494">
        <f ca="1">IF(K10=0,ROUND(SUMPRODUCT(H15:H17-H14:H16, S147-I15:I17, N(S147&gt;I15:I17)),0),0)</f>
        <v>20074</v>
      </c>
      <c r="J147" s="1494">
        <f>IF(K10=0,ROUND(SUMPRODUCT(M15:M17-M14:M16, T147-N15:N17, N(T147&gt;N15:N17)),0),0)</f>
        <v>0</v>
      </c>
      <c r="K147" s="1495">
        <f>IF(K10=0,ROUND(SUMPRODUCT(R15:R17-R14:R16, U147-S15:S17, N(U147&gt;S15:S17)),0),0)</f>
        <v>0</v>
      </c>
      <c r="L147" s="1235"/>
      <c r="M147" s="1497">
        <f t="shared" ca="1" si="10"/>
        <v>114235</v>
      </c>
      <c r="N147" s="1455"/>
      <c r="O147" s="1455"/>
      <c r="P147" s="1455"/>
      <c r="Q147" s="1455"/>
      <c r="R147" s="1498">
        <f t="shared" ca="1" si="11"/>
        <v>346958</v>
      </c>
      <c r="S147" s="1499">
        <f t="shared" ca="1" si="12"/>
        <v>355408</v>
      </c>
      <c r="T147" s="1499">
        <f t="shared" si="13"/>
        <v>0</v>
      </c>
      <c r="U147" s="1500">
        <f t="shared" si="14"/>
        <v>0</v>
      </c>
    </row>
    <row r="148" spans="1:21" hidden="1">
      <c r="A148" s="392" t="str">
        <f ca="1">IF(C148=Retire!$D$12,"==&gt;","")</f>
        <v/>
      </c>
      <c r="C148" s="1450">
        <f ca="1">Income!C129</f>
        <v>2135</v>
      </c>
      <c r="D148" s="1451">
        <f ca="1">ROUND(Income!R129,0)</f>
        <v>365522</v>
      </c>
      <c r="E148" s="1452"/>
      <c r="F148" s="393"/>
      <c r="G148" s="271"/>
      <c r="H148" s="1465">
        <f ca="1">IF(K10=0,ROUND(SUMPRODUCT(C15:C21-C14:C20, R148-D15:D21, N(R148&gt;D15:D21)),0),0)</f>
        <v>96126</v>
      </c>
      <c r="I148" s="1451">
        <f ca="1">IF(K10=0,ROUND(SUMPRODUCT(H15:H17-H14:H16, S148-I15:I17, N(S148&gt;I15:I17)),0),0)</f>
        <v>20411</v>
      </c>
      <c r="J148" s="1451">
        <f>IF(K10=0,ROUND(SUMPRODUCT(M15:M17-M14:M16, T148-N15:N17, N(T148&gt;N15:N17)),0),0)</f>
        <v>0</v>
      </c>
      <c r="K148" s="1452">
        <f>IF(K10=0,ROUND(SUMPRODUCT(R15:R17-R14:R16, U148-S15:S17, N(U148&gt;S15:S17)),0),0)</f>
        <v>0</v>
      </c>
      <c r="L148" s="1235"/>
      <c r="M148" s="1466">
        <f t="shared" ca="1" si="10"/>
        <v>116537</v>
      </c>
      <c r="N148" s="1455"/>
      <c r="O148" s="1455"/>
      <c r="P148" s="1455"/>
      <c r="Q148" s="1455"/>
      <c r="R148" s="1467">
        <f t="shared" ca="1" si="11"/>
        <v>352572</v>
      </c>
      <c r="S148" s="1468">
        <f t="shared" ca="1" si="12"/>
        <v>361022</v>
      </c>
      <c r="T148" s="1468">
        <f t="shared" si="13"/>
        <v>0</v>
      </c>
      <c r="U148" s="1469">
        <f t="shared" si="14"/>
        <v>0</v>
      </c>
    </row>
    <row r="149" spans="1:21" hidden="1">
      <c r="A149" s="392" t="str">
        <f ca="1">IF(C149=Retire!$D$12,"==&gt;","")</f>
        <v/>
      </c>
      <c r="C149" s="1493">
        <f ca="1">Income!C130</f>
        <v>2136</v>
      </c>
      <c r="D149" s="1494">
        <f ca="1">ROUND(Income!R130,0)</f>
        <v>371228</v>
      </c>
      <c r="E149" s="1495"/>
      <c r="F149" s="393"/>
      <c r="G149" s="271"/>
      <c r="H149" s="1496">
        <f ca="1">IF(K10=0,ROUND(SUMPRODUCT(C15:C21-C14:C20, R149-D15:D21, N(R149&gt;D15:D21)),0),0)</f>
        <v>98123</v>
      </c>
      <c r="I149" s="1494">
        <f ca="1">IF(K10=0,ROUND(SUMPRODUCT(H15:H17-H14:H16, S149-I15:I17, N(S149&gt;I15:I17)),0),0)</f>
        <v>20754</v>
      </c>
      <c r="J149" s="1494">
        <f>IF(K10=0,ROUND(SUMPRODUCT(M15:M17-M14:M16, T149-N15:N17, N(T149&gt;N15:N17)),0),0)</f>
        <v>0</v>
      </c>
      <c r="K149" s="1495">
        <f>IF(K10=0,ROUND(SUMPRODUCT(R15:R17-R14:R16, U149-S15:S17, N(U149&gt;S15:S17)),0),0)</f>
        <v>0</v>
      </c>
      <c r="L149" s="1235"/>
      <c r="M149" s="1497">
        <f t="shared" ca="1" si="10"/>
        <v>118877</v>
      </c>
      <c r="N149" s="1455"/>
      <c r="O149" s="1455"/>
      <c r="P149" s="1455"/>
      <c r="Q149" s="1455"/>
      <c r="R149" s="1498">
        <f t="shared" ca="1" si="11"/>
        <v>358278</v>
      </c>
      <c r="S149" s="1499">
        <f t="shared" ca="1" si="12"/>
        <v>366728</v>
      </c>
      <c r="T149" s="1499">
        <f t="shared" si="13"/>
        <v>0</v>
      </c>
      <c r="U149" s="1500">
        <f t="shared" si="14"/>
        <v>0</v>
      </c>
    </row>
    <row r="150" spans="1:21" hidden="1">
      <c r="A150" s="392" t="str">
        <f ca="1">IF(C150=Retire!$D$12,"==&gt;","")</f>
        <v/>
      </c>
      <c r="C150" s="1450">
        <f ca="1">Income!C131</f>
        <v>2137</v>
      </c>
      <c r="D150" s="1451">
        <f ca="1">ROUND(Income!R131,0)</f>
        <v>377027</v>
      </c>
      <c r="E150" s="1452"/>
      <c r="F150" s="393"/>
      <c r="G150" s="271"/>
      <c r="H150" s="1465">
        <f ca="1">IF(K10=0,ROUND(SUMPRODUCT(C15:C21-C14:C20, R150-D15:D21, N(R150&gt;D15:D21)),0),0)</f>
        <v>100152</v>
      </c>
      <c r="I150" s="1451">
        <f ca="1">IF(K10=0,ROUND(SUMPRODUCT(H15:H17-H14:H16, S150-I15:I17, N(S150&gt;I15:I17)),0),0)</f>
        <v>21102</v>
      </c>
      <c r="J150" s="1451">
        <f>IF(K10=0,ROUND(SUMPRODUCT(M15:M17-M14:M16, T150-N15:N17, N(T150&gt;N15:N17)),0),0)</f>
        <v>0</v>
      </c>
      <c r="K150" s="1452">
        <f>IF(K10=0,ROUND(SUMPRODUCT(R15:R17-R14:R16, U150-S15:S17, N(U150&gt;S15:S17)),0),0)</f>
        <v>0</v>
      </c>
      <c r="L150" s="1235"/>
      <c r="M150" s="1466">
        <f t="shared" ca="1" si="10"/>
        <v>121254</v>
      </c>
      <c r="N150" s="1455"/>
      <c r="O150" s="1455"/>
      <c r="P150" s="1455"/>
      <c r="Q150" s="1455"/>
      <c r="R150" s="1467">
        <f t="shared" ca="1" si="11"/>
        <v>364077</v>
      </c>
      <c r="S150" s="1468">
        <f t="shared" ca="1" si="12"/>
        <v>372527</v>
      </c>
      <c r="T150" s="1468">
        <f t="shared" si="13"/>
        <v>0</v>
      </c>
      <c r="U150" s="1469">
        <f t="shared" si="14"/>
        <v>0</v>
      </c>
    </row>
    <row r="151" spans="1:21" hidden="1">
      <c r="A151" s="392" t="str">
        <f ca="1">IF(C151=Retire!$D$12,"==&gt;","")</f>
        <v/>
      </c>
      <c r="C151" s="1493">
        <f ca="1">Income!C132</f>
        <v>2138</v>
      </c>
      <c r="D151" s="1494">
        <f ca="1">ROUND(Income!R132,0)</f>
        <v>382921</v>
      </c>
      <c r="E151" s="1495"/>
      <c r="F151" s="393"/>
      <c r="G151" s="271"/>
      <c r="H151" s="1496">
        <f ca="1">IF(K10=0,ROUND(SUMPRODUCT(C15:C21-C14:C20, R151-D15:D21, N(R151&gt;D15:D21)),0),0)</f>
        <v>102215</v>
      </c>
      <c r="I151" s="1494">
        <f ca="1">IF(K10=0,ROUND(SUMPRODUCT(H15:H17-H14:H16, S151-I15:I17, N(S151&gt;I15:I17)),0),0)</f>
        <v>21455</v>
      </c>
      <c r="J151" s="1494">
        <f>IF(K10=0,ROUND(SUMPRODUCT(M15:M17-M14:M16, T151-N15:N17, N(T151&gt;N15:N17)),0),0)</f>
        <v>0</v>
      </c>
      <c r="K151" s="1495">
        <f>IF(K10=0,ROUND(SUMPRODUCT(R15:R17-R14:R16, U151-S15:S17, N(U151&gt;S15:S17)),0),0)</f>
        <v>0</v>
      </c>
      <c r="L151" s="1235"/>
      <c r="M151" s="1497">
        <f t="shared" ca="1" si="10"/>
        <v>123670</v>
      </c>
      <c r="N151" s="1455"/>
      <c r="O151" s="1455"/>
      <c r="P151" s="1455"/>
      <c r="Q151" s="1455"/>
      <c r="R151" s="1498">
        <f t="shared" ca="1" si="11"/>
        <v>369971</v>
      </c>
      <c r="S151" s="1499">
        <f t="shared" ca="1" si="12"/>
        <v>378421</v>
      </c>
      <c r="T151" s="1499">
        <f t="shared" si="13"/>
        <v>0</v>
      </c>
      <c r="U151" s="1500">
        <f t="shared" si="14"/>
        <v>0</v>
      </c>
    </row>
    <row r="152" spans="1:21" hidden="1">
      <c r="A152" s="392" t="str">
        <f ca="1">IF(C152=Retire!$D$12,"==&gt;","")</f>
        <v/>
      </c>
      <c r="C152" s="1450">
        <f ca="1">Income!C133</f>
        <v>2139</v>
      </c>
      <c r="D152" s="1451">
        <f ca="1">ROUND(Income!R133,0)</f>
        <v>388912</v>
      </c>
      <c r="E152" s="1452"/>
      <c r="F152" s="393"/>
      <c r="G152" s="271"/>
      <c r="H152" s="1465">
        <f ca="1">IF(K10=0,ROUND(SUMPRODUCT(C15:C21-C14:C20, R152-D15:D21, N(R152&gt;D15:D21)),0),0)</f>
        <v>104312</v>
      </c>
      <c r="I152" s="1451">
        <f ca="1">IF(K10=0,ROUND(SUMPRODUCT(H15:H17-H14:H16, S152-I15:I17, N(S152&gt;I15:I17)),0),0)</f>
        <v>21815</v>
      </c>
      <c r="J152" s="1451">
        <f>IF(K10=0,ROUND(SUMPRODUCT(M15:M17-M14:M16, T152-N15:N17, N(T152&gt;N15:N17)),0),0)</f>
        <v>0</v>
      </c>
      <c r="K152" s="1452">
        <f>IF(K10=0,ROUND(SUMPRODUCT(R15:R17-R14:R16, U152-S15:S17, N(U152&gt;S15:S17)),0),0)</f>
        <v>0</v>
      </c>
      <c r="L152" s="1235"/>
      <c r="M152" s="1466">
        <f t="shared" ca="1" si="10"/>
        <v>126127</v>
      </c>
      <c r="N152" s="1455"/>
      <c r="O152" s="1455"/>
      <c r="P152" s="1455"/>
      <c r="Q152" s="1455"/>
      <c r="R152" s="1467">
        <f t="shared" ca="1" si="11"/>
        <v>375962</v>
      </c>
      <c r="S152" s="1468">
        <f t="shared" ca="1" si="12"/>
        <v>384412</v>
      </c>
      <c r="T152" s="1468">
        <f t="shared" si="13"/>
        <v>0</v>
      </c>
      <c r="U152" s="1469">
        <f t="shared" si="14"/>
        <v>0</v>
      </c>
    </row>
    <row r="153" spans="1:21" hidden="1">
      <c r="A153" s="392" t="str">
        <f ca="1">IF(C153=Retire!$D$12,"==&gt;","")</f>
        <v/>
      </c>
      <c r="C153" s="1493">
        <f ca="1">Income!C134</f>
        <v>2140</v>
      </c>
      <c r="D153" s="1494">
        <f ca="1">ROUND(Income!R134,0)</f>
        <v>395000</v>
      </c>
      <c r="E153" s="1495"/>
      <c r="F153" s="393"/>
      <c r="G153" s="271"/>
      <c r="H153" s="1496">
        <f ca="1">IF(K10=0,ROUND(SUMPRODUCT(C15:C21-C14:C20, R153-D15:D21, N(R153&gt;D15:D21)),0),0)</f>
        <v>106443</v>
      </c>
      <c r="I153" s="1494">
        <f ca="1">IF(K10=0,ROUND(SUMPRODUCT(H15:H17-H14:H16, S153-I15:I17, N(S153&gt;I15:I17)),0),0)</f>
        <v>22180</v>
      </c>
      <c r="J153" s="1494">
        <f>IF(K10=0,ROUND(SUMPRODUCT(M15:M17-M14:M16, T153-N15:N17, N(T153&gt;N15:N17)),0),0)</f>
        <v>0</v>
      </c>
      <c r="K153" s="1495">
        <f>IF(K10=0,ROUND(SUMPRODUCT(R15:R17-R14:R16, U153-S15:S17, N(U153&gt;S15:S17)),0),0)</f>
        <v>0</v>
      </c>
      <c r="L153" s="1235"/>
      <c r="M153" s="1497">
        <f t="shared" ca="1" si="10"/>
        <v>128623</v>
      </c>
      <c r="N153" s="1455"/>
      <c r="O153" s="1455"/>
      <c r="P153" s="1455"/>
      <c r="Q153" s="1455"/>
      <c r="R153" s="1498">
        <f t="shared" ca="1" si="11"/>
        <v>382050</v>
      </c>
      <c r="S153" s="1499">
        <f t="shared" ca="1" si="12"/>
        <v>390500</v>
      </c>
      <c r="T153" s="1499">
        <f t="shared" si="13"/>
        <v>0</v>
      </c>
      <c r="U153" s="1500">
        <f t="shared" si="14"/>
        <v>0</v>
      </c>
    </row>
    <row r="154" spans="1:21" hidden="1">
      <c r="A154" s="392" t="str">
        <f ca="1">IF(C154=Retire!$D$12,"==&gt;","")</f>
        <v/>
      </c>
      <c r="C154" s="1450">
        <f ca="1">Income!C135</f>
        <v>2141</v>
      </c>
      <c r="D154" s="1451">
        <f ca="1">ROUND(Income!R135,0)</f>
        <v>401188</v>
      </c>
      <c r="E154" s="1452"/>
      <c r="F154" s="393"/>
      <c r="G154" s="271"/>
      <c r="H154" s="1465">
        <f ca="1">IF(K10=0,ROUND(SUMPRODUCT(C15:C21-C14:C20, R154-D15:D21, N(R154&gt;D15:D21)),0),0)</f>
        <v>108609</v>
      </c>
      <c r="I154" s="1451">
        <f ca="1">IF(K10=0,ROUND(SUMPRODUCT(H15:H17-H14:H16, S154-I15:I17, N(S154&gt;I15:I17)),0),0)</f>
        <v>22551</v>
      </c>
      <c r="J154" s="1451">
        <f>IF(K10=0,ROUND(SUMPRODUCT(M15:M17-M14:M16, T154-N15:N17, N(T154&gt;N15:N17)),0),0)</f>
        <v>0</v>
      </c>
      <c r="K154" s="1452">
        <f>IF(K10=0,ROUND(SUMPRODUCT(R15:R17-R14:R16, U154-S15:S17, N(U154&gt;S15:S17)),0),0)</f>
        <v>0</v>
      </c>
      <c r="L154" s="1235"/>
      <c r="M154" s="1466">
        <f t="shared" ca="1" si="10"/>
        <v>131160</v>
      </c>
      <c r="N154" s="1455"/>
      <c r="O154" s="1455"/>
      <c r="P154" s="1455"/>
      <c r="Q154" s="1455"/>
      <c r="R154" s="1467">
        <f t="shared" ca="1" si="11"/>
        <v>388238</v>
      </c>
      <c r="S154" s="1468">
        <f t="shared" ca="1" si="12"/>
        <v>396688</v>
      </c>
      <c r="T154" s="1468">
        <f t="shared" si="13"/>
        <v>0</v>
      </c>
      <c r="U154" s="1469">
        <f t="shared" si="14"/>
        <v>0</v>
      </c>
    </row>
    <row r="155" spans="1:21" hidden="1">
      <c r="A155" s="392" t="str">
        <f ca="1">IF(C155=Retire!$D$12,"==&gt;","")</f>
        <v/>
      </c>
      <c r="C155" s="1493">
        <f ca="1">Income!C136</f>
        <v>2142</v>
      </c>
      <c r="D155" s="1494">
        <f ca="1">ROUND(Income!R136,0)</f>
        <v>407477</v>
      </c>
      <c r="E155" s="1495"/>
      <c r="F155" s="393"/>
      <c r="G155" s="271"/>
      <c r="H155" s="1496">
        <f ca="1">IF(K10=0,ROUND(SUMPRODUCT(C15:C21-C14:C20, R155-D15:D21, N(R155&gt;D15:D21)),0),0)</f>
        <v>110810</v>
      </c>
      <c r="I155" s="1494">
        <f ca="1">IF(K10=0,ROUND(SUMPRODUCT(H15:H17-H14:H16, S155-I15:I17, N(S155&gt;I15:I17)),0),0)</f>
        <v>22929</v>
      </c>
      <c r="J155" s="1494">
        <f>IF(K10=0,ROUND(SUMPRODUCT(M15:M17-M14:M16, T155-N15:N17, N(T155&gt;N15:N17)),0),0)</f>
        <v>0</v>
      </c>
      <c r="K155" s="1495">
        <f>IF(K10=0,ROUND(SUMPRODUCT(R15:R17-R14:R16, U155-S15:S17, N(U155&gt;S15:S17)),0),0)</f>
        <v>0</v>
      </c>
      <c r="L155" s="1235"/>
      <c r="M155" s="1497">
        <f t="shared" ca="1" si="10"/>
        <v>133739</v>
      </c>
      <c r="N155" s="1455"/>
      <c r="O155" s="1455"/>
      <c r="P155" s="1455"/>
      <c r="Q155" s="1455"/>
      <c r="R155" s="1498">
        <f t="shared" ca="1" si="11"/>
        <v>394527</v>
      </c>
      <c r="S155" s="1499">
        <f t="shared" ca="1" si="12"/>
        <v>402977</v>
      </c>
      <c r="T155" s="1499">
        <f t="shared" si="13"/>
        <v>0</v>
      </c>
      <c r="U155" s="1500">
        <f t="shared" si="14"/>
        <v>0</v>
      </c>
    </row>
    <row r="156" spans="1:21" hidden="1">
      <c r="A156" s="392" t="str">
        <f ca="1">IF(C156=Retire!$D$12,"==&gt;","")</f>
        <v/>
      </c>
      <c r="C156" s="1450">
        <f ca="1">Income!C137</f>
        <v>2143</v>
      </c>
      <c r="D156" s="1451">
        <f ca="1">ROUND(Income!R137,0)</f>
        <v>413869</v>
      </c>
      <c r="E156" s="1452"/>
      <c r="F156" s="393"/>
      <c r="G156" s="271"/>
      <c r="H156" s="1465">
        <f ca="1">IF(K10=0,ROUND(SUMPRODUCT(C15:C21-C14:C20, R156-D15:D21, N(R156&gt;D15:D21)),0),0)</f>
        <v>113047</v>
      </c>
      <c r="I156" s="1451">
        <f ca="1">IF(K10=0,ROUND(SUMPRODUCT(H15:H17-H14:H16, S156-I15:I17, N(S156&gt;I15:I17)),0),0)</f>
        <v>23312</v>
      </c>
      <c r="J156" s="1451">
        <f>IF(K10=0,ROUND(SUMPRODUCT(M15:M17-M14:M16, T156-N15:N17, N(T156&gt;N15:N17)),0),0)</f>
        <v>0</v>
      </c>
      <c r="K156" s="1452">
        <f>IF(K10=0,ROUND(SUMPRODUCT(R15:R17-R14:R16, U156-S15:S17, N(U156&gt;S15:S17)),0),0)</f>
        <v>0</v>
      </c>
      <c r="L156" s="1235"/>
      <c r="M156" s="1466">
        <f t="shared" ca="1" si="10"/>
        <v>136359</v>
      </c>
      <c r="N156" s="1455"/>
      <c r="O156" s="1455"/>
      <c r="P156" s="1455"/>
      <c r="Q156" s="1455"/>
      <c r="R156" s="1467">
        <f t="shared" ca="1" si="11"/>
        <v>400919</v>
      </c>
      <c r="S156" s="1468">
        <f t="shared" ca="1" si="12"/>
        <v>409369</v>
      </c>
      <c r="T156" s="1468">
        <f t="shared" si="13"/>
        <v>0</v>
      </c>
      <c r="U156" s="1469">
        <f t="shared" si="14"/>
        <v>0</v>
      </c>
    </row>
    <row r="157" spans="1:21" hidden="1">
      <c r="A157" s="392" t="str">
        <f ca="1">IF(C157=Retire!$D$12,"==&gt;","")</f>
        <v/>
      </c>
      <c r="C157" s="1493">
        <f ca="1">Income!C138</f>
        <v>2144</v>
      </c>
      <c r="D157" s="1494">
        <f ca="1">ROUND(Income!R138,0)</f>
        <v>420366</v>
      </c>
      <c r="E157" s="1495"/>
      <c r="F157" s="393"/>
      <c r="G157" s="271"/>
      <c r="H157" s="1496">
        <f ca="1">IF(K10=0,ROUND(SUMPRODUCT(C15:C21-C14:C20, R157-D15:D21, N(R157&gt;D15:D21)),0),0)</f>
        <v>115321</v>
      </c>
      <c r="I157" s="1494">
        <f ca="1">IF(K10=0,ROUND(SUMPRODUCT(H15:H17-H14:H16, S157-I15:I17, N(S157&gt;I15:I17)),0),0)</f>
        <v>23702</v>
      </c>
      <c r="J157" s="1494">
        <f>IF(K10=0,ROUND(SUMPRODUCT(M15:M17-M14:M16, T157-N15:N17, N(T157&gt;N15:N17)),0),0)</f>
        <v>0</v>
      </c>
      <c r="K157" s="1495">
        <f>IF(K10=0,ROUND(SUMPRODUCT(R15:R17-R14:R16, U157-S15:S17, N(U157&gt;S15:S17)),0),0)</f>
        <v>0</v>
      </c>
      <c r="L157" s="1235"/>
      <c r="M157" s="1497">
        <f t="shared" ca="1" si="10"/>
        <v>139023</v>
      </c>
      <c r="N157" s="1455"/>
      <c r="O157" s="1455"/>
      <c r="P157" s="1455"/>
      <c r="Q157" s="1455"/>
      <c r="R157" s="1498">
        <f t="shared" ca="1" si="11"/>
        <v>407416</v>
      </c>
      <c r="S157" s="1499">
        <f t="shared" ca="1" si="12"/>
        <v>415866</v>
      </c>
      <c r="T157" s="1499">
        <f t="shared" si="13"/>
        <v>0</v>
      </c>
      <c r="U157" s="1500">
        <f t="shared" si="14"/>
        <v>0</v>
      </c>
    </row>
    <row r="158" spans="1:21" hidden="1">
      <c r="A158" s="392" t="str">
        <f ca="1">IF(C158=Retire!$D$12,"==&gt;","")</f>
        <v/>
      </c>
      <c r="C158" s="1450">
        <f ca="1">Income!C139</f>
        <v>2145</v>
      </c>
      <c r="D158" s="1451">
        <f ca="1">ROUND(Income!R139,0)</f>
        <v>426970</v>
      </c>
      <c r="E158" s="1452"/>
      <c r="F158" s="393"/>
      <c r="G158" s="271"/>
      <c r="H158" s="1465">
        <f ca="1">IF(K10=0,ROUND(SUMPRODUCT(C15:C21-C14:C20, R158-D15:D21, N(R158&gt;D15:D21)),0),0)</f>
        <v>117633</v>
      </c>
      <c r="I158" s="1451">
        <f ca="1">IF(K10=0,ROUND(SUMPRODUCT(H15:H17-H14:H16, S158-I15:I17, N(S158&gt;I15:I17)),0),0)</f>
        <v>24098</v>
      </c>
      <c r="J158" s="1451">
        <f>IF(K10=0,ROUND(SUMPRODUCT(M15:M17-M14:M16, T158-N15:N17, N(T158&gt;N15:N17)),0),0)</f>
        <v>0</v>
      </c>
      <c r="K158" s="1452">
        <f>IF(K10=0,ROUND(SUMPRODUCT(R15:R17-R14:R16, U158-S15:S17, N(U158&gt;S15:S17)),0),0)</f>
        <v>0</v>
      </c>
      <c r="L158" s="1235"/>
      <c r="M158" s="1466">
        <f t="shared" ca="1" si="10"/>
        <v>141731</v>
      </c>
      <c r="N158" s="1455"/>
      <c r="O158" s="1455"/>
      <c r="P158" s="1455"/>
      <c r="Q158" s="1455"/>
      <c r="R158" s="1467">
        <f t="shared" ca="1" si="11"/>
        <v>414020</v>
      </c>
      <c r="S158" s="1468">
        <f t="shared" ca="1" si="12"/>
        <v>422470</v>
      </c>
      <c r="T158" s="1468">
        <f t="shared" si="13"/>
        <v>0</v>
      </c>
      <c r="U158" s="1469">
        <f t="shared" si="14"/>
        <v>0</v>
      </c>
    </row>
    <row r="159" spans="1:21" hidden="1">
      <c r="A159" s="392" t="str">
        <f ca="1">IF(C159=Retire!$D$12,"==&gt;","")</f>
        <v/>
      </c>
      <c r="C159" s="1493">
        <f ca="1">Income!C140</f>
        <v>2146</v>
      </c>
      <c r="D159" s="1494">
        <f ca="1">ROUND(Income!R140,0)</f>
        <v>433682</v>
      </c>
      <c r="E159" s="1495"/>
      <c r="F159" s="393"/>
      <c r="G159" s="271"/>
      <c r="H159" s="1496">
        <f ca="1">IF(K10=0,ROUND(SUMPRODUCT(C15:C21-C14:C20, R159-D15:D21, N(R159&gt;D15:D21)),0),0)</f>
        <v>119982</v>
      </c>
      <c r="I159" s="1494">
        <f ca="1">IF(K10=0,ROUND(SUMPRODUCT(H15:H17-H14:H16, S159-I15:I17, N(S159&gt;I15:I17)),0),0)</f>
        <v>24501</v>
      </c>
      <c r="J159" s="1494">
        <f>IF(K10=0,ROUND(SUMPRODUCT(M15:M17-M14:M16, T159-N15:N17, N(T159&gt;N15:N17)),0),0)</f>
        <v>0</v>
      </c>
      <c r="K159" s="1495">
        <f>IF(K10=0,ROUND(SUMPRODUCT(R15:R17-R14:R16, U159-S15:S17, N(U159&gt;S15:S17)),0),0)</f>
        <v>0</v>
      </c>
      <c r="L159" s="1235"/>
      <c r="M159" s="1497">
        <f t="shared" ca="1" si="10"/>
        <v>144483</v>
      </c>
      <c r="N159" s="1455"/>
      <c r="O159" s="1455"/>
      <c r="P159" s="1455"/>
      <c r="Q159" s="1455"/>
      <c r="R159" s="1498">
        <f t="shared" ca="1" si="11"/>
        <v>420732</v>
      </c>
      <c r="S159" s="1499">
        <f t="shared" ca="1" si="12"/>
        <v>429182</v>
      </c>
      <c r="T159" s="1499">
        <f t="shared" si="13"/>
        <v>0</v>
      </c>
      <c r="U159" s="1500">
        <f t="shared" si="14"/>
        <v>0</v>
      </c>
    </row>
    <row r="160" spans="1:21" s="271" customFormat="1" hidden="1">
      <c r="A160" s="273"/>
      <c r="C160" s="1501"/>
      <c r="D160" s="1445"/>
      <c r="E160" s="1445"/>
      <c r="F160" s="393"/>
      <c r="H160" s="1445"/>
      <c r="I160" s="1445"/>
      <c r="J160" s="1445"/>
      <c r="K160" s="1445"/>
      <c r="L160" s="1235"/>
      <c r="M160" s="1445"/>
      <c r="N160" s="1455"/>
      <c r="O160" s="1455"/>
      <c r="P160" s="1455"/>
      <c r="Q160" s="1455"/>
      <c r="R160" s="1458"/>
      <c r="S160" s="1458"/>
      <c r="T160" s="1458"/>
      <c r="U160" s="1458"/>
    </row>
    <row r="161" spans="1:21" s="271" customFormat="1">
      <c r="A161" s="410">
        <f ca="1">MATCH("==&gt;",A35:A159,0)+34</f>
        <v>47</v>
      </c>
      <c r="C161" s="1501"/>
      <c r="D161" s="1445"/>
      <c r="E161" s="1445"/>
      <c r="F161" s="393"/>
      <c r="H161" s="1445"/>
      <c r="I161" s="1445"/>
      <c r="J161" s="1445"/>
      <c r="K161" s="1445"/>
      <c r="L161" s="1235"/>
      <c r="M161" s="1445"/>
      <c r="N161" s="1455"/>
      <c r="O161" s="1455"/>
      <c r="P161" s="1455"/>
      <c r="Q161" s="1455"/>
      <c r="R161" s="1458"/>
      <c r="S161" s="1458"/>
      <c r="T161" s="1458"/>
      <c r="U161" s="1458"/>
    </row>
    <row r="162" spans="1:21" s="271" customFormat="1">
      <c r="A162" s="273"/>
      <c r="C162" s="1501"/>
      <c r="D162" s="1445"/>
      <c r="E162" s="1445"/>
      <c r="F162" s="393"/>
      <c r="H162" s="1445"/>
      <c r="I162" s="1445"/>
      <c r="J162" s="1445"/>
      <c r="K162" s="1445"/>
      <c r="L162" s="1235"/>
      <c r="M162" s="1445"/>
      <c r="N162" s="1455"/>
      <c r="O162" s="1455"/>
      <c r="P162" s="1455"/>
      <c r="Q162" s="1455"/>
      <c r="R162" s="1458"/>
      <c r="S162" s="1458"/>
      <c r="T162" s="1458"/>
      <c r="U162" s="1458"/>
    </row>
    <row r="163" spans="1:21" s="271" customFormat="1">
      <c r="A163" s="273"/>
      <c r="C163" s="1501"/>
      <c r="D163" s="1445"/>
      <c r="E163" s="1445"/>
      <c r="F163" s="393"/>
      <c r="H163" s="1445"/>
      <c r="I163" s="1445"/>
      <c r="J163" s="1445"/>
      <c r="K163" s="1445"/>
      <c r="L163" s="1235"/>
      <c r="M163" s="1445"/>
      <c r="N163" s="1455"/>
      <c r="O163" s="1455"/>
      <c r="P163" s="1455"/>
      <c r="Q163" s="1455"/>
      <c r="R163" s="1458"/>
      <c r="S163" s="1458"/>
      <c r="T163" s="1458"/>
      <c r="U163" s="1458"/>
    </row>
    <row r="164" spans="1:21" s="271" customFormat="1">
      <c r="A164" s="273"/>
      <c r="C164" s="1501"/>
      <c r="D164" s="1445"/>
      <c r="E164" s="1445"/>
      <c r="F164" s="393"/>
      <c r="H164" s="1445"/>
      <c r="I164" s="1445"/>
      <c r="J164" s="1445"/>
      <c r="K164" s="1445"/>
      <c r="L164" s="1235"/>
      <c r="M164" s="1445"/>
      <c r="N164" s="1455"/>
      <c r="O164" s="1455"/>
      <c r="P164" s="1455"/>
      <c r="Q164" s="1455"/>
      <c r="R164" s="1458"/>
      <c r="S164" s="1458"/>
      <c r="T164" s="1458"/>
      <c r="U164" s="1458"/>
    </row>
    <row r="165" spans="1:21" s="271" customFormat="1">
      <c r="A165" s="273"/>
      <c r="C165" s="1501"/>
      <c r="D165" s="1445"/>
      <c r="E165" s="1445"/>
      <c r="F165" s="393"/>
      <c r="H165" s="1445"/>
      <c r="I165" s="1445"/>
      <c r="J165" s="1445"/>
      <c r="K165" s="1445"/>
      <c r="L165" s="1235"/>
      <c r="M165" s="1445"/>
      <c r="N165" s="1455"/>
      <c r="O165" s="1455"/>
      <c r="P165" s="1455"/>
      <c r="Q165" s="1455"/>
      <c r="R165" s="1458"/>
      <c r="S165" s="1458"/>
      <c r="T165" s="1458"/>
      <c r="U165" s="1458"/>
    </row>
    <row r="166" spans="1:21" s="271" customFormat="1">
      <c r="A166" s="273"/>
      <c r="C166" s="1501"/>
      <c r="D166" s="1445"/>
      <c r="E166" s="1445"/>
      <c r="F166" s="393"/>
      <c r="H166" s="1445"/>
      <c r="I166" s="1445"/>
      <c r="J166" s="1445"/>
      <c r="K166" s="1445"/>
      <c r="L166" s="1235"/>
      <c r="M166" s="1445"/>
      <c r="N166" s="1455"/>
      <c r="O166" s="1455"/>
      <c r="P166" s="1455"/>
      <c r="Q166" s="1455"/>
      <c r="R166" s="1458"/>
      <c r="S166" s="1458"/>
      <c r="T166" s="1458"/>
      <c r="U166" s="1458"/>
    </row>
    <row r="167" spans="1:21" s="271" customFormat="1">
      <c r="A167" s="273"/>
      <c r="C167" s="1501"/>
      <c r="D167" s="1445"/>
      <c r="E167" s="1445"/>
      <c r="F167" s="393"/>
      <c r="H167" s="1445"/>
      <c r="I167" s="1445"/>
      <c r="J167" s="1445"/>
      <c r="K167" s="1445"/>
      <c r="L167" s="1235"/>
      <c r="M167" s="1445"/>
      <c r="N167" s="1455"/>
      <c r="O167" s="1455"/>
      <c r="P167" s="1455"/>
      <c r="Q167" s="1455"/>
      <c r="R167" s="1458"/>
      <c r="S167" s="1458"/>
      <c r="T167" s="1458"/>
      <c r="U167" s="1458"/>
    </row>
    <row r="168" spans="1:21" s="271" customFormat="1">
      <c r="A168" s="273"/>
      <c r="C168" s="1501"/>
      <c r="D168" s="1445"/>
      <c r="E168" s="1445"/>
      <c r="F168" s="393"/>
      <c r="H168" s="1445"/>
      <c r="I168" s="1445"/>
      <c r="J168" s="1445"/>
      <c r="K168" s="1445"/>
      <c r="L168" s="1235"/>
      <c r="M168" s="1445"/>
      <c r="N168" s="1455"/>
      <c r="O168" s="1455"/>
      <c r="P168" s="1455"/>
      <c r="Q168" s="1455"/>
      <c r="R168" s="1458"/>
      <c r="S168" s="1458"/>
      <c r="T168" s="1458"/>
      <c r="U168" s="1458"/>
    </row>
    <row r="169" spans="1:21" s="271" customFormat="1">
      <c r="A169" s="273"/>
      <c r="C169" s="1501"/>
      <c r="D169" s="1445"/>
      <c r="E169" s="1445"/>
      <c r="F169" s="393"/>
      <c r="H169" s="1445"/>
      <c r="I169" s="1445"/>
      <c r="J169" s="1445"/>
      <c r="K169" s="1445"/>
      <c r="L169" s="1235"/>
      <c r="M169" s="1445"/>
      <c r="N169" s="1455"/>
      <c r="O169" s="1455"/>
      <c r="P169" s="1455"/>
      <c r="Q169" s="1455"/>
      <c r="R169" s="1458"/>
      <c r="S169" s="1458"/>
      <c r="T169" s="1458"/>
      <c r="U169" s="1458"/>
    </row>
    <row r="170" spans="1:21" s="271" customFormat="1"/>
  </sheetData>
  <sheetProtection algorithmName="SHA-512" hashValue="Mn4euQ4Sy0hVYmBwLFUvCz8gJ8yP6OoDcMossspkYrSpqGc1ODoPEoe6C3a9+yfDV6q1xbejwcxjPsJJ8Uw3mA==" saltValue="XFVssUiJidAPgLC0WTHDZQ=="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5" priority="14">
      <formula>$K$10&gt;0</formula>
    </cfRule>
  </conditionalFormatting>
  <conditionalFormatting sqref="E7:F8">
    <cfRule type="expression" dxfId="4" priority="2">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745A7BD9-0569-A044-9D8B-98C66BE316C4}">
            <xm:f>$K$5&lt;&gt;Config!$P$17</xm:f>
            <x14:dxf>
              <font>
                <strike val="0"/>
                <color theme="0"/>
              </font>
              <fill>
                <patternFill>
                  <bgColor rgb="FFFF0000"/>
                </patternFill>
              </fill>
            </x14:dxf>
          </x14:cfRule>
          <xm:sqref>M29:U29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D67"/>
  <sheetViews>
    <sheetView showRowColHeaders="0" zoomScale="125" zoomScaleNormal="125" workbookViewId="0">
      <pane ySplit="6" topLeftCell="A7" activePane="bottomLeft" state="frozen"/>
      <selection pane="bottomLeft"/>
    </sheetView>
  </sheetViews>
  <sheetFormatPr baseColWidth="10" defaultColWidth="10.7109375" defaultRowHeight="16"/>
  <cols>
    <col min="1" max="1" width="5.7109375" style="427" customWidth="1"/>
    <col min="2" max="2" width="1.7109375" style="431" customWidth="1"/>
    <col min="3" max="3" width="7" style="431" customWidth="1"/>
    <col min="4" max="4" width="4.85546875" style="431" customWidth="1"/>
    <col min="5" max="5" width="2.42578125" style="431" customWidth="1"/>
    <col min="6" max="6" width="4" style="431" customWidth="1"/>
    <col min="7" max="7" width="6.5703125" style="431" customWidth="1"/>
    <col min="8" max="8" width="7" style="431" customWidth="1"/>
    <col min="9" max="9" width="2.28515625" style="431" customWidth="1"/>
    <col min="10" max="11" width="3.85546875" style="431" customWidth="1"/>
    <col min="12" max="12" width="5.7109375" style="431" customWidth="1"/>
    <col min="13" max="13" width="3" style="431" customWidth="1"/>
    <col min="14" max="14" width="12" style="431" customWidth="1"/>
    <col min="15" max="15" width="10.140625" style="431" hidden="1" customWidth="1"/>
    <col min="16" max="17" width="11.28515625" style="431" customWidth="1"/>
    <col min="18" max="18" width="2.7109375" style="431" customWidth="1"/>
    <col min="19" max="21" width="10.7109375" style="431" customWidth="1"/>
    <col min="22" max="22" width="13.42578125" style="431" hidden="1" customWidth="1"/>
    <col min="23" max="23" width="2" style="431" hidden="1" customWidth="1"/>
    <col min="24" max="24" width="9.85546875" style="431" hidden="1" customWidth="1"/>
    <col min="25" max="25" width="9.140625" style="427" hidden="1" customWidth="1"/>
    <col min="26" max="26" width="12.42578125" style="427" hidden="1" customWidth="1"/>
    <col min="27" max="27" width="2.7109375" style="427" hidden="1" customWidth="1"/>
    <col min="28" max="28" width="2.28515625" style="427" hidden="1" customWidth="1"/>
    <col min="29" max="16384" width="10.7109375" style="427"/>
  </cols>
  <sheetData>
    <row r="1" spans="1:30" ht="8" customHeight="1">
      <c r="A1" s="526"/>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row>
    <row r="2" spans="1:30" ht="40" customHeight="1">
      <c r="A2" s="569"/>
      <c r="B2" s="427"/>
      <c r="C2" s="201" t="s">
        <v>1333</v>
      </c>
      <c r="D2" s="421"/>
      <c r="F2" s="555"/>
      <c r="G2" s="559"/>
      <c r="H2" s="427"/>
      <c r="I2" s="427"/>
      <c r="J2" s="427"/>
      <c r="K2" s="427"/>
      <c r="L2" s="427"/>
      <c r="M2" s="427"/>
      <c r="N2" s="427"/>
      <c r="O2" s="427"/>
      <c r="P2" s="427"/>
      <c r="Q2" s="427"/>
      <c r="R2" s="427"/>
      <c r="S2" s="427"/>
      <c r="T2" s="427"/>
      <c r="U2" s="427"/>
      <c r="V2" s="427"/>
      <c r="W2" s="427"/>
      <c r="X2" s="427"/>
    </row>
    <row r="3" spans="1:30" ht="81" customHeight="1">
      <c r="A3" s="614" t="s">
        <v>1347</v>
      </c>
      <c r="B3" s="427"/>
      <c r="C3" s="2483" t="s">
        <v>2542</v>
      </c>
      <c r="D3" s="2484"/>
      <c r="E3" s="2484"/>
      <c r="F3" s="2484"/>
      <c r="G3" s="2484"/>
      <c r="H3" s="2484"/>
      <c r="I3" s="2484"/>
      <c r="J3" s="2484"/>
      <c r="K3" s="2484"/>
      <c r="L3" s="2484"/>
      <c r="M3" s="620"/>
      <c r="N3" s="620"/>
      <c r="O3" s="620"/>
      <c r="P3" s="620"/>
      <c r="Q3" s="559"/>
      <c r="R3" s="559"/>
      <c r="S3" s="559"/>
      <c r="T3" s="559"/>
      <c r="U3" s="559"/>
      <c r="V3" s="559"/>
      <c r="W3" s="559"/>
      <c r="X3" s="559"/>
      <c r="Y3" s="560"/>
      <c r="Z3" s="560"/>
      <c r="AA3" s="560"/>
      <c r="AB3" s="560"/>
    </row>
    <row r="4" spans="1:30" ht="20" customHeight="1">
      <c r="A4" s="601"/>
      <c r="B4" s="427"/>
      <c r="C4" s="2486" t="s">
        <v>2543</v>
      </c>
      <c r="D4" s="2487"/>
      <c r="E4" s="427"/>
      <c r="F4" s="1885" t="s">
        <v>2546</v>
      </c>
      <c r="G4" s="582"/>
      <c r="H4" s="1921">
        <f>RMDTable!F4</f>
        <v>2022</v>
      </c>
      <c r="I4" s="570"/>
      <c r="J4" s="2488" t="s">
        <v>65</v>
      </c>
      <c r="K4" s="2489"/>
      <c r="L4" s="2491" t="s">
        <v>470</v>
      </c>
      <c r="M4" s="560"/>
      <c r="N4" s="2470" t="s">
        <v>2556</v>
      </c>
      <c r="O4" s="2481" t="s">
        <v>471</v>
      </c>
      <c r="P4" s="1911" t="s">
        <v>2557</v>
      </c>
      <c r="Q4" s="1912" t="s">
        <v>2558</v>
      </c>
      <c r="S4" s="2470" t="s">
        <v>2559</v>
      </c>
      <c r="T4" s="2468" t="s">
        <v>2560</v>
      </c>
      <c r="U4" s="2468" t="s">
        <v>2561</v>
      </c>
      <c r="V4" s="2482" t="s">
        <v>2554</v>
      </c>
      <c r="W4" s="1913"/>
      <c r="X4" s="2478" t="s">
        <v>2447</v>
      </c>
      <c r="Y4" s="2478" t="s">
        <v>1334</v>
      </c>
      <c r="Z4" s="2478" t="s">
        <v>1371</v>
      </c>
      <c r="AA4" s="1914"/>
      <c r="AB4" s="1914"/>
      <c r="AC4" s="2468" t="s">
        <v>2562</v>
      </c>
      <c r="AD4" s="2475" t="s">
        <v>2555</v>
      </c>
    </row>
    <row r="5" spans="1:30" ht="26" customHeight="1">
      <c r="A5" s="2248"/>
      <c r="B5" s="427"/>
      <c r="C5" s="1917" t="s">
        <v>2544</v>
      </c>
      <c r="D5" s="1918">
        <f>IF(Individuals!$E$10&gt;RMDTable!$I$5,72,70)</f>
        <v>72</v>
      </c>
      <c r="E5" s="427"/>
      <c r="F5" s="2473" t="s">
        <v>2563</v>
      </c>
      <c r="G5" s="2252"/>
      <c r="H5" s="2474"/>
      <c r="I5" s="570"/>
      <c r="J5" s="2490"/>
      <c r="K5" s="2252"/>
      <c r="L5" s="2476"/>
      <c r="M5" s="560"/>
      <c r="N5" s="2471"/>
      <c r="O5" s="2247"/>
      <c r="P5" s="1902" t="s">
        <v>10</v>
      </c>
      <c r="Q5" s="1903" t="s">
        <v>10</v>
      </c>
      <c r="R5" s="421"/>
      <c r="S5" s="2471"/>
      <c r="T5" s="2247"/>
      <c r="U5" s="2247"/>
      <c r="V5" s="2247"/>
      <c r="W5" s="560"/>
      <c r="X5" s="2479"/>
      <c r="Y5" s="2479"/>
      <c r="Z5" s="2479"/>
      <c r="AC5" s="2247"/>
      <c r="AD5" s="2476"/>
    </row>
    <row r="6" spans="1:30" ht="30" customHeight="1">
      <c r="A6" s="2248"/>
      <c r="B6" s="427"/>
      <c r="C6" s="1919" t="s">
        <v>2545</v>
      </c>
      <c r="D6" s="1920">
        <f>IF(Individuals!$E$15&gt;RMDTable!$I$5,72,70)</f>
        <v>72</v>
      </c>
      <c r="E6" s="427"/>
      <c r="F6" s="1907" t="s">
        <v>65</v>
      </c>
      <c r="G6" s="1907" t="s">
        <v>2150</v>
      </c>
      <c r="H6" s="1908" t="s">
        <v>2564</v>
      </c>
      <c r="I6" s="570"/>
      <c r="J6" s="1909" t="s">
        <v>424</v>
      </c>
      <c r="K6" s="1910" t="s">
        <v>425</v>
      </c>
      <c r="L6" s="2477"/>
      <c r="M6" s="560"/>
      <c r="N6" s="2472"/>
      <c r="O6" s="2469"/>
      <c r="P6" s="702">
        <f>Assets!K50</f>
        <v>0.52631578947368418</v>
      </c>
      <c r="Q6" s="703">
        <f>Assets!K51</f>
        <v>0.47368421052631576</v>
      </c>
      <c r="R6" s="571"/>
      <c r="S6" s="2472"/>
      <c r="T6" s="2469"/>
      <c r="U6" s="2469"/>
      <c r="V6" s="2469"/>
      <c r="W6" s="1915"/>
      <c r="X6" s="2480"/>
      <c r="Y6" s="2480"/>
      <c r="Z6" s="2480"/>
      <c r="AA6" s="1916"/>
      <c r="AB6" s="1916"/>
      <c r="AC6" s="2469"/>
      <c r="AD6" s="2477"/>
    </row>
    <row r="7" spans="1:30" ht="18" customHeight="1">
      <c r="A7" s="569"/>
      <c r="B7" s="427"/>
      <c r="C7" s="427"/>
      <c r="D7" s="427"/>
      <c r="E7" s="427"/>
      <c r="F7" s="1886">
        <f>RMDTable!D7</f>
        <v>70</v>
      </c>
      <c r="G7" s="1886">
        <f>RMDTable!E7</f>
        <v>29.1</v>
      </c>
      <c r="H7" s="1887">
        <f>RMDTable!F7</f>
        <v>3.44E-2</v>
      </c>
      <c r="I7" s="583"/>
      <c r="J7" s="1898">
        <f>Retire!H9</f>
        <v>66</v>
      </c>
      <c r="K7" s="585">
        <f>Retire!I9</f>
        <v>64</v>
      </c>
      <c r="L7" s="1904">
        <f>Retire!G9</f>
        <v>2034</v>
      </c>
      <c r="M7" s="584"/>
      <c r="N7" s="1892">
        <f ca="1">Retire!BF9</f>
        <v>954679.96251075156</v>
      </c>
      <c r="O7" s="1510">
        <f ca="1">Retire!BG9</f>
        <v>0.86021759083596083</v>
      </c>
      <c r="P7" s="591">
        <f ca="1">ROUND(N7*$P$6,0)</f>
        <v>502463</v>
      </c>
      <c r="Q7" s="591">
        <f t="shared" ref="Q7:Q46" ca="1" si="0">N7-P7</f>
        <v>452216.96251075156</v>
      </c>
      <c r="R7" s="583"/>
      <c r="S7" s="1895">
        <f t="shared" ref="S7:S46" ca="1" si="1">IF(N7&gt;0,IF(J7&gt;=$D$5, P7 / LOOKUP(J7,$F$7:$F$52,$G$7:$G$52),0),0)</f>
        <v>0</v>
      </c>
      <c r="T7" s="597">
        <f t="shared" ref="T7:T46" ca="1" si="2">IF(N7&gt;0,IF(K7&gt;=$D$6, Q7 /LOOKUP(K7,$F$7:$F$52,$G$7:$G$52),0),0)</f>
        <v>0</v>
      </c>
      <c r="U7" s="597">
        <f ca="1">ROUND(S7+T7,0)</f>
        <v>0</v>
      </c>
      <c r="V7" s="593">
        <f ca="1">IF(U7 &gt; 0, IF(U7&lt;=X7,0,U7-X7), 0)</f>
        <v>0</v>
      </c>
      <c r="W7" s="593"/>
      <c r="X7" s="597">
        <f>Retire!U9</f>
        <v>18777.11</v>
      </c>
      <c r="Y7" s="597">
        <f ca="1">V7/12</f>
        <v>0</v>
      </c>
      <c r="Z7" s="594">
        <f ca="1">IF(X7&gt;U7,0,X7-U7)</f>
        <v>0</v>
      </c>
      <c r="AC7" s="1895">
        <f>Retire!AO9</f>
        <v>0</v>
      </c>
      <c r="AD7" s="1895">
        <f>Retire!AZ9</f>
        <v>0</v>
      </c>
    </row>
    <row r="8" spans="1:30" ht="18" customHeight="1">
      <c r="A8" s="569"/>
      <c r="B8" s="427"/>
      <c r="C8" s="427"/>
      <c r="D8" s="427"/>
      <c r="E8" s="427"/>
      <c r="F8" s="1886">
        <f>RMDTable!D8</f>
        <v>71</v>
      </c>
      <c r="G8" s="1886">
        <f>RMDTable!E8</f>
        <v>28.2</v>
      </c>
      <c r="H8" s="1887">
        <f>RMDTable!F8</f>
        <v>3.5499999999999997E-2</v>
      </c>
      <c r="I8" s="586"/>
      <c r="J8" s="1899">
        <f>Retire!H10</f>
        <v>67</v>
      </c>
      <c r="K8" s="587">
        <f>Retire!I10</f>
        <v>65</v>
      </c>
      <c r="L8" s="1905">
        <f>Retire!G10</f>
        <v>2035</v>
      </c>
      <c r="M8" s="584"/>
      <c r="N8" s="1893">
        <f ca="1">Retire!BF10</f>
        <v>974090.05101118167</v>
      </c>
      <c r="O8" s="1511">
        <f ca="1">Retire!BG10</f>
        <v>0.85790594211067972</v>
      </c>
      <c r="P8" s="590">
        <f t="shared" ref="P8:P46" ca="1" si="3">ROUND(N8*$P$6,0)</f>
        <v>512679</v>
      </c>
      <c r="Q8" s="590">
        <f t="shared" ca="1" si="0"/>
        <v>461411.05101118167</v>
      </c>
      <c r="R8" s="511"/>
      <c r="S8" s="1896">
        <f t="shared" ca="1" si="1"/>
        <v>0</v>
      </c>
      <c r="T8" s="598">
        <f t="shared" ca="1" si="2"/>
        <v>0</v>
      </c>
      <c r="U8" s="598">
        <f t="shared" ref="U8:U46" ca="1" si="4">ROUND(S8+T8,0)</f>
        <v>0</v>
      </c>
      <c r="V8" s="595">
        <f t="shared" ref="V8:V46" ca="1" si="5">IF(U8 &gt; 0, IF(U8&lt;=X8,0,U8-X8), 0)</f>
        <v>0</v>
      </c>
      <c r="W8" s="593"/>
      <c r="X8" s="598">
        <f>Retire!U10</f>
        <v>25532.17</v>
      </c>
      <c r="Y8" s="598">
        <f t="shared" ref="Y8:Y46" ca="1" si="6">V8/12</f>
        <v>0</v>
      </c>
      <c r="Z8" s="594">
        <f t="shared" ref="Z8:Z46" ca="1" si="7">IF(X8&gt;U8,0,X8-U8)</f>
        <v>0</v>
      </c>
      <c r="AC8" s="1896">
        <f>Retire!AO10</f>
        <v>0</v>
      </c>
      <c r="AD8" s="1896">
        <f>Retire!AZ10</f>
        <v>0</v>
      </c>
    </row>
    <row r="9" spans="1:30" ht="18" customHeight="1">
      <c r="A9" s="2248"/>
      <c r="B9" s="427"/>
      <c r="C9" s="427"/>
      <c r="D9" s="427"/>
      <c r="E9" s="427"/>
      <c r="F9" s="1886">
        <f>RMDTable!D9</f>
        <v>72</v>
      </c>
      <c r="G9" s="1886">
        <f>RMDTable!E9</f>
        <v>27.4</v>
      </c>
      <c r="H9" s="1887">
        <f>RMDTable!F9</f>
        <v>3.6499999999999998E-2</v>
      </c>
      <c r="I9" s="586"/>
      <c r="J9" s="1898">
        <f>Retire!H11</f>
        <v>68</v>
      </c>
      <c r="K9" s="585">
        <f>Retire!I11</f>
        <v>66</v>
      </c>
      <c r="L9" s="1904">
        <f>Retire!G11</f>
        <v>2036</v>
      </c>
      <c r="M9" s="584"/>
      <c r="N9" s="1892">
        <f ca="1">Retire!BF11</f>
        <v>987521.48305162892</v>
      </c>
      <c r="O9" s="1510">
        <f ca="1">Retire!BG11</f>
        <v>0.85476569246898604</v>
      </c>
      <c r="P9" s="591">
        <f t="shared" ca="1" si="3"/>
        <v>519748</v>
      </c>
      <c r="Q9" s="591">
        <f t="shared" ca="1" si="0"/>
        <v>467773.48305162892</v>
      </c>
      <c r="R9" s="511"/>
      <c r="S9" s="1895">
        <f t="shared" ca="1" si="1"/>
        <v>0</v>
      </c>
      <c r="T9" s="597">
        <f t="shared" ca="1" si="2"/>
        <v>0</v>
      </c>
      <c r="U9" s="597">
        <f t="shared" ca="1" si="4"/>
        <v>0</v>
      </c>
      <c r="V9" s="593">
        <f t="shared" ca="1" si="5"/>
        <v>0</v>
      </c>
      <c r="W9" s="593"/>
      <c r="X9" s="597">
        <f>Retire!U11</f>
        <v>92370</v>
      </c>
      <c r="Y9" s="597">
        <f t="shared" ca="1" si="6"/>
        <v>0</v>
      </c>
      <c r="Z9" s="594">
        <f t="shared" ca="1" si="7"/>
        <v>0</v>
      </c>
      <c r="AC9" s="1895">
        <f>Retire!AO11</f>
        <v>0</v>
      </c>
      <c r="AD9" s="1895">
        <f>Retire!AZ11</f>
        <v>0</v>
      </c>
    </row>
    <row r="10" spans="1:30" ht="18" customHeight="1">
      <c r="A10" s="2248"/>
      <c r="B10" s="427"/>
      <c r="C10" s="427"/>
      <c r="D10" s="427"/>
      <c r="E10" s="427"/>
      <c r="F10" s="1886">
        <f>RMDTable!D10</f>
        <v>73</v>
      </c>
      <c r="G10" s="1886">
        <f>RMDTable!E10</f>
        <v>26.5</v>
      </c>
      <c r="H10" s="1887">
        <f>RMDTable!F10</f>
        <v>3.78E-2</v>
      </c>
      <c r="I10" s="586"/>
      <c r="J10" s="1899">
        <f>Retire!H12</f>
        <v>69</v>
      </c>
      <c r="K10" s="587">
        <f>Retire!I12</f>
        <v>67</v>
      </c>
      <c r="L10" s="1905">
        <f>Retire!G16</f>
        <v>2041</v>
      </c>
      <c r="M10" s="584"/>
      <c r="N10" s="1893">
        <f ca="1">Retire!BF12</f>
        <v>934652.34237369406</v>
      </c>
      <c r="O10" s="1511">
        <f ca="1">Retire!BG12</f>
        <v>0.84267063535310716</v>
      </c>
      <c r="P10" s="590">
        <f t="shared" ca="1" si="3"/>
        <v>491922</v>
      </c>
      <c r="Q10" s="590">
        <f t="shared" ca="1" si="0"/>
        <v>442730.34237369406</v>
      </c>
      <c r="R10" s="511"/>
      <c r="S10" s="1896">
        <f t="shared" ca="1" si="1"/>
        <v>0</v>
      </c>
      <c r="T10" s="598">
        <f t="shared" ca="1" si="2"/>
        <v>0</v>
      </c>
      <c r="U10" s="598">
        <f t="shared" ca="1" si="4"/>
        <v>0</v>
      </c>
      <c r="V10" s="595">
        <f t="shared" ca="1" si="5"/>
        <v>0</v>
      </c>
      <c r="W10" s="593"/>
      <c r="X10" s="598">
        <f>Retire!U12</f>
        <v>96588</v>
      </c>
      <c r="Y10" s="598">
        <f t="shared" ca="1" si="6"/>
        <v>0</v>
      </c>
      <c r="Z10" s="594">
        <f t="shared" ca="1" si="7"/>
        <v>0</v>
      </c>
      <c r="AC10" s="1896">
        <f>Retire!AO12</f>
        <v>0</v>
      </c>
      <c r="AD10" s="1896">
        <f>Retire!AZ12</f>
        <v>0</v>
      </c>
    </row>
    <row r="11" spans="1:30" ht="18" customHeight="1">
      <c r="B11" s="427"/>
      <c r="C11" s="574"/>
      <c r="D11" s="570"/>
      <c r="E11" s="570"/>
      <c r="F11" s="1886">
        <f>RMDTable!D11</f>
        <v>74</v>
      </c>
      <c r="G11" s="1886">
        <f>RMDTable!E11</f>
        <v>25.5</v>
      </c>
      <c r="H11" s="1887">
        <f>RMDTable!F11</f>
        <v>3.9300000000000002E-2</v>
      </c>
      <c r="I11" s="586"/>
      <c r="J11" s="1898">
        <f>Retire!H13</f>
        <v>70</v>
      </c>
      <c r="K11" s="585">
        <f>Retire!I13</f>
        <v>68</v>
      </c>
      <c r="L11" s="1904">
        <f>Retire!G13</f>
        <v>2038</v>
      </c>
      <c r="M11" s="584"/>
      <c r="N11" s="1892">
        <f ca="1">Retire!BF13</f>
        <v>875450.43606864184</v>
      </c>
      <c r="O11" s="1510">
        <f ca="1">Retire!BG13</f>
        <v>0.82829306751608689</v>
      </c>
      <c r="P11" s="591">
        <f t="shared" ca="1" si="3"/>
        <v>460763</v>
      </c>
      <c r="Q11" s="591">
        <f t="shared" ca="1" si="0"/>
        <v>414687.43606864184</v>
      </c>
      <c r="R11" s="511"/>
      <c r="S11" s="1895">
        <f t="shared" ca="1" si="1"/>
        <v>0</v>
      </c>
      <c r="T11" s="597">
        <f t="shared" ca="1" si="2"/>
        <v>0</v>
      </c>
      <c r="U11" s="597">
        <f t="shared" ca="1" si="4"/>
        <v>0</v>
      </c>
      <c r="V11" s="593">
        <f t="shared" ca="1" si="5"/>
        <v>0</v>
      </c>
      <c r="W11" s="593"/>
      <c r="X11" s="597">
        <f>Retire!U13</f>
        <v>100608</v>
      </c>
      <c r="Y11" s="597">
        <f t="shared" ca="1" si="6"/>
        <v>0</v>
      </c>
      <c r="Z11" s="594">
        <f t="shared" ca="1" si="7"/>
        <v>0</v>
      </c>
      <c r="AC11" s="1895">
        <f>Retire!AO13</f>
        <v>0</v>
      </c>
      <c r="AD11" s="1895">
        <f>Retire!AZ13</f>
        <v>0</v>
      </c>
    </row>
    <row r="12" spans="1:30" ht="18" customHeight="1">
      <c r="B12" s="573"/>
      <c r="C12" s="574"/>
      <c r="D12" s="575"/>
      <c r="E12" s="576"/>
      <c r="F12" s="1886">
        <f>RMDTable!D12</f>
        <v>75</v>
      </c>
      <c r="G12" s="1886">
        <f>RMDTable!E12</f>
        <v>24.6</v>
      </c>
      <c r="H12" s="1887">
        <f>RMDTable!F12</f>
        <v>4.07E-2</v>
      </c>
      <c r="I12" s="586"/>
      <c r="J12" s="1899">
        <f>Retire!H14</f>
        <v>71</v>
      </c>
      <c r="K12" s="587">
        <f>Retire!I14</f>
        <v>69</v>
      </c>
      <c r="L12" s="1905">
        <f>Retire!G14</f>
        <v>2039</v>
      </c>
      <c r="M12" s="584"/>
      <c r="N12" s="1893">
        <f ca="1">Retire!BF14</f>
        <v>809860.45351138746</v>
      </c>
      <c r="O12" s="1511">
        <f ca="1">Retire!BG14</f>
        <v>0.81099380107502028</v>
      </c>
      <c r="P12" s="590">
        <f t="shared" ca="1" si="3"/>
        <v>426242</v>
      </c>
      <c r="Q12" s="590">
        <f t="shared" ca="1" si="0"/>
        <v>383618.45351138746</v>
      </c>
      <c r="R12" s="511"/>
      <c r="S12" s="1896">
        <f t="shared" ca="1" si="1"/>
        <v>0</v>
      </c>
      <c r="T12" s="598">
        <f t="shared" ca="1" si="2"/>
        <v>0</v>
      </c>
      <c r="U12" s="598">
        <f t="shared" ca="1" si="4"/>
        <v>0</v>
      </c>
      <c r="V12" s="595">
        <f t="shared" ca="1" si="5"/>
        <v>0</v>
      </c>
      <c r="W12" s="593"/>
      <c r="X12" s="598">
        <f>Retire!U14</f>
        <v>104316</v>
      </c>
      <c r="Y12" s="598">
        <f t="shared" ca="1" si="6"/>
        <v>0</v>
      </c>
      <c r="Z12" s="594">
        <f t="shared" ca="1" si="7"/>
        <v>0</v>
      </c>
      <c r="AC12" s="1896">
        <f>Retire!AO14</f>
        <v>0</v>
      </c>
      <c r="AD12" s="1896">
        <f>Retire!AZ14</f>
        <v>0</v>
      </c>
    </row>
    <row r="13" spans="1:30" ht="18" customHeight="1">
      <c r="B13" s="573"/>
      <c r="C13" s="574"/>
      <c r="E13" s="576"/>
      <c r="F13" s="1886">
        <f>RMDTable!D13</f>
        <v>76</v>
      </c>
      <c r="G13" s="1886">
        <f>RMDTable!E13</f>
        <v>23.7</v>
      </c>
      <c r="H13" s="1887">
        <f>RMDTable!F13</f>
        <v>4.2200000000000001E-2</v>
      </c>
      <c r="I13" s="586"/>
      <c r="J13" s="1898">
        <f>Retire!H15</f>
        <v>72</v>
      </c>
      <c r="K13" s="585">
        <f>Retire!I15</f>
        <v>70</v>
      </c>
      <c r="L13" s="1904">
        <f>Retire!G15</f>
        <v>2040</v>
      </c>
      <c r="M13" s="584"/>
      <c r="N13" s="1892">
        <f ca="1">Retire!BF15</f>
        <v>737938.87165184296</v>
      </c>
      <c r="O13" s="1510">
        <f ca="1">Retire!BG15</f>
        <v>0.78988940757020565</v>
      </c>
      <c r="P13" s="591">
        <f t="shared" ca="1" si="3"/>
        <v>388389</v>
      </c>
      <c r="Q13" s="591">
        <f t="shared" ca="1" si="0"/>
        <v>349549.87165184296</v>
      </c>
      <c r="R13" s="511"/>
      <c r="S13" s="1895">
        <f t="shared" ca="1" si="1"/>
        <v>14174.78102189781</v>
      </c>
      <c r="T13" s="597">
        <f t="shared" ca="1" si="2"/>
        <v>0</v>
      </c>
      <c r="U13" s="597">
        <f t="shared" ca="1" si="4"/>
        <v>14175</v>
      </c>
      <c r="V13" s="593">
        <f t="shared" ca="1" si="5"/>
        <v>0</v>
      </c>
      <c r="W13" s="593"/>
      <c r="X13" s="597">
        <f>Retire!U15</f>
        <v>107592</v>
      </c>
      <c r="Y13" s="597">
        <f t="shared" ca="1" si="6"/>
        <v>0</v>
      </c>
      <c r="Z13" s="594">
        <f t="shared" ca="1" si="7"/>
        <v>0</v>
      </c>
      <c r="AC13" s="1895">
        <f>Retire!AO15</f>
        <v>0</v>
      </c>
      <c r="AD13" s="1895">
        <f>Retire!AZ15</f>
        <v>0</v>
      </c>
    </row>
    <row r="14" spans="1:30" ht="18" customHeight="1">
      <c r="B14" s="573"/>
      <c r="C14" s="574"/>
      <c r="D14" s="573"/>
      <c r="E14" s="573"/>
      <c r="F14" s="1886">
        <f>RMDTable!D14</f>
        <v>77</v>
      </c>
      <c r="G14" s="1886">
        <f>RMDTable!E14</f>
        <v>22.9</v>
      </c>
      <c r="H14" s="1887">
        <f>RMDTable!F14</f>
        <v>4.3700000000000003E-2</v>
      </c>
      <c r="I14" s="586"/>
      <c r="J14" s="1899">
        <f>Retire!H16</f>
        <v>73</v>
      </c>
      <c r="K14" s="587">
        <f>Retire!I16</f>
        <v>71</v>
      </c>
      <c r="L14" s="1905">
        <f>Retire!G16</f>
        <v>2041</v>
      </c>
      <c r="M14" s="584"/>
      <c r="N14" s="1893">
        <f ca="1">Retire!BF16</f>
        <v>659864.42651791673</v>
      </c>
      <c r="O14" s="1511">
        <f ca="1">Retire!BG16</f>
        <v>0.76372503999747399</v>
      </c>
      <c r="P14" s="590">
        <f t="shared" ca="1" si="3"/>
        <v>347297</v>
      </c>
      <c r="Q14" s="590">
        <f t="shared" ca="1" si="0"/>
        <v>312567.42651791673</v>
      </c>
      <c r="R14" s="511"/>
      <c r="S14" s="1896">
        <f t="shared" ca="1" si="1"/>
        <v>13105.547169811322</v>
      </c>
      <c r="T14" s="598">
        <f t="shared" ca="1" si="2"/>
        <v>0</v>
      </c>
      <c r="U14" s="598">
        <f t="shared" ca="1" si="4"/>
        <v>13106</v>
      </c>
      <c r="V14" s="595">
        <f t="shared" ca="1" si="5"/>
        <v>0</v>
      </c>
      <c r="W14" s="593"/>
      <c r="X14" s="598">
        <f>Retire!U16</f>
        <v>110274</v>
      </c>
      <c r="Y14" s="598">
        <f t="shared" ca="1" si="6"/>
        <v>0</v>
      </c>
      <c r="Z14" s="594">
        <f t="shared" ca="1" si="7"/>
        <v>0</v>
      </c>
      <c r="AC14" s="1896">
        <f>Retire!AO16</f>
        <v>0</v>
      </c>
      <c r="AD14" s="1896">
        <f>Retire!AZ16</f>
        <v>0</v>
      </c>
    </row>
    <row r="15" spans="1:30" ht="18" customHeight="1">
      <c r="B15" s="574"/>
      <c r="C15" s="574"/>
      <c r="D15" s="570"/>
      <c r="E15" s="570"/>
      <c r="F15" s="1886">
        <f>RMDTable!D15</f>
        <v>78</v>
      </c>
      <c r="G15" s="1886">
        <f>RMDTable!E15</f>
        <v>22</v>
      </c>
      <c r="H15" s="1887">
        <f>RMDTable!F15</f>
        <v>4.5499999999999999E-2</v>
      </c>
      <c r="I15" s="586"/>
      <c r="J15" s="1898">
        <f>Retire!H17</f>
        <v>74</v>
      </c>
      <c r="K15" s="585">
        <f>Retire!I17</f>
        <v>72</v>
      </c>
      <c r="L15" s="1904">
        <f>Retire!G17</f>
        <v>2042</v>
      </c>
      <c r="M15" s="584"/>
      <c r="N15" s="1892">
        <f ca="1">Retire!BF17</f>
        <v>575985.00357863342</v>
      </c>
      <c r="O15" s="1510">
        <f ca="1">Retire!BG17</f>
        <v>0.73067267670861702</v>
      </c>
      <c r="P15" s="591">
        <f t="shared" ca="1" si="3"/>
        <v>303150</v>
      </c>
      <c r="Q15" s="591">
        <f t="shared" ca="1" si="0"/>
        <v>272835.00357863342</v>
      </c>
      <c r="R15" s="511"/>
      <c r="S15" s="1895">
        <f t="shared" ca="1" si="1"/>
        <v>11888.235294117647</v>
      </c>
      <c r="T15" s="597">
        <f t="shared" ca="1" si="2"/>
        <v>9957.4818824318772</v>
      </c>
      <c r="U15" s="597">
        <f t="shared" ca="1" si="4"/>
        <v>21846</v>
      </c>
      <c r="V15" s="593">
        <f t="shared" ca="1" si="5"/>
        <v>0</v>
      </c>
      <c r="W15" s="593"/>
      <c r="X15" s="597">
        <f>Retire!U17</f>
        <v>112182</v>
      </c>
      <c r="Y15" s="597">
        <f t="shared" ca="1" si="6"/>
        <v>0</v>
      </c>
      <c r="Z15" s="594">
        <f t="shared" ca="1" si="7"/>
        <v>0</v>
      </c>
      <c r="AC15" s="1895">
        <f>Retire!AO17</f>
        <v>0</v>
      </c>
      <c r="AD15" s="1895">
        <f>Retire!AZ17</f>
        <v>0</v>
      </c>
    </row>
    <row r="16" spans="1:30" ht="18" customHeight="1">
      <c r="B16" s="574"/>
      <c r="C16" s="574"/>
      <c r="D16" s="570"/>
      <c r="E16" s="570"/>
      <c r="F16" s="1886">
        <f>RMDTable!D16</f>
        <v>79</v>
      </c>
      <c r="G16" s="1886">
        <f>RMDTable!E16</f>
        <v>21.1</v>
      </c>
      <c r="H16" s="1887">
        <f>RMDTable!F16</f>
        <v>4.7399999999999998E-2</v>
      </c>
      <c r="I16" s="586"/>
      <c r="J16" s="1899">
        <f>Retire!H18</f>
        <v>75</v>
      </c>
      <c r="K16" s="587">
        <f>Retire!I18</f>
        <v>73</v>
      </c>
      <c r="L16" s="1905">
        <f>Retire!G18</f>
        <v>2043</v>
      </c>
      <c r="M16" s="584"/>
      <c r="N16" s="1893">
        <f ca="1">Retire!BF18</f>
        <v>486842.40372177877</v>
      </c>
      <c r="O16" s="1511">
        <f ca="1">Retire!BG18</f>
        <v>0.68797651741847166</v>
      </c>
      <c r="P16" s="590">
        <f t="shared" ca="1" si="3"/>
        <v>256233</v>
      </c>
      <c r="Q16" s="590">
        <f t="shared" ca="1" si="0"/>
        <v>230609.40372177877</v>
      </c>
      <c r="R16" s="511"/>
      <c r="S16" s="1896">
        <f t="shared" ca="1" si="1"/>
        <v>10415.975609756097</v>
      </c>
      <c r="T16" s="598">
        <f t="shared" ca="1" si="2"/>
        <v>8702.2416498784442</v>
      </c>
      <c r="U16" s="598">
        <f t="shared" ca="1" si="4"/>
        <v>19118</v>
      </c>
      <c r="V16" s="595">
        <f t="shared" ca="1" si="5"/>
        <v>0</v>
      </c>
      <c r="W16" s="593"/>
      <c r="X16" s="598">
        <f>Retire!U18</f>
        <v>113004</v>
      </c>
      <c r="Y16" s="598">
        <f t="shared" ca="1" si="6"/>
        <v>0</v>
      </c>
      <c r="Z16" s="594">
        <f t="shared" ca="1" si="7"/>
        <v>0</v>
      </c>
      <c r="AC16" s="1896">
        <f>Retire!AO18</f>
        <v>0</v>
      </c>
      <c r="AD16" s="1896">
        <f>Retire!AZ18</f>
        <v>0</v>
      </c>
    </row>
    <row r="17" spans="2:30" ht="18" customHeight="1">
      <c r="B17" s="574"/>
      <c r="C17" s="574"/>
      <c r="D17" s="575"/>
      <c r="E17" s="577"/>
      <c r="F17" s="1886">
        <f>RMDTable!D17</f>
        <v>80</v>
      </c>
      <c r="G17" s="1886">
        <f>RMDTable!E17</f>
        <v>20.2</v>
      </c>
      <c r="H17" s="1887">
        <f>RMDTable!F17</f>
        <v>4.9599999999999998E-2</v>
      </c>
      <c r="I17" s="586"/>
      <c r="J17" s="1898">
        <f>Retire!H19</f>
        <v>76</v>
      </c>
      <c r="K17" s="585">
        <f>Retire!I19</f>
        <v>74</v>
      </c>
      <c r="L17" s="1904">
        <f>Retire!G19</f>
        <v>2044</v>
      </c>
      <c r="M17" s="584"/>
      <c r="N17" s="1892">
        <f ca="1">Retire!BF19</f>
        <v>393312.09987064992</v>
      </c>
      <c r="O17" s="1510">
        <f ca="1">Retire!BG19</f>
        <v>0.63137462966044078</v>
      </c>
      <c r="P17" s="591">
        <f t="shared" ca="1" si="3"/>
        <v>207006</v>
      </c>
      <c r="Q17" s="591">
        <f t="shared" ca="1" si="0"/>
        <v>186306.09987064992</v>
      </c>
      <c r="R17" s="511"/>
      <c r="S17" s="1895">
        <f t="shared" ca="1" si="1"/>
        <v>8734.4303797468365</v>
      </c>
      <c r="T17" s="597">
        <f t="shared" ca="1" si="2"/>
        <v>7306.1215635548988</v>
      </c>
      <c r="U17" s="597">
        <f t="shared" ca="1" si="4"/>
        <v>16041</v>
      </c>
      <c r="V17" s="593">
        <f t="shared" ca="1" si="5"/>
        <v>0</v>
      </c>
      <c r="W17" s="593"/>
      <c r="X17" s="597">
        <f>Retire!U19</f>
        <v>112410</v>
      </c>
      <c r="Y17" s="597">
        <f t="shared" ca="1" si="6"/>
        <v>0</v>
      </c>
      <c r="Z17" s="594">
        <f t="shared" ca="1" si="7"/>
        <v>0</v>
      </c>
      <c r="AC17" s="1895">
        <f>Retire!AO19</f>
        <v>0</v>
      </c>
      <c r="AD17" s="1895">
        <f>Retire!AZ19</f>
        <v>0</v>
      </c>
    </row>
    <row r="18" spans="2:30" ht="18" customHeight="1">
      <c r="B18" s="574"/>
      <c r="C18" s="574"/>
      <c r="F18" s="1886">
        <f>RMDTable!D18</f>
        <v>81</v>
      </c>
      <c r="G18" s="1886">
        <f>RMDTable!E18</f>
        <v>19.399999999999999</v>
      </c>
      <c r="H18" s="1887">
        <f>RMDTable!F18</f>
        <v>5.16E-2</v>
      </c>
      <c r="I18" s="586"/>
      <c r="J18" s="1899">
        <f>Retire!H20</f>
        <v>77</v>
      </c>
      <c r="K18" s="587">
        <f>Retire!I20</f>
        <v>75</v>
      </c>
      <c r="L18" s="1905">
        <f>Retire!G20</f>
        <v>2045</v>
      </c>
      <c r="M18" s="584"/>
      <c r="N18" s="1893">
        <f ca="1">Retire!BF20</f>
        <v>296634.5838654759</v>
      </c>
      <c r="O18" s="1511">
        <f ca="1">Retire!BG20</f>
        <v>0.55398756040919817</v>
      </c>
      <c r="P18" s="590">
        <f t="shared" ca="1" si="3"/>
        <v>156123</v>
      </c>
      <c r="Q18" s="590">
        <f t="shared" ca="1" si="0"/>
        <v>140511.5838654759</v>
      </c>
      <c r="R18" s="511"/>
      <c r="S18" s="1896">
        <f t="shared" ca="1" si="1"/>
        <v>6817.5982532751095</v>
      </c>
      <c r="T18" s="598">
        <f t="shared" ca="1" si="2"/>
        <v>5711.8530026616218</v>
      </c>
      <c r="U18" s="598">
        <f t="shared" ca="1" si="4"/>
        <v>12529</v>
      </c>
      <c r="V18" s="595">
        <f t="shared" ca="1" si="5"/>
        <v>0</v>
      </c>
      <c r="W18" s="593"/>
      <c r="X18" s="598">
        <f>Retire!U20</f>
        <v>109962</v>
      </c>
      <c r="Y18" s="598">
        <f t="shared" ca="1" si="6"/>
        <v>0</v>
      </c>
      <c r="Z18" s="594">
        <f t="shared" ca="1" si="7"/>
        <v>0</v>
      </c>
      <c r="AC18" s="1896">
        <f>Retire!AO20</f>
        <v>0</v>
      </c>
      <c r="AD18" s="1896">
        <f>Retire!AZ20</f>
        <v>0</v>
      </c>
    </row>
    <row r="19" spans="2:30" ht="18" customHeight="1">
      <c r="B19" s="574"/>
      <c r="C19" s="574"/>
      <c r="F19" s="1886">
        <f>RMDTable!D19</f>
        <v>82</v>
      </c>
      <c r="G19" s="1886">
        <f>RMDTable!E19</f>
        <v>18.5</v>
      </c>
      <c r="H19" s="1887">
        <f>RMDTable!F19</f>
        <v>5.4100000000000002E-2</v>
      </c>
      <c r="I19" s="586"/>
      <c r="J19" s="1898">
        <f>Retire!H21</f>
        <v>78</v>
      </c>
      <c r="K19" s="585">
        <f>Retire!I21</f>
        <v>76</v>
      </c>
      <c r="L19" s="1904">
        <f>Retire!G21</f>
        <v>2046</v>
      </c>
      <c r="M19" s="584"/>
      <c r="N19" s="1892">
        <f ca="1">Retire!BF21</f>
        <v>198537.96722009493</v>
      </c>
      <c r="O19" s="1510">
        <f ca="1">Retire!BG21</f>
        <v>0.44424631895717365</v>
      </c>
      <c r="P19" s="591">
        <f t="shared" ca="1" si="3"/>
        <v>104494</v>
      </c>
      <c r="Q19" s="591">
        <f t="shared" ca="1" si="0"/>
        <v>94043.967220094928</v>
      </c>
      <c r="R19" s="511"/>
      <c r="S19" s="1895">
        <f t="shared" ca="1" si="1"/>
        <v>4749.727272727273</v>
      </c>
      <c r="T19" s="597">
        <f t="shared" ca="1" si="2"/>
        <v>3968.0998827044273</v>
      </c>
      <c r="U19" s="597">
        <f t="shared" ca="1" si="4"/>
        <v>8718</v>
      </c>
      <c r="V19" s="593">
        <f t="shared" ca="1" si="5"/>
        <v>0</v>
      </c>
      <c r="W19" s="593"/>
      <c r="X19" s="597">
        <f>Retire!U21</f>
        <v>105132</v>
      </c>
      <c r="Y19" s="597">
        <f t="shared" ca="1" si="6"/>
        <v>0</v>
      </c>
      <c r="Z19" s="594">
        <f t="shared" ca="1" si="7"/>
        <v>0</v>
      </c>
      <c r="AC19" s="1895">
        <f>Retire!AO21</f>
        <v>0</v>
      </c>
      <c r="AD19" s="1895">
        <f>Retire!AZ21</f>
        <v>0</v>
      </c>
    </row>
    <row r="20" spans="2:30" ht="19" customHeight="1">
      <c r="B20" s="574"/>
      <c r="C20" s="574"/>
      <c r="D20" s="569"/>
      <c r="E20" s="569"/>
      <c r="F20" s="1886">
        <f>RMDTable!D20</f>
        <v>83</v>
      </c>
      <c r="G20" s="1886">
        <f>RMDTable!E20</f>
        <v>17.7</v>
      </c>
      <c r="H20" s="1887">
        <f>RMDTable!F20</f>
        <v>5.6500000000000002E-2</v>
      </c>
      <c r="I20" s="586"/>
      <c r="J20" s="1899">
        <f>Retire!H22</f>
        <v>79</v>
      </c>
      <c r="K20" s="587">
        <f>Retire!I22</f>
        <v>77</v>
      </c>
      <c r="L20" s="1905">
        <f>Retire!G22</f>
        <v>2047</v>
      </c>
      <c r="M20" s="584"/>
      <c r="N20" s="1893">
        <f ca="1">Retire!BF22</f>
        <v>101347.48590889873</v>
      </c>
      <c r="O20" s="1511">
        <f ca="1">Retire!BG22</f>
        <v>0.28179159849670127</v>
      </c>
      <c r="P20" s="590">
        <f t="shared" ca="1" si="3"/>
        <v>53341</v>
      </c>
      <c r="Q20" s="590">
        <f t="shared" ca="1" si="0"/>
        <v>48006.485908898729</v>
      </c>
      <c r="R20" s="511"/>
      <c r="S20" s="1896">
        <f t="shared" ca="1" si="1"/>
        <v>2528.0094786729856</v>
      </c>
      <c r="T20" s="598">
        <f t="shared" ca="1" si="2"/>
        <v>2096.3530964584597</v>
      </c>
      <c r="U20" s="598">
        <f t="shared" ca="1" si="4"/>
        <v>4624</v>
      </c>
      <c r="V20" s="595">
        <f t="shared" ca="1" si="5"/>
        <v>0</v>
      </c>
      <c r="W20" s="593"/>
      <c r="X20" s="598">
        <f>Retire!U22</f>
        <v>97404</v>
      </c>
      <c r="Y20" s="598">
        <f t="shared" ca="1" si="6"/>
        <v>0</v>
      </c>
      <c r="Z20" s="594">
        <f t="shared" ca="1" si="7"/>
        <v>0</v>
      </c>
      <c r="AC20" s="1896">
        <f>Retire!AO22</f>
        <v>0</v>
      </c>
      <c r="AD20" s="1896">
        <f>Retire!AZ22</f>
        <v>0</v>
      </c>
    </row>
    <row r="21" spans="2:30" ht="18" customHeight="1">
      <c r="B21" s="579"/>
      <c r="C21" s="579"/>
      <c r="D21" s="579"/>
      <c r="E21" s="579"/>
      <c r="F21" s="1886">
        <f>RMDTable!D21</f>
        <v>84</v>
      </c>
      <c r="G21" s="1886">
        <f>RMDTable!E21</f>
        <v>16.8</v>
      </c>
      <c r="H21" s="1887">
        <f>RMDTable!F21</f>
        <v>5.96E-2</v>
      </c>
      <c r="I21" s="586"/>
      <c r="J21" s="1898">
        <f>Retire!H23</f>
        <v>80</v>
      </c>
      <c r="K21" s="585">
        <f>Retire!I23</f>
        <v>78</v>
      </c>
      <c r="L21" s="1904">
        <f>Retire!G23</f>
        <v>2048</v>
      </c>
      <c r="M21" s="584"/>
      <c r="N21" s="1892">
        <f ca="1">Retire!BF23</f>
        <v>7997.3853452546755</v>
      </c>
      <c r="O21" s="1510">
        <f ca="1">Retire!BG23</f>
        <v>2.8909395798763046E-2</v>
      </c>
      <c r="P21" s="591">
        <f t="shared" ca="1" si="3"/>
        <v>4209</v>
      </c>
      <c r="Q21" s="591">
        <f t="shared" ca="1" si="0"/>
        <v>3788.3853452546755</v>
      </c>
      <c r="R21" s="511"/>
      <c r="S21" s="1895">
        <f t="shared" ca="1" si="1"/>
        <v>208.36633663366337</v>
      </c>
      <c r="T21" s="597">
        <f t="shared" ca="1" si="2"/>
        <v>172.19933387521252</v>
      </c>
      <c r="U21" s="597">
        <f t="shared" ca="1" si="4"/>
        <v>381</v>
      </c>
      <c r="V21" s="593">
        <f t="shared" ca="1" si="5"/>
        <v>0</v>
      </c>
      <c r="W21" s="593"/>
      <c r="X21" s="597">
        <f>Retire!U23</f>
        <v>86424</v>
      </c>
      <c r="Y21" s="597">
        <f t="shared" ca="1" si="6"/>
        <v>0</v>
      </c>
      <c r="Z21" s="594">
        <f t="shared" ca="1" si="7"/>
        <v>0</v>
      </c>
      <c r="AC21" s="1895">
        <f>Retire!AO23</f>
        <v>0</v>
      </c>
      <c r="AD21" s="1895">
        <f>Retire!AZ23</f>
        <v>0</v>
      </c>
    </row>
    <row r="22" spans="2:30" ht="18" customHeight="1">
      <c r="B22" s="579"/>
      <c r="C22" s="579"/>
      <c r="D22" s="579"/>
      <c r="E22" s="579"/>
      <c r="F22" s="1886">
        <f>RMDTable!D22</f>
        <v>85</v>
      </c>
      <c r="G22" s="1886">
        <f>RMDTable!E22</f>
        <v>16</v>
      </c>
      <c r="H22" s="1887">
        <f>RMDTable!F22</f>
        <v>6.25E-2</v>
      </c>
      <c r="I22" s="586"/>
      <c r="J22" s="1899">
        <f>Retire!H24</f>
        <v>81</v>
      </c>
      <c r="K22" s="587">
        <f>Retire!I24</f>
        <v>79</v>
      </c>
      <c r="L22" s="1905">
        <f>Retire!G24</f>
        <v>2049</v>
      </c>
      <c r="M22" s="584"/>
      <c r="N22" s="1893">
        <f ca="1">Retire!BF24</f>
        <v>319.89545906486273</v>
      </c>
      <c r="O22" s="1511">
        <f ca="1">Retire!BG24</f>
        <v>1.5893242880824889E-3</v>
      </c>
      <c r="P22" s="590">
        <f t="shared" ca="1" si="3"/>
        <v>168</v>
      </c>
      <c r="Q22" s="590">
        <f t="shared" ca="1" si="0"/>
        <v>151.89545906486273</v>
      </c>
      <c r="R22" s="511"/>
      <c r="S22" s="1896">
        <f t="shared" ca="1" si="1"/>
        <v>8.6597938144329909</v>
      </c>
      <c r="T22" s="598">
        <f t="shared" ca="1" si="2"/>
        <v>7.1988369225053424</v>
      </c>
      <c r="U22" s="598">
        <f t="shared" ca="1" si="4"/>
        <v>16</v>
      </c>
      <c r="V22" s="595">
        <f t="shared" ca="1" si="5"/>
        <v>0</v>
      </c>
      <c r="W22" s="593"/>
      <c r="X22" s="598">
        <f>Retire!U24</f>
        <v>89124</v>
      </c>
      <c r="Y22" s="598">
        <f t="shared" ca="1" si="6"/>
        <v>0</v>
      </c>
      <c r="Z22" s="594">
        <f t="shared" ca="1" si="7"/>
        <v>0</v>
      </c>
      <c r="AC22" s="1896">
        <f>Retire!AO24</f>
        <v>0</v>
      </c>
      <c r="AD22" s="1896">
        <f>Retire!AZ24</f>
        <v>0</v>
      </c>
    </row>
    <row r="23" spans="2:30" ht="18" customHeight="1">
      <c r="B23" s="579"/>
      <c r="C23" s="579"/>
      <c r="D23" s="579"/>
      <c r="E23" s="579"/>
      <c r="F23" s="1886">
        <f>RMDTable!D23</f>
        <v>86</v>
      </c>
      <c r="G23" s="1886">
        <f>RMDTable!E23</f>
        <v>15.2</v>
      </c>
      <c r="H23" s="1887">
        <f>RMDTable!F23</f>
        <v>6.5799999999999997E-2</v>
      </c>
      <c r="I23" s="586"/>
      <c r="J23" s="1898">
        <f>Retire!H25</f>
        <v>82</v>
      </c>
      <c r="K23" s="585">
        <f>Retire!I25</f>
        <v>80</v>
      </c>
      <c r="L23" s="1904">
        <f>Retire!G25</f>
        <v>2050</v>
      </c>
      <c r="M23" s="584"/>
      <c r="N23" s="1892">
        <f ca="1">Retire!BF25</f>
        <v>12.79577742745721</v>
      </c>
      <c r="O23" s="1510">
        <f ca="1">Retire!BG25</f>
        <v>1.547473960462693E-5</v>
      </c>
      <c r="P23" s="591">
        <f t="shared" ca="1" si="3"/>
        <v>7</v>
      </c>
      <c r="Q23" s="591">
        <f t="shared" ca="1" si="0"/>
        <v>5.7957774274572103</v>
      </c>
      <c r="R23" s="511"/>
      <c r="S23" s="1895">
        <f t="shared" ca="1" si="1"/>
        <v>0.3783783783783784</v>
      </c>
      <c r="T23" s="597">
        <f t="shared" ca="1" si="2"/>
        <v>0.28691967462659457</v>
      </c>
      <c r="U23" s="597">
        <f t="shared" ca="1" si="4"/>
        <v>1</v>
      </c>
      <c r="V23" s="593">
        <f t="shared" ca="1" si="5"/>
        <v>0</v>
      </c>
      <c r="W23" s="593"/>
      <c r="X23" s="597">
        <f>Retire!U25</f>
        <v>103008</v>
      </c>
      <c r="Y23" s="597">
        <f t="shared" ca="1" si="6"/>
        <v>0</v>
      </c>
      <c r="Z23" s="594">
        <f t="shared" ca="1" si="7"/>
        <v>0</v>
      </c>
      <c r="AC23" s="1895">
        <f>Retire!AO25</f>
        <v>0</v>
      </c>
      <c r="AD23" s="1895">
        <f>Retire!AZ25</f>
        <v>0</v>
      </c>
    </row>
    <row r="24" spans="2:30" ht="18" customHeight="1">
      <c r="B24" s="579"/>
      <c r="C24" s="579"/>
      <c r="D24" s="579"/>
      <c r="E24" s="579"/>
      <c r="F24" s="1886">
        <f>RMDTable!D24</f>
        <v>87</v>
      </c>
      <c r="G24" s="1886">
        <f>RMDTable!E24</f>
        <v>14.4</v>
      </c>
      <c r="H24" s="1887">
        <f>RMDTable!F24</f>
        <v>6.9500000000000006E-2</v>
      </c>
      <c r="I24" s="586"/>
      <c r="J24" s="1899">
        <f>Retire!H26</f>
        <v>83</v>
      </c>
      <c r="K24" s="587">
        <f>Retire!I26</f>
        <v>81</v>
      </c>
      <c r="L24" s="1905">
        <f>Retire!G26</f>
        <v>2051</v>
      </c>
      <c r="M24" s="584"/>
      <c r="N24" s="1893">
        <f ca="1">Retire!BF26</f>
        <v>0.51180852455549797</v>
      </c>
      <c r="O24" s="1511">
        <f ca="1">Retire!BG26</f>
        <v>6.7614676076840317E-7</v>
      </c>
      <c r="P24" s="590">
        <f t="shared" ca="1" si="3"/>
        <v>0</v>
      </c>
      <c r="Q24" s="590">
        <f t="shared" ca="1" si="0"/>
        <v>0.51180852455549797</v>
      </c>
      <c r="R24" s="511"/>
      <c r="S24" s="1896">
        <f t="shared" ca="1" si="1"/>
        <v>0</v>
      </c>
      <c r="T24" s="598">
        <f t="shared" ca="1" si="2"/>
        <v>2.6381882709046289E-2</v>
      </c>
      <c r="U24" s="598">
        <f t="shared" ca="1" si="4"/>
        <v>0</v>
      </c>
      <c r="V24" s="595">
        <f t="shared" ca="1" si="5"/>
        <v>0</v>
      </c>
      <c r="W24" s="593"/>
      <c r="X24" s="598">
        <f>Retire!U26</f>
        <v>107640</v>
      </c>
      <c r="Y24" s="598">
        <f t="shared" ca="1" si="6"/>
        <v>0</v>
      </c>
      <c r="Z24" s="594">
        <f t="shared" ca="1" si="7"/>
        <v>0</v>
      </c>
      <c r="AC24" s="1896">
        <f>Retire!AO26</f>
        <v>0</v>
      </c>
      <c r="AD24" s="1896">
        <f>Retire!AZ26</f>
        <v>0</v>
      </c>
    </row>
    <row r="25" spans="2:30" ht="18" customHeight="1">
      <c r="B25" s="579"/>
      <c r="C25" s="579"/>
      <c r="D25" s="579"/>
      <c r="E25" s="579"/>
      <c r="F25" s="1886">
        <f>RMDTable!D25</f>
        <v>88</v>
      </c>
      <c r="G25" s="1886">
        <f>RMDTable!E25</f>
        <v>13.7</v>
      </c>
      <c r="H25" s="1887">
        <f>RMDTable!F25</f>
        <v>7.2999999999999995E-2</v>
      </c>
      <c r="I25" s="586"/>
      <c r="J25" s="1898">
        <f>Retire!H27</f>
        <v>84</v>
      </c>
      <c r="K25" s="585">
        <f>Retire!I27</f>
        <v>82</v>
      </c>
      <c r="L25" s="1904">
        <f>Retire!G27</f>
        <v>2052</v>
      </c>
      <c r="M25" s="584"/>
      <c r="N25" s="1892">
        <f ca="1">Retire!BF27</f>
        <v>2.0480865537717885E-2</v>
      </c>
      <c r="O25" s="1510">
        <f ca="1">Retire!BG27</f>
        <v>3.0137231823107851E-8</v>
      </c>
      <c r="P25" s="591">
        <f t="shared" ca="1" si="3"/>
        <v>0</v>
      </c>
      <c r="Q25" s="591">
        <f t="shared" ca="1" si="0"/>
        <v>2.0480865537717885E-2</v>
      </c>
      <c r="R25" s="511"/>
      <c r="S25" s="1895">
        <f t="shared" ca="1" si="1"/>
        <v>0</v>
      </c>
      <c r="T25" s="597">
        <f t="shared" ca="1" si="2"/>
        <v>1.1070738128496154E-3</v>
      </c>
      <c r="U25" s="597">
        <f t="shared" ca="1" si="4"/>
        <v>0</v>
      </c>
      <c r="V25" s="593">
        <f t="shared" ca="1" si="5"/>
        <v>0</v>
      </c>
      <c r="W25" s="593"/>
      <c r="X25" s="597">
        <f>Retire!U27</f>
        <v>112440</v>
      </c>
      <c r="Y25" s="597">
        <f t="shared" ca="1" si="6"/>
        <v>0</v>
      </c>
      <c r="Z25" s="594">
        <f t="shared" ca="1" si="7"/>
        <v>0</v>
      </c>
      <c r="AC25" s="1895">
        <f>Retire!AO27</f>
        <v>0</v>
      </c>
      <c r="AD25" s="1895">
        <f>Retire!AZ27</f>
        <v>0</v>
      </c>
    </row>
    <row r="26" spans="2:30" ht="18" customHeight="1">
      <c r="B26" s="579"/>
      <c r="C26" s="579"/>
      <c r="D26" s="579"/>
      <c r="E26" s="579"/>
      <c r="F26" s="1886">
        <f>RMDTable!D26</f>
        <v>89</v>
      </c>
      <c r="G26" s="1886">
        <f>RMDTable!E26</f>
        <v>12.9</v>
      </c>
      <c r="H26" s="1887">
        <f>RMDTable!F26</f>
        <v>7.7600000000000002E-2</v>
      </c>
      <c r="I26" s="586"/>
      <c r="J26" s="1899">
        <f>Retire!H28</f>
        <v>85</v>
      </c>
      <c r="K26" s="587">
        <f>Retire!I28</f>
        <v>83</v>
      </c>
      <c r="L26" s="1905">
        <f>Retire!G28</f>
        <v>2053</v>
      </c>
      <c r="M26" s="584"/>
      <c r="N26" s="1893">
        <f ca="1">Retire!BF28</f>
        <v>8.0010015922659869E-4</v>
      </c>
      <c r="O26" s="1511">
        <f ca="1">Retire!BG28</f>
        <v>1.3462214018334433E-9</v>
      </c>
      <c r="P26" s="590">
        <f t="shared" ca="1" si="3"/>
        <v>0</v>
      </c>
      <c r="Q26" s="590">
        <f t="shared" ca="1" si="0"/>
        <v>8.0010015922659869E-4</v>
      </c>
      <c r="R26" s="511"/>
      <c r="S26" s="1896">
        <f t="shared" ca="1" si="1"/>
        <v>0</v>
      </c>
      <c r="T26" s="598">
        <f t="shared" ca="1" si="2"/>
        <v>4.5203398826361511E-5</v>
      </c>
      <c r="U26" s="598">
        <f t="shared" ca="1" si="4"/>
        <v>0</v>
      </c>
      <c r="V26" s="595">
        <f t="shared" ca="1" si="5"/>
        <v>0</v>
      </c>
      <c r="W26" s="593"/>
      <c r="X26" s="598">
        <f>Retire!U28</f>
        <v>117396</v>
      </c>
      <c r="Y26" s="598">
        <f t="shared" ca="1" si="6"/>
        <v>0</v>
      </c>
      <c r="Z26" s="594">
        <f t="shared" ca="1" si="7"/>
        <v>0</v>
      </c>
      <c r="AC26" s="1896">
        <f>Retire!AO28</f>
        <v>0</v>
      </c>
      <c r="AD26" s="1896">
        <f>Retire!AZ28</f>
        <v>0</v>
      </c>
    </row>
    <row r="27" spans="2:30" ht="18" customHeight="1">
      <c r="B27" s="579"/>
      <c r="C27" s="579"/>
      <c r="D27" s="579"/>
      <c r="E27" s="579"/>
      <c r="F27" s="1886">
        <f>RMDTable!D27</f>
        <v>90</v>
      </c>
      <c r="G27" s="1886">
        <f>RMDTable!E27</f>
        <v>12.2</v>
      </c>
      <c r="H27" s="1887">
        <f>RMDTable!F27</f>
        <v>8.2000000000000003E-2</v>
      </c>
      <c r="I27" s="586"/>
      <c r="J27" s="1898">
        <f>Retire!H29</f>
        <v>86</v>
      </c>
      <c r="K27" s="585">
        <f>Retire!I29</f>
        <v>84</v>
      </c>
      <c r="L27" s="1904">
        <f>Retire!G29</f>
        <v>2054</v>
      </c>
      <c r="M27" s="584"/>
      <c r="N27" s="1892">
        <f ca="1">Retire!BF29</f>
        <v>3.2104165595662646E-5</v>
      </c>
      <c r="O27" s="1510">
        <f ca="1">Retire!BG29</f>
        <v>6.4117604374343643E-11</v>
      </c>
      <c r="P27" s="591">
        <f t="shared" ca="1" si="3"/>
        <v>0</v>
      </c>
      <c r="Q27" s="591">
        <f t="shared" ca="1" si="0"/>
        <v>3.2104165595662646E-5</v>
      </c>
      <c r="R27" s="511"/>
      <c r="S27" s="1895">
        <f t="shared" ca="1" si="1"/>
        <v>0</v>
      </c>
      <c r="T27" s="597">
        <f t="shared" ca="1" si="2"/>
        <v>1.9109622378370622E-6</v>
      </c>
      <c r="U27" s="597">
        <f t="shared" ca="1" si="4"/>
        <v>0</v>
      </c>
      <c r="V27" s="593">
        <f t="shared" ca="1" si="5"/>
        <v>0</v>
      </c>
      <c r="W27" s="593"/>
      <c r="X27" s="597">
        <f>Retire!U29</f>
        <v>122508</v>
      </c>
      <c r="Y27" s="597">
        <f t="shared" ca="1" si="6"/>
        <v>0</v>
      </c>
      <c r="Z27" s="594">
        <f t="shared" ca="1" si="7"/>
        <v>0</v>
      </c>
      <c r="AC27" s="1895">
        <f>Retire!AO29</f>
        <v>0</v>
      </c>
      <c r="AD27" s="1895">
        <f>Retire!AZ29</f>
        <v>0</v>
      </c>
    </row>
    <row r="28" spans="2:30" ht="18" customHeight="1">
      <c r="B28" s="574"/>
      <c r="C28" s="574"/>
      <c r="F28" s="1886">
        <f>RMDTable!D28</f>
        <v>91</v>
      </c>
      <c r="G28" s="1886">
        <f>RMDTable!E28</f>
        <v>11.5</v>
      </c>
      <c r="H28" s="1887">
        <f>RMDTable!F28</f>
        <v>8.6999999999999994E-2</v>
      </c>
      <c r="I28" s="586"/>
      <c r="J28" s="1899">
        <f>Retire!H30</f>
        <v>87</v>
      </c>
      <c r="K28" s="587">
        <f>Retire!I30</f>
        <v>85</v>
      </c>
      <c r="L28" s="1905">
        <f>Retire!G30</f>
        <v>2055</v>
      </c>
      <c r="M28" s="584"/>
      <c r="N28" s="1893">
        <f ca="1">Retire!BF30</f>
        <v>3.3388332219489155E-5</v>
      </c>
      <c r="O28" s="1511">
        <f ca="1">Retire!BG30</f>
        <v>8.3842293136951205E-11</v>
      </c>
      <c r="P28" s="590">
        <f t="shared" ca="1" si="3"/>
        <v>0</v>
      </c>
      <c r="Q28" s="590">
        <f t="shared" ca="1" si="0"/>
        <v>3.3388332219489155E-5</v>
      </c>
      <c r="R28" s="511"/>
      <c r="S28" s="1896">
        <f t="shared" ca="1" si="1"/>
        <v>0</v>
      </c>
      <c r="T28" s="598">
        <f t="shared" ca="1" si="2"/>
        <v>2.0867707637180722E-6</v>
      </c>
      <c r="U28" s="598">
        <f t="shared" ca="1" si="4"/>
        <v>0</v>
      </c>
      <c r="V28" s="595">
        <f t="shared" ca="1" si="5"/>
        <v>0</v>
      </c>
      <c r="W28" s="593"/>
      <c r="X28" s="598">
        <f>Retire!U30</f>
        <v>127788</v>
      </c>
      <c r="Y28" s="598">
        <f t="shared" ca="1" si="6"/>
        <v>0</v>
      </c>
      <c r="Z28" s="594">
        <f t="shared" ca="1" si="7"/>
        <v>0</v>
      </c>
      <c r="AC28" s="1896">
        <f>Retire!AO30</f>
        <v>0</v>
      </c>
      <c r="AD28" s="1896">
        <f>Retire!AZ30</f>
        <v>0</v>
      </c>
    </row>
    <row r="29" spans="2:30" ht="18" customHeight="1">
      <c r="B29" s="574"/>
      <c r="C29" s="574"/>
      <c r="F29" s="1886">
        <f>RMDTable!D29</f>
        <v>92</v>
      </c>
      <c r="G29" s="1886">
        <f>RMDTable!E29</f>
        <v>10.8</v>
      </c>
      <c r="H29" s="1887">
        <f>RMDTable!F29</f>
        <v>9.2600000000000002E-2</v>
      </c>
      <c r="I29" s="586"/>
      <c r="J29" s="1898">
        <f>Retire!H31</f>
        <v>88</v>
      </c>
      <c r="K29" s="585">
        <f>Retire!I31</f>
        <v>86</v>
      </c>
      <c r="L29" s="1904">
        <f>Retire!G31</f>
        <v>2056</v>
      </c>
      <c r="M29" s="584"/>
      <c r="N29" s="1892">
        <f ca="1">Retire!BF31</f>
        <v>3.4723865508268719E-5</v>
      </c>
      <c r="O29" s="1510">
        <f ca="1">Retire!BG31</f>
        <v>1.2125570771533265E-10</v>
      </c>
      <c r="P29" s="591">
        <f t="shared" ca="1" si="3"/>
        <v>0</v>
      </c>
      <c r="Q29" s="591">
        <f t="shared" ca="1" si="0"/>
        <v>3.4723865508268719E-5</v>
      </c>
      <c r="R29" s="511"/>
      <c r="S29" s="1895">
        <f t="shared" ca="1" si="1"/>
        <v>0</v>
      </c>
      <c r="T29" s="597">
        <f t="shared" ca="1" si="2"/>
        <v>2.2844648360703108E-6</v>
      </c>
      <c r="U29" s="597">
        <f t="shared" ca="1" si="4"/>
        <v>0</v>
      </c>
      <c r="V29" s="593">
        <f t="shared" ca="1" si="5"/>
        <v>0</v>
      </c>
      <c r="W29" s="593"/>
      <c r="X29" s="597">
        <f>Retire!U31</f>
        <v>133236</v>
      </c>
      <c r="Y29" s="597">
        <f t="shared" ca="1" si="6"/>
        <v>0</v>
      </c>
      <c r="Z29" s="594">
        <f t="shared" ca="1" si="7"/>
        <v>0</v>
      </c>
      <c r="AC29" s="1895">
        <f>Retire!AO31</f>
        <v>0</v>
      </c>
      <c r="AD29" s="1895">
        <f>Retire!AZ31</f>
        <v>0</v>
      </c>
    </row>
    <row r="30" spans="2:30" ht="18" customHeight="1">
      <c r="B30" s="574"/>
      <c r="C30" s="574"/>
      <c r="F30" s="1886">
        <f>RMDTable!D30</f>
        <v>93</v>
      </c>
      <c r="G30" s="1886">
        <f>RMDTable!E30</f>
        <v>10.1</v>
      </c>
      <c r="H30" s="1887">
        <f>RMDTable!F30</f>
        <v>9.9099999999999994E-2</v>
      </c>
      <c r="I30" s="586"/>
      <c r="J30" s="1899">
        <f>Retire!H32</f>
        <v>89</v>
      </c>
      <c r="K30" s="587">
        <f>Retire!I32</f>
        <v>87</v>
      </c>
      <c r="L30" s="1905">
        <f>Retire!G32</f>
        <v>2057</v>
      </c>
      <c r="M30" s="584"/>
      <c r="N30" s="1893">
        <f ca="1">Retire!BF32</f>
        <v>3.6112820128599468E-5</v>
      </c>
      <c r="O30" s="1511">
        <f ca="1">Retire!BG32</f>
        <v>2.1941388245648833E-10</v>
      </c>
      <c r="P30" s="590">
        <f t="shared" ca="1" si="3"/>
        <v>0</v>
      </c>
      <c r="Q30" s="590">
        <f t="shared" ca="1" si="0"/>
        <v>3.6112820128599468E-5</v>
      </c>
      <c r="R30" s="511"/>
      <c r="S30" s="1896">
        <f t="shared" ca="1" si="1"/>
        <v>0</v>
      </c>
      <c r="T30" s="598">
        <f t="shared" ca="1" si="2"/>
        <v>2.5078347311527406E-6</v>
      </c>
      <c r="U30" s="598">
        <f t="shared" ca="1" si="4"/>
        <v>0</v>
      </c>
      <c r="V30" s="595">
        <f t="shared" ca="1" si="5"/>
        <v>0</v>
      </c>
      <c r="W30" s="593"/>
      <c r="X30" s="598">
        <f>Retire!U32</f>
        <v>138876</v>
      </c>
      <c r="Y30" s="598">
        <f t="shared" ca="1" si="6"/>
        <v>0</v>
      </c>
      <c r="Z30" s="594">
        <f t="shared" ca="1" si="7"/>
        <v>0</v>
      </c>
      <c r="AC30" s="1896">
        <f>Retire!AO32</f>
        <v>0</v>
      </c>
      <c r="AD30" s="1896">
        <f>Retire!AZ32</f>
        <v>0</v>
      </c>
    </row>
    <row r="31" spans="2:30" ht="18" customHeight="1">
      <c r="B31" s="574"/>
      <c r="C31" s="574"/>
      <c r="F31" s="1886">
        <f>RMDTable!D31</f>
        <v>94</v>
      </c>
      <c r="G31" s="1886">
        <f>RMDTable!E31</f>
        <v>9.5</v>
      </c>
      <c r="H31" s="1887">
        <f>RMDTable!F31</f>
        <v>0.1053</v>
      </c>
      <c r="I31" s="586"/>
      <c r="J31" s="1898">
        <f>Retire!H33</f>
        <v>90</v>
      </c>
      <c r="K31" s="585">
        <f>Retire!I33</f>
        <v>88</v>
      </c>
      <c r="L31" s="1904">
        <f>Retire!G33</f>
        <v>2058</v>
      </c>
      <c r="M31" s="584"/>
      <c r="N31" s="1892">
        <f ca="1">Retire!BF33</f>
        <v>3.7557332933743447E-5</v>
      </c>
      <c r="O31" s="1510">
        <f ca="1">Retire!BG33</f>
        <v>1.1629393048059079E-9</v>
      </c>
      <c r="P31" s="591">
        <f t="shared" ca="1" si="3"/>
        <v>0</v>
      </c>
      <c r="Q31" s="591">
        <f t="shared" ca="1" si="0"/>
        <v>3.7557332933743447E-5</v>
      </c>
      <c r="R31" s="511"/>
      <c r="S31" s="1895">
        <f t="shared" ca="1" si="1"/>
        <v>0</v>
      </c>
      <c r="T31" s="597">
        <f t="shared" ca="1" si="2"/>
        <v>2.7414111630469672E-6</v>
      </c>
      <c r="U31" s="597">
        <f t="shared" ca="1" si="4"/>
        <v>0</v>
      </c>
      <c r="V31" s="593">
        <f t="shared" ca="1" si="5"/>
        <v>0</v>
      </c>
      <c r="W31" s="593"/>
      <c r="X31" s="597">
        <f>Retire!U33</f>
        <v>144672</v>
      </c>
      <c r="Y31" s="597">
        <f t="shared" ca="1" si="6"/>
        <v>0</v>
      </c>
      <c r="Z31" s="594">
        <f t="shared" ca="1" si="7"/>
        <v>0</v>
      </c>
      <c r="AC31" s="1895">
        <f>Retire!AO33</f>
        <v>0</v>
      </c>
      <c r="AD31" s="1895">
        <f>Retire!AZ33</f>
        <v>0</v>
      </c>
    </row>
    <row r="32" spans="2:30" ht="18" customHeight="1">
      <c r="B32" s="574"/>
      <c r="C32" s="574"/>
      <c r="F32" s="1886">
        <f>RMDTable!D32</f>
        <v>95</v>
      </c>
      <c r="G32" s="1886">
        <f>RMDTable!E32</f>
        <v>8.9</v>
      </c>
      <c r="H32" s="1887">
        <f>RMDTable!F32</f>
        <v>0.1124</v>
      </c>
      <c r="I32" s="586"/>
      <c r="J32" s="1899">
        <f>Retire!H34</f>
        <v>91</v>
      </c>
      <c r="K32" s="587">
        <f>Retire!I34</f>
        <v>89</v>
      </c>
      <c r="L32" s="1905">
        <f>Retire!G34</f>
        <v>2059</v>
      </c>
      <c r="M32" s="584"/>
      <c r="N32" s="1893">
        <f ca="1">Retire!BF34</f>
        <v>3.9059626251093185E-5</v>
      </c>
      <c r="O32" s="1511">
        <f ca="1">Retire!BG34</f>
        <v>1.1629393048059079E-9</v>
      </c>
      <c r="P32" s="590">
        <f t="shared" ca="1" si="3"/>
        <v>0</v>
      </c>
      <c r="Q32" s="590">
        <f t="shared" ca="1" si="0"/>
        <v>3.9059626251093185E-5</v>
      </c>
      <c r="R32" s="511"/>
      <c r="S32" s="1896">
        <f t="shared" ca="1" si="1"/>
        <v>0</v>
      </c>
      <c r="T32" s="598">
        <f t="shared" ca="1" si="2"/>
        <v>3.0278780039607122E-6</v>
      </c>
      <c r="U32" s="598">
        <f t="shared" ca="1" si="4"/>
        <v>0</v>
      </c>
      <c r="V32" s="595">
        <f t="shared" ca="1" si="5"/>
        <v>0</v>
      </c>
      <c r="W32" s="593"/>
      <c r="X32" s="598">
        <f>Retire!U34</f>
        <v>0</v>
      </c>
      <c r="Y32" s="598">
        <f t="shared" ca="1" si="6"/>
        <v>0</v>
      </c>
      <c r="Z32" s="594">
        <f t="shared" ca="1" si="7"/>
        <v>0</v>
      </c>
      <c r="AC32" s="1896">
        <f>Retire!AO34</f>
        <v>0</v>
      </c>
      <c r="AD32" s="1896">
        <f>Retire!AZ34</f>
        <v>0</v>
      </c>
    </row>
    <row r="33" spans="2:30" ht="18" customHeight="1">
      <c r="B33" s="574"/>
      <c r="C33" s="574"/>
      <c r="F33" s="1886">
        <f>RMDTable!D33</f>
        <v>96</v>
      </c>
      <c r="G33" s="1886">
        <f>RMDTable!E33</f>
        <v>8.4</v>
      </c>
      <c r="H33" s="1887">
        <f>RMDTable!F33</f>
        <v>0.1191</v>
      </c>
      <c r="I33" s="586"/>
      <c r="J33" s="1898">
        <f>Retire!H35</f>
        <v>92</v>
      </c>
      <c r="K33" s="585">
        <f>Retire!I35</f>
        <v>90</v>
      </c>
      <c r="L33" s="1904">
        <f>Retire!G35</f>
        <v>2060</v>
      </c>
      <c r="M33" s="584"/>
      <c r="N33" s="1892">
        <f ca="1">Retire!BF35</f>
        <v>4.0622011301136911E-5</v>
      </c>
      <c r="O33" s="1510">
        <f ca="1">Retire!BG35</f>
        <v>1.1629393048059077E-9</v>
      </c>
      <c r="P33" s="591">
        <f t="shared" ca="1" si="3"/>
        <v>0</v>
      </c>
      <c r="Q33" s="591">
        <f t="shared" ca="1" si="0"/>
        <v>4.0622011301136911E-5</v>
      </c>
      <c r="R33" s="511"/>
      <c r="S33" s="1895">
        <f t="shared" ca="1" si="1"/>
        <v>0</v>
      </c>
      <c r="T33" s="597">
        <f t="shared" ca="1" si="2"/>
        <v>3.3296730574702389E-6</v>
      </c>
      <c r="U33" s="597">
        <f t="shared" ca="1" si="4"/>
        <v>0</v>
      </c>
      <c r="V33" s="593">
        <f t="shared" ca="1" si="5"/>
        <v>0</v>
      </c>
      <c r="W33" s="593"/>
      <c r="X33" s="597">
        <f>Retire!U35</f>
        <v>0</v>
      </c>
      <c r="Y33" s="597">
        <f t="shared" ca="1" si="6"/>
        <v>0</v>
      </c>
      <c r="Z33" s="594">
        <f t="shared" ca="1" si="7"/>
        <v>0</v>
      </c>
      <c r="AC33" s="1895">
        <f>Retire!AO35</f>
        <v>0</v>
      </c>
      <c r="AD33" s="1895">
        <f>Retire!AZ35</f>
        <v>0</v>
      </c>
    </row>
    <row r="34" spans="2:30" ht="18" customHeight="1">
      <c r="B34" s="574"/>
      <c r="C34" s="574"/>
      <c r="F34" s="1886">
        <f>RMDTable!D34</f>
        <v>97</v>
      </c>
      <c r="G34" s="1886">
        <f>RMDTable!E34</f>
        <v>7.8</v>
      </c>
      <c r="H34" s="1887">
        <f>RMDTable!F34</f>
        <v>0.1283</v>
      </c>
      <c r="I34" s="586"/>
      <c r="J34" s="1899">
        <f>Retire!H36</f>
        <v>93</v>
      </c>
      <c r="K34" s="587">
        <f>Retire!I36</f>
        <v>91</v>
      </c>
      <c r="L34" s="1905">
        <f>Retire!G36</f>
        <v>2061</v>
      </c>
      <c r="M34" s="584"/>
      <c r="N34" s="1893">
        <f ca="1">Retire!BF36</f>
        <v>4.2246891753182387E-5</v>
      </c>
      <c r="O34" s="1511">
        <f ca="1">Retire!BG36</f>
        <v>1.1629393048059077E-9</v>
      </c>
      <c r="P34" s="590">
        <f t="shared" ca="1" si="3"/>
        <v>0</v>
      </c>
      <c r="Q34" s="590">
        <f t="shared" ca="1" si="0"/>
        <v>4.2246891753182387E-5</v>
      </c>
      <c r="R34" s="511"/>
      <c r="S34" s="1896">
        <f t="shared" ca="1" si="1"/>
        <v>0</v>
      </c>
      <c r="T34" s="598">
        <f t="shared" ca="1" si="2"/>
        <v>3.6736427611462943E-6</v>
      </c>
      <c r="U34" s="598">
        <f t="shared" ca="1" si="4"/>
        <v>0</v>
      </c>
      <c r="V34" s="595">
        <f t="shared" ca="1" si="5"/>
        <v>0</v>
      </c>
      <c r="W34" s="593"/>
      <c r="X34" s="598">
        <f>Retire!U36</f>
        <v>0</v>
      </c>
      <c r="Y34" s="598">
        <f t="shared" ca="1" si="6"/>
        <v>0</v>
      </c>
      <c r="Z34" s="594">
        <f t="shared" ca="1" si="7"/>
        <v>0</v>
      </c>
      <c r="AC34" s="1896">
        <f>Retire!AO36</f>
        <v>0</v>
      </c>
      <c r="AD34" s="1896">
        <f>Retire!AZ36</f>
        <v>0</v>
      </c>
    </row>
    <row r="35" spans="2:30" ht="18" customHeight="1">
      <c r="B35" s="574"/>
      <c r="C35" s="574"/>
      <c r="F35" s="1886">
        <f>RMDTable!D35</f>
        <v>98</v>
      </c>
      <c r="G35" s="1886">
        <f>RMDTable!E35</f>
        <v>7.3</v>
      </c>
      <c r="H35" s="1887">
        <f>RMDTable!F35</f>
        <v>0.13700000000000001</v>
      </c>
      <c r="I35" s="586"/>
      <c r="J35" s="1898">
        <f>Retire!H37</f>
        <v>94</v>
      </c>
      <c r="K35" s="585">
        <f>Retire!I37</f>
        <v>92</v>
      </c>
      <c r="L35" s="1904">
        <f>Retire!G37</f>
        <v>2062</v>
      </c>
      <c r="M35" s="584"/>
      <c r="N35" s="1892">
        <f ca="1">Retire!BF37</f>
        <v>4.3936767423309681E-5</v>
      </c>
      <c r="O35" s="1510">
        <f ca="1">Retire!BG37</f>
        <v>1.1629393048059079E-9</v>
      </c>
      <c r="P35" s="591">
        <f t="shared" ca="1" si="3"/>
        <v>0</v>
      </c>
      <c r="Q35" s="591">
        <f t="shared" ca="1" si="0"/>
        <v>4.3936767423309681E-5</v>
      </c>
      <c r="R35" s="511"/>
      <c r="S35" s="1895">
        <f t="shared" ca="1" si="1"/>
        <v>0</v>
      </c>
      <c r="T35" s="597">
        <f t="shared" ca="1" si="2"/>
        <v>4.0682192058620072E-6</v>
      </c>
      <c r="U35" s="597">
        <f t="shared" ca="1" si="4"/>
        <v>0</v>
      </c>
      <c r="V35" s="593">
        <f t="shared" ca="1" si="5"/>
        <v>0</v>
      </c>
      <c r="W35" s="593"/>
      <c r="X35" s="597">
        <f>Retire!U37</f>
        <v>0</v>
      </c>
      <c r="Y35" s="597">
        <f t="shared" ca="1" si="6"/>
        <v>0</v>
      </c>
      <c r="Z35" s="594">
        <f t="shared" ca="1" si="7"/>
        <v>0</v>
      </c>
      <c r="AC35" s="1895">
        <f>Retire!AO37</f>
        <v>0</v>
      </c>
      <c r="AD35" s="1895">
        <f>Retire!AZ37</f>
        <v>0</v>
      </c>
    </row>
    <row r="36" spans="2:30" ht="18" customHeight="1">
      <c r="B36" s="574"/>
      <c r="C36" s="574"/>
      <c r="F36" s="1886">
        <f>RMDTable!D36</f>
        <v>99</v>
      </c>
      <c r="G36" s="1886">
        <f>RMDTable!E36</f>
        <v>6.8</v>
      </c>
      <c r="H36" s="1887">
        <f>RMDTable!F36</f>
        <v>0.14710000000000001</v>
      </c>
      <c r="I36" s="586"/>
      <c r="J36" s="1899">
        <f>Retire!H38</f>
        <v>95</v>
      </c>
      <c r="K36" s="587">
        <f>Retire!I38</f>
        <v>93</v>
      </c>
      <c r="L36" s="1905">
        <f>Retire!G38</f>
        <v>2063</v>
      </c>
      <c r="M36" s="584"/>
      <c r="N36" s="1893">
        <f ca="1">Retire!BF38</f>
        <v>4.5694238120242071E-5</v>
      </c>
      <c r="O36" s="1511">
        <f ca="1">Retire!BG38</f>
        <v>1.1629393048059079E-9</v>
      </c>
      <c r="P36" s="590">
        <f t="shared" ca="1" si="3"/>
        <v>0</v>
      </c>
      <c r="Q36" s="590">
        <f t="shared" ca="1" si="0"/>
        <v>4.5694238120242071E-5</v>
      </c>
      <c r="R36" s="511"/>
      <c r="S36" s="1896">
        <f t="shared" ca="1" si="1"/>
        <v>0</v>
      </c>
      <c r="T36" s="598">
        <f t="shared" ca="1" si="2"/>
        <v>4.5241819921031751E-6</v>
      </c>
      <c r="U36" s="598">
        <f t="shared" ca="1" si="4"/>
        <v>0</v>
      </c>
      <c r="V36" s="595">
        <f t="shared" ca="1" si="5"/>
        <v>0</v>
      </c>
      <c r="W36" s="593"/>
      <c r="X36" s="598">
        <f>Retire!U38</f>
        <v>0</v>
      </c>
      <c r="Y36" s="598">
        <f t="shared" ca="1" si="6"/>
        <v>0</v>
      </c>
      <c r="Z36" s="594">
        <f t="shared" ca="1" si="7"/>
        <v>0</v>
      </c>
      <c r="AC36" s="1896">
        <f>Retire!AO38</f>
        <v>0</v>
      </c>
      <c r="AD36" s="1896">
        <f>Retire!AZ38</f>
        <v>0</v>
      </c>
    </row>
    <row r="37" spans="2:30" ht="18" customHeight="1">
      <c r="B37" s="574"/>
      <c r="C37" s="574"/>
      <c r="F37" s="1886">
        <f>RMDTable!D37</f>
        <v>100</v>
      </c>
      <c r="G37" s="1886">
        <f>RMDTable!E37</f>
        <v>6.4</v>
      </c>
      <c r="H37" s="1887">
        <f>RMDTable!F37</f>
        <v>0.15629999999999999</v>
      </c>
      <c r="I37" s="586"/>
      <c r="J37" s="1898">
        <f>Retire!H39</f>
        <v>96</v>
      </c>
      <c r="K37" s="585">
        <f>Retire!I39</f>
        <v>94</v>
      </c>
      <c r="L37" s="1904">
        <f>Retire!G39</f>
        <v>2064</v>
      </c>
      <c r="M37" s="584"/>
      <c r="N37" s="1892">
        <f ca="1">Retire!BF39</f>
        <v>4.7522007645051757E-5</v>
      </c>
      <c r="O37" s="1510">
        <f ca="1">Retire!BG39</f>
        <v>1.1629393048059079E-9</v>
      </c>
      <c r="P37" s="591">
        <f t="shared" ca="1" si="3"/>
        <v>0</v>
      </c>
      <c r="Q37" s="591">
        <f t="shared" ca="1" si="0"/>
        <v>4.7522007645051757E-5</v>
      </c>
      <c r="R37" s="511"/>
      <c r="S37" s="1895">
        <f t="shared" ca="1" si="1"/>
        <v>0</v>
      </c>
      <c r="T37" s="597">
        <f t="shared" ca="1" si="2"/>
        <v>5.0023165942159741E-6</v>
      </c>
      <c r="U37" s="597">
        <f t="shared" ca="1" si="4"/>
        <v>0</v>
      </c>
      <c r="V37" s="593">
        <f t="shared" ca="1" si="5"/>
        <v>0</v>
      </c>
      <c r="W37" s="593"/>
      <c r="X37" s="597">
        <f>Retire!U39</f>
        <v>0</v>
      </c>
      <c r="Y37" s="597">
        <f t="shared" ca="1" si="6"/>
        <v>0</v>
      </c>
      <c r="Z37" s="594">
        <f t="shared" ca="1" si="7"/>
        <v>0</v>
      </c>
      <c r="AC37" s="1895">
        <f>Retire!AO39</f>
        <v>0</v>
      </c>
      <c r="AD37" s="1895">
        <f>Retire!AZ39</f>
        <v>0</v>
      </c>
    </row>
    <row r="38" spans="2:30" ht="18" customHeight="1">
      <c r="B38" s="574"/>
      <c r="C38" s="574"/>
      <c r="F38" s="1886">
        <f>RMDTable!D38</f>
        <v>101</v>
      </c>
      <c r="G38" s="1886">
        <f>RMDTable!E38</f>
        <v>6</v>
      </c>
      <c r="H38" s="1887">
        <f>RMDTable!F38</f>
        <v>0.16669999999999999</v>
      </c>
      <c r="I38" s="586"/>
      <c r="J38" s="1899">
        <f>Retire!H40</f>
        <v>97</v>
      </c>
      <c r="K38" s="587">
        <f>Retire!I40</f>
        <v>95</v>
      </c>
      <c r="L38" s="1905">
        <f>Retire!G40</f>
        <v>2065</v>
      </c>
      <c r="M38" s="584"/>
      <c r="N38" s="1893">
        <f ca="1">Retire!BF40</f>
        <v>4.9422887950853825E-5</v>
      </c>
      <c r="O38" s="1511">
        <f ca="1">Retire!BG40</f>
        <v>1.1629393048059079E-9</v>
      </c>
      <c r="P38" s="590">
        <f t="shared" ca="1" si="3"/>
        <v>0</v>
      </c>
      <c r="Q38" s="590">
        <f t="shared" ca="1" si="0"/>
        <v>4.9422887950853825E-5</v>
      </c>
      <c r="R38" s="511"/>
      <c r="S38" s="1896">
        <f t="shared" ca="1" si="1"/>
        <v>0</v>
      </c>
      <c r="T38" s="598">
        <f t="shared" ca="1" si="2"/>
        <v>5.5531334776240249E-6</v>
      </c>
      <c r="U38" s="598">
        <f t="shared" ca="1" si="4"/>
        <v>0</v>
      </c>
      <c r="V38" s="595">
        <f t="shared" ca="1" si="5"/>
        <v>0</v>
      </c>
      <c r="W38" s="593"/>
      <c r="X38" s="598">
        <f>Retire!U40</f>
        <v>0</v>
      </c>
      <c r="Y38" s="598">
        <f t="shared" ca="1" si="6"/>
        <v>0</v>
      </c>
      <c r="Z38" s="594">
        <f t="shared" ca="1" si="7"/>
        <v>0</v>
      </c>
      <c r="AC38" s="1896">
        <f>Retire!AO40</f>
        <v>0</v>
      </c>
      <c r="AD38" s="1896">
        <f>Retire!AZ40</f>
        <v>0</v>
      </c>
    </row>
    <row r="39" spans="2:30" ht="18" customHeight="1">
      <c r="B39" s="574"/>
      <c r="C39" s="574"/>
      <c r="F39" s="1886">
        <f>RMDTable!D39</f>
        <v>102</v>
      </c>
      <c r="G39" s="1886">
        <f>RMDTable!E39</f>
        <v>5.6</v>
      </c>
      <c r="H39" s="1887">
        <f>RMDTable!F39</f>
        <v>0.17860000000000001</v>
      </c>
      <c r="I39" s="586"/>
      <c r="J39" s="1898">
        <f>Retire!H41</f>
        <v>98</v>
      </c>
      <c r="K39" s="585">
        <f>Retire!I41</f>
        <v>96</v>
      </c>
      <c r="L39" s="1904">
        <f>Retire!G41</f>
        <v>2066</v>
      </c>
      <c r="M39" s="584"/>
      <c r="N39" s="1892">
        <f ca="1">Retire!BF41</f>
        <v>5.139980346888798E-5</v>
      </c>
      <c r="O39" s="1510">
        <f ca="1">Retire!BG41</f>
        <v>1.1629393048059079E-9</v>
      </c>
      <c r="P39" s="591">
        <f t="shared" ca="1" si="3"/>
        <v>0</v>
      </c>
      <c r="Q39" s="591">
        <f t="shared" ca="1" si="0"/>
        <v>5.139980346888798E-5</v>
      </c>
      <c r="R39" s="511"/>
      <c r="S39" s="1895">
        <f t="shared" ca="1" si="1"/>
        <v>0</v>
      </c>
      <c r="T39" s="597">
        <f t="shared" ca="1" si="2"/>
        <v>6.1190242224866638E-6</v>
      </c>
      <c r="U39" s="597">
        <f t="shared" ca="1" si="4"/>
        <v>0</v>
      </c>
      <c r="V39" s="593">
        <f t="shared" ca="1" si="5"/>
        <v>0</v>
      </c>
      <c r="W39" s="593"/>
      <c r="X39" s="597">
        <f>Retire!U41</f>
        <v>0</v>
      </c>
      <c r="Y39" s="597">
        <f t="shared" ca="1" si="6"/>
        <v>0</v>
      </c>
      <c r="Z39" s="594">
        <f t="shared" ca="1" si="7"/>
        <v>0</v>
      </c>
      <c r="AC39" s="1895">
        <f>Retire!AO41</f>
        <v>0</v>
      </c>
      <c r="AD39" s="1895">
        <f>Retire!AZ41</f>
        <v>0</v>
      </c>
    </row>
    <row r="40" spans="2:30" ht="18" customHeight="1">
      <c r="B40" s="574"/>
      <c r="C40" s="574"/>
      <c r="F40" s="1886">
        <f>RMDTable!D40</f>
        <v>103</v>
      </c>
      <c r="G40" s="1886">
        <f>RMDTable!E40</f>
        <v>5.2</v>
      </c>
      <c r="H40" s="1887">
        <f>RMDTable!F40</f>
        <v>0.19239999999999999</v>
      </c>
      <c r="I40" s="586"/>
      <c r="J40" s="1899">
        <f>Retire!H42</f>
        <v>99</v>
      </c>
      <c r="K40" s="587">
        <f>Retire!I42</f>
        <v>97</v>
      </c>
      <c r="L40" s="1905">
        <f>Retire!G42</f>
        <v>2067</v>
      </c>
      <c r="M40" s="584"/>
      <c r="N40" s="1893">
        <f ca="1">Retire!BF42</f>
        <v>5.3455795607643497E-5</v>
      </c>
      <c r="O40" s="1511">
        <f ca="1">Retire!BG42</f>
        <v>1.1629393048059077E-9</v>
      </c>
      <c r="P40" s="590">
        <f t="shared" ca="1" si="3"/>
        <v>0</v>
      </c>
      <c r="Q40" s="590">
        <f t="shared" ca="1" si="0"/>
        <v>5.3455795607643497E-5</v>
      </c>
      <c r="R40" s="511"/>
      <c r="S40" s="1896">
        <f t="shared" ca="1" si="1"/>
        <v>0</v>
      </c>
      <c r="T40" s="598">
        <f t="shared" ca="1" si="2"/>
        <v>6.853307129185064E-6</v>
      </c>
      <c r="U40" s="598">
        <f t="shared" ca="1" si="4"/>
        <v>0</v>
      </c>
      <c r="V40" s="595">
        <f t="shared" ca="1" si="5"/>
        <v>0</v>
      </c>
      <c r="W40" s="593"/>
      <c r="X40" s="598">
        <f>Retire!U42</f>
        <v>0</v>
      </c>
      <c r="Y40" s="598">
        <f t="shared" ca="1" si="6"/>
        <v>0</v>
      </c>
      <c r="Z40" s="594">
        <f t="shared" ca="1" si="7"/>
        <v>0</v>
      </c>
      <c r="AC40" s="1896">
        <f>Retire!AO42</f>
        <v>0</v>
      </c>
      <c r="AD40" s="1896">
        <f>Retire!AZ42</f>
        <v>0</v>
      </c>
    </row>
    <row r="41" spans="2:30" ht="18" customHeight="1">
      <c r="B41" s="574"/>
      <c r="C41" s="574"/>
      <c r="F41" s="1886">
        <f>RMDTable!D41</f>
        <v>104</v>
      </c>
      <c r="G41" s="1886">
        <f>RMDTable!E41</f>
        <v>4.9000000000000004</v>
      </c>
      <c r="H41" s="1887">
        <f>RMDTable!F41</f>
        <v>0.2041</v>
      </c>
      <c r="I41" s="586"/>
      <c r="J41" s="1898">
        <f>Retire!H43</f>
        <v>100</v>
      </c>
      <c r="K41" s="585">
        <f>Retire!I43</f>
        <v>98</v>
      </c>
      <c r="L41" s="1904">
        <f>Retire!G43</f>
        <v>2068</v>
      </c>
      <c r="M41" s="584"/>
      <c r="N41" s="1892">
        <f ca="1">Retire!BF43</f>
        <v>5.5594027431949239E-5</v>
      </c>
      <c r="O41" s="1510">
        <f ca="1">Retire!BG43</f>
        <v>1.1629393048059079E-9</v>
      </c>
      <c r="P41" s="591">
        <f t="shared" ca="1" si="3"/>
        <v>0</v>
      </c>
      <c r="Q41" s="591">
        <f t="shared" ca="1" si="0"/>
        <v>5.5594027431949239E-5</v>
      </c>
      <c r="R41" s="511"/>
      <c r="S41" s="1895">
        <f t="shared" ca="1" si="1"/>
        <v>0</v>
      </c>
      <c r="T41" s="597">
        <f t="shared" ca="1" si="2"/>
        <v>7.6156201961574299E-6</v>
      </c>
      <c r="U41" s="597">
        <f t="shared" ca="1" si="4"/>
        <v>0</v>
      </c>
      <c r="V41" s="593">
        <f t="shared" ca="1" si="5"/>
        <v>0</v>
      </c>
      <c r="W41" s="593"/>
      <c r="X41" s="597">
        <f>Retire!U43</f>
        <v>0</v>
      </c>
      <c r="Y41" s="597">
        <f t="shared" ca="1" si="6"/>
        <v>0</v>
      </c>
      <c r="Z41" s="594">
        <f t="shared" ca="1" si="7"/>
        <v>0</v>
      </c>
      <c r="AC41" s="1895">
        <f>Retire!AO43</f>
        <v>0</v>
      </c>
      <c r="AD41" s="1895">
        <f>Retire!AZ43</f>
        <v>0</v>
      </c>
    </row>
    <row r="42" spans="2:30" ht="18" customHeight="1">
      <c r="B42" s="574"/>
      <c r="C42" s="574"/>
      <c r="F42" s="1886">
        <f>RMDTable!D42</f>
        <v>105</v>
      </c>
      <c r="G42" s="1886">
        <f>RMDTable!E42</f>
        <v>4.5999999999999996</v>
      </c>
      <c r="H42" s="1887">
        <f>RMDTable!F42</f>
        <v>0.21740000000000001</v>
      </c>
      <c r="I42" s="586"/>
      <c r="J42" s="1899">
        <f>Retire!H44</f>
        <v>101</v>
      </c>
      <c r="K42" s="587">
        <f>Retire!I44</f>
        <v>99</v>
      </c>
      <c r="L42" s="1905">
        <f>Retire!G44</f>
        <v>2069</v>
      </c>
      <c r="M42" s="584"/>
      <c r="N42" s="1893">
        <f ca="1">Retire!BF44</f>
        <v>5.781778852922721E-5</v>
      </c>
      <c r="O42" s="1511">
        <f ca="1">Retire!BG44</f>
        <v>1.1629393048059079E-9</v>
      </c>
      <c r="P42" s="590">
        <f t="shared" ca="1" si="3"/>
        <v>0</v>
      </c>
      <c r="Q42" s="590">
        <f t="shared" ca="1" si="0"/>
        <v>5.781778852922721E-5</v>
      </c>
      <c r="R42" s="511"/>
      <c r="S42" s="1896">
        <f t="shared" ca="1" si="1"/>
        <v>0</v>
      </c>
      <c r="T42" s="598">
        <f t="shared" ca="1" si="2"/>
        <v>8.5026159601804722E-6</v>
      </c>
      <c r="U42" s="598">
        <f t="shared" ca="1" si="4"/>
        <v>0</v>
      </c>
      <c r="V42" s="595">
        <f t="shared" ca="1" si="5"/>
        <v>0</v>
      </c>
      <c r="W42" s="593"/>
      <c r="X42" s="598">
        <f>Retire!U44</f>
        <v>0</v>
      </c>
      <c r="Y42" s="598">
        <f t="shared" ca="1" si="6"/>
        <v>0</v>
      </c>
      <c r="Z42" s="594">
        <f t="shared" ca="1" si="7"/>
        <v>0</v>
      </c>
      <c r="AC42" s="1896">
        <f>Retire!AO44</f>
        <v>0</v>
      </c>
      <c r="AD42" s="1896">
        <f>Retire!AZ44</f>
        <v>0</v>
      </c>
    </row>
    <row r="43" spans="2:30" ht="18" customHeight="1">
      <c r="B43" s="574"/>
      <c r="C43" s="574"/>
      <c r="F43" s="1886">
        <f>RMDTable!D43</f>
        <v>106</v>
      </c>
      <c r="G43" s="1886">
        <f>RMDTable!E43</f>
        <v>4.3</v>
      </c>
      <c r="H43" s="1887">
        <f>RMDTable!F43</f>
        <v>0.2326</v>
      </c>
      <c r="I43" s="586"/>
      <c r="J43" s="1898">
        <f>Retire!H45</f>
        <v>102</v>
      </c>
      <c r="K43" s="585">
        <f>Retire!I45</f>
        <v>100</v>
      </c>
      <c r="L43" s="1904">
        <f>Retire!G45</f>
        <v>2070</v>
      </c>
      <c r="M43" s="584"/>
      <c r="N43" s="1892">
        <f ca="1">Retire!BF45</f>
        <v>6.0130500070396301E-5</v>
      </c>
      <c r="O43" s="1510">
        <f ca="1">Retire!BG45</f>
        <v>1.1629393048059079E-9</v>
      </c>
      <c r="P43" s="591">
        <f t="shared" ca="1" si="3"/>
        <v>0</v>
      </c>
      <c r="Q43" s="591">
        <f t="shared" ca="1" si="0"/>
        <v>6.0130500070396301E-5</v>
      </c>
      <c r="R43" s="511"/>
      <c r="S43" s="1895">
        <f t="shared" ca="1" si="1"/>
        <v>0</v>
      </c>
      <c r="T43" s="597">
        <f t="shared" ca="1" si="2"/>
        <v>9.3953906359994208E-6</v>
      </c>
      <c r="U43" s="597">
        <f t="shared" ca="1" si="4"/>
        <v>0</v>
      </c>
      <c r="V43" s="593">
        <f t="shared" ca="1" si="5"/>
        <v>0</v>
      </c>
      <c r="W43" s="593"/>
      <c r="X43" s="597">
        <f>Retire!U45</f>
        <v>0</v>
      </c>
      <c r="Y43" s="597">
        <f t="shared" ca="1" si="6"/>
        <v>0</v>
      </c>
      <c r="Z43" s="594">
        <f t="shared" ca="1" si="7"/>
        <v>0</v>
      </c>
      <c r="AC43" s="1895">
        <f>Retire!AO45</f>
        <v>0</v>
      </c>
      <c r="AD43" s="1895">
        <f>Retire!AZ45</f>
        <v>0</v>
      </c>
    </row>
    <row r="44" spans="2:30" ht="18" customHeight="1">
      <c r="B44" s="574"/>
      <c r="C44" s="574"/>
      <c r="F44" s="1886">
        <f>RMDTable!D44</f>
        <v>107</v>
      </c>
      <c r="G44" s="1886">
        <f>RMDTable!E44</f>
        <v>4.0999999999999996</v>
      </c>
      <c r="H44" s="1887">
        <f>RMDTable!F44</f>
        <v>0.24399999999999999</v>
      </c>
      <c r="I44" s="586"/>
      <c r="J44" s="1899">
        <f>Retire!H46</f>
        <v>103</v>
      </c>
      <c r="K44" s="587">
        <f>Retire!I46</f>
        <v>101</v>
      </c>
      <c r="L44" s="1905">
        <f>Retire!G46</f>
        <v>2071</v>
      </c>
      <c r="M44" s="584"/>
      <c r="N44" s="1893">
        <f ca="1">Retire!BF46</f>
        <v>6.2535720073212154E-5</v>
      </c>
      <c r="O44" s="1511">
        <f ca="1">Retire!BG46</f>
        <v>1.1629393048059079E-9</v>
      </c>
      <c r="P44" s="590">
        <f t="shared" ca="1" si="3"/>
        <v>0</v>
      </c>
      <c r="Q44" s="590">
        <f t="shared" ca="1" si="0"/>
        <v>6.2535720073212154E-5</v>
      </c>
      <c r="R44" s="511"/>
      <c r="S44" s="1896">
        <f t="shared" ca="1" si="1"/>
        <v>0</v>
      </c>
      <c r="T44" s="598">
        <f t="shared" ca="1" si="2"/>
        <v>1.0422620012202025E-5</v>
      </c>
      <c r="U44" s="598">
        <f t="shared" ca="1" si="4"/>
        <v>0</v>
      </c>
      <c r="V44" s="595">
        <f t="shared" ca="1" si="5"/>
        <v>0</v>
      </c>
      <c r="W44" s="593"/>
      <c r="X44" s="598">
        <f>Retire!U46</f>
        <v>0</v>
      </c>
      <c r="Y44" s="598">
        <f t="shared" ca="1" si="6"/>
        <v>0</v>
      </c>
      <c r="Z44" s="594">
        <f t="shared" ca="1" si="7"/>
        <v>0</v>
      </c>
      <c r="AC44" s="1896">
        <f>Retire!AO46</f>
        <v>0</v>
      </c>
      <c r="AD44" s="1896">
        <f>Retire!AZ46</f>
        <v>0</v>
      </c>
    </row>
    <row r="45" spans="2:30" ht="18" customHeight="1">
      <c r="B45" s="574"/>
      <c r="C45" s="574"/>
      <c r="F45" s="1886">
        <f>RMDTable!D45</f>
        <v>108</v>
      </c>
      <c r="G45" s="1886">
        <f>RMDTable!E45</f>
        <v>3.9</v>
      </c>
      <c r="H45" s="1887">
        <f>RMDTable!F45</f>
        <v>0.25650000000000001</v>
      </c>
      <c r="I45" s="586"/>
      <c r="J45" s="1898">
        <f>Retire!H47</f>
        <v>104</v>
      </c>
      <c r="K45" s="585">
        <f>Retire!I47</f>
        <v>102</v>
      </c>
      <c r="L45" s="1904">
        <f>Retire!G47</f>
        <v>2072</v>
      </c>
      <c r="M45" s="584"/>
      <c r="N45" s="1892">
        <f ca="1">Retire!BF47</f>
        <v>6.5037148876140644E-5</v>
      </c>
      <c r="O45" s="1510">
        <f ca="1">Retire!BG47</f>
        <v>1.1629393048059079E-9</v>
      </c>
      <c r="P45" s="591">
        <f t="shared" ca="1" si="3"/>
        <v>0</v>
      </c>
      <c r="Q45" s="591">
        <f t="shared" ca="1" si="0"/>
        <v>6.5037148876140644E-5</v>
      </c>
      <c r="R45" s="511"/>
      <c r="S45" s="1895">
        <f t="shared" ca="1" si="1"/>
        <v>0</v>
      </c>
      <c r="T45" s="597">
        <f t="shared" ca="1" si="2"/>
        <v>1.1613776585025116E-5</v>
      </c>
      <c r="U45" s="597">
        <f t="shared" ca="1" si="4"/>
        <v>0</v>
      </c>
      <c r="V45" s="593">
        <f t="shared" ca="1" si="5"/>
        <v>0</v>
      </c>
      <c r="W45" s="593"/>
      <c r="X45" s="597">
        <f>Retire!U47</f>
        <v>0</v>
      </c>
      <c r="Y45" s="597">
        <f t="shared" ca="1" si="6"/>
        <v>0</v>
      </c>
      <c r="Z45" s="594">
        <f t="shared" ca="1" si="7"/>
        <v>0</v>
      </c>
      <c r="AC45" s="1895">
        <f>Retire!AO47</f>
        <v>0</v>
      </c>
      <c r="AD45" s="1895">
        <f>Retire!AZ47</f>
        <v>0</v>
      </c>
    </row>
    <row r="46" spans="2:30" ht="18" customHeight="1">
      <c r="B46" s="574"/>
      <c r="C46" s="574"/>
      <c r="F46" s="1886">
        <f>RMDTable!D46</f>
        <v>109</v>
      </c>
      <c r="G46" s="1886">
        <f>RMDTable!E46</f>
        <v>3.7</v>
      </c>
      <c r="H46" s="1887">
        <f>RMDTable!F46</f>
        <v>0.27029999999999998</v>
      </c>
      <c r="I46" s="586"/>
      <c r="J46" s="1900">
        <f>Retire!H48</f>
        <v>105</v>
      </c>
      <c r="K46" s="588">
        <f>Retire!I48</f>
        <v>103</v>
      </c>
      <c r="L46" s="1906">
        <f>Retire!G48</f>
        <v>2073</v>
      </c>
      <c r="M46" s="584"/>
      <c r="N46" s="1894">
        <f ca="1">Retire!BF48</f>
        <v>6.7638634831186268E-5</v>
      </c>
      <c r="O46" s="1512">
        <f ca="1">Retire!BG48</f>
        <v>1.1629393048059079E-9</v>
      </c>
      <c r="P46" s="592">
        <f t="shared" ca="1" si="3"/>
        <v>0</v>
      </c>
      <c r="Q46" s="592">
        <f t="shared" ca="1" si="0"/>
        <v>6.7638634831186268E-5</v>
      </c>
      <c r="R46" s="511"/>
      <c r="S46" s="1897">
        <f t="shared" ca="1" si="1"/>
        <v>0</v>
      </c>
      <c r="T46" s="599">
        <f t="shared" ca="1" si="2"/>
        <v>1.3007429775228127E-5</v>
      </c>
      <c r="U46" s="599">
        <f t="shared" ca="1" si="4"/>
        <v>0</v>
      </c>
      <c r="V46" s="596">
        <f t="shared" ca="1" si="5"/>
        <v>0</v>
      </c>
      <c r="W46" s="593"/>
      <c r="X46" s="599">
        <f>Retire!U48</f>
        <v>0</v>
      </c>
      <c r="Y46" s="599">
        <f t="shared" ca="1" si="6"/>
        <v>0</v>
      </c>
      <c r="Z46" s="594">
        <f t="shared" ca="1" si="7"/>
        <v>0</v>
      </c>
      <c r="AC46" s="1897">
        <f>Retire!AO48</f>
        <v>0</v>
      </c>
      <c r="AD46" s="1897">
        <f>Retire!AZ48</f>
        <v>0</v>
      </c>
    </row>
    <row r="47" spans="2:30" ht="18" customHeight="1">
      <c r="B47" s="574"/>
      <c r="C47" s="574"/>
      <c r="F47" s="1886">
        <f>RMDTable!D47</f>
        <v>110</v>
      </c>
      <c r="G47" s="1886">
        <f>RMDTable!E47</f>
        <v>3.5</v>
      </c>
      <c r="H47" s="1887">
        <f>RMDTable!F47</f>
        <v>0.2858</v>
      </c>
      <c r="I47" s="586"/>
      <c r="J47" s="589"/>
      <c r="K47" s="589"/>
      <c r="L47" s="589"/>
      <c r="M47" s="589"/>
      <c r="N47" s="510"/>
      <c r="O47" s="510"/>
      <c r="P47" s="510"/>
      <c r="Q47" s="510"/>
      <c r="R47" s="510"/>
      <c r="S47" s="583"/>
      <c r="T47" s="583"/>
      <c r="U47" s="583"/>
      <c r="V47" s="583"/>
      <c r="W47" s="583"/>
      <c r="X47" s="563"/>
      <c r="Y47" s="583"/>
      <c r="Z47" s="583"/>
    </row>
    <row r="48" spans="2:30" ht="18" customHeight="1">
      <c r="B48" s="574"/>
      <c r="C48" s="574"/>
      <c r="F48" s="1886">
        <f>RMDTable!D48</f>
        <v>111</v>
      </c>
      <c r="G48" s="1886">
        <f>RMDTable!E48</f>
        <v>3.4</v>
      </c>
      <c r="H48" s="1887">
        <f>RMDTable!F48</f>
        <v>0.29420000000000002</v>
      </c>
      <c r="I48" s="586"/>
      <c r="J48" s="586"/>
      <c r="K48" s="586"/>
      <c r="L48" s="586"/>
      <c r="M48" s="586"/>
      <c r="N48" s="583"/>
      <c r="O48" s="583"/>
      <c r="P48" s="583"/>
      <c r="Q48" s="583"/>
      <c r="R48" s="583"/>
      <c r="S48" s="583"/>
      <c r="T48" s="583"/>
      <c r="U48" s="583"/>
      <c r="V48" s="583"/>
      <c r="W48" s="583"/>
      <c r="X48" s="563"/>
      <c r="Y48" s="583"/>
      <c r="Z48" s="583"/>
    </row>
    <row r="49" spans="2:26" ht="18" customHeight="1">
      <c r="B49" s="574"/>
      <c r="C49" s="574"/>
      <c r="F49" s="1886">
        <f>RMDTable!D49</f>
        <v>112</v>
      </c>
      <c r="G49" s="1886">
        <f>RMDTable!E49</f>
        <v>3.3</v>
      </c>
      <c r="H49" s="1887">
        <f>RMDTable!F49</f>
        <v>0.30309999999999998</v>
      </c>
      <c r="I49" s="586"/>
      <c r="J49" s="586"/>
      <c r="K49" s="586"/>
      <c r="L49" s="586"/>
      <c r="M49" s="586"/>
      <c r="N49" s="583"/>
      <c r="O49" s="583"/>
      <c r="P49" s="583"/>
      <c r="Q49" s="583"/>
      <c r="R49" s="583"/>
      <c r="S49" s="583"/>
      <c r="T49" s="583"/>
      <c r="U49" s="583"/>
      <c r="V49" s="583"/>
      <c r="W49" s="583"/>
      <c r="X49" s="563"/>
      <c r="Y49" s="583"/>
      <c r="Z49" s="583"/>
    </row>
    <row r="50" spans="2:26" ht="18" customHeight="1">
      <c r="B50" s="574"/>
      <c r="C50" s="574"/>
      <c r="F50" s="1886">
        <f>RMDTable!D50</f>
        <v>113</v>
      </c>
      <c r="G50" s="1886">
        <f>RMDTable!E50</f>
        <v>3.1</v>
      </c>
      <c r="H50" s="1887">
        <f>RMDTable!F50</f>
        <v>0.3226</v>
      </c>
      <c r="I50" s="586"/>
      <c r="J50" s="586"/>
      <c r="K50" s="586"/>
      <c r="L50" s="586"/>
      <c r="M50" s="586"/>
      <c r="N50" s="583"/>
      <c r="O50" s="583"/>
      <c r="P50" s="583"/>
      <c r="Q50" s="583"/>
      <c r="R50" s="583"/>
      <c r="S50" s="583"/>
      <c r="T50" s="583"/>
      <c r="U50" s="583"/>
      <c r="V50" s="583"/>
      <c r="W50" s="583"/>
      <c r="X50" s="563"/>
      <c r="Y50" s="583"/>
      <c r="Z50" s="583"/>
    </row>
    <row r="51" spans="2:26" ht="18" customHeight="1">
      <c r="B51" s="574"/>
      <c r="C51" s="574"/>
      <c r="F51" s="1886">
        <f>RMDTable!D51</f>
        <v>114</v>
      </c>
      <c r="G51" s="1886">
        <f>RMDTable!E51</f>
        <v>3</v>
      </c>
      <c r="H51" s="1887">
        <f>RMDTable!F51</f>
        <v>0.33339999999999997</v>
      </c>
      <c r="I51" s="586"/>
      <c r="J51" s="586"/>
      <c r="K51" s="586"/>
      <c r="L51" s="586"/>
      <c r="M51" s="586"/>
      <c r="N51" s="583"/>
      <c r="O51" s="583"/>
      <c r="P51" s="583"/>
      <c r="Q51" s="583"/>
      <c r="R51" s="583"/>
      <c r="S51" s="583"/>
      <c r="T51" s="583"/>
      <c r="U51" s="583"/>
      <c r="V51" s="583"/>
      <c r="W51" s="583"/>
      <c r="X51" s="563"/>
      <c r="Y51" s="583"/>
      <c r="Z51" s="583"/>
    </row>
    <row r="52" spans="2:26" ht="18" customHeight="1">
      <c r="B52" s="574"/>
      <c r="C52" s="574"/>
      <c r="F52" s="1886">
        <f>RMDTable!D52</f>
        <v>115</v>
      </c>
      <c r="G52" s="1886">
        <f>RMDTable!E52</f>
        <v>2.9</v>
      </c>
      <c r="H52" s="1887">
        <f>RMDTable!F52</f>
        <v>0.34489999999999998</v>
      </c>
      <c r="I52" s="586"/>
      <c r="J52" s="586"/>
      <c r="K52" s="586"/>
      <c r="L52" s="586"/>
      <c r="M52" s="586"/>
      <c r="N52" s="583"/>
      <c r="O52" s="583"/>
      <c r="P52" s="583"/>
      <c r="Q52" s="583"/>
      <c r="R52" s="583"/>
      <c r="S52" s="583"/>
      <c r="T52" s="583"/>
      <c r="U52" s="583"/>
      <c r="V52" s="583"/>
      <c r="W52" s="583"/>
      <c r="X52" s="563"/>
      <c r="Y52" s="583"/>
      <c r="Z52" s="583"/>
    </row>
    <row r="53" spans="2:26">
      <c r="B53" s="574"/>
      <c r="C53" s="574"/>
      <c r="F53" s="427"/>
      <c r="G53" s="427"/>
      <c r="H53" s="427"/>
      <c r="I53" s="427"/>
      <c r="J53" s="427"/>
      <c r="K53" s="427"/>
      <c r="L53" s="427"/>
      <c r="M53" s="427"/>
      <c r="N53" s="427"/>
      <c r="O53" s="427"/>
      <c r="P53" s="427"/>
      <c r="Q53" s="427"/>
      <c r="R53" s="427"/>
      <c r="S53" s="427"/>
      <c r="T53" s="427"/>
      <c r="U53" s="427"/>
      <c r="V53" s="427"/>
      <c r="W53" s="427"/>
    </row>
    <row r="54" spans="2:26">
      <c r="B54" s="574"/>
      <c r="C54" s="574"/>
      <c r="F54" s="2485"/>
      <c r="G54" s="2485"/>
      <c r="H54" s="2485"/>
      <c r="I54" s="574"/>
      <c r="J54" s="574"/>
      <c r="K54" s="574"/>
      <c r="L54" s="574"/>
      <c r="M54" s="574"/>
      <c r="N54" s="574"/>
      <c r="O54" s="574"/>
      <c r="P54" s="574"/>
      <c r="Q54" s="427"/>
      <c r="R54" s="427"/>
      <c r="S54" s="427"/>
      <c r="T54" s="427"/>
      <c r="U54" s="427"/>
      <c r="V54" s="427"/>
      <c r="W54" s="427"/>
      <c r="X54" s="427"/>
    </row>
    <row r="55" spans="2:26" ht="37" customHeight="1">
      <c r="B55" s="574"/>
      <c r="C55" s="574"/>
      <c r="F55" s="2485"/>
      <c r="G55" s="2485"/>
      <c r="H55" s="2485"/>
      <c r="I55" s="574"/>
      <c r="J55" s="574"/>
      <c r="K55" s="574"/>
      <c r="L55" s="574"/>
      <c r="M55" s="574"/>
      <c r="N55" s="574"/>
      <c r="O55" s="574"/>
      <c r="P55" s="574"/>
      <c r="Q55" s="427"/>
      <c r="R55" s="427"/>
      <c r="S55" s="427"/>
      <c r="T55" s="427"/>
      <c r="U55" s="427"/>
      <c r="V55" s="427"/>
      <c r="W55" s="427"/>
      <c r="X55" s="427"/>
    </row>
    <row r="56" spans="2:26">
      <c r="B56" s="574"/>
      <c r="C56" s="574"/>
      <c r="F56" s="574"/>
      <c r="G56" s="574"/>
      <c r="H56" s="574"/>
      <c r="I56" s="574"/>
      <c r="J56" s="574"/>
      <c r="K56" s="574"/>
      <c r="L56" s="574"/>
      <c r="M56" s="574"/>
      <c r="N56" s="574"/>
      <c r="O56" s="574"/>
      <c r="P56" s="574"/>
      <c r="Q56" s="427"/>
      <c r="R56" s="427"/>
      <c r="S56" s="427"/>
      <c r="T56" s="427"/>
      <c r="U56" s="427"/>
      <c r="V56" s="427"/>
      <c r="W56" s="427"/>
      <c r="X56" s="427"/>
    </row>
    <row r="57" spans="2:26">
      <c r="B57" s="427"/>
      <c r="C57" s="427"/>
      <c r="D57" s="427"/>
      <c r="E57" s="427"/>
      <c r="F57" s="427"/>
      <c r="G57" s="427"/>
      <c r="H57" s="427"/>
      <c r="I57" s="427"/>
      <c r="J57" s="427"/>
      <c r="K57" s="427"/>
      <c r="L57" s="427"/>
      <c r="M57" s="427"/>
      <c r="N57" s="427"/>
      <c r="O57" s="427"/>
      <c r="P57" s="427"/>
      <c r="Q57" s="427"/>
      <c r="R57" s="427"/>
      <c r="S57" s="427"/>
      <c r="T57" s="427"/>
      <c r="U57" s="427"/>
      <c r="V57" s="427"/>
      <c r="W57" s="427"/>
      <c r="X57" s="427"/>
    </row>
    <row r="58" spans="2:26">
      <c r="B58" s="427"/>
      <c r="C58" s="427"/>
      <c r="D58" s="427"/>
      <c r="E58" s="427"/>
      <c r="F58" s="427"/>
      <c r="G58" s="427"/>
      <c r="H58" s="427"/>
      <c r="I58" s="427"/>
      <c r="J58" s="427"/>
      <c r="K58" s="427"/>
      <c r="L58" s="427"/>
      <c r="M58" s="427"/>
      <c r="N58" s="427"/>
      <c r="O58" s="427"/>
      <c r="P58" s="427"/>
      <c r="Q58" s="427"/>
      <c r="R58" s="427"/>
      <c r="S58" s="427"/>
      <c r="T58" s="427"/>
      <c r="U58" s="427"/>
      <c r="V58" s="427"/>
      <c r="W58" s="427"/>
      <c r="X58" s="427"/>
    </row>
    <row r="59" spans="2:26">
      <c r="B59" s="427"/>
      <c r="C59" s="427"/>
      <c r="D59" s="427"/>
      <c r="E59" s="427"/>
      <c r="F59" s="427"/>
      <c r="G59" s="427"/>
      <c r="H59" s="427"/>
      <c r="I59" s="427"/>
      <c r="J59" s="427"/>
      <c r="K59" s="427"/>
      <c r="L59" s="427"/>
      <c r="M59" s="427"/>
      <c r="N59" s="427"/>
      <c r="O59" s="427"/>
      <c r="P59" s="427"/>
      <c r="Q59" s="427"/>
      <c r="R59" s="427"/>
      <c r="S59" s="427"/>
      <c r="T59" s="427"/>
      <c r="U59" s="427"/>
      <c r="V59" s="427"/>
      <c r="W59" s="427"/>
      <c r="X59" s="427"/>
    </row>
    <row r="60" spans="2:26">
      <c r="B60" s="427"/>
      <c r="C60" s="427"/>
      <c r="D60" s="427"/>
      <c r="E60" s="427"/>
      <c r="F60" s="427"/>
      <c r="G60" s="427"/>
      <c r="H60" s="427"/>
      <c r="I60" s="427"/>
      <c r="J60" s="427"/>
      <c r="K60" s="427"/>
      <c r="L60" s="427"/>
      <c r="M60" s="427"/>
      <c r="N60" s="427"/>
      <c r="O60" s="427"/>
      <c r="P60" s="427"/>
      <c r="Q60" s="427"/>
      <c r="R60" s="427"/>
      <c r="S60" s="427"/>
      <c r="T60" s="427"/>
      <c r="U60" s="427"/>
      <c r="V60" s="427"/>
      <c r="W60" s="427"/>
      <c r="X60" s="427"/>
    </row>
    <row r="61" spans="2:26">
      <c r="B61" s="427"/>
      <c r="C61" s="427"/>
      <c r="D61" s="427"/>
      <c r="E61" s="427"/>
      <c r="F61" s="427"/>
      <c r="G61" s="427"/>
      <c r="H61" s="427"/>
      <c r="I61" s="427"/>
      <c r="J61" s="427"/>
      <c r="K61" s="427"/>
      <c r="L61" s="427"/>
      <c r="M61" s="427"/>
      <c r="N61" s="427"/>
      <c r="O61" s="427"/>
      <c r="P61" s="427"/>
      <c r="Q61" s="427"/>
      <c r="R61" s="427"/>
      <c r="S61" s="427"/>
      <c r="T61" s="427"/>
      <c r="U61" s="427"/>
      <c r="V61" s="427"/>
      <c r="W61" s="427"/>
      <c r="X61" s="427"/>
    </row>
    <row r="62" spans="2:26">
      <c r="B62" s="427"/>
      <c r="C62" s="427"/>
      <c r="D62" s="427"/>
      <c r="E62" s="427"/>
      <c r="F62" s="427"/>
      <c r="G62" s="427"/>
      <c r="H62" s="427"/>
      <c r="I62" s="427"/>
      <c r="J62" s="427"/>
      <c r="K62" s="427"/>
      <c r="L62" s="427"/>
      <c r="M62" s="427"/>
      <c r="N62" s="427"/>
      <c r="O62" s="427"/>
      <c r="P62" s="427"/>
      <c r="Q62" s="427"/>
      <c r="R62" s="427"/>
      <c r="S62" s="427"/>
      <c r="T62" s="427"/>
      <c r="U62" s="427"/>
      <c r="V62" s="427"/>
      <c r="W62" s="427"/>
      <c r="X62" s="427"/>
    </row>
    <row r="63" spans="2:26">
      <c r="B63" s="427"/>
      <c r="C63" s="427"/>
      <c r="D63" s="427"/>
      <c r="E63" s="427"/>
      <c r="F63" s="427"/>
      <c r="G63" s="427"/>
      <c r="H63" s="427"/>
      <c r="I63" s="427"/>
      <c r="J63" s="427"/>
      <c r="K63" s="427"/>
      <c r="L63" s="427"/>
      <c r="M63" s="427"/>
      <c r="N63" s="427"/>
      <c r="O63" s="427"/>
      <c r="P63" s="427"/>
      <c r="Q63" s="427"/>
      <c r="R63" s="427"/>
      <c r="S63" s="427"/>
      <c r="T63" s="427"/>
      <c r="U63" s="427"/>
      <c r="V63" s="427"/>
      <c r="W63" s="427"/>
      <c r="X63" s="427"/>
    </row>
    <row r="64" spans="2:26">
      <c r="B64" s="427"/>
      <c r="C64" s="427"/>
      <c r="D64" s="427"/>
      <c r="E64" s="427"/>
      <c r="F64" s="427"/>
      <c r="G64" s="427"/>
      <c r="H64" s="427"/>
      <c r="I64" s="427"/>
      <c r="J64" s="427"/>
      <c r="K64" s="427"/>
      <c r="L64" s="427"/>
      <c r="M64" s="427"/>
      <c r="N64" s="427"/>
      <c r="O64" s="427"/>
      <c r="P64" s="427"/>
      <c r="Q64" s="427"/>
      <c r="R64" s="427"/>
      <c r="S64" s="427"/>
      <c r="T64" s="427"/>
      <c r="U64" s="427"/>
      <c r="V64" s="427"/>
      <c r="W64" s="427"/>
      <c r="X64" s="427"/>
    </row>
    <row r="65" s="427" customFormat="1"/>
    <row r="66" s="427" customFormat="1"/>
    <row r="67" s="427" customFormat="1"/>
  </sheetData>
  <sheetProtection algorithmName="SHA-512" hashValue="6/Sh7010z5vjDCZi2QIHvHeXtit+jWtDuwK3IvThW3FxDd/L6BsM5bDiZjBtdce3o7Lzwo+W/m1AiDdzXehjoQ==" saltValue="ROaFfI5gGv4W3xF7g/CYiQ==" spinCount="100000" sheet="1" objects="1" scenarios="1" formatCells="0" formatColumns="0" formatRows="0" selectLockedCells="1"/>
  <mergeCells count="19">
    <mergeCell ref="C3:L3"/>
    <mergeCell ref="F54:H55"/>
    <mergeCell ref="A9:A10"/>
    <mergeCell ref="A5:A6"/>
    <mergeCell ref="C4:D4"/>
    <mergeCell ref="J4:K5"/>
    <mergeCell ref="L4:L6"/>
    <mergeCell ref="U4:U6"/>
    <mergeCell ref="N4:N6"/>
    <mergeCell ref="F5:H5"/>
    <mergeCell ref="AC4:AC6"/>
    <mergeCell ref="AD4:AD6"/>
    <mergeCell ref="Z4:Z6"/>
    <mergeCell ref="O4:O6"/>
    <mergeCell ref="X4:X6"/>
    <mergeCell ref="S4:S6"/>
    <mergeCell ref="T4:T6"/>
    <mergeCell ref="V4:V6"/>
    <mergeCell ref="Y4:Y6"/>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25" zoomScaleNormal="125" workbookViewId="0">
      <pane ySplit="3" topLeftCell="A4" activePane="bottomLeft" state="frozen"/>
      <selection pane="bottomLeft" activeCell="G8" sqref="G8"/>
    </sheetView>
  </sheetViews>
  <sheetFormatPr baseColWidth="10" defaultRowHeight="16"/>
  <cols>
    <col min="1" max="1" width="5.7109375" style="1365" customWidth="1"/>
    <col min="2" max="2" width="1.7109375" style="1365" customWidth="1"/>
    <col min="3" max="3" width="5.42578125" style="1365" customWidth="1"/>
    <col min="4" max="6" width="10.7109375" style="1365"/>
    <col min="7" max="7" width="14.42578125" style="1365" customWidth="1"/>
    <col min="8" max="8" width="9.85546875" style="1365" customWidth="1"/>
    <col min="9" max="11" width="10.7109375" style="1365"/>
    <col min="12" max="12" width="11.28515625" style="1365" bestFit="1" customWidth="1"/>
    <col min="13" max="13" width="10.7109375" style="1365"/>
    <col min="14" max="14" width="2.7109375" style="1365" customWidth="1"/>
    <col min="15" max="15" width="3" style="1365" customWidth="1"/>
    <col min="16" max="16384" width="10.7109375" style="1365"/>
  </cols>
  <sheetData>
    <row r="1" spans="1:28" s="1515" customFormat="1" ht="8" customHeight="1">
      <c r="A1" s="1513"/>
      <c r="B1" s="1513"/>
      <c r="C1" s="1513"/>
      <c r="D1" s="1513"/>
      <c r="E1" s="1513"/>
      <c r="F1" s="1513"/>
      <c r="G1" s="1513"/>
      <c r="H1" s="1513"/>
      <c r="I1" s="1513"/>
      <c r="J1" s="1513"/>
      <c r="K1" s="1513"/>
      <c r="L1" s="1513"/>
      <c r="M1" s="1513"/>
      <c r="N1" s="1513"/>
      <c r="O1" s="1514"/>
      <c r="P1" s="1514"/>
      <c r="Q1" s="1514"/>
      <c r="R1" s="1514"/>
      <c r="S1" s="1514"/>
      <c r="T1" s="1514"/>
      <c r="U1" s="1514"/>
      <c r="V1" s="1514"/>
      <c r="W1" s="1514"/>
      <c r="X1" s="1514"/>
      <c r="Y1" s="1514"/>
      <c r="Z1" s="1514"/>
      <c r="AA1" s="1514"/>
    </row>
    <row r="2" spans="1:28" s="1515" customFormat="1" ht="40" customHeight="1">
      <c r="A2" s="569"/>
      <c r="C2" s="201" t="s">
        <v>2309</v>
      </c>
      <c r="D2" s="1516"/>
      <c r="E2" s="1517"/>
      <c r="F2" s="1518"/>
      <c r="G2" s="1519"/>
    </row>
    <row r="3" spans="1:28" s="1515" customFormat="1" ht="20" customHeight="1">
      <c r="A3" s="614" t="s">
        <v>1347</v>
      </c>
      <c r="C3" s="2497" t="s">
        <v>2310</v>
      </c>
      <c r="D3" s="2497"/>
      <c r="E3" s="2497"/>
      <c r="F3" s="2497"/>
      <c r="G3" s="2497"/>
      <c r="H3" s="2497"/>
      <c r="I3" s="2497"/>
      <c r="J3" s="2497"/>
      <c r="K3" s="2497"/>
      <c r="L3" s="2497"/>
      <c r="M3" s="1520"/>
      <c r="N3" s="1520"/>
      <c r="O3" s="1520"/>
      <c r="P3" s="1520"/>
      <c r="Q3" s="1519"/>
      <c r="R3" s="1519"/>
      <c r="S3" s="1519"/>
      <c r="T3" s="1519"/>
      <c r="U3" s="1519"/>
      <c r="V3" s="1519"/>
      <c r="W3" s="1519"/>
      <c r="X3" s="1519"/>
      <c r="Y3" s="1521"/>
      <c r="Z3" s="1521"/>
      <c r="AA3" s="1521"/>
      <c r="AB3" s="1521"/>
    </row>
    <row r="4" spans="1:28" ht="10" customHeight="1"/>
    <row r="5" spans="1:28" ht="10" customHeight="1"/>
    <row r="6" spans="1:28" ht="35" customHeight="1">
      <c r="C6" s="1526" t="s">
        <v>2312</v>
      </c>
      <c r="D6" s="1525"/>
      <c r="E6" s="1561"/>
      <c r="F6" s="1561"/>
      <c r="G6" s="1561" t="s">
        <v>2371</v>
      </c>
      <c r="H6" s="1561"/>
      <c r="I6" s="1561"/>
      <c r="J6" s="1561"/>
      <c r="K6" s="1561"/>
      <c r="L6" s="1561"/>
      <c r="M6" s="1525"/>
      <c r="N6" s="1525"/>
    </row>
    <row r="8" spans="1:28">
      <c r="D8" s="1365" t="s">
        <v>2311</v>
      </c>
      <c r="G8" s="1538">
        <v>12000</v>
      </c>
    </row>
    <row r="10" spans="1:28">
      <c r="D10" s="1365" t="s">
        <v>2324</v>
      </c>
      <c r="G10" s="1537">
        <v>0.05</v>
      </c>
    </row>
    <row r="12" spans="1:28">
      <c r="D12" s="1365" t="s">
        <v>2334</v>
      </c>
      <c r="G12" s="1538"/>
    </row>
    <row r="14" spans="1:28">
      <c r="D14" s="1365" t="s">
        <v>2332</v>
      </c>
      <c r="G14" s="1539">
        <v>5</v>
      </c>
    </row>
    <row r="16" spans="1:28">
      <c r="D16" s="1365" t="s">
        <v>2333</v>
      </c>
      <c r="G16" s="1539">
        <v>12</v>
      </c>
    </row>
    <row r="18" spans="3:14">
      <c r="F18" s="1540" t="s">
        <v>2312</v>
      </c>
      <c r="G18" s="1547">
        <f>PV(G10/G16,(G14*G16),G12,G8,0) * -1</f>
        <v>9350.464683803626</v>
      </c>
    </row>
    <row r="19" spans="3:14">
      <c r="F19" s="1540" t="s">
        <v>2311</v>
      </c>
      <c r="G19" s="1547">
        <f>G8</f>
        <v>12000</v>
      </c>
    </row>
    <row r="20" spans="3:14">
      <c r="F20" s="1540"/>
      <c r="G20" s="1550"/>
    </row>
    <row r="21" spans="3:14">
      <c r="F21" s="1540"/>
      <c r="G21" s="1550"/>
    </row>
    <row r="22" spans="3:14">
      <c r="F22" s="1540"/>
      <c r="G22" s="1550"/>
    </row>
    <row r="27" spans="3:14" ht="35" customHeight="1">
      <c r="C27" s="1541" t="s">
        <v>2311</v>
      </c>
      <c r="D27" s="1542"/>
      <c r="E27" s="1551"/>
      <c r="F27" s="1551"/>
      <c r="G27" s="1551" t="s">
        <v>2372</v>
      </c>
      <c r="H27" s="1551"/>
      <c r="I27" s="1551"/>
      <c r="J27" s="1551"/>
      <c r="K27" s="1551"/>
      <c r="L27" s="1551"/>
      <c r="M27" s="1542"/>
      <c r="N27" s="1543"/>
    </row>
    <row r="29" spans="3:14">
      <c r="D29" s="1365" t="s">
        <v>2315</v>
      </c>
      <c r="G29" s="1538">
        <v>3000</v>
      </c>
    </row>
    <row r="31" spans="3:14">
      <c r="D31" s="1365" t="s">
        <v>2324</v>
      </c>
      <c r="G31" s="1537">
        <v>7.4999999999999997E-2</v>
      </c>
    </row>
    <row r="33" spans="4:12">
      <c r="D33" s="1365" t="s">
        <v>2332</v>
      </c>
      <c r="G33" s="1539">
        <v>20</v>
      </c>
    </row>
    <row r="34" spans="4:12">
      <c r="K34" s="1527"/>
      <c r="L34" s="1528"/>
    </row>
    <row r="35" spans="4:12">
      <c r="D35" s="1365" t="s">
        <v>2333</v>
      </c>
      <c r="G35" s="1539">
        <v>1</v>
      </c>
    </row>
    <row r="37" spans="4:12">
      <c r="D37" s="1365" t="s">
        <v>2370</v>
      </c>
      <c r="G37" s="1538">
        <v>20000</v>
      </c>
    </row>
    <row r="39" spans="4:12">
      <c r="D39" s="1523" t="s">
        <v>2313</v>
      </c>
      <c r="E39" s="1523"/>
      <c r="F39" s="1523"/>
      <c r="G39" s="1538" t="s">
        <v>2314</v>
      </c>
    </row>
    <row r="41" spans="4:12">
      <c r="F41" s="1544" t="s">
        <v>2317</v>
      </c>
      <c r="G41" s="1545">
        <f>FV(G31/G35,G33*G35,-G37,-G29,IF(G39="End",0,1))</f>
        <v>878837.18003114674</v>
      </c>
    </row>
    <row r="43" spans="4:12">
      <c r="F43" s="1544" t="s">
        <v>2315</v>
      </c>
      <c r="G43" s="1548">
        <f>G29</f>
        <v>3000</v>
      </c>
    </row>
    <row r="44" spans="4:12">
      <c r="F44" s="1544" t="s">
        <v>2426</v>
      </c>
      <c r="G44" s="1548">
        <f>G37*G33</f>
        <v>400000</v>
      </c>
    </row>
    <row r="45" spans="4:12">
      <c r="F45" s="1544" t="s">
        <v>2283</v>
      </c>
      <c r="G45" s="1548">
        <f>G41-(G43+G44)</f>
        <v>475837.18003114674</v>
      </c>
    </row>
    <row r="49" spans="3:14" ht="35" customHeight="1">
      <c r="C49" s="1541" t="s">
        <v>2341</v>
      </c>
      <c r="D49" s="1542"/>
      <c r="E49" s="1542"/>
      <c r="F49" s="1542"/>
      <c r="G49" s="1551" t="s">
        <v>2354</v>
      </c>
      <c r="H49" s="1542"/>
      <c r="I49" s="1542"/>
      <c r="J49" s="1542"/>
      <c r="K49" s="1542"/>
      <c r="L49" s="1542"/>
      <c r="M49" s="1542"/>
      <c r="N49" s="1543"/>
    </row>
    <row r="51" spans="3:14">
      <c r="D51" s="1365" t="s">
        <v>2338</v>
      </c>
      <c r="G51" s="1538">
        <v>400000</v>
      </c>
    </row>
    <row r="53" spans="3:14">
      <c r="D53" s="1365" t="s">
        <v>2339</v>
      </c>
      <c r="G53" s="1538">
        <v>80000</v>
      </c>
    </row>
    <row r="55" spans="3:14">
      <c r="D55" s="1365" t="s">
        <v>2331</v>
      </c>
      <c r="G55" s="1539">
        <v>30</v>
      </c>
    </row>
    <row r="57" spans="3:14">
      <c r="D57" s="1365" t="s">
        <v>2335</v>
      </c>
      <c r="G57" s="1537">
        <v>3.7699999999999997E-2</v>
      </c>
    </row>
    <row r="59" spans="3:14">
      <c r="F59" s="1540" t="s">
        <v>2336</v>
      </c>
      <c r="G59" s="1547">
        <f>PMT(G57/12,G55*12,G51-G53,0)*-1</f>
        <v>1485.6038359966594</v>
      </c>
    </row>
    <row r="61" spans="3:14">
      <c r="F61" s="1540" t="s">
        <v>2340</v>
      </c>
      <c r="G61" s="1547">
        <f>G59*(G55*12)</f>
        <v>534817.38095879741</v>
      </c>
    </row>
    <row r="62" spans="3:14">
      <c r="F62" s="1540" t="s">
        <v>2337</v>
      </c>
      <c r="G62" s="1547">
        <f>G61-(G51-G53)</f>
        <v>214817.38095879741</v>
      </c>
    </row>
    <row r="70" spans="3:14" ht="35" customHeight="1">
      <c r="C70" s="1541" t="s">
        <v>2373</v>
      </c>
      <c r="D70" s="1542"/>
      <c r="E70" s="1542"/>
      <c r="F70" s="1542"/>
      <c r="G70" s="1551" t="s">
        <v>2355</v>
      </c>
      <c r="H70" s="1542"/>
      <c r="I70" s="1542"/>
      <c r="J70" s="1542"/>
      <c r="K70" s="1542"/>
      <c r="L70" s="1542"/>
      <c r="M70" s="1542"/>
      <c r="N70" s="1543"/>
    </row>
    <row r="72" spans="3:14">
      <c r="D72" s="1365" t="s">
        <v>2342</v>
      </c>
      <c r="G72" s="1549">
        <v>17576.5</v>
      </c>
    </row>
    <row r="74" spans="3:14">
      <c r="D74" s="1365" t="s">
        <v>2339</v>
      </c>
      <c r="G74" s="1549">
        <v>0</v>
      </c>
    </row>
    <row r="76" spans="3:14">
      <c r="D76" s="1365" t="s">
        <v>2343</v>
      </c>
      <c r="G76" s="1549">
        <v>0</v>
      </c>
    </row>
    <row r="78" spans="3:14">
      <c r="D78" s="1365" t="s">
        <v>2347</v>
      </c>
      <c r="G78" s="1549">
        <v>0</v>
      </c>
    </row>
    <row r="80" spans="3:14">
      <c r="D80" s="1365" t="s">
        <v>2348</v>
      </c>
      <c r="G80" s="1549">
        <v>0</v>
      </c>
    </row>
    <row r="82" spans="4:7">
      <c r="D82" s="1365" t="s">
        <v>2344</v>
      </c>
      <c r="G82" s="1539">
        <v>60</v>
      </c>
    </row>
    <row r="84" spans="4:7">
      <c r="D84" s="1365" t="s">
        <v>2335</v>
      </c>
      <c r="G84" s="1537">
        <v>0.05</v>
      </c>
    </row>
    <row r="86" spans="4:7">
      <c r="D86" s="1365" t="s">
        <v>2345</v>
      </c>
      <c r="E86" s="1537">
        <v>0</v>
      </c>
      <c r="G86" s="1546">
        <f>G72*E86</f>
        <v>0</v>
      </c>
    </row>
    <row r="88" spans="4:7">
      <c r="F88" s="1365" t="s">
        <v>2346</v>
      </c>
      <c r="G88" s="1546">
        <f>(G72+G86)-(G74+G76+G78)</f>
        <v>17576.5</v>
      </c>
    </row>
    <row r="90" spans="4:7">
      <c r="F90" s="1540" t="s">
        <v>2336</v>
      </c>
      <c r="G90" s="1547">
        <f>PMT(G84/12,G82,G88,0)*-1</f>
        <v>331.69023814395825</v>
      </c>
    </row>
    <row r="92" spans="4:7">
      <c r="F92" s="1540" t="s">
        <v>2340</v>
      </c>
      <c r="G92" s="1547">
        <f>G90*G82</f>
        <v>19901.414288637494</v>
      </c>
    </row>
    <row r="93" spans="4:7">
      <c r="F93" s="1540" t="s">
        <v>2337</v>
      </c>
      <c r="G93" s="1547">
        <f>G92-G88</f>
        <v>2324.9142886374939</v>
      </c>
    </row>
    <row r="95" spans="4:7">
      <c r="F95" s="1540"/>
      <c r="G95" s="1550"/>
    </row>
    <row r="96" spans="4:7">
      <c r="F96" s="1540"/>
      <c r="G96" s="1550"/>
    </row>
    <row r="97" spans="3:14" ht="35" customHeight="1">
      <c r="C97" s="1541" t="s">
        <v>2352</v>
      </c>
      <c r="D97" s="1542"/>
      <c r="E97" s="1542"/>
      <c r="F97" s="1542"/>
      <c r="G97" s="1551" t="s">
        <v>2356</v>
      </c>
      <c r="H97" s="1542"/>
      <c r="I97" s="1542"/>
      <c r="J97" s="1542"/>
      <c r="K97" s="1542"/>
      <c r="L97" s="1542"/>
      <c r="M97" s="1542"/>
      <c r="N97" s="1543"/>
    </row>
    <row r="99" spans="3:14">
      <c r="D99" s="1365" t="s">
        <v>2315</v>
      </c>
      <c r="G99" s="1538">
        <v>50000</v>
      </c>
    </row>
    <row r="101" spans="3:14">
      <c r="D101" s="1365" t="s">
        <v>2324</v>
      </c>
      <c r="G101" s="1537">
        <v>0.06</v>
      </c>
    </row>
    <row r="103" spans="3:14">
      <c r="D103" s="1365" t="s">
        <v>2350</v>
      </c>
      <c r="G103" s="1537">
        <v>0.01</v>
      </c>
    </row>
    <row r="105" spans="3:14">
      <c r="D105" s="1365" t="s">
        <v>2332</v>
      </c>
      <c r="G105" s="1539">
        <v>10</v>
      </c>
    </row>
    <row r="107" spans="3:14">
      <c r="D107" s="1365" t="s">
        <v>2353</v>
      </c>
      <c r="G107" s="1538">
        <v>1000</v>
      </c>
    </row>
    <row r="109" spans="3:14">
      <c r="D109" s="1523"/>
      <c r="E109" s="1523"/>
      <c r="F109" s="1544" t="s">
        <v>2317</v>
      </c>
      <c r="G109" s="1545">
        <f>FV((G101-G103),G105,-G107,-G99,0)</f>
        <v>94022.623874420911</v>
      </c>
    </row>
    <row r="111" spans="3:14">
      <c r="F111" s="1544" t="s">
        <v>2315</v>
      </c>
      <c r="G111" s="1548">
        <f>G99</f>
        <v>50000</v>
      </c>
    </row>
    <row r="112" spans="3:14">
      <c r="F112" s="1544" t="s">
        <v>2316</v>
      </c>
      <c r="G112" s="1548">
        <f>G107*G105</f>
        <v>10000</v>
      </c>
    </row>
    <row r="113" spans="3:14">
      <c r="F113" s="1544" t="s">
        <v>2283</v>
      </c>
      <c r="G113" s="1548">
        <f>G109-(G111+G112)</f>
        <v>34022.623874420911</v>
      </c>
    </row>
    <row r="114" spans="3:14">
      <c r="F114" s="1544" t="s">
        <v>2351</v>
      </c>
      <c r="G114" s="1547">
        <f>FV(G101,G105,-G107,-G99,0)-FV((G101-G103),G105,-G107,-G99,0)</f>
        <v>8700.5558951027197</v>
      </c>
    </row>
    <row r="119" spans="3:14" ht="35" customHeight="1">
      <c r="C119" s="1541" t="s">
        <v>2349</v>
      </c>
      <c r="D119" s="1542"/>
      <c r="E119" s="1542"/>
      <c r="F119" s="1542"/>
      <c r="G119" s="1551" t="s">
        <v>2361</v>
      </c>
      <c r="H119" s="1542"/>
      <c r="I119" s="1542"/>
      <c r="J119" s="1542"/>
      <c r="K119" s="1542"/>
      <c r="L119" s="1542"/>
      <c r="M119" s="1542"/>
      <c r="N119" s="1543"/>
    </row>
    <row r="121" spans="3:14">
      <c r="D121" s="1365" t="s">
        <v>2357</v>
      </c>
      <c r="G121" s="1538">
        <v>50000</v>
      </c>
    </row>
    <row r="123" spans="3:14">
      <c r="D123" s="1365" t="s">
        <v>2358</v>
      </c>
      <c r="G123" s="1538">
        <v>76500</v>
      </c>
    </row>
    <row r="124" spans="3:14">
      <c r="F124" s="1540"/>
      <c r="G124" s="1550"/>
    </row>
    <row r="125" spans="3:14">
      <c r="D125" s="1365" t="s">
        <v>2359</v>
      </c>
      <c r="F125" s="1540"/>
      <c r="G125" s="1552">
        <v>8.25</v>
      </c>
    </row>
    <row r="126" spans="3:14">
      <c r="F126" s="1540"/>
      <c r="G126" s="1550"/>
    </row>
    <row r="127" spans="3:14" ht="17" customHeight="1">
      <c r="F127" s="1560" t="s">
        <v>2360</v>
      </c>
      <c r="G127" s="1553">
        <f>((G123-G121)/G121)</f>
        <v>0.53</v>
      </c>
    </row>
    <row r="128" spans="3:14">
      <c r="F128" s="1560" t="s">
        <v>2362</v>
      </c>
      <c r="G128" s="1553">
        <f>((G123-G121)/G121)*(1/G125)</f>
        <v>6.4242424242424254E-2</v>
      </c>
    </row>
    <row r="129" spans="6:7">
      <c r="F129" s="1540"/>
      <c r="G129" s="1550"/>
    </row>
    <row r="130" spans="6:7">
      <c r="F130" s="1540"/>
      <c r="G130" s="1550"/>
    </row>
    <row r="131" spans="6:7">
      <c r="F131" s="1540"/>
      <c r="G131" s="1550"/>
    </row>
    <row r="132" spans="6:7">
      <c r="F132" s="1540"/>
      <c r="G132" s="1550"/>
    </row>
    <row r="133" spans="6:7">
      <c r="F133" s="1540"/>
      <c r="G133" s="1550"/>
    </row>
    <row r="134" spans="6:7">
      <c r="F134" s="1540"/>
      <c r="G134" s="1550"/>
    </row>
    <row r="135" spans="6:7">
      <c r="F135" s="1540"/>
      <c r="G135" s="1550"/>
    </row>
    <row r="136" spans="6:7">
      <c r="F136" s="1540"/>
      <c r="G136" s="1550"/>
    </row>
    <row r="137" spans="6:7">
      <c r="F137" s="1540"/>
      <c r="G137" s="1550"/>
    </row>
    <row r="138" spans="6:7">
      <c r="F138" s="1540"/>
      <c r="G138" s="1550"/>
    </row>
    <row r="139" spans="6:7">
      <c r="F139" s="1540"/>
      <c r="G139" s="1550"/>
    </row>
    <row r="140" spans="6:7">
      <c r="F140" s="1540"/>
      <c r="G140" s="1550"/>
    </row>
    <row r="141" spans="6:7">
      <c r="F141" s="1540"/>
      <c r="G141" s="1550"/>
    </row>
    <row r="142" spans="6:7">
      <c r="F142" s="1540"/>
      <c r="G142" s="1550"/>
    </row>
    <row r="143" spans="6:7">
      <c r="F143" s="1540"/>
      <c r="G143" s="1550"/>
    </row>
    <row r="144" spans="6:7">
      <c r="F144" s="1540"/>
      <c r="G144" s="1550"/>
    </row>
    <row r="145" spans="4:8">
      <c r="F145" s="1540"/>
      <c r="G145" s="1550"/>
    </row>
    <row r="146" spans="4:8">
      <c r="F146" s="1540"/>
      <c r="G146" s="1550"/>
    </row>
    <row r="147" spans="4:8">
      <c r="F147" s="1540"/>
      <c r="G147" s="1550"/>
    </row>
    <row r="148" spans="4:8">
      <c r="F148" s="1540"/>
      <c r="G148" s="1550"/>
    </row>
    <row r="149" spans="4:8">
      <c r="F149" s="1540"/>
      <c r="G149" s="1550"/>
    </row>
    <row r="150" spans="4:8">
      <c r="F150" s="1540"/>
      <c r="G150" s="1550"/>
    </row>
    <row r="151" spans="4:8">
      <c r="F151" s="1540"/>
      <c r="G151" s="1550"/>
    </row>
    <row r="152" spans="4:8">
      <c r="F152" s="1540"/>
      <c r="G152" s="1550"/>
    </row>
    <row r="153" spans="4:8">
      <c r="F153" s="1540"/>
      <c r="G153" s="1550"/>
    </row>
    <row r="154" spans="4:8">
      <c r="D154" s="1530"/>
    </row>
    <row r="155" spans="4:8">
      <c r="D155" s="1532"/>
      <c r="E155" s="1524"/>
      <c r="F155" s="1524"/>
      <c r="G155" s="1524"/>
      <c r="H155" s="1524"/>
    </row>
    <row r="156" spans="4:8" hidden="1">
      <c r="D156" s="1529" t="s">
        <v>2329</v>
      </c>
      <c r="E156" s="1529"/>
      <c r="F156" s="1529"/>
      <c r="G156" s="1529">
        <v>500000</v>
      </c>
      <c r="H156" s="1529"/>
    </row>
    <row r="157" spans="4:8" hidden="1">
      <c r="D157" s="1529" t="s">
        <v>2330</v>
      </c>
      <c r="E157" s="1529"/>
      <c r="F157" s="1529"/>
      <c r="G157" s="1531">
        <f>G160*G161</f>
        <v>360</v>
      </c>
      <c r="H157" s="1529"/>
    </row>
    <row r="158" spans="4:8" hidden="1">
      <c r="D158" s="1529" t="s">
        <v>2324</v>
      </c>
      <c r="E158" s="1529"/>
      <c r="F158" s="1529"/>
      <c r="G158" s="1533">
        <v>4.4999999999999998E-2</v>
      </c>
      <c r="H158" s="1529"/>
    </row>
    <row r="159" spans="4:8" hidden="1">
      <c r="D159" s="1529" t="s">
        <v>2325</v>
      </c>
      <c r="E159" s="1529"/>
      <c r="F159" s="1529"/>
      <c r="G159" s="1533">
        <f>G158/G161</f>
        <v>3.7499999999999999E-3</v>
      </c>
      <c r="H159" s="1528"/>
    </row>
    <row r="160" spans="4:8" hidden="1">
      <c r="D160" s="1529" t="s">
        <v>2322</v>
      </c>
      <c r="E160" s="1529"/>
      <c r="F160" s="1529"/>
      <c r="G160" s="1536">
        <v>30</v>
      </c>
      <c r="H160" s="1528"/>
    </row>
    <row r="161" spans="4:15" hidden="1">
      <c r="D161" s="1529" t="s">
        <v>2323</v>
      </c>
      <c r="E161" s="1529"/>
      <c r="F161" s="1529"/>
      <c r="G161" s="1536">
        <v>12</v>
      </c>
      <c r="H161" s="1528"/>
    </row>
    <row r="162" spans="4:15" hidden="1">
      <c r="D162" s="1529" t="s">
        <v>2307</v>
      </c>
      <c r="E162" s="1529"/>
      <c r="F162" s="1529"/>
      <c r="G162" s="1529">
        <f>PMT(G159,G157,G156,0)*-1</f>
        <v>2533.4265491294036</v>
      </c>
      <c r="H162" s="1529"/>
    </row>
    <row r="163" spans="4:15" hidden="1">
      <c r="D163" s="1529"/>
      <c r="E163" s="1529"/>
      <c r="F163" s="1529"/>
      <c r="G163" s="1529"/>
      <c r="H163" s="1529"/>
    </row>
    <row r="164" spans="4:15" hidden="1">
      <c r="D164" s="1535" t="s">
        <v>2319</v>
      </c>
      <c r="E164" s="1535" t="s">
        <v>2320</v>
      </c>
      <c r="F164" s="1535" t="s">
        <v>2307</v>
      </c>
      <c r="G164" s="1535" t="s">
        <v>2318</v>
      </c>
      <c r="I164" s="1535" t="s">
        <v>2321</v>
      </c>
      <c r="J164" s="1524"/>
      <c r="K164" s="1522" t="s">
        <v>2326</v>
      </c>
      <c r="L164" s="1522" t="s">
        <v>2327</v>
      </c>
      <c r="O164" s="1365" t="s">
        <v>2328</v>
      </c>
    </row>
    <row r="165" spans="4:15" hidden="1">
      <c r="D165" s="1534">
        <v>1</v>
      </c>
      <c r="E165" s="1529">
        <f>G156</f>
        <v>500000</v>
      </c>
      <c r="F165" s="1529">
        <f>G162</f>
        <v>2533.4265491294036</v>
      </c>
      <c r="G165" s="1529">
        <f>E165*G159</f>
        <v>1875</v>
      </c>
      <c r="H165" s="1529">
        <f>F165-G165</f>
        <v>658.42654912940361</v>
      </c>
      <c r="I165" s="1529">
        <f>E165-H165</f>
        <v>499341.57345087058</v>
      </c>
      <c r="K165" s="1529">
        <f>G165</f>
        <v>1875</v>
      </c>
      <c r="L165" s="1529">
        <f>H165</f>
        <v>658.42654912940361</v>
      </c>
      <c r="O165" s="1529">
        <f>K165+L165</f>
        <v>2533.4265491294036</v>
      </c>
    </row>
    <row r="166" spans="4:15" hidden="1">
      <c r="D166" s="1534">
        <f>D165+1</f>
        <v>2</v>
      </c>
      <c r="E166" s="1529">
        <f>I165</f>
        <v>499341.57345087058</v>
      </c>
      <c r="F166" s="1529">
        <f>F165</f>
        <v>2533.4265491294036</v>
      </c>
      <c r="G166" s="1529">
        <f>E166*$G$159</f>
        <v>1872.5309004407645</v>
      </c>
      <c r="H166" s="1529">
        <f>F166-G166</f>
        <v>660.89564868863908</v>
      </c>
      <c r="I166" s="1529">
        <f>E166-H166</f>
        <v>498680.67780218192</v>
      </c>
      <c r="K166" s="1529">
        <f>K165+G166</f>
        <v>3747.5309004407645</v>
      </c>
      <c r="L166" s="1529">
        <f>L165+H166</f>
        <v>1319.3221978180427</v>
      </c>
      <c r="O166" s="1529">
        <f t="shared" ref="O166:O229" si="0">K166+L166</f>
        <v>5066.8530982588072</v>
      </c>
    </row>
    <row r="167" spans="4:15" hidden="1">
      <c r="D167" s="1534">
        <f t="shared" ref="D167:D204" si="1">D166+1</f>
        <v>3</v>
      </c>
      <c r="E167" s="1529">
        <f t="shared" ref="E167:E204" si="2">I166</f>
        <v>498680.67780218192</v>
      </c>
      <c r="F167" s="1529">
        <f t="shared" ref="F167:F204" si="3">F166</f>
        <v>2533.4265491294036</v>
      </c>
      <c r="G167" s="1529">
        <f t="shared" ref="G167:G204" si="4">E167*$G$159</f>
        <v>1870.0525417581821</v>
      </c>
      <c r="H167" s="1529">
        <f t="shared" ref="H167:H204" si="5">F167-G167</f>
        <v>663.37400737122152</v>
      </c>
      <c r="I167" s="1529">
        <f t="shared" ref="I167:I204" si="6">E167-H167</f>
        <v>498017.30379481072</v>
      </c>
      <c r="K167" s="1529">
        <f t="shared" ref="K167:K204" si="7">K166+G167</f>
        <v>5617.5834421989466</v>
      </c>
      <c r="L167" s="1529">
        <f t="shared" ref="L167:L204" si="8">L166+H167</f>
        <v>1982.6962051892642</v>
      </c>
      <c r="O167" s="1529">
        <f t="shared" si="0"/>
        <v>7600.2796473882108</v>
      </c>
    </row>
    <row r="168" spans="4:15" hidden="1">
      <c r="D168" s="1534">
        <f t="shared" si="1"/>
        <v>4</v>
      </c>
      <c r="E168" s="1529">
        <f t="shared" si="2"/>
        <v>498017.30379481072</v>
      </c>
      <c r="F168" s="1529">
        <f t="shared" si="3"/>
        <v>2533.4265491294036</v>
      </c>
      <c r="G168" s="1529">
        <f t="shared" si="4"/>
        <v>1867.5648892305401</v>
      </c>
      <c r="H168" s="1529">
        <f t="shared" si="5"/>
        <v>665.86165989886354</v>
      </c>
      <c r="I168" s="1529">
        <f t="shared" si="6"/>
        <v>497351.44213491183</v>
      </c>
      <c r="K168" s="1529">
        <f t="shared" si="7"/>
        <v>7485.1483314294865</v>
      </c>
      <c r="L168" s="1529">
        <f t="shared" si="8"/>
        <v>2648.557865088128</v>
      </c>
      <c r="O168" s="1529">
        <f t="shared" si="0"/>
        <v>10133.706196517614</v>
      </c>
    </row>
    <row r="169" spans="4:15" hidden="1">
      <c r="D169" s="1534">
        <f t="shared" si="1"/>
        <v>5</v>
      </c>
      <c r="E169" s="1529">
        <f t="shared" si="2"/>
        <v>497351.44213491183</v>
      </c>
      <c r="F169" s="1529">
        <f t="shared" si="3"/>
        <v>2533.4265491294036</v>
      </c>
      <c r="G169" s="1529">
        <f t="shared" si="4"/>
        <v>1865.0679080059192</v>
      </c>
      <c r="H169" s="1529">
        <f t="shared" si="5"/>
        <v>668.3586411234844</v>
      </c>
      <c r="I169" s="1529">
        <f t="shared" si="6"/>
        <v>496683.08349378838</v>
      </c>
      <c r="K169" s="1529">
        <f t="shared" si="7"/>
        <v>9350.2162394354054</v>
      </c>
      <c r="L169" s="1529">
        <f t="shared" si="8"/>
        <v>3316.9165062116126</v>
      </c>
      <c r="O169" s="1529">
        <f t="shared" si="0"/>
        <v>12667.132745647017</v>
      </c>
    </row>
    <row r="170" spans="4:15" hidden="1">
      <c r="D170" s="1534">
        <f t="shared" si="1"/>
        <v>6</v>
      </c>
      <c r="E170" s="1529">
        <f t="shared" si="2"/>
        <v>496683.08349378838</v>
      </c>
      <c r="F170" s="1529">
        <f t="shared" si="3"/>
        <v>2533.4265491294036</v>
      </c>
      <c r="G170" s="1529">
        <f t="shared" si="4"/>
        <v>1862.5615631017063</v>
      </c>
      <c r="H170" s="1529">
        <f t="shared" si="5"/>
        <v>670.86498602769734</v>
      </c>
      <c r="I170" s="1529">
        <f t="shared" si="6"/>
        <v>496012.21850776067</v>
      </c>
      <c r="K170" s="1529">
        <f t="shared" si="7"/>
        <v>11212.777802537112</v>
      </c>
      <c r="L170" s="1529">
        <f t="shared" si="8"/>
        <v>3987.78149223931</v>
      </c>
      <c r="O170" s="1529">
        <f t="shared" si="0"/>
        <v>15200.559294776422</v>
      </c>
    </row>
    <row r="171" spans="4:15" hidden="1">
      <c r="D171" s="1534">
        <f t="shared" si="1"/>
        <v>7</v>
      </c>
      <c r="E171" s="1529">
        <f t="shared" si="2"/>
        <v>496012.21850776067</v>
      </c>
      <c r="F171" s="1529">
        <f t="shared" si="3"/>
        <v>2533.4265491294036</v>
      </c>
      <c r="G171" s="1529">
        <f t="shared" si="4"/>
        <v>1860.0458194041025</v>
      </c>
      <c r="H171" s="1529">
        <f t="shared" si="5"/>
        <v>673.38072972530108</v>
      </c>
      <c r="I171" s="1529">
        <f t="shared" si="6"/>
        <v>495338.83777803538</v>
      </c>
      <c r="K171" s="1529">
        <f t="shared" si="7"/>
        <v>13072.823621941214</v>
      </c>
      <c r="L171" s="1529">
        <f t="shared" si="8"/>
        <v>4661.1622219646106</v>
      </c>
      <c r="O171" s="1529">
        <f t="shared" si="0"/>
        <v>17733.985843905823</v>
      </c>
    </row>
    <row r="172" spans="4:15" hidden="1">
      <c r="D172" s="1534">
        <f t="shared" si="1"/>
        <v>8</v>
      </c>
      <c r="E172" s="1529">
        <f t="shared" si="2"/>
        <v>495338.83777803538</v>
      </c>
      <c r="F172" s="1529">
        <f t="shared" si="3"/>
        <v>2533.4265491294036</v>
      </c>
      <c r="G172" s="1529">
        <f t="shared" si="4"/>
        <v>1857.5206416676326</v>
      </c>
      <c r="H172" s="1529">
        <f t="shared" si="5"/>
        <v>675.90590746177099</v>
      </c>
      <c r="I172" s="1529">
        <f t="shared" si="6"/>
        <v>494662.93187057361</v>
      </c>
      <c r="K172" s="1529">
        <f t="shared" si="7"/>
        <v>14930.344263608846</v>
      </c>
      <c r="L172" s="1529">
        <f t="shared" si="8"/>
        <v>5337.0681294263813</v>
      </c>
      <c r="O172" s="1529">
        <f t="shared" si="0"/>
        <v>20267.412393035229</v>
      </c>
    </row>
    <row r="173" spans="4:15" hidden="1">
      <c r="D173" s="1534">
        <f t="shared" si="1"/>
        <v>9</v>
      </c>
      <c r="E173" s="1529">
        <f t="shared" si="2"/>
        <v>494662.93187057361</v>
      </c>
      <c r="F173" s="1529">
        <f t="shared" si="3"/>
        <v>2533.4265491294036</v>
      </c>
      <c r="G173" s="1529">
        <f t="shared" si="4"/>
        <v>1854.9859945146509</v>
      </c>
      <c r="H173" s="1529">
        <f t="shared" si="5"/>
        <v>678.44055461475273</v>
      </c>
      <c r="I173" s="1529">
        <f t="shared" si="6"/>
        <v>493984.49131595885</v>
      </c>
      <c r="K173" s="1529">
        <f t="shared" si="7"/>
        <v>16785.330258123497</v>
      </c>
      <c r="L173" s="1529">
        <f t="shared" si="8"/>
        <v>6015.5086840411341</v>
      </c>
      <c r="O173" s="1529">
        <f t="shared" si="0"/>
        <v>22800.838942164632</v>
      </c>
    </row>
    <row r="174" spans="4:15" hidden="1">
      <c r="D174" s="1534">
        <f t="shared" si="1"/>
        <v>10</v>
      </c>
      <c r="E174" s="1529">
        <f t="shared" si="2"/>
        <v>493984.49131595885</v>
      </c>
      <c r="F174" s="1529">
        <f t="shared" si="3"/>
        <v>2533.4265491294036</v>
      </c>
      <c r="G174" s="1529">
        <f t="shared" si="4"/>
        <v>1852.4418424348455</v>
      </c>
      <c r="H174" s="1529">
        <f t="shared" si="5"/>
        <v>680.9847066945581</v>
      </c>
      <c r="I174" s="1529">
        <f t="shared" si="6"/>
        <v>493303.5066092643</v>
      </c>
      <c r="K174" s="1529">
        <f t="shared" si="7"/>
        <v>18637.772100558341</v>
      </c>
      <c r="L174" s="1529">
        <f t="shared" si="8"/>
        <v>6696.4933907356917</v>
      </c>
      <c r="O174" s="1529">
        <f t="shared" si="0"/>
        <v>25334.265491294034</v>
      </c>
    </row>
    <row r="175" spans="4:15" hidden="1">
      <c r="D175" s="1534">
        <f t="shared" si="1"/>
        <v>11</v>
      </c>
      <c r="E175" s="1529">
        <f t="shared" si="2"/>
        <v>493303.5066092643</v>
      </c>
      <c r="F175" s="1529">
        <f t="shared" si="3"/>
        <v>2533.4265491294036</v>
      </c>
      <c r="G175" s="1529">
        <f t="shared" si="4"/>
        <v>1849.888149784741</v>
      </c>
      <c r="H175" s="1529">
        <f t="shared" si="5"/>
        <v>683.53839934466259</v>
      </c>
      <c r="I175" s="1529">
        <f t="shared" si="6"/>
        <v>492619.96820991964</v>
      </c>
      <c r="K175" s="1529">
        <f t="shared" si="7"/>
        <v>20487.66025034308</v>
      </c>
      <c r="L175" s="1529">
        <f t="shared" si="8"/>
        <v>7380.0317900803548</v>
      </c>
      <c r="O175" s="1529">
        <f t="shared" si="0"/>
        <v>27867.692040423433</v>
      </c>
    </row>
    <row r="176" spans="4:15" hidden="1">
      <c r="D176" s="1534">
        <f t="shared" si="1"/>
        <v>12</v>
      </c>
      <c r="E176" s="1529">
        <f t="shared" si="2"/>
        <v>492619.96820991964</v>
      </c>
      <c r="F176" s="1529">
        <f t="shared" si="3"/>
        <v>2533.4265491294036</v>
      </c>
      <c r="G176" s="1529">
        <f t="shared" si="4"/>
        <v>1847.3248807871985</v>
      </c>
      <c r="H176" s="1529">
        <f t="shared" si="5"/>
        <v>686.10166834220513</v>
      </c>
      <c r="I176" s="1529">
        <f t="shared" si="6"/>
        <v>491933.86654157744</v>
      </c>
      <c r="K176" s="1529">
        <f t="shared" si="7"/>
        <v>22334.985131130277</v>
      </c>
      <c r="L176" s="1529">
        <f t="shared" si="8"/>
        <v>8066.1334584225597</v>
      </c>
      <c r="O176" s="1529">
        <f t="shared" si="0"/>
        <v>30401.118589552836</v>
      </c>
    </row>
    <row r="177" spans="4:15" hidden="1">
      <c r="D177" s="1534">
        <f t="shared" si="1"/>
        <v>13</v>
      </c>
      <c r="E177" s="1529">
        <f t="shared" si="2"/>
        <v>491933.86654157744</v>
      </c>
      <c r="F177" s="1529">
        <f t="shared" si="3"/>
        <v>2533.4265491294036</v>
      </c>
      <c r="G177" s="1529">
        <f t="shared" si="4"/>
        <v>1844.7519995309153</v>
      </c>
      <c r="H177" s="1529">
        <f t="shared" si="5"/>
        <v>688.67454959848828</v>
      </c>
      <c r="I177" s="1529">
        <f t="shared" si="6"/>
        <v>491245.19199197897</v>
      </c>
      <c r="K177" s="1529">
        <f t="shared" si="7"/>
        <v>24179.737130661193</v>
      </c>
      <c r="L177" s="1529">
        <f t="shared" si="8"/>
        <v>8754.8080080210475</v>
      </c>
      <c r="O177" s="1529">
        <f t="shared" si="0"/>
        <v>32934.545138682239</v>
      </c>
    </row>
    <row r="178" spans="4:15" hidden="1">
      <c r="D178" s="1534">
        <f t="shared" si="1"/>
        <v>14</v>
      </c>
      <c r="E178" s="1529">
        <f t="shared" si="2"/>
        <v>491245.19199197897</v>
      </c>
      <c r="F178" s="1529">
        <f t="shared" si="3"/>
        <v>2533.4265491294036</v>
      </c>
      <c r="G178" s="1529">
        <f t="shared" si="4"/>
        <v>1842.169469969921</v>
      </c>
      <c r="H178" s="1529">
        <f t="shared" si="5"/>
        <v>691.2570791594826</v>
      </c>
      <c r="I178" s="1529">
        <f t="shared" si="6"/>
        <v>490553.93491281947</v>
      </c>
      <c r="K178" s="1529">
        <f t="shared" si="7"/>
        <v>26021.906600631115</v>
      </c>
      <c r="L178" s="1529">
        <f t="shared" si="8"/>
        <v>9446.0650871805301</v>
      </c>
      <c r="O178" s="1529">
        <f t="shared" si="0"/>
        <v>35467.971687811645</v>
      </c>
    </row>
    <row r="179" spans="4:15" hidden="1">
      <c r="D179" s="1534">
        <f t="shared" si="1"/>
        <v>15</v>
      </c>
      <c r="E179" s="1529">
        <f t="shared" si="2"/>
        <v>490553.93491281947</v>
      </c>
      <c r="F179" s="1529">
        <f t="shared" si="3"/>
        <v>2533.4265491294036</v>
      </c>
      <c r="G179" s="1529">
        <f t="shared" si="4"/>
        <v>1839.5772559230729</v>
      </c>
      <c r="H179" s="1529">
        <f t="shared" si="5"/>
        <v>693.84929320633069</v>
      </c>
      <c r="I179" s="1529">
        <f t="shared" si="6"/>
        <v>489860.08561961312</v>
      </c>
      <c r="K179" s="1529">
        <f t="shared" si="7"/>
        <v>27861.483856554187</v>
      </c>
      <c r="L179" s="1529">
        <f t="shared" si="8"/>
        <v>10139.914380386861</v>
      </c>
      <c r="O179" s="1529">
        <f t="shared" si="0"/>
        <v>38001.398236941051</v>
      </c>
    </row>
    <row r="180" spans="4:15" hidden="1">
      <c r="D180" s="1534">
        <f t="shared" si="1"/>
        <v>16</v>
      </c>
      <c r="E180" s="1529">
        <f t="shared" si="2"/>
        <v>489860.08561961312</v>
      </c>
      <c r="F180" s="1529">
        <f t="shared" si="3"/>
        <v>2533.4265491294036</v>
      </c>
      <c r="G180" s="1529">
        <f t="shared" si="4"/>
        <v>1836.9753210735491</v>
      </c>
      <c r="H180" s="1529">
        <f t="shared" si="5"/>
        <v>696.45122805585447</v>
      </c>
      <c r="I180" s="1529">
        <f t="shared" si="6"/>
        <v>489163.63439155725</v>
      </c>
      <c r="K180" s="1529">
        <f t="shared" si="7"/>
        <v>29698.459177627738</v>
      </c>
      <c r="L180" s="1529">
        <f t="shared" si="8"/>
        <v>10836.365608442715</v>
      </c>
      <c r="O180" s="1529">
        <f t="shared" si="0"/>
        <v>40534.824786070451</v>
      </c>
    </row>
    <row r="181" spans="4:15" hidden="1">
      <c r="D181" s="1534">
        <f t="shared" si="1"/>
        <v>17</v>
      </c>
      <c r="E181" s="1529">
        <f t="shared" si="2"/>
        <v>489163.63439155725</v>
      </c>
      <c r="F181" s="1529">
        <f t="shared" si="3"/>
        <v>2533.4265491294036</v>
      </c>
      <c r="G181" s="1529">
        <f t="shared" si="4"/>
        <v>1834.3636289683395</v>
      </c>
      <c r="H181" s="1529">
        <f t="shared" si="5"/>
        <v>699.06292016106408</v>
      </c>
      <c r="I181" s="1529">
        <f t="shared" si="6"/>
        <v>488464.57147139619</v>
      </c>
      <c r="K181" s="1529">
        <f t="shared" si="7"/>
        <v>31532.822806596076</v>
      </c>
      <c r="L181" s="1529">
        <f t="shared" si="8"/>
        <v>11535.428528603779</v>
      </c>
      <c r="O181" s="1529">
        <f t="shared" si="0"/>
        <v>43068.251335199857</v>
      </c>
    </row>
    <row r="182" spans="4:15" hidden="1">
      <c r="D182" s="1534">
        <f t="shared" si="1"/>
        <v>18</v>
      </c>
      <c r="E182" s="1529">
        <f t="shared" si="2"/>
        <v>488464.57147139619</v>
      </c>
      <c r="F182" s="1529">
        <f t="shared" si="3"/>
        <v>2533.4265491294036</v>
      </c>
      <c r="G182" s="1529">
        <f t="shared" si="4"/>
        <v>1831.7421430177358</v>
      </c>
      <c r="H182" s="1529">
        <f t="shared" si="5"/>
        <v>701.68440611166784</v>
      </c>
      <c r="I182" s="1529">
        <f t="shared" si="6"/>
        <v>487762.88706528454</v>
      </c>
      <c r="K182" s="1529">
        <f t="shared" si="7"/>
        <v>33364.564949613814</v>
      </c>
      <c r="L182" s="1529">
        <f t="shared" si="8"/>
        <v>12237.112934715447</v>
      </c>
      <c r="O182" s="1529">
        <f t="shared" si="0"/>
        <v>45601.677884329263</v>
      </c>
    </row>
    <row r="183" spans="4:15" hidden="1">
      <c r="D183" s="1534">
        <f t="shared" si="1"/>
        <v>19</v>
      </c>
      <c r="E183" s="1529">
        <f t="shared" si="2"/>
        <v>487762.88706528454</v>
      </c>
      <c r="F183" s="1529">
        <f t="shared" si="3"/>
        <v>2533.4265491294036</v>
      </c>
      <c r="G183" s="1529">
        <f t="shared" si="4"/>
        <v>1829.110826494817</v>
      </c>
      <c r="H183" s="1529">
        <f t="shared" si="5"/>
        <v>704.31572263458656</v>
      </c>
      <c r="I183" s="1529">
        <f t="shared" si="6"/>
        <v>487058.57134264993</v>
      </c>
      <c r="K183" s="1529">
        <f t="shared" si="7"/>
        <v>35193.675776108634</v>
      </c>
      <c r="L183" s="1529">
        <f t="shared" si="8"/>
        <v>12941.428657350034</v>
      </c>
      <c r="O183" s="1529">
        <f t="shared" si="0"/>
        <v>48135.10443345867</v>
      </c>
    </row>
    <row r="184" spans="4:15" hidden="1">
      <c r="D184" s="1534">
        <f t="shared" si="1"/>
        <v>20</v>
      </c>
      <c r="E184" s="1529">
        <f t="shared" si="2"/>
        <v>487058.57134264993</v>
      </c>
      <c r="F184" s="1529">
        <f t="shared" si="3"/>
        <v>2533.4265491294036</v>
      </c>
      <c r="G184" s="1529">
        <f t="shared" si="4"/>
        <v>1826.4696425349371</v>
      </c>
      <c r="H184" s="1529">
        <f t="shared" si="5"/>
        <v>706.95690659446655</v>
      </c>
      <c r="I184" s="1529">
        <f t="shared" si="6"/>
        <v>486351.61443605548</v>
      </c>
      <c r="K184" s="1529">
        <f t="shared" si="7"/>
        <v>37020.145418643573</v>
      </c>
      <c r="L184" s="1529">
        <f t="shared" si="8"/>
        <v>13648.385563944501</v>
      </c>
      <c r="O184" s="1529">
        <f t="shared" si="0"/>
        <v>50668.530982588076</v>
      </c>
    </row>
    <row r="185" spans="4:15" hidden="1">
      <c r="D185" s="1534">
        <f t="shared" si="1"/>
        <v>21</v>
      </c>
      <c r="E185" s="1529">
        <f t="shared" si="2"/>
        <v>486351.61443605548</v>
      </c>
      <c r="F185" s="1529">
        <f t="shared" si="3"/>
        <v>2533.4265491294036</v>
      </c>
      <c r="G185" s="1529">
        <f t="shared" si="4"/>
        <v>1823.8185541352079</v>
      </c>
      <c r="H185" s="1529">
        <f t="shared" si="5"/>
        <v>709.60799499419568</v>
      </c>
      <c r="I185" s="1529">
        <f t="shared" si="6"/>
        <v>485642.00644106127</v>
      </c>
      <c r="K185" s="1529">
        <f t="shared" si="7"/>
        <v>38843.96397277878</v>
      </c>
      <c r="L185" s="1529">
        <f t="shared" si="8"/>
        <v>14357.993558938697</v>
      </c>
      <c r="O185" s="1529">
        <f t="shared" si="0"/>
        <v>53201.957531717475</v>
      </c>
    </row>
    <row r="186" spans="4:15" hidden="1">
      <c r="D186" s="1534">
        <f t="shared" si="1"/>
        <v>22</v>
      </c>
      <c r="E186" s="1529">
        <f t="shared" si="2"/>
        <v>485642.00644106127</v>
      </c>
      <c r="F186" s="1529">
        <f t="shared" si="3"/>
        <v>2533.4265491294036</v>
      </c>
      <c r="G186" s="1529">
        <f t="shared" si="4"/>
        <v>1821.1575241539797</v>
      </c>
      <c r="H186" s="1529">
        <f t="shared" si="5"/>
        <v>712.26902497542392</v>
      </c>
      <c r="I186" s="1529">
        <f t="shared" si="6"/>
        <v>484929.73741608585</v>
      </c>
      <c r="K186" s="1529">
        <f t="shared" si="7"/>
        <v>40665.121496932763</v>
      </c>
      <c r="L186" s="1529">
        <f t="shared" si="8"/>
        <v>15070.26258391412</v>
      </c>
      <c r="O186" s="1529">
        <f t="shared" si="0"/>
        <v>55735.384080846881</v>
      </c>
    </row>
    <row r="187" spans="4:15" hidden="1">
      <c r="D187" s="1534">
        <f t="shared" si="1"/>
        <v>23</v>
      </c>
      <c r="E187" s="1529">
        <f t="shared" si="2"/>
        <v>484929.73741608585</v>
      </c>
      <c r="F187" s="1529">
        <f t="shared" si="3"/>
        <v>2533.4265491294036</v>
      </c>
      <c r="G187" s="1529">
        <f t="shared" si="4"/>
        <v>1818.4865153103219</v>
      </c>
      <c r="H187" s="1529">
        <f t="shared" si="5"/>
        <v>714.94003381908169</v>
      </c>
      <c r="I187" s="1529">
        <f t="shared" si="6"/>
        <v>484214.79738226678</v>
      </c>
      <c r="K187" s="1529">
        <f t="shared" si="7"/>
        <v>42483.608012243087</v>
      </c>
      <c r="L187" s="1529">
        <f t="shared" si="8"/>
        <v>15785.202617733201</v>
      </c>
      <c r="O187" s="1529">
        <f t="shared" si="0"/>
        <v>58268.810629976288</v>
      </c>
    </row>
    <row r="188" spans="4:15" hidden="1">
      <c r="D188" s="1534">
        <f t="shared" si="1"/>
        <v>24</v>
      </c>
      <c r="E188" s="1529">
        <f t="shared" si="2"/>
        <v>484214.79738226678</v>
      </c>
      <c r="F188" s="1529">
        <f t="shared" si="3"/>
        <v>2533.4265491294036</v>
      </c>
      <c r="G188" s="1529">
        <f t="shared" si="4"/>
        <v>1815.8054901835003</v>
      </c>
      <c r="H188" s="1529">
        <f t="shared" si="5"/>
        <v>717.62105894590331</v>
      </c>
      <c r="I188" s="1529">
        <f t="shared" si="6"/>
        <v>483497.17632332089</v>
      </c>
      <c r="K188" s="1529">
        <f t="shared" si="7"/>
        <v>44299.413502426585</v>
      </c>
      <c r="L188" s="1529">
        <f t="shared" si="8"/>
        <v>16502.823676679105</v>
      </c>
      <c r="O188" s="1529">
        <f t="shared" si="0"/>
        <v>60802.237179105694</v>
      </c>
    </row>
    <row r="189" spans="4:15" hidden="1">
      <c r="D189" s="1534">
        <f t="shared" si="1"/>
        <v>25</v>
      </c>
      <c r="E189" s="1529">
        <f t="shared" si="2"/>
        <v>483497.17632332089</v>
      </c>
      <c r="F189" s="1529">
        <f t="shared" si="3"/>
        <v>2533.4265491294036</v>
      </c>
      <c r="G189" s="1529">
        <f t="shared" si="4"/>
        <v>1813.1144112124532</v>
      </c>
      <c r="H189" s="1529">
        <f t="shared" si="5"/>
        <v>720.31213791695041</v>
      </c>
      <c r="I189" s="1529">
        <f t="shared" si="6"/>
        <v>482776.86418540392</v>
      </c>
      <c r="K189" s="1529">
        <f t="shared" si="7"/>
        <v>46112.527913639038</v>
      </c>
      <c r="L189" s="1529">
        <f t="shared" si="8"/>
        <v>17223.135814596055</v>
      </c>
      <c r="O189" s="1529">
        <f t="shared" si="0"/>
        <v>63335.663728235093</v>
      </c>
    </row>
    <row r="190" spans="4:15" hidden="1">
      <c r="D190" s="1534">
        <f t="shared" si="1"/>
        <v>26</v>
      </c>
      <c r="E190" s="1529">
        <f t="shared" si="2"/>
        <v>482776.86418540392</v>
      </c>
      <c r="F190" s="1529">
        <f t="shared" si="3"/>
        <v>2533.4265491294036</v>
      </c>
      <c r="G190" s="1529">
        <f t="shared" si="4"/>
        <v>1810.4132406952647</v>
      </c>
      <c r="H190" s="1529">
        <f t="shared" si="5"/>
        <v>723.01330843413893</v>
      </c>
      <c r="I190" s="1529">
        <f t="shared" si="6"/>
        <v>482053.85087696975</v>
      </c>
      <c r="K190" s="1529">
        <f t="shared" si="7"/>
        <v>47922.941154334301</v>
      </c>
      <c r="L190" s="1529">
        <f t="shared" si="8"/>
        <v>17946.149123030194</v>
      </c>
      <c r="O190" s="1529">
        <f t="shared" si="0"/>
        <v>65869.090277364492</v>
      </c>
    </row>
    <row r="191" spans="4:15" hidden="1">
      <c r="D191" s="1534">
        <f t="shared" si="1"/>
        <v>27</v>
      </c>
      <c r="E191" s="1529">
        <f t="shared" si="2"/>
        <v>482053.85087696975</v>
      </c>
      <c r="F191" s="1529">
        <f t="shared" si="3"/>
        <v>2533.4265491294036</v>
      </c>
      <c r="G191" s="1529">
        <f t="shared" si="4"/>
        <v>1807.7019407886364</v>
      </c>
      <c r="H191" s="1529">
        <f t="shared" si="5"/>
        <v>725.72460834076719</v>
      </c>
      <c r="I191" s="1529">
        <f t="shared" si="6"/>
        <v>481328.12626862898</v>
      </c>
      <c r="K191" s="1529">
        <f t="shared" si="7"/>
        <v>49730.643095122941</v>
      </c>
      <c r="L191" s="1529">
        <f t="shared" si="8"/>
        <v>18671.873731370961</v>
      </c>
      <c r="O191" s="1529">
        <f t="shared" si="0"/>
        <v>68402.516826493898</v>
      </c>
    </row>
    <row r="192" spans="4:15" hidden="1">
      <c r="D192" s="1534">
        <f t="shared" si="1"/>
        <v>28</v>
      </c>
      <c r="E192" s="1529">
        <f t="shared" si="2"/>
        <v>481328.12626862898</v>
      </c>
      <c r="F192" s="1529">
        <f t="shared" si="3"/>
        <v>2533.4265491294036</v>
      </c>
      <c r="G192" s="1529">
        <f t="shared" si="4"/>
        <v>1804.9804735073587</v>
      </c>
      <c r="H192" s="1529">
        <f t="shared" si="5"/>
        <v>728.44607562204487</v>
      </c>
      <c r="I192" s="1529">
        <f t="shared" si="6"/>
        <v>480599.68019300693</v>
      </c>
      <c r="K192" s="1529">
        <f t="shared" si="7"/>
        <v>51535.623568630297</v>
      </c>
      <c r="L192" s="1529">
        <f t="shared" si="8"/>
        <v>19400.319806993004</v>
      </c>
      <c r="O192" s="1529">
        <f t="shared" si="0"/>
        <v>70935.943375623305</v>
      </c>
    </row>
    <row r="193" spans="4:15" hidden="1">
      <c r="D193" s="1534">
        <f t="shared" si="1"/>
        <v>29</v>
      </c>
      <c r="E193" s="1529">
        <f t="shared" si="2"/>
        <v>480599.68019300693</v>
      </c>
      <c r="F193" s="1529">
        <f t="shared" si="3"/>
        <v>2533.4265491294036</v>
      </c>
      <c r="G193" s="1529">
        <f t="shared" si="4"/>
        <v>1802.248800723776</v>
      </c>
      <c r="H193" s="1529">
        <f t="shared" si="5"/>
        <v>731.17774840562765</v>
      </c>
      <c r="I193" s="1529">
        <f t="shared" si="6"/>
        <v>479868.50244460133</v>
      </c>
      <c r="K193" s="1529">
        <f t="shared" si="7"/>
        <v>53337.872369354074</v>
      </c>
      <c r="L193" s="1529">
        <f t="shared" si="8"/>
        <v>20131.497555398633</v>
      </c>
      <c r="O193" s="1529">
        <f t="shared" si="0"/>
        <v>73469.369924752711</v>
      </c>
    </row>
    <row r="194" spans="4:15" hidden="1">
      <c r="D194" s="1534">
        <f t="shared" si="1"/>
        <v>30</v>
      </c>
      <c r="E194" s="1529">
        <f t="shared" si="2"/>
        <v>479868.50244460133</v>
      </c>
      <c r="F194" s="1529">
        <f t="shared" si="3"/>
        <v>2533.4265491294036</v>
      </c>
      <c r="G194" s="1529">
        <f t="shared" si="4"/>
        <v>1799.5068841672548</v>
      </c>
      <c r="H194" s="1529">
        <f t="shared" si="5"/>
        <v>733.91966496214877</v>
      </c>
      <c r="I194" s="1529">
        <f t="shared" si="6"/>
        <v>479134.58277963917</v>
      </c>
      <c r="K194" s="1529">
        <f t="shared" si="7"/>
        <v>55137.379253521329</v>
      </c>
      <c r="L194" s="1529">
        <f t="shared" si="8"/>
        <v>20865.417220360781</v>
      </c>
      <c r="O194" s="1529">
        <f t="shared" si="0"/>
        <v>76002.796473882103</v>
      </c>
    </row>
    <row r="195" spans="4:15" hidden="1">
      <c r="D195" s="1534">
        <f t="shared" si="1"/>
        <v>31</v>
      </c>
      <c r="E195" s="1529">
        <f t="shared" si="2"/>
        <v>479134.58277963917</v>
      </c>
      <c r="F195" s="1529">
        <f t="shared" si="3"/>
        <v>2533.4265491294036</v>
      </c>
      <c r="G195" s="1529">
        <f t="shared" si="4"/>
        <v>1796.7546854236468</v>
      </c>
      <c r="H195" s="1529">
        <f t="shared" si="5"/>
        <v>736.67186370575678</v>
      </c>
      <c r="I195" s="1529">
        <f t="shared" si="6"/>
        <v>478397.91091593343</v>
      </c>
      <c r="K195" s="1529">
        <f t="shared" si="7"/>
        <v>56934.133938944979</v>
      </c>
      <c r="L195" s="1529">
        <f t="shared" si="8"/>
        <v>21602.089084066538</v>
      </c>
      <c r="O195" s="1529">
        <f t="shared" si="0"/>
        <v>78536.223023011524</v>
      </c>
    </row>
    <row r="196" spans="4:15" hidden="1">
      <c r="D196" s="1534">
        <f t="shared" si="1"/>
        <v>32</v>
      </c>
      <c r="E196" s="1529">
        <f t="shared" si="2"/>
        <v>478397.91091593343</v>
      </c>
      <c r="F196" s="1529">
        <f t="shared" si="3"/>
        <v>2533.4265491294036</v>
      </c>
      <c r="G196" s="1529">
        <f t="shared" si="4"/>
        <v>1793.9921659347503</v>
      </c>
      <c r="H196" s="1529">
        <f t="shared" si="5"/>
        <v>739.43438319465326</v>
      </c>
      <c r="I196" s="1529">
        <f t="shared" si="6"/>
        <v>477658.47653273877</v>
      </c>
      <c r="K196" s="1529">
        <f t="shared" si="7"/>
        <v>58728.126104879731</v>
      </c>
      <c r="L196" s="1529">
        <f t="shared" si="8"/>
        <v>22341.523467261191</v>
      </c>
      <c r="O196" s="1529">
        <f t="shared" si="0"/>
        <v>81069.649572140916</v>
      </c>
    </row>
    <row r="197" spans="4:15" hidden="1">
      <c r="D197" s="1534">
        <f t="shared" si="1"/>
        <v>33</v>
      </c>
      <c r="E197" s="1529">
        <f t="shared" si="2"/>
        <v>477658.47653273877</v>
      </c>
      <c r="F197" s="1529">
        <f t="shared" si="3"/>
        <v>2533.4265491294036</v>
      </c>
      <c r="G197" s="1529">
        <f t="shared" si="4"/>
        <v>1791.2192869977703</v>
      </c>
      <c r="H197" s="1529">
        <f t="shared" si="5"/>
        <v>742.20726213163334</v>
      </c>
      <c r="I197" s="1529">
        <f t="shared" si="6"/>
        <v>476916.26927060715</v>
      </c>
      <c r="K197" s="1529">
        <f t="shared" si="7"/>
        <v>60519.345391877505</v>
      </c>
      <c r="L197" s="1529">
        <f t="shared" si="8"/>
        <v>23083.730729392824</v>
      </c>
      <c r="O197" s="1529">
        <f t="shared" si="0"/>
        <v>83603.076121270336</v>
      </c>
    </row>
    <row r="198" spans="4:15" hidden="1">
      <c r="D198" s="1534">
        <f t="shared" si="1"/>
        <v>34</v>
      </c>
      <c r="E198" s="1529">
        <f t="shared" si="2"/>
        <v>476916.26927060715</v>
      </c>
      <c r="F198" s="1529">
        <f t="shared" si="3"/>
        <v>2533.4265491294036</v>
      </c>
      <c r="G198" s="1529">
        <f t="shared" si="4"/>
        <v>1788.4360097647768</v>
      </c>
      <c r="H198" s="1529">
        <f t="shared" si="5"/>
        <v>744.99053936462678</v>
      </c>
      <c r="I198" s="1529">
        <f t="shared" si="6"/>
        <v>476171.27873124252</v>
      </c>
      <c r="K198" s="1529">
        <f t="shared" si="7"/>
        <v>62307.781401642278</v>
      </c>
      <c r="L198" s="1529">
        <f t="shared" si="8"/>
        <v>23828.72126875745</v>
      </c>
      <c r="O198" s="1529">
        <f t="shared" si="0"/>
        <v>86136.502670399728</v>
      </c>
    </row>
    <row r="199" spans="4:15" hidden="1">
      <c r="D199" s="1534">
        <f t="shared" si="1"/>
        <v>35</v>
      </c>
      <c r="E199" s="1529">
        <f t="shared" si="2"/>
        <v>476171.27873124252</v>
      </c>
      <c r="F199" s="1529">
        <f t="shared" si="3"/>
        <v>2533.4265491294036</v>
      </c>
      <c r="G199" s="1529">
        <f t="shared" si="4"/>
        <v>1785.6422952421594</v>
      </c>
      <c r="H199" s="1529">
        <f t="shared" si="5"/>
        <v>747.78425388724418</v>
      </c>
      <c r="I199" s="1529">
        <f t="shared" si="6"/>
        <v>475423.49447735527</v>
      </c>
      <c r="K199" s="1529">
        <f t="shared" si="7"/>
        <v>64093.423696884434</v>
      </c>
      <c r="L199" s="1529">
        <f t="shared" si="8"/>
        <v>24576.505522644693</v>
      </c>
      <c r="O199" s="1529">
        <f t="shared" si="0"/>
        <v>88669.92921952912</v>
      </c>
    </row>
    <row r="200" spans="4:15" hidden="1">
      <c r="D200" s="1534">
        <f t="shared" si="1"/>
        <v>36</v>
      </c>
      <c r="E200" s="1529">
        <f t="shared" si="2"/>
        <v>475423.49447735527</v>
      </c>
      <c r="F200" s="1529">
        <f t="shared" si="3"/>
        <v>2533.4265491294036</v>
      </c>
      <c r="G200" s="1529">
        <f t="shared" si="4"/>
        <v>1782.8381042900821</v>
      </c>
      <c r="H200" s="1529">
        <f t="shared" si="5"/>
        <v>750.58844483932148</v>
      </c>
      <c r="I200" s="1529">
        <f t="shared" si="6"/>
        <v>474672.90603251592</v>
      </c>
      <c r="K200" s="1529">
        <f t="shared" si="7"/>
        <v>65876.261801174522</v>
      </c>
      <c r="L200" s="1529">
        <f t="shared" si="8"/>
        <v>25327.093967484016</v>
      </c>
      <c r="O200" s="1529">
        <f t="shared" si="0"/>
        <v>91203.355768658541</v>
      </c>
    </row>
    <row r="201" spans="4:15" hidden="1">
      <c r="D201" s="1534">
        <f t="shared" si="1"/>
        <v>37</v>
      </c>
      <c r="E201" s="1529">
        <f t="shared" si="2"/>
        <v>474672.90603251592</v>
      </c>
      <c r="F201" s="1529">
        <f t="shared" si="3"/>
        <v>2533.4265491294036</v>
      </c>
      <c r="G201" s="1529">
        <f t="shared" si="4"/>
        <v>1780.0233976219347</v>
      </c>
      <c r="H201" s="1529">
        <f t="shared" si="5"/>
        <v>753.40315150746892</v>
      </c>
      <c r="I201" s="1529">
        <f t="shared" si="6"/>
        <v>473919.50288100843</v>
      </c>
      <c r="K201" s="1529">
        <f t="shared" si="7"/>
        <v>67656.285198796453</v>
      </c>
      <c r="L201" s="1529">
        <f t="shared" si="8"/>
        <v>26080.497118991483</v>
      </c>
      <c r="O201" s="1529">
        <f t="shared" si="0"/>
        <v>93736.782317787933</v>
      </c>
    </row>
    <row r="202" spans="4:15" hidden="1">
      <c r="D202" s="1534">
        <f t="shared" si="1"/>
        <v>38</v>
      </c>
      <c r="E202" s="1529">
        <f t="shared" si="2"/>
        <v>473919.50288100843</v>
      </c>
      <c r="F202" s="1529">
        <f t="shared" si="3"/>
        <v>2533.4265491294036</v>
      </c>
      <c r="G202" s="1529">
        <f t="shared" si="4"/>
        <v>1777.1981358037815</v>
      </c>
      <c r="H202" s="1529">
        <f t="shared" si="5"/>
        <v>756.22841332562211</v>
      </c>
      <c r="I202" s="1529">
        <f t="shared" si="6"/>
        <v>473163.27446768282</v>
      </c>
      <c r="K202" s="1529">
        <f t="shared" si="7"/>
        <v>69433.483334600242</v>
      </c>
      <c r="L202" s="1529">
        <f t="shared" si="8"/>
        <v>26836.725532317105</v>
      </c>
      <c r="O202" s="1529">
        <f t="shared" si="0"/>
        <v>96270.208866917354</v>
      </c>
    </row>
    <row r="203" spans="4:15" hidden="1">
      <c r="D203" s="1534">
        <f t="shared" si="1"/>
        <v>39</v>
      </c>
      <c r="E203" s="1529">
        <f t="shared" si="2"/>
        <v>473163.27446768282</v>
      </c>
      <c r="F203" s="1529">
        <f t="shared" si="3"/>
        <v>2533.4265491294036</v>
      </c>
      <c r="G203" s="1529">
        <f t="shared" si="4"/>
        <v>1774.3622792538106</v>
      </c>
      <c r="H203" s="1529">
        <f t="shared" si="5"/>
        <v>759.06426987559303</v>
      </c>
      <c r="I203" s="1529">
        <f t="shared" si="6"/>
        <v>472404.21019780723</v>
      </c>
      <c r="K203" s="1529">
        <f t="shared" si="7"/>
        <v>71207.84561385405</v>
      </c>
      <c r="L203" s="1529">
        <f t="shared" si="8"/>
        <v>27595.789802192699</v>
      </c>
      <c r="O203" s="1529">
        <f t="shared" si="0"/>
        <v>98803.635416046745</v>
      </c>
    </row>
    <row r="204" spans="4:15" hidden="1">
      <c r="D204" s="1534">
        <f t="shared" si="1"/>
        <v>40</v>
      </c>
      <c r="E204" s="1529">
        <f t="shared" si="2"/>
        <v>472404.21019780723</v>
      </c>
      <c r="F204" s="1529">
        <f t="shared" si="3"/>
        <v>2533.4265491294036</v>
      </c>
      <c r="G204" s="1529">
        <f t="shared" si="4"/>
        <v>1771.515788241777</v>
      </c>
      <c r="H204" s="1529">
        <f t="shared" si="5"/>
        <v>761.91076088762657</v>
      </c>
      <c r="I204" s="1529">
        <f t="shared" si="6"/>
        <v>471642.29943691962</v>
      </c>
      <c r="K204" s="1529">
        <f t="shared" si="7"/>
        <v>72979.361402095819</v>
      </c>
      <c r="L204" s="1529">
        <f t="shared" si="8"/>
        <v>28357.700563080325</v>
      </c>
      <c r="O204" s="1529">
        <f t="shared" si="0"/>
        <v>101337.06196517614</v>
      </c>
    </row>
    <row r="205" spans="4:15" hidden="1">
      <c r="D205" s="1534">
        <f t="shared" ref="D205:D268" si="9">D204+1</f>
        <v>41</v>
      </c>
      <c r="E205" s="1529">
        <f t="shared" ref="E205:E268" si="10">I204</f>
        <v>471642.29943691962</v>
      </c>
      <c r="F205" s="1529">
        <f t="shared" ref="F205:F268" si="11">F204</f>
        <v>2533.4265491294036</v>
      </c>
      <c r="G205" s="1529">
        <f t="shared" ref="G205:G268" si="12">E205*$G$159</f>
        <v>1768.6586228884485</v>
      </c>
      <c r="H205" s="1529">
        <f t="shared" ref="H205:H268" si="13">F205-G205</f>
        <v>764.76792624095515</v>
      </c>
      <c r="I205" s="1529">
        <f t="shared" ref="I205:I268" si="14">E205-H205</f>
        <v>470877.53151067864</v>
      </c>
      <c r="K205" s="1529">
        <f t="shared" ref="K205:K268" si="15">K204+G205</f>
        <v>74748.020024984275</v>
      </c>
      <c r="L205" s="1529">
        <f t="shared" ref="L205:L268" si="16">L204+H205</f>
        <v>29122.46848932128</v>
      </c>
      <c r="O205" s="1529">
        <f t="shared" si="0"/>
        <v>103870.48851430556</v>
      </c>
    </row>
    <row r="206" spans="4:15" hidden="1">
      <c r="D206" s="1534">
        <f t="shared" si="9"/>
        <v>42</v>
      </c>
      <c r="E206" s="1529">
        <f t="shared" si="10"/>
        <v>470877.53151067864</v>
      </c>
      <c r="F206" s="1529">
        <f t="shared" si="11"/>
        <v>2533.4265491294036</v>
      </c>
      <c r="G206" s="1529">
        <f t="shared" si="12"/>
        <v>1765.7907431650449</v>
      </c>
      <c r="H206" s="1529">
        <f t="shared" si="13"/>
        <v>767.63580596435872</v>
      </c>
      <c r="I206" s="1529">
        <f t="shared" si="14"/>
        <v>470109.89570471429</v>
      </c>
      <c r="K206" s="1529">
        <f t="shared" si="15"/>
        <v>76513.810768149313</v>
      </c>
      <c r="L206" s="1529">
        <f t="shared" si="16"/>
        <v>29890.104295285637</v>
      </c>
      <c r="O206" s="1529">
        <f t="shared" si="0"/>
        <v>106403.91506343495</v>
      </c>
    </row>
    <row r="207" spans="4:15" hidden="1">
      <c r="D207" s="1534">
        <f t="shared" si="9"/>
        <v>43</v>
      </c>
      <c r="E207" s="1529">
        <f t="shared" si="10"/>
        <v>470109.89570471429</v>
      </c>
      <c r="F207" s="1529">
        <f t="shared" si="11"/>
        <v>2533.4265491294036</v>
      </c>
      <c r="G207" s="1529">
        <f t="shared" si="12"/>
        <v>1762.9121088926786</v>
      </c>
      <c r="H207" s="1529">
        <f t="shared" si="13"/>
        <v>770.51444023672502</v>
      </c>
      <c r="I207" s="1529">
        <f t="shared" si="14"/>
        <v>469339.38126447756</v>
      </c>
      <c r="K207" s="1529">
        <f t="shared" si="15"/>
        <v>78276.72287704199</v>
      </c>
      <c r="L207" s="1529">
        <f t="shared" si="16"/>
        <v>30660.618735522363</v>
      </c>
      <c r="O207" s="1529">
        <f t="shared" si="0"/>
        <v>108937.34161256436</v>
      </c>
    </row>
    <row r="208" spans="4:15" hidden="1">
      <c r="D208" s="1534">
        <f t="shared" si="9"/>
        <v>44</v>
      </c>
      <c r="E208" s="1529">
        <f t="shared" si="10"/>
        <v>469339.38126447756</v>
      </c>
      <c r="F208" s="1529">
        <f t="shared" si="11"/>
        <v>2533.4265491294036</v>
      </c>
      <c r="G208" s="1529">
        <f t="shared" si="12"/>
        <v>1760.0226797417909</v>
      </c>
      <c r="H208" s="1529">
        <f t="shared" si="13"/>
        <v>773.40386938761276</v>
      </c>
      <c r="I208" s="1529">
        <f t="shared" si="14"/>
        <v>468565.97739508993</v>
      </c>
      <c r="K208" s="1529">
        <f t="shared" si="15"/>
        <v>80036.745556783775</v>
      </c>
      <c r="L208" s="1529">
        <f t="shared" si="16"/>
        <v>31434.022604909977</v>
      </c>
      <c r="O208" s="1529">
        <f t="shared" si="0"/>
        <v>111470.76816169375</v>
      </c>
    </row>
    <row r="209" spans="4:15" hidden="1">
      <c r="D209" s="1534">
        <f t="shared" si="9"/>
        <v>45</v>
      </c>
      <c r="E209" s="1529">
        <f t="shared" si="10"/>
        <v>468565.97739508993</v>
      </c>
      <c r="F209" s="1529">
        <f t="shared" si="11"/>
        <v>2533.4265491294036</v>
      </c>
      <c r="G209" s="1529">
        <f t="shared" si="12"/>
        <v>1757.1224152315872</v>
      </c>
      <c r="H209" s="1529">
        <f t="shared" si="13"/>
        <v>776.30413389781643</v>
      </c>
      <c r="I209" s="1529">
        <f t="shared" si="14"/>
        <v>467789.6732611921</v>
      </c>
      <c r="K209" s="1529">
        <f t="shared" si="15"/>
        <v>81793.86797201536</v>
      </c>
      <c r="L209" s="1529">
        <f t="shared" si="16"/>
        <v>32210.326738807795</v>
      </c>
      <c r="O209" s="1529">
        <f t="shared" si="0"/>
        <v>114004.19471082315</v>
      </c>
    </row>
    <row r="210" spans="4:15" hidden="1">
      <c r="D210" s="1534">
        <f t="shared" si="9"/>
        <v>46</v>
      </c>
      <c r="E210" s="1529">
        <f t="shared" si="10"/>
        <v>467789.6732611921</v>
      </c>
      <c r="F210" s="1529">
        <f t="shared" si="11"/>
        <v>2533.4265491294036</v>
      </c>
      <c r="G210" s="1529">
        <f t="shared" si="12"/>
        <v>1754.2112747294702</v>
      </c>
      <c r="H210" s="1529">
        <f t="shared" si="13"/>
        <v>779.21527439993338</v>
      </c>
      <c r="I210" s="1529">
        <f t="shared" si="14"/>
        <v>467010.45798679214</v>
      </c>
      <c r="K210" s="1529">
        <f t="shared" si="15"/>
        <v>83548.079246744834</v>
      </c>
      <c r="L210" s="1529">
        <f t="shared" si="16"/>
        <v>32989.542013207727</v>
      </c>
      <c r="O210" s="1529">
        <f t="shared" si="0"/>
        <v>116537.62125995256</v>
      </c>
    </row>
    <row r="211" spans="4:15" hidden="1">
      <c r="D211" s="1534">
        <f t="shared" si="9"/>
        <v>47</v>
      </c>
      <c r="E211" s="1529">
        <f t="shared" si="10"/>
        <v>467010.45798679214</v>
      </c>
      <c r="F211" s="1529">
        <f t="shared" si="11"/>
        <v>2533.4265491294036</v>
      </c>
      <c r="G211" s="1529">
        <f t="shared" si="12"/>
        <v>1751.2892174504705</v>
      </c>
      <c r="H211" s="1529">
        <f t="shared" si="13"/>
        <v>782.13733167893315</v>
      </c>
      <c r="I211" s="1529">
        <f t="shared" si="14"/>
        <v>466228.3206551132</v>
      </c>
      <c r="K211" s="1529">
        <f t="shared" si="15"/>
        <v>85299.3684641953</v>
      </c>
      <c r="L211" s="1529">
        <f t="shared" si="16"/>
        <v>33771.679344886659</v>
      </c>
      <c r="O211" s="1529">
        <f t="shared" si="0"/>
        <v>119071.04780908197</v>
      </c>
    </row>
    <row r="212" spans="4:15" hidden="1">
      <c r="D212" s="1534">
        <f t="shared" si="9"/>
        <v>48</v>
      </c>
      <c r="E212" s="1529">
        <f t="shared" si="10"/>
        <v>466228.3206551132</v>
      </c>
      <c r="F212" s="1529">
        <f t="shared" si="11"/>
        <v>2533.4265491294036</v>
      </c>
      <c r="G212" s="1529">
        <f t="shared" si="12"/>
        <v>1748.3562024566745</v>
      </c>
      <c r="H212" s="1529">
        <f t="shared" si="13"/>
        <v>785.0703466727291</v>
      </c>
      <c r="I212" s="1529">
        <f t="shared" si="14"/>
        <v>465443.25030844047</v>
      </c>
      <c r="K212" s="1529">
        <f t="shared" si="15"/>
        <v>87047.724666651979</v>
      </c>
      <c r="L212" s="1529">
        <f t="shared" si="16"/>
        <v>34556.749691559387</v>
      </c>
      <c r="O212" s="1529">
        <f t="shared" si="0"/>
        <v>121604.47435821136</v>
      </c>
    </row>
    <row r="213" spans="4:15" hidden="1">
      <c r="D213" s="1534">
        <f t="shared" si="9"/>
        <v>49</v>
      </c>
      <c r="E213" s="1529">
        <f t="shared" si="10"/>
        <v>465443.25030844047</v>
      </c>
      <c r="F213" s="1529">
        <f t="shared" si="11"/>
        <v>2533.4265491294036</v>
      </c>
      <c r="G213" s="1529">
        <f t="shared" si="12"/>
        <v>1745.4121886566518</v>
      </c>
      <c r="H213" s="1529">
        <f t="shared" si="13"/>
        <v>788.01436047275183</v>
      </c>
      <c r="I213" s="1529">
        <f t="shared" si="14"/>
        <v>464655.23594796774</v>
      </c>
      <c r="K213" s="1529">
        <f t="shared" si="15"/>
        <v>88793.136855308636</v>
      </c>
      <c r="L213" s="1529">
        <f t="shared" si="16"/>
        <v>35344.764052032137</v>
      </c>
      <c r="O213" s="1529">
        <f t="shared" si="0"/>
        <v>124137.90090734078</v>
      </c>
    </row>
    <row r="214" spans="4:15" hidden="1">
      <c r="D214" s="1534">
        <f t="shared" si="9"/>
        <v>50</v>
      </c>
      <c r="E214" s="1529">
        <f t="shared" si="10"/>
        <v>464655.23594796774</v>
      </c>
      <c r="F214" s="1529">
        <f t="shared" si="11"/>
        <v>2533.4265491294036</v>
      </c>
      <c r="G214" s="1529">
        <f t="shared" si="12"/>
        <v>1742.4571348048789</v>
      </c>
      <c r="H214" s="1529">
        <f t="shared" si="13"/>
        <v>790.96941432452468</v>
      </c>
      <c r="I214" s="1529">
        <f t="shared" si="14"/>
        <v>463864.26653364324</v>
      </c>
      <c r="K214" s="1529">
        <f t="shared" si="15"/>
        <v>90535.593990113513</v>
      </c>
      <c r="L214" s="1529">
        <f t="shared" si="16"/>
        <v>36135.733466356658</v>
      </c>
      <c r="O214" s="1529">
        <f t="shared" si="0"/>
        <v>126671.32745647017</v>
      </c>
    </row>
    <row r="215" spans="4:15" hidden="1">
      <c r="D215" s="1534">
        <f t="shared" si="9"/>
        <v>51</v>
      </c>
      <c r="E215" s="1529">
        <f t="shared" si="10"/>
        <v>463864.26653364324</v>
      </c>
      <c r="F215" s="1529">
        <f t="shared" si="11"/>
        <v>2533.4265491294036</v>
      </c>
      <c r="G215" s="1529">
        <f t="shared" si="12"/>
        <v>1739.4909995011622</v>
      </c>
      <c r="H215" s="1529">
        <f t="shared" si="13"/>
        <v>793.93554962824146</v>
      </c>
      <c r="I215" s="1529">
        <f t="shared" si="14"/>
        <v>463070.33098401502</v>
      </c>
      <c r="K215" s="1529">
        <f t="shared" si="15"/>
        <v>92275.084989614668</v>
      </c>
      <c r="L215" s="1529">
        <f t="shared" si="16"/>
        <v>36929.669015984902</v>
      </c>
      <c r="O215" s="1529">
        <f t="shared" si="0"/>
        <v>129204.75400559956</v>
      </c>
    </row>
    <row r="216" spans="4:15" hidden="1">
      <c r="D216" s="1534">
        <f t="shared" si="9"/>
        <v>52</v>
      </c>
      <c r="E216" s="1529">
        <f t="shared" si="10"/>
        <v>463070.33098401502</v>
      </c>
      <c r="F216" s="1529">
        <f t="shared" si="11"/>
        <v>2533.4265491294036</v>
      </c>
      <c r="G216" s="1529">
        <f t="shared" si="12"/>
        <v>1736.5137411900562</v>
      </c>
      <c r="H216" s="1529">
        <f t="shared" si="13"/>
        <v>796.91280793934743</v>
      </c>
      <c r="I216" s="1529">
        <f t="shared" si="14"/>
        <v>462273.41817607568</v>
      </c>
      <c r="K216" s="1529">
        <f t="shared" si="15"/>
        <v>94011.598730804719</v>
      </c>
      <c r="L216" s="1529">
        <f t="shared" si="16"/>
        <v>37726.581823924251</v>
      </c>
      <c r="O216" s="1529">
        <f t="shared" si="0"/>
        <v>131738.18055472896</v>
      </c>
    </row>
    <row r="217" spans="4:15" hidden="1">
      <c r="D217" s="1534">
        <f t="shared" si="9"/>
        <v>53</v>
      </c>
      <c r="E217" s="1529">
        <f t="shared" si="10"/>
        <v>462273.41817607568</v>
      </c>
      <c r="F217" s="1529">
        <f t="shared" si="11"/>
        <v>2533.4265491294036</v>
      </c>
      <c r="G217" s="1529">
        <f t="shared" si="12"/>
        <v>1733.5253181602836</v>
      </c>
      <c r="H217" s="1529">
        <f t="shared" si="13"/>
        <v>799.90123096911998</v>
      </c>
      <c r="I217" s="1529">
        <f t="shared" si="14"/>
        <v>461473.51694510656</v>
      </c>
      <c r="K217" s="1529">
        <f t="shared" si="15"/>
        <v>95745.124048965008</v>
      </c>
      <c r="L217" s="1529">
        <f t="shared" si="16"/>
        <v>38526.483054893368</v>
      </c>
      <c r="O217" s="1529">
        <f t="shared" si="0"/>
        <v>134271.60710385838</v>
      </c>
    </row>
    <row r="218" spans="4:15" hidden="1">
      <c r="D218" s="1534">
        <f t="shared" si="9"/>
        <v>54</v>
      </c>
      <c r="E218" s="1529">
        <f t="shared" si="10"/>
        <v>461473.51694510656</v>
      </c>
      <c r="F218" s="1529">
        <f t="shared" si="11"/>
        <v>2533.4265491294036</v>
      </c>
      <c r="G218" s="1529">
        <f t="shared" si="12"/>
        <v>1730.5256885441495</v>
      </c>
      <c r="H218" s="1529">
        <f t="shared" si="13"/>
        <v>802.90086058525412</v>
      </c>
      <c r="I218" s="1529">
        <f t="shared" si="14"/>
        <v>460670.61608452129</v>
      </c>
      <c r="K218" s="1529">
        <f t="shared" si="15"/>
        <v>97475.649737509157</v>
      </c>
      <c r="L218" s="1529">
        <f t="shared" si="16"/>
        <v>39329.383915478626</v>
      </c>
      <c r="O218" s="1529">
        <f t="shared" si="0"/>
        <v>136805.0336529878</v>
      </c>
    </row>
    <row r="219" spans="4:15" hidden="1">
      <c r="D219" s="1534">
        <f t="shared" si="9"/>
        <v>55</v>
      </c>
      <c r="E219" s="1529">
        <f t="shared" si="10"/>
        <v>460670.61608452129</v>
      </c>
      <c r="F219" s="1529">
        <f t="shared" si="11"/>
        <v>2533.4265491294036</v>
      </c>
      <c r="G219" s="1529">
        <f t="shared" si="12"/>
        <v>1727.5148103169547</v>
      </c>
      <c r="H219" s="1529">
        <f t="shared" si="13"/>
        <v>805.9117388124489</v>
      </c>
      <c r="I219" s="1529">
        <f t="shared" si="14"/>
        <v>459864.70434570883</v>
      </c>
      <c r="K219" s="1529">
        <f t="shared" si="15"/>
        <v>99203.164547826105</v>
      </c>
      <c r="L219" s="1529">
        <f t="shared" si="16"/>
        <v>40135.295654291076</v>
      </c>
      <c r="O219" s="1529">
        <f t="shared" si="0"/>
        <v>139338.46020211719</v>
      </c>
    </row>
    <row r="220" spans="4:15" hidden="1">
      <c r="D220" s="1534">
        <f t="shared" si="9"/>
        <v>56</v>
      </c>
      <c r="E220" s="1529">
        <f t="shared" si="10"/>
        <v>459864.70434570883</v>
      </c>
      <c r="F220" s="1529">
        <f t="shared" si="11"/>
        <v>2533.4265491294036</v>
      </c>
      <c r="G220" s="1529">
        <f t="shared" si="12"/>
        <v>1724.492641296408</v>
      </c>
      <c r="H220" s="1529">
        <f t="shared" si="13"/>
        <v>808.9339078329956</v>
      </c>
      <c r="I220" s="1529">
        <f t="shared" si="14"/>
        <v>459055.77043787582</v>
      </c>
      <c r="K220" s="1529">
        <f t="shared" si="15"/>
        <v>100927.65718912252</v>
      </c>
      <c r="L220" s="1529">
        <f t="shared" si="16"/>
        <v>40944.22956212407</v>
      </c>
      <c r="O220" s="1529">
        <f t="shared" si="0"/>
        <v>141871.88675124658</v>
      </c>
    </row>
    <row r="221" spans="4:15" hidden="1">
      <c r="D221" s="1534">
        <f t="shared" si="9"/>
        <v>57</v>
      </c>
      <c r="E221" s="1529">
        <f t="shared" si="10"/>
        <v>459055.77043787582</v>
      </c>
      <c r="F221" s="1529">
        <f t="shared" si="11"/>
        <v>2533.4265491294036</v>
      </c>
      <c r="G221" s="1529">
        <f t="shared" si="12"/>
        <v>1721.4591391420342</v>
      </c>
      <c r="H221" s="1529">
        <f t="shared" si="13"/>
        <v>811.96740998736936</v>
      </c>
      <c r="I221" s="1529">
        <f t="shared" si="14"/>
        <v>458243.80302788847</v>
      </c>
      <c r="K221" s="1529">
        <f t="shared" si="15"/>
        <v>102649.11632826456</v>
      </c>
      <c r="L221" s="1529">
        <f t="shared" si="16"/>
        <v>41756.196972111436</v>
      </c>
      <c r="O221" s="1529">
        <f t="shared" si="0"/>
        <v>144405.313300376</v>
      </c>
    </row>
    <row r="222" spans="4:15" hidden="1">
      <c r="D222" s="1534">
        <f t="shared" si="9"/>
        <v>58</v>
      </c>
      <c r="E222" s="1529">
        <f t="shared" si="10"/>
        <v>458243.80302788847</v>
      </c>
      <c r="F222" s="1529">
        <f t="shared" si="11"/>
        <v>2533.4265491294036</v>
      </c>
      <c r="G222" s="1529">
        <f t="shared" si="12"/>
        <v>1718.4142613545816</v>
      </c>
      <c r="H222" s="1529">
        <f t="shared" si="13"/>
        <v>815.01228777482197</v>
      </c>
      <c r="I222" s="1529">
        <f t="shared" si="14"/>
        <v>457428.79074011365</v>
      </c>
      <c r="K222" s="1529">
        <f t="shared" si="15"/>
        <v>104367.53058961914</v>
      </c>
      <c r="L222" s="1529">
        <f t="shared" si="16"/>
        <v>42571.209259886258</v>
      </c>
      <c r="O222" s="1529">
        <f t="shared" si="0"/>
        <v>146938.73984950539</v>
      </c>
    </row>
    <row r="223" spans="4:15" hidden="1">
      <c r="D223" s="1534">
        <f t="shared" si="9"/>
        <v>59</v>
      </c>
      <c r="E223" s="1529">
        <f t="shared" si="10"/>
        <v>457428.79074011365</v>
      </c>
      <c r="F223" s="1529">
        <f t="shared" si="11"/>
        <v>2533.4265491294036</v>
      </c>
      <c r="G223" s="1529">
        <f t="shared" si="12"/>
        <v>1715.3579652754261</v>
      </c>
      <c r="H223" s="1529">
        <f t="shared" si="13"/>
        <v>818.06858385397754</v>
      </c>
      <c r="I223" s="1529">
        <f t="shared" si="14"/>
        <v>456610.7221562597</v>
      </c>
      <c r="K223" s="1529">
        <f t="shared" si="15"/>
        <v>106082.88855489457</v>
      </c>
      <c r="L223" s="1529">
        <f t="shared" si="16"/>
        <v>43389.277843740238</v>
      </c>
      <c r="O223" s="1529">
        <f t="shared" si="0"/>
        <v>149472.16639863481</v>
      </c>
    </row>
    <row r="224" spans="4:15" hidden="1">
      <c r="D224" s="1534">
        <f t="shared" si="9"/>
        <v>60</v>
      </c>
      <c r="E224" s="1529">
        <f t="shared" si="10"/>
        <v>456610.7221562597</v>
      </c>
      <c r="F224" s="1529">
        <f t="shared" si="11"/>
        <v>2533.4265491294036</v>
      </c>
      <c r="G224" s="1529">
        <f t="shared" si="12"/>
        <v>1712.2902080859737</v>
      </c>
      <c r="H224" s="1529">
        <f t="shared" si="13"/>
        <v>821.13634104342987</v>
      </c>
      <c r="I224" s="1529">
        <f t="shared" si="14"/>
        <v>455789.58581521624</v>
      </c>
      <c r="K224" s="1529">
        <f t="shared" si="15"/>
        <v>107795.17876298055</v>
      </c>
      <c r="L224" s="1529">
        <f t="shared" si="16"/>
        <v>44210.414184783665</v>
      </c>
      <c r="O224" s="1529">
        <f t="shared" si="0"/>
        <v>152005.59294776421</v>
      </c>
    </row>
    <row r="225" spans="4:15" hidden="1">
      <c r="D225" s="1534">
        <f t="shared" si="9"/>
        <v>61</v>
      </c>
      <c r="E225" s="1529">
        <f t="shared" si="10"/>
        <v>455789.58581521624</v>
      </c>
      <c r="F225" s="1529">
        <f t="shared" si="11"/>
        <v>2533.4265491294036</v>
      </c>
      <c r="G225" s="1529">
        <f t="shared" si="12"/>
        <v>1709.2109468070607</v>
      </c>
      <c r="H225" s="1529">
        <f t="shared" si="13"/>
        <v>824.21560232234287</v>
      </c>
      <c r="I225" s="1529">
        <f t="shared" si="14"/>
        <v>454965.37021289387</v>
      </c>
      <c r="K225" s="1529">
        <f t="shared" si="15"/>
        <v>109504.3897097876</v>
      </c>
      <c r="L225" s="1529">
        <f t="shared" si="16"/>
        <v>45034.629787106009</v>
      </c>
      <c r="O225" s="1529">
        <f t="shared" si="0"/>
        <v>154539.01949689363</v>
      </c>
    </row>
    <row r="226" spans="4:15" hidden="1">
      <c r="D226" s="1534">
        <f t="shared" si="9"/>
        <v>62</v>
      </c>
      <c r="E226" s="1529">
        <f t="shared" si="10"/>
        <v>454965.37021289387</v>
      </c>
      <c r="F226" s="1529">
        <f t="shared" si="11"/>
        <v>2533.4265491294036</v>
      </c>
      <c r="G226" s="1529">
        <f t="shared" si="12"/>
        <v>1706.120138298352</v>
      </c>
      <c r="H226" s="1529">
        <f t="shared" si="13"/>
        <v>827.30641083105161</v>
      </c>
      <c r="I226" s="1529">
        <f t="shared" si="14"/>
        <v>454138.06380206282</v>
      </c>
      <c r="K226" s="1529">
        <f t="shared" si="15"/>
        <v>111210.50984808596</v>
      </c>
      <c r="L226" s="1529">
        <f t="shared" si="16"/>
        <v>45861.936197937059</v>
      </c>
      <c r="O226" s="1529">
        <f t="shared" si="0"/>
        <v>157072.44604602302</v>
      </c>
    </row>
    <row r="227" spans="4:15" hidden="1">
      <c r="D227" s="1534">
        <f t="shared" si="9"/>
        <v>63</v>
      </c>
      <c r="E227" s="1529">
        <f t="shared" si="10"/>
        <v>454138.06380206282</v>
      </c>
      <c r="F227" s="1529">
        <f t="shared" si="11"/>
        <v>2533.4265491294036</v>
      </c>
      <c r="G227" s="1529">
        <f t="shared" si="12"/>
        <v>1703.0177392577355</v>
      </c>
      <c r="H227" s="1529">
        <f t="shared" si="13"/>
        <v>830.40880987166815</v>
      </c>
      <c r="I227" s="1529">
        <f t="shared" si="14"/>
        <v>453307.65499219118</v>
      </c>
      <c r="K227" s="1529">
        <f t="shared" si="15"/>
        <v>112913.52758734369</v>
      </c>
      <c r="L227" s="1529">
        <f t="shared" si="16"/>
        <v>46692.345007808726</v>
      </c>
      <c r="O227" s="1529">
        <f t="shared" si="0"/>
        <v>159605.87259515241</v>
      </c>
    </row>
    <row r="228" spans="4:15" hidden="1">
      <c r="D228" s="1534">
        <f t="shared" si="9"/>
        <v>64</v>
      </c>
      <c r="E228" s="1529">
        <f t="shared" si="10"/>
        <v>453307.65499219118</v>
      </c>
      <c r="F228" s="1529">
        <f t="shared" si="11"/>
        <v>2533.4265491294036</v>
      </c>
      <c r="G228" s="1529">
        <f t="shared" si="12"/>
        <v>1699.9037062207169</v>
      </c>
      <c r="H228" s="1529">
        <f t="shared" si="13"/>
        <v>833.5228429086867</v>
      </c>
      <c r="I228" s="1529">
        <f t="shared" si="14"/>
        <v>452474.13214928249</v>
      </c>
      <c r="K228" s="1529">
        <f t="shared" si="15"/>
        <v>114613.43129356441</v>
      </c>
      <c r="L228" s="1529">
        <f t="shared" si="16"/>
        <v>47525.867850717412</v>
      </c>
      <c r="O228" s="1529">
        <f t="shared" si="0"/>
        <v>162139.29914428183</v>
      </c>
    </row>
    <row r="229" spans="4:15" hidden="1">
      <c r="D229" s="1534">
        <f t="shared" si="9"/>
        <v>65</v>
      </c>
      <c r="E229" s="1529">
        <f t="shared" si="10"/>
        <v>452474.13214928249</v>
      </c>
      <c r="F229" s="1529">
        <f t="shared" si="11"/>
        <v>2533.4265491294036</v>
      </c>
      <c r="G229" s="1529">
        <f t="shared" si="12"/>
        <v>1696.7779955598094</v>
      </c>
      <c r="H229" s="1529">
        <f t="shared" si="13"/>
        <v>836.64855356959424</v>
      </c>
      <c r="I229" s="1529">
        <f t="shared" si="14"/>
        <v>451637.48359571293</v>
      </c>
      <c r="K229" s="1529">
        <f t="shared" si="15"/>
        <v>116310.20928912422</v>
      </c>
      <c r="L229" s="1529">
        <f t="shared" si="16"/>
        <v>48362.516404287009</v>
      </c>
      <c r="O229" s="1529">
        <f t="shared" si="0"/>
        <v>164672.72569341122</v>
      </c>
    </row>
    <row r="230" spans="4:15" hidden="1">
      <c r="D230" s="1534">
        <f t="shared" si="9"/>
        <v>66</v>
      </c>
      <c r="E230" s="1529">
        <f t="shared" si="10"/>
        <v>451637.48359571293</v>
      </c>
      <c r="F230" s="1529">
        <f t="shared" si="11"/>
        <v>2533.4265491294036</v>
      </c>
      <c r="G230" s="1529">
        <f t="shared" si="12"/>
        <v>1693.6405634839234</v>
      </c>
      <c r="H230" s="1529">
        <f t="shared" si="13"/>
        <v>839.7859856454802</v>
      </c>
      <c r="I230" s="1529">
        <f t="shared" si="14"/>
        <v>450797.69761006744</v>
      </c>
      <c r="K230" s="1529">
        <f t="shared" si="15"/>
        <v>118003.84985260814</v>
      </c>
      <c r="L230" s="1529">
        <f t="shared" si="16"/>
        <v>49202.302389932491</v>
      </c>
      <c r="O230" s="1529">
        <f t="shared" ref="O230:O293" si="17">K230+L230</f>
        <v>167206.15224254061</v>
      </c>
    </row>
    <row r="231" spans="4:15" hidden="1">
      <c r="D231" s="1534">
        <f t="shared" si="9"/>
        <v>67</v>
      </c>
      <c r="E231" s="1529">
        <f t="shared" si="10"/>
        <v>450797.69761006744</v>
      </c>
      <c r="F231" s="1529">
        <f t="shared" si="11"/>
        <v>2533.4265491294036</v>
      </c>
      <c r="G231" s="1529">
        <f t="shared" si="12"/>
        <v>1690.4913660377529</v>
      </c>
      <c r="H231" s="1529">
        <f t="shared" si="13"/>
        <v>842.93518309165074</v>
      </c>
      <c r="I231" s="1529">
        <f t="shared" si="14"/>
        <v>449954.76242697577</v>
      </c>
      <c r="K231" s="1529">
        <f t="shared" si="15"/>
        <v>119694.34121864589</v>
      </c>
      <c r="L231" s="1529">
        <f t="shared" si="16"/>
        <v>50045.23757302414</v>
      </c>
      <c r="O231" s="1529">
        <f t="shared" si="17"/>
        <v>169739.57879167004</v>
      </c>
    </row>
    <row r="232" spans="4:15" hidden="1">
      <c r="D232" s="1534">
        <f t="shared" si="9"/>
        <v>68</v>
      </c>
      <c r="E232" s="1529">
        <f t="shared" si="10"/>
        <v>449954.76242697577</v>
      </c>
      <c r="F232" s="1529">
        <f t="shared" si="11"/>
        <v>2533.4265491294036</v>
      </c>
      <c r="G232" s="1529">
        <f t="shared" si="12"/>
        <v>1687.330359101159</v>
      </c>
      <c r="H232" s="1529">
        <f t="shared" si="13"/>
        <v>846.09619002824456</v>
      </c>
      <c r="I232" s="1529">
        <f t="shared" si="14"/>
        <v>449108.66623694752</v>
      </c>
      <c r="K232" s="1529">
        <f t="shared" si="15"/>
        <v>121381.67157774705</v>
      </c>
      <c r="L232" s="1529">
        <f t="shared" si="16"/>
        <v>50891.333763052382</v>
      </c>
      <c r="O232" s="1529">
        <f t="shared" si="17"/>
        <v>172273.00534079943</v>
      </c>
    </row>
    <row r="233" spans="4:15" hidden="1">
      <c r="D233" s="1534">
        <f t="shared" si="9"/>
        <v>69</v>
      </c>
      <c r="E233" s="1529">
        <f t="shared" si="10"/>
        <v>449108.66623694752</v>
      </c>
      <c r="F233" s="1529">
        <f t="shared" si="11"/>
        <v>2533.4265491294036</v>
      </c>
      <c r="G233" s="1529">
        <f t="shared" si="12"/>
        <v>1684.1574983885532</v>
      </c>
      <c r="H233" s="1529">
        <f t="shared" si="13"/>
        <v>849.26905074085039</v>
      </c>
      <c r="I233" s="1529">
        <f t="shared" si="14"/>
        <v>448259.39718620665</v>
      </c>
      <c r="K233" s="1529">
        <f t="shared" si="15"/>
        <v>123065.8290761356</v>
      </c>
      <c r="L233" s="1529">
        <f t="shared" si="16"/>
        <v>51740.60281379323</v>
      </c>
      <c r="O233" s="1529">
        <f t="shared" si="17"/>
        <v>174806.43188992882</v>
      </c>
    </row>
    <row r="234" spans="4:15" hidden="1">
      <c r="D234" s="1534">
        <f t="shared" si="9"/>
        <v>70</v>
      </c>
      <c r="E234" s="1529">
        <f t="shared" si="10"/>
        <v>448259.39718620665</v>
      </c>
      <c r="F234" s="1529">
        <f t="shared" si="11"/>
        <v>2533.4265491294036</v>
      </c>
      <c r="G234" s="1529">
        <f t="shared" si="12"/>
        <v>1680.972739448275</v>
      </c>
      <c r="H234" s="1529">
        <f t="shared" si="13"/>
        <v>852.45380968112863</v>
      </c>
      <c r="I234" s="1529">
        <f t="shared" si="14"/>
        <v>447406.94337652554</v>
      </c>
      <c r="K234" s="1529">
        <f t="shared" si="15"/>
        <v>124746.80181558388</v>
      </c>
      <c r="L234" s="1529">
        <f t="shared" si="16"/>
        <v>52593.05662347436</v>
      </c>
      <c r="O234" s="1529">
        <f t="shared" si="17"/>
        <v>177339.85843905824</v>
      </c>
    </row>
    <row r="235" spans="4:15" hidden="1">
      <c r="D235" s="1534">
        <f t="shared" si="9"/>
        <v>71</v>
      </c>
      <c r="E235" s="1529">
        <f t="shared" si="10"/>
        <v>447406.94337652554</v>
      </c>
      <c r="F235" s="1529">
        <f t="shared" si="11"/>
        <v>2533.4265491294036</v>
      </c>
      <c r="G235" s="1529">
        <f t="shared" si="12"/>
        <v>1677.7760376619708</v>
      </c>
      <c r="H235" s="1529">
        <f t="shared" si="13"/>
        <v>855.65051146743281</v>
      </c>
      <c r="I235" s="1529">
        <f t="shared" si="14"/>
        <v>446551.29286505812</v>
      </c>
      <c r="K235" s="1529">
        <f t="shared" si="15"/>
        <v>126424.57785324585</v>
      </c>
      <c r="L235" s="1529">
        <f t="shared" si="16"/>
        <v>53448.707134941797</v>
      </c>
      <c r="O235" s="1529">
        <f t="shared" si="17"/>
        <v>179873.28498818766</v>
      </c>
    </row>
    <row r="236" spans="4:15" hidden="1">
      <c r="D236" s="1534">
        <f t="shared" si="9"/>
        <v>72</v>
      </c>
      <c r="E236" s="1529">
        <f t="shared" si="10"/>
        <v>446551.29286505812</v>
      </c>
      <c r="F236" s="1529">
        <f t="shared" si="11"/>
        <v>2533.4265491294036</v>
      </c>
      <c r="G236" s="1529">
        <f t="shared" si="12"/>
        <v>1674.5673482439679</v>
      </c>
      <c r="H236" s="1529">
        <f t="shared" si="13"/>
        <v>858.85920088543571</v>
      </c>
      <c r="I236" s="1529">
        <f t="shared" si="14"/>
        <v>445692.43366417265</v>
      </c>
      <c r="K236" s="1529">
        <f t="shared" si="15"/>
        <v>128099.14520148982</v>
      </c>
      <c r="L236" s="1529">
        <f t="shared" si="16"/>
        <v>54307.566335827229</v>
      </c>
      <c r="O236" s="1529">
        <f t="shared" si="17"/>
        <v>182406.71153731705</v>
      </c>
    </row>
    <row r="237" spans="4:15" hidden="1">
      <c r="D237" s="1534">
        <f t="shared" si="9"/>
        <v>73</v>
      </c>
      <c r="E237" s="1529">
        <f t="shared" si="10"/>
        <v>445692.43366417265</v>
      </c>
      <c r="F237" s="1529">
        <f t="shared" si="11"/>
        <v>2533.4265491294036</v>
      </c>
      <c r="G237" s="1529">
        <f t="shared" si="12"/>
        <v>1671.3466262406473</v>
      </c>
      <c r="H237" s="1529">
        <f t="shared" si="13"/>
        <v>862.0799228887563</v>
      </c>
      <c r="I237" s="1529">
        <f t="shared" si="14"/>
        <v>444830.35374128388</v>
      </c>
      <c r="K237" s="1529">
        <f t="shared" si="15"/>
        <v>129770.49182773047</v>
      </c>
      <c r="L237" s="1529">
        <f t="shared" si="16"/>
        <v>55169.646258715984</v>
      </c>
      <c r="O237" s="1529">
        <f t="shared" si="17"/>
        <v>184940.13808644644</v>
      </c>
    </row>
    <row r="238" spans="4:15" hidden="1">
      <c r="D238" s="1534">
        <f t="shared" si="9"/>
        <v>74</v>
      </c>
      <c r="E238" s="1529">
        <f t="shared" si="10"/>
        <v>444830.35374128388</v>
      </c>
      <c r="F238" s="1529">
        <f t="shared" si="11"/>
        <v>2533.4265491294036</v>
      </c>
      <c r="G238" s="1529">
        <f t="shared" si="12"/>
        <v>1668.1138265298146</v>
      </c>
      <c r="H238" s="1529">
        <f t="shared" si="13"/>
        <v>865.31272259958905</v>
      </c>
      <c r="I238" s="1529">
        <f t="shared" si="14"/>
        <v>443965.04101868428</v>
      </c>
      <c r="K238" s="1529">
        <f t="shared" si="15"/>
        <v>131438.60565426029</v>
      </c>
      <c r="L238" s="1529">
        <f t="shared" si="16"/>
        <v>56034.958981315576</v>
      </c>
      <c r="O238" s="1529">
        <f t="shared" si="17"/>
        <v>187473.56463557587</v>
      </c>
    </row>
    <row r="239" spans="4:15" hidden="1">
      <c r="D239" s="1534">
        <f t="shared" si="9"/>
        <v>75</v>
      </c>
      <c r="E239" s="1529">
        <f t="shared" si="10"/>
        <v>443965.04101868428</v>
      </c>
      <c r="F239" s="1529">
        <f t="shared" si="11"/>
        <v>2533.4265491294036</v>
      </c>
      <c r="G239" s="1529">
        <f t="shared" si="12"/>
        <v>1664.868903820066</v>
      </c>
      <c r="H239" s="1529">
        <f t="shared" si="13"/>
        <v>868.55764530933766</v>
      </c>
      <c r="I239" s="1529">
        <f t="shared" si="14"/>
        <v>443096.48337337497</v>
      </c>
      <c r="K239" s="1529">
        <f t="shared" si="15"/>
        <v>133103.47455808034</v>
      </c>
      <c r="L239" s="1529">
        <f t="shared" si="16"/>
        <v>56903.516626624914</v>
      </c>
      <c r="O239" s="1529">
        <f t="shared" si="17"/>
        <v>190006.99118470526</v>
      </c>
    </row>
    <row r="240" spans="4:15" hidden="1">
      <c r="D240" s="1534">
        <f t="shared" si="9"/>
        <v>76</v>
      </c>
      <c r="E240" s="1529">
        <f t="shared" si="10"/>
        <v>443096.48337337497</v>
      </c>
      <c r="F240" s="1529">
        <f t="shared" si="11"/>
        <v>2533.4265491294036</v>
      </c>
      <c r="G240" s="1529">
        <f t="shared" si="12"/>
        <v>1661.611812650156</v>
      </c>
      <c r="H240" s="1529">
        <f t="shared" si="13"/>
        <v>871.81473647924759</v>
      </c>
      <c r="I240" s="1529">
        <f t="shared" si="14"/>
        <v>442224.66863689572</v>
      </c>
      <c r="K240" s="1529">
        <f t="shared" si="15"/>
        <v>134765.08637073051</v>
      </c>
      <c r="L240" s="1529">
        <f t="shared" si="16"/>
        <v>57775.33136310416</v>
      </c>
      <c r="O240" s="1529">
        <f t="shared" si="17"/>
        <v>192540.41773383468</v>
      </c>
    </row>
    <row r="241" spans="4:15" hidden="1">
      <c r="D241" s="1534">
        <f t="shared" si="9"/>
        <v>77</v>
      </c>
      <c r="E241" s="1529">
        <f t="shared" si="10"/>
        <v>442224.66863689572</v>
      </c>
      <c r="F241" s="1529">
        <f t="shared" si="11"/>
        <v>2533.4265491294036</v>
      </c>
      <c r="G241" s="1529">
        <f t="shared" si="12"/>
        <v>1658.3425073883589</v>
      </c>
      <c r="H241" s="1529">
        <f t="shared" si="13"/>
        <v>875.08404174104476</v>
      </c>
      <c r="I241" s="1529">
        <f t="shared" si="14"/>
        <v>441349.58459515468</v>
      </c>
      <c r="K241" s="1529">
        <f t="shared" si="15"/>
        <v>136423.42887811887</v>
      </c>
      <c r="L241" s="1529">
        <f t="shared" si="16"/>
        <v>58650.415404845204</v>
      </c>
      <c r="O241" s="1529">
        <f t="shared" si="17"/>
        <v>195073.84428296407</v>
      </c>
    </row>
    <row r="242" spans="4:15" hidden="1">
      <c r="D242" s="1534">
        <f t="shared" si="9"/>
        <v>78</v>
      </c>
      <c r="E242" s="1529">
        <f t="shared" si="10"/>
        <v>441349.58459515468</v>
      </c>
      <c r="F242" s="1529">
        <f t="shared" si="11"/>
        <v>2533.4265491294036</v>
      </c>
      <c r="G242" s="1529">
        <f t="shared" si="12"/>
        <v>1655.06094223183</v>
      </c>
      <c r="H242" s="1529">
        <f t="shared" si="13"/>
        <v>878.36560689757357</v>
      </c>
      <c r="I242" s="1529">
        <f t="shared" si="14"/>
        <v>440471.21898825711</v>
      </c>
      <c r="K242" s="1529">
        <f t="shared" si="15"/>
        <v>138078.48982035069</v>
      </c>
      <c r="L242" s="1529">
        <f t="shared" si="16"/>
        <v>59528.78101174278</v>
      </c>
      <c r="O242" s="1529">
        <f t="shared" si="17"/>
        <v>197607.27083209346</v>
      </c>
    </row>
    <row r="243" spans="4:15" hidden="1">
      <c r="D243" s="1534">
        <f t="shared" si="9"/>
        <v>79</v>
      </c>
      <c r="E243" s="1529">
        <f t="shared" si="10"/>
        <v>440471.21898825711</v>
      </c>
      <c r="F243" s="1529">
        <f t="shared" si="11"/>
        <v>2533.4265491294036</v>
      </c>
      <c r="G243" s="1529">
        <f t="shared" si="12"/>
        <v>1651.7670712059642</v>
      </c>
      <c r="H243" s="1529">
        <f t="shared" si="13"/>
        <v>881.65947792343945</v>
      </c>
      <c r="I243" s="1529">
        <f t="shared" si="14"/>
        <v>439589.5595103337</v>
      </c>
      <c r="K243" s="1529">
        <f t="shared" si="15"/>
        <v>139730.25689155667</v>
      </c>
      <c r="L243" s="1529">
        <f t="shared" si="16"/>
        <v>60410.440489666216</v>
      </c>
      <c r="O243" s="1529">
        <f t="shared" si="17"/>
        <v>200140.69738122288</v>
      </c>
    </row>
    <row r="244" spans="4:15" hidden="1">
      <c r="D244" s="1534">
        <f t="shared" si="9"/>
        <v>80</v>
      </c>
      <c r="E244" s="1529">
        <f t="shared" si="10"/>
        <v>439589.5595103337</v>
      </c>
      <c r="F244" s="1529">
        <f t="shared" si="11"/>
        <v>2533.4265491294036</v>
      </c>
      <c r="G244" s="1529">
        <f t="shared" si="12"/>
        <v>1648.4608481637513</v>
      </c>
      <c r="H244" s="1529">
        <f t="shared" si="13"/>
        <v>884.96570096565233</v>
      </c>
      <c r="I244" s="1529">
        <f t="shared" si="14"/>
        <v>438704.59380936803</v>
      </c>
      <c r="K244" s="1529">
        <f t="shared" si="15"/>
        <v>141378.71773972042</v>
      </c>
      <c r="L244" s="1529">
        <f t="shared" si="16"/>
        <v>61295.406190631868</v>
      </c>
      <c r="O244" s="1529">
        <f t="shared" si="17"/>
        <v>202674.12393035227</v>
      </c>
    </row>
    <row r="245" spans="4:15" hidden="1">
      <c r="D245" s="1534">
        <f t="shared" si="9"/>
        <v>81</v>
      </c>
      <c r="E245" s="1529">
        <f t="shared" si="10"/>
        <v>438704.59380936803</v>
      </c>
      <c r="F245" s="1529">
        <f t="shared" si="11"/>
        <v>2533.4265491294036</v>
      </c>
      <c r="G245" s="1529">
        <f t="shared" si="12"/>
        <v>1645.1422267851301</v>
      </c>
      <c r="H245" s="1529">
        <f t="shared" si="13"/>
        <v>888.28432234427351</v>
      </c>
      <c r="I245" s="1529">
        <f t="shared" si="14"/>
        <v>437816.30948702374</v>
      </c>
      <c r="K245" s="1529">
        <f t="shared" si="15"/>
        <v>143023.85996650555</v>
      </c>
      <c r="L245" s="1529">
        <f t="shared" si="16"/>
        <v>62183.690512976144</v>
      </c>
      <c r="O245" s="1529">
        <f t="shared" si="17"/>
        <v>205207.5504794817</v>
      </c>
    </row>
    <row r="246" spans="4:15" hidden="1">
      <c r="D246" s="1534">
        <f t="shared" si="9"/>
        <v>82</v>
      </c>
      <c r="E246" s="1529">
        <f t="shared" si="10"/>
        <v>437816.30948702374</v>
      </c>
      <c r="F246" s="1529">
        <f t="shared" si="11"/>
        <v>2533.4265491294036</v>
      </c>
      <c r="G246" s="1529">
        <f t="shared" si="12"/>
        <v>1641.811160576339</v>
      </c>
      <c r="H246" s="1529">
        <f t="shared" si="13"/>
        <v>891.61538855306458</v>
      </c>
      <c r="I246" s="1529">
        <f t="shared" si="14"/>
        <v>436924.69409847067</v>
      </c>
      <c r="K246" s="1529">
        <f t="shared" si="15"/>
        <v>144665.67112708188</v>
      </c>
      <c r="L246" s="1529">
        <f t="shared" si="16"/>
        <v>63075.305901529209</v>
      </c>
      <c r="O246" s="1529">
        <f t="shared" si="17"/>
        <v>207740.97702861109</v>
      </c>
    </row>
    <row r="247" spans="4:15" hidden="1">
      <c r="D247" s="1534">
        <f t="shared" si="9"/>
        <v>83</v>
      </c>
      <c r="E247" s="1529">
        <f t="shared" si="10"/>
        <v>436924.69409847067</v>
      </c>
      <c r="F247" s="1529">
        <f t="shared" si="11"/>
        <v>2533.4265491294036</v>
      </c>
      <c r="G247" s="1529">
        <f t="shared" si="12"/>
        <v>1638.467602869265</v>
      </c>
      <c r="H247" s="1529">
        <f t="shared" si="13"/>
        <v>894.95894626013865</v>
      </c>
      <c r="I247" s="1529">
        <f t="shared" si="14"/>
        <v>436029.73515221052</v>
      </c>
      <c r="K247" s="1529">
        <f t="shared" si="15"/>
        <v>146304.13872995114</v>
      </c>
      <c r="L247" s="1529">
        <f t="shared" si="16"/>
        <v>63970.264847789345</v>
      </c>
      <c r="O247" s="1529">
        <f t="shared" si="17"/>
        <v>210274.40357774048</v>
      </c>
    </row>
    <row r="248" spans="4:15" hidden="1">
      <c r="D248" s="1534">
        <f t="shared" si="9"/>
        <v>84</v>
      </c>
      <c r="E248" s="1529">
        <f t="shared" si="10"/>
        <v>436029.73515221052</v>
      </c>
      <c r="F248" s="1529">
        <f t="shared" si="11"/>
        <v>2533.4265491294036</v>
      </c>
      <c r="G248" s="1529">
        <f t="shared" si="12"/>
        <v>1635.1115068207894</v>
      </c>
      <c r="H248" s="1529">
        <f t="shared" si="13"/>
        <v>898.31504230861424</v>
      </c>
      <c r="I248" s="1529">
        <f t="shared" si="14"/>
        <v>435131.42010990193</v>
      </c>
      <c r="K248" s="1529">
        <f t="shared" si="15"/>
        <v>147939.25023677194</v>
      </c>
      <c r="L248" s="1529">
        <f t="shared" si="16"/>
        <v>64868.579890097957</v>
      </c>
      <c r="O248" s="1529">
        <f t="shared" si="17"/>
        <v>212807.8301268699</v>
      </c>
    </row>
    <row r="249" spans="4:15" hidden="1">
      <c r="D249" s="1534">
        <f t="shared" si="9"/>
        <v>85</v>
      </c>
      <c r="E249" s="1529">
        <f t="shared" si="10"/>
        <v>435131.42010990193</v>
      </c>
      <c r="F249" s="1529">
        <f t="shared" si="11"/>
        <v>2533.4265491294036</v>
      </c>
      <c r="G249" s="1529">
        <f t="shared" si="12"/>
        <v>1631.7428254121321</v>
      </c>
      <c r="H249" s="1529">
        <f t="shared" si="13"/>
        <v>901.6837237172715</v>
      </c>
      <c r="I249" s="1529">
        <f t="shared" si="14"/>
        <v>434229.73638618464</v>
      </c>
      <c r="K249" s="1529">
        <f t="shared" si="15"/>
        <v>149570.99306218408</v>
      </c>
      <c r="L249" s="1529">
        <f t="shared" si="16"/>
        <v>65770.26361381523</v>
      </c>
      <c r="O249" s="1529">
        <f t="shared" si="17"/>
        <v>215341.25667599932</v>
      </c>
    </row>
    <row r="250" spans="4:15" hidden="1">
      <c r="D250" s="1534">
        <f t="shared" si="9"/>
        <v>86</v>
      </c>
      <c r="E250" s="1529">
        <f t="shared" si="10"/>
        <v>434229.73638618464</v>
      </c>
      <c r="F250" s="1529">
        <f t="shared" si="11"/>
        <v>2533.4265491294036</v>
      </c>
      <c r="G250" s="1529">
        <f t="shared" si="12"/>
        <v>1628.3615114481922</v>
      </c>
      <c r="H250" s="1529">
        <f t="shared" si="13"/>
        <v>905.06503768121138</v>
      </c>
      <c r="I250" s="1529">
        <f t="shared" si="14"/>
        <v>433324.67134850344</v>
      </c>
      <c r="K250" s="1529">
        <f t="shared" si="15"/>
        <v>151199.35457363227</v>
      </c>
      <c r="L250" s="1529">
        <f t="shared" si="16"/>
        <v>66675.328651496442</v>
      </c>
      <c r="O250" s="1529">
        <f t="shared" si="17"/>
        <v>217874.68322512871</v>
      </c>
    </row>
    <row r="251" spans="4:15" hidden="1">
      <c r="D251" s="1534">
        <f t="shared" si="9"/>
        <v>87</v>
      </c>
      <c r="E251" s="1529">
        <f t="shared" si="10"/>
        <v>433324.67134850344</v>
      </c>
      <c r="F251" s="1529">
        <f t="shared" si="11"/>
        <v>2533.4265491294036</v>
      </c>
      <c r="G251" s="1529">
        <f t="shared" si="12"/>
        <v>1624.9675175568877</v>
      </c>
      <c r="H251" s="1529">
        <f t="shared" si="13"/>
        <v>908.45903157251587</v>
      </c>
      <c r="I251" s="1529">
        <f t="shared" si="14"/>
        <v>432416.21231693093</v>
      </c>
      <c r="K251" s="1529">
        <f t="shared" si="15"/>
        <v>152824.32209118915</v>
      </c>
      <c r="L251" s="1529">
        <f t="shared" si="16"/>
        <v>67583.787683068964</v>
      </c>
      <c r="O251" s="1529">
        <f t="shared" si="17"/>
        <v>220408.1097742581</v>
      </c>
    </row>
    <row r="252" spans="4:15" hidden="1">
      <c r="D252" s="1534">
        <f t="shared" si="9"/>
        <v>88</v>
      </c>
      <c r="E252" s="1529">
        <f t="shared" si="10"/>
        <v>432416.21231693093</v>
      </c>
      <c r="F252" s="1529">
        <f t="shared" si="11"/>
        <v>2533.4265491294036</v>
      </c>
      <c r="G252" s="1529">
        <f t="shared" si="12"/>
        <v>1621.5607961884909</v>
      </c>
      <c r="H252" s="1529">
        <f t="shared" si="13"/>
        <v>911.86575294091267</v>
      </c>
      <c r="I252" s="1529">
        <f t="shared" si="14"/>
        <v>431504.34656399</v>
      </c>
      <c r="K252" s="1529">
        <f t="shared" si="15"/>
        <v>154445.88288737764</v>
      </c>
      <c r="L252" s="1529">
        <f t="shared" si="16"/>
        <v>68495.653436009874</v>
      </c>
      <c r="O252" s="1529">
        <f t="shared" si="17"/>
        <v>222941.53632338753</v>
      </c>
    </row>
    <row r="253" spans="4:15" hidden="1">
      <c r="D253" s="1534">
        <f t="shared" si="9"/>
        <v>89</v>
      </c>
      <c r="E253" s="1529">
        <f t="shared" si="10"/>
        <v>431504.34656399</v>
      </c>
      <c r="F253" s="1529">
        <f t="shared" si="11"/>
        <v>2533.4265491294036</v>
      </c>
      <c r="G253" s="1529">
        <f t="shared" si="12"/>
        <v>1618.1412996149625</v>
      </c>
      <c r="H253" s="1529">
        <f t="shared" si="13"/>
        <v>915.28524951444115</v>
      </c>
      <c r="I253" s="1529">
        <f t="shared" si="14"/>
        <v>430589.06131447555</v>
      </c>
      <c r="K253" s="1529">
        <f t="shared" si="15"/>
        <v>156064.02418699261</v>
      </c>
      <c r="L253" s="1529">
        <f t="shared" si="16"/>
        <v>69410.938685524321</v>
      </c>
      <c r="O253" s="1529">
        <f t="shared" si="17"/>
        <v>225474.96287251695</v>
      </c>
    </row>
    <row r="254" spans="4:15" hidden="1">
      <c r="D254" s="1534">
        <f t="shared" si="9"/>
        <v>90</v>
      </c>
      <c r="E254" s="1529">
        <f t="shared" si="10"/>
        <v>430589.06131447555</v>
      </c>
      <c r="F254" s="1529">
        <f t="shared" si="11"/>
        <v>2533.4265491294036</v>
      </c>
      <c r="G254" s="1529">
        <f t="shared" si="12"/>
        <v>1614.7089799292833</v>
      </c>
      <c r="H254" s="1529">
        <f t="shared" si="13"/>
        <v>918.71756920012035</v>
      </c>
      <c r="I254" s="1529">
        <f t="shared" si="14"/>
        <v>429670.3437452754</v>
      </c>
      <c r="K254" s="1529">
        <f t="shared" si="15"/>
        <v>157678.73316692188</v>
      </c>
      <c r="L254" s="1529">
        <f t="shared" si="16"/>
        <v>70329.656254724439</v>
      </c>
      <c r="O254" s="1529">
        <f t="shared" si="17"/>
        <v>228008.38942164631</v>
      </c>
    </row>
    <row r="255" spans="4:15" hidden="1">
      <c r="D255" s="1534">
        <f t="shared" si="9"/>
        <v>91</v>
      </c>
      <c r="E255" s="1529">
        <f t="shared" si="10"/>
        <v>429670.3437452754</v>
      </c>
      <c r="F255" s="1529">
        <f t="shared" si="11"/>
        <v>2533.4265491294036</v>
      </c>
      <c r="G255" s="1529">
        <f t="shared" si="12"/>
        <v>1611.2637890447827</v>
      </c>
      <c r="H255" s="1529">
        <f t="shared" si="13"/>
        <v>922.16276008462091</v>
      </c>
      <c r="I255" s="1529">
        <f t="shared" si="14"/>
        <v>428748.18098519079</v>
      </c>
      <c r="K255" s="1529">
        <f t="shared" si="15"/>
        <v>159289.99695596666</v>
      </c>
      <c r="L255" s="1529">
        <f t="shared" si="16"/>
        <v>71251.819014809065</v>
      </c>
      <c r="O255" s="1529">
        <f t="shared" si="17"/>
        <v>230541.81597077573</v>
      </c>
    </row>
    <row r="256" spans="4:15" hidden="1">
      <c r="D256" s="1534">
        <f t="shared" si="9"/>
        <v>92</v>
      </c>
      <c r="E256" s="1529">
        <f t="shared" si="10"/>
        <v>428748.18098519079</v>
      </c>
      <c r="F256" s="1529">
        <f t="shared" si="11"/>
        <v>2533.4265491294036</v>
      </c>
      <c r="G256" s="1529">
        <f t="shared" si="12"/>
        <v>1607.8056786944653</v>
      </c>
      <c r="H256" s="1529">
        <f t="shared" si="13"/>
        <v>925.6208704349383</v>
      </c>
      <c r="I256" s="1529">
        <f t="shared" si="14"/>
        <v>427822.56011475588</v>
      </c>
      <c r="K256" s="1529">
        <f t="shared" si="15"/>
        <v>160897.80263466114</v>
      </c>
      <c r="L256" s="1529">
        <f t="shared" si="16"/>
        <v>72177.439885244006</v>
      </c>
      <c r="O256" s="1529">
        <f t="shared" si="17"/>
        <v>233075.24251990515</v>
      </c>
    </row>
    <row r="257" spans="4:15" hidden="1">
      <c r="D257" s="1534">
        <f t="shared" si="9"/>
        <v>93</v>
      </c>
      <c r="E257" s="1529">
        <f t="shared" si="10"/>
        <v>427822.56011475588</v>
      </c>
      <c r="F257" s="1529">
        <f t="shared" si="11"/>
        <v>2533.4265491294036</v>
      </c>
      <c r="G257" s="1529">
        <f t="shared" si="12"/>
        <v>1604.3346004303344</v>
      </c>
      <c r="H257" s="1529">
        <f t="shared" si="13"/>
        <v>929.09194869906923</v>
      </c>
      <c r="I257" s="1529">
        <f t="shared" si="14"/>
        <v>426893.46816605679</v>
      </c>
      <c r="K257" s="1529">
        <f t="shared" si="15"/>
        <v>162502.13723509148</v>
      </c>
      <c r="L257" s="1529">
        <f t="shared" si="16"/>
        <v>73106.531833943081</v>
      </c>
      <c r="O257" s="1529">
        <f t="shared" si="17"/>
        <v>235608.66906903457</v>
      </c>
    </row>
    <row r="258" spans="4:15" hidden="1">
      <c r="D258" s="1534">
        <f t="shared" si="9"/>
        <v>94</v>
      </c>
      <c r="E258" s="1529">
        <f t="shared" si="10"/>
        <v>426893.46816605679</v>
      </c>
      <c r="F258" s="1529">
        <f t="shared" si="11"/>
        <v>2533.4265491294036</v>
      </c>
      <c r="G258" s="1529">
        <f t="shared" si="12"/>
        <v>1600.8505056227129</v>
      </c>
      <c r="H258" s="1529">
        <f t="shared" si="13"/>
        <v>932.57604350669067</v>
      </c>
      <c r="I258" s="1529">
        <f t="shared" si="14"/>
        <v>425960.89212255011</v>
      </c>
      <c r="K258" s="1529">
        <f t="shared" si="15"/>
        <v>164102.98774071419</v>
      </c>
      <c r="L258" s="1529">
        <f t="shared" si="16"/>
        <v>74039.107877449773</v>
      </c>
      <c r="O258" s="1529">
        <f t="shared" si="17"/>
        <v>238142.09561816396</v>
      </c>
    </row>
    <row r="259" spans="4:15" hidden="1">
      <c r="D259" s="1534">
        <f t="shared" si="9"/>
        <v>95</v>
      </c>
      <c r="E259" s="1529">
        <f t="shared" si="10"/>
        <v>425960.89212255011</v>
      </c>
      <c r="F259" s="1529">
        <f t="shared" si="11"/>
        <v>2533.4265491294036</v>
      </c>
      <c r="G259" s="1529">
        <f t="shared" si="12"/>
        <v>1597.3533454595629</v>
      </c>
      <c r="H259" s="1529">
        <f t="shared" si="13"/>
        <v>936.07320366984072</v>
      </c>
      <c r="I259" s="1529">
        <f t="shared" si="14"/>
        <v>425024.81891888025</v>
      </c>
      <c r="K259" s="1529">
        <f t="shared" si="15"/>
        <v>165700.34108617375</v>
      </c>
      <c r="L259" s="1529">
        <f t="shared" si="16"/>
        <v>74975.181081119619</v>
      </c>
      <c r="O259" s="1529">
        <f t="shared" si="17"/>
        <v>240675.52216729335</v>
      </c>
    </row>
    <row r="260" spans="4:15" hidden="1">
      <c r="D260" s="1534">
        <f t="shared" si="9"/>
        <v>96</v>
      </c>
      <c r="E260" s="1529">
        <f t="shared" si="10"/>
        <v>425024.81891888025</v>
      </c>
      <c r="F260" s="1529">
        <f t="shared" si="11"/>
        <v>2533.4265491294036</v>
      </c>
      <c r="G260" s="1529">
        <f t="shared" si="12"/>
        <v>1593.8430709458009</v>
      </c>
      <c r="H260" s="1529">
        <f t="shared" si="13"/>
        <v>939.58347818360267</v>
      </c>
      <c r="I260" s="1529">
        <f t="shared" si="14"/>
        <v>424085.23544069665</v>
      </c>
      <c r="K260" s="1529">
        <f t="shared" si="15"/>
        <v>167294.18415711954</v>
      </c>
      <c r="L260" s="1529">
        <f t="shared" si="16"/>
        <v>75914.764559303221</v>
      </c>
      <c r="O260" s="1529">
        <f t="shared" si="17"/>
        <v>243208.94871642278</v>
      </c>
    </row>
    <row r="261" spans="4:15" hidden="1">
      <c r="D261" s="1534">
        <f t="shared" si="9"/>
        <v>97</v>
      </c>
      <c r="E261" s="1529">
        <f t="shared" si="10"/>
        <v>424085.23544069665</v>
      </c>
      <c r="F261" s="1529">
        <f t="shared" si="11"/>
        <v>2533.4265491294036</v>
      </c>
      <c r="G261" s="1529">
        <f t="shared" si="12"/>
        <v>1590.3196329026123</v>
      </c>
      <c r="H261" s="1529">
        <f t="shared" si="13"/>
        <v>943.10691622679133</v>
      </c>
      <c r="I261" s="1529">
        <f t="shared" si="14"/>
        <v>423142.12852446985</v>
      </c>
      <c r="K261" s="1529">
        <f t="shared" si="15"/>
        <v>168884.50379002217</v>
      </c>
      <c r="L261" s="1529">
        <f t="shared" si="16"/>
        <v>76857.871475530017</v>
      </c>
      <c r="O261" s="1529">
        <f t="shared" si="17"/>
        <v>245742.3752655522</v>
      </c>
    </row>
    <row r="262" spans="4:15" hidden="1">
      <c r="D262" s="1534">
        <f t="shared" si="9"/>
        <v>98</v>
      </c>
      <c r="E262" s="1529">
        <f t="shared" si="10"/>
        <v>423142.12852446985</v>
      </c>
      <c r="F262" s="1529">
        <f t="shared" si="11"/>
        <v>2533.4265491294036</v>
      </c>
      <c r="G262" s="1529">
        <f t="shared" si="12"/>
        <v>1586.7829819667618</v>
      </c>
      <c r="H262" s="1529">
        <f t="shared" si="13"/>
        <v>946.64356716264183</v>
      </c>
      <c r="I262" s="1529">
        <f t="shared" si="14"/>
        <v>422195.48495730723</v>
      </c>
      <c r="K262" s="1529">
        <f t="shared" si="15"/>
        <v>170471.28677198893</v>
      </c>
      <c r="L262" s="1529">
        <f t="shared" si="16"/>
        <v>77804.515042692656</v>
      </c>
      <c r="O262" s="1529">
        <f t="shared" si="17"/>
        <v>248275.80181468159</v>
      </c>
    </row>
    <row r="263" spans="4:15" hidden="1">
      <c r="D263" s="1534">
        <f t="shared" si="9"/>
        <v>99</v>
      </c>
      <c r="E263" s="1529">
        <f t="shared" si="10"/>
        <v>422195.48495730723</v>
      </c>
      <c r="F263" s="1529">
        <f t="shared" si="11"/>
        <v>2533.4265491294036</v>
      </c>
      <c r="G263" s="1529">
        <f t="shared" si="12"/>
        <v>1583.2330685899021</v>
      </c>
      <c r="H263" s="1529">
        <f t="shared" si="13"/>
        <v>950.19348053950148</v>
      </c>
      <c r="I263" s="1529">
        <f t="shared" si="14"/>
        <v>421245.29147676774</v>
      </c>
      <c r="K263" s="1529">
        <f t="shared" si="15"/>
        <v>172054.51984057884</v>
      </c>
      <c r="L263" s="1529">
        <f t="shared" si="16"/>
        <v>78754.708523232155</v>
      </c>
      <c r="O263" s="1529">
        <f t="shared" si="17"/>
        <v>250809.22836381098</v>
      </c>
    </row>
    <row r="264" spans="4:15" hidden="1">
      <c r="D264" s="1534">
        <f t="shared" si="9"/>
        <v>100</v>
      </c>
      <c r="E264" s="1529">
        <f t="shared" si="10"/>
        <v>421245.29147676774</v>
      </c>
      <c r="F264" s="1529">
        <f t="shared" si="11"/>
        <v>2533.4265491294036</v>
      </c>
      <c r="G264" s="1529">
        <f t="shared" si="12"/>
        <v>1579.669843037879</v>
      </c>
      <c r="H264" s="1529">
        <f t="shared" si="13"/>
        <v>953.75670609152462</v>
      </c>
      <c r="I264" s="1529">
        <f t="shared" si="14"/>
        <v>420291.53477067623</v>
      </c>
      <c r="K264" s="1529">
        <f t="shared" si="15"/>
        <v>173634.18968361671</v>
      </c>
      <c r="L264" s="1529">
        <f t="shared" si="16"/>
        <v>79708.465229323687</v>
      </c>
      <c r="O264" s="1529">
        <f t="shared" si="17"/>
        <v>253342.6549129404</v>
      </c>
    </row>
    <row r="265" spans="4:15" hidden="1">
      <c r="D265" s="1534">
        <f t="shared" si="9"/>
        <v>101</v>
      </c>
      <c r="E265" s="1529">
        <f t="shared" si="10"/>
        <v>420291.53477067623</v>
      </c>
      <c r="F265" s="1529">
        <f t="shared" si="11"/>
        <v>2533.4265491294036</v>
      </c>
      <c r="G265" s="1529">
        <f t="shared" si="12"/>
        <v>1576.0932553900359</v>
      </c>
      <c r="H265" s="1529">
        <f t="shared" si="13"/>
        <v>957.33329373936772</v>
      </c>
      <c r="I265" s="1529">
        <f t="shared" si="14"/>
        <v>419334.20147693687</v>
      </c>
      <c r="K265" s="1529">
        <f t="shared" si="15"/>
        <v>175210.28293900675</v>
      </c>
      <c r="L265" s="1529">
        <f t="shared" si="16"/>
        <v>80665.798523063058</v>
      </c>
      <c r="O265" s="1529">
        <f t="shared" si="17"/>
        <v>255876.08146206982</v>
      </c>
    </row>
    <row r="266" spans="4:15" hidden="1">
      <c r="D266" s="1534">
        <f t="shared" si="9"/>
        <v>102</v>
      </c>
      <c r="E266" s="1529">
        <f t="shared" si="10"/>
        <v>419334.20147693687</v>
      </c>
      <c r="F266" s="1529">
        <f t="shared" si="11"/>
        <v>2533.4265491294036</v>
      </c>
      <c r="G266" s="1529">
        <f t="shared" si="12"/>
        <v>1572.5032555385133</v>
      </c>
      <c r="H266" s="1529">
        <f t="shared" si="13"/>
        <v>960.92329359089035</v>
      </c>
      <c r="I266" s="1529">
        <f t="shared" si="14"/>
        <v>418373.27818334597</v>
      </c>
      <c r="K266" s="1529">
        <f t="shared" si="15"/>
        <v>176782.78619454528</v>
      </c>
      <c r="L266" s="1529">
        <f t="shared" si="16"/>
        <v>81626.721816653953</v>
      </c>
      <c r="O266" s="1529">
        <f t="shared" si="17"/>
        <v>258409.50801119924</v>
      </c>
    </row>
    <row r="267" spans="4:15" hidden="1">
      <c r="D267" s="1534">
        <f t="shared" si="9"/>
        <v>103</v>
      </c>
      <c r="E267" s="1529">
        <f t="shared" si="10"/>
        <v>418373.27818334597</v>
      </c>
      <c r="F267" s="1529">
        <f t="shared" si="11"/>
        <v>2533.4265491294036</v>
      </c>
      <c r="G267" s="1529">
        <f t="shared" si="12"/>
        <v>1568.8997931875474</v>
      </c>
      <c r="H267" s="1529">
        <f t="shared" si="13"/>
        <v>964.52675594185621</v>
      </c>
      <c r="I267" s="1529">
        <f t="shared" si="14"/>
        <v>417408.75142740412</v>
      </c>
      <c r="K267" s="1529">
        <f t="shared" si="15"/>
        <v>178351.68598773281</v>
      </c>
      <c r="L267" s="1529">
        <f t="shared" si="16"/>
        <v>82591.24857259581</v>
      </c>
      <c r="O267" s="1529">
        <f t="shared" si="17"/>
        <v>260942.93456032861</v>
      </c>
    </row>
    <row r="268" spans="4:15" hidden="1">
      <c r="D268" s="1534">
        <f t="shared" si="9"/>
        <v>104</v>
      </c>
      <c r="E268" s="1529">
        <f t="shared" si="10"/>
        <v>417408.75142740412</v>
      </c>
      <c r="F268" s="1529">
        <f t="shared" si="11"/>
        <v>2533.4265491294036</v>
      </c>
      <c r="G268" s="1529">
        <f t="shared" si="12"/>
        <v>1565.2828178527654</v>
      </c>
      <c r="H268" s="1529">
        <f t="shared" si="13"/>
        <v>968.14373127663816</v>
      </c>
      <c r="I268" s="1529">
        <f t="shared" si="14"/>
        <v>416440.6076961275</v>
      </c>
      <c r="K268" s="1529">
        <f t="shared" si="15"/>
        <v>179916.96880558558</v>
      </c>
      <c r="L268" s="1529">
        <f t="shared" si="16"/>
        <v>83559.392303872446</v>
      </c>
      <c r="O268" s="1529">
        <f t="shared" si="17"/>
        <v>263476.36110945803</v>
      </c>
    </row>
    <row r="269" spans="4:15" hidden="1">
      <c r="D269" s="1534">
        <f t="shared" ref="D269:D332" si="18">D268+1</f>
        <v>105</v>
      </c>
      <c r="E269" s="1529">
        <f t="shared" ref="E269:E332" si="19">I268</f>
        <v>416440.6076961275</v>
      </c>
      <c r="F269" s="1529">
        <f t="shared" ref="F269:F332" si="20">F268</f>
        <v>2533.4265491294036</v>
      </c>
      <c r="G269" s="1529">
        <f t="shared" ref="G269:G332" si="21">E269*$G$159</f>
        <v>1561.652278860478</v>
      </c>
      <c r="H269" s="1529">
        <f t="shared" ref="H269:H332" si="22">F269-G269</f>
        <v>971.77427026892565</v>
      </c>
      <c r="I269" s="1529">
        <f t="shared" ref="I269:I332" si="23">E269-H269</f>
        <v>415468.83342585858</v>
      </c>
      <c r="K269" s="1529">
        <f t="shared" ref="K269:K332" si="24">K268+G269</f>
        <v>181478.62108444606</v>
      </c>
      <c r="L269" s="1529">
        <f t="shared" ref="L269:L332" si="25">L268+H269</f>
        <v>84531.166574141374</v>
      </c>
      <c r="O269" s="1529">
        <f t="shared" si="17"/>
        <v>266009.78765858745</v>
      </c>
    </row>
    <row r="270" spans="4:15" hidden="1">
      <c r="D270" s="1534">
        <f t="shared" si="18"/>
        <v>106</v>
      </c>
      <c r="E270" s="1529">
        <f t="shared" si="19"/>
        <v>415468.83342585858</v>
      </c>
      <c r="F270" s="1529">
        <f t="shared" si="20"/>
        <v>2533.4265491294036</v>
      </c>
      <c r="G270" s="1529">
        <f t="shared" si="21"/>
        <v>1558.0081253469696</v>
      </c>
      <c r="H270" s="1529">
        <f t="shared" si="22"/>
        <v>975.41842378243405</v>
      </c>
      <c r="I270" s="1529">
        <f t="shared" si="23"/>
        <v>414493.41500207613</v>
      </c>
      <c r="K270" s="1529">
        <f t="shared" si="24"/>
        <v>183036.62920979303</v>
      </c>
      <c r="L270" s="1529">
        <f t="shared" si="25"/>
        <v>85506.584997923812</v>
      </c>
      <c r="O270" s="1529">
        <f t="shared" si="17"/>
        <v>268543.21420771687</v>
      </c>
    </row>
    <row r="271" spans="4:15" hidden="1">
      <c r="D271" s="1534">
        <f t="shared" si="18"/>
        <v>107</v>
      </c>
      <c r="E271" s="1529">
        <f t="shared" si="19"/>
        <v>414493.41500207613</v>
      </c>
      <c r="F271" s="1529">
        <f t="shared" si="20"/>
        <v>2533.4265491294036</v>
      </c>
      <c r="G271" s="1529">
        <f t="shared" si="21"/>
        <v>1554.3503062577854</v>
      </c>
      <c r="H271" s="1529">
        <f t="shared" si="22"/>
        <v>979.07624287161821</v>
      </c>
      <c r="I271" s="1529">
        <f t="shared" si="23"/>
        <v>413514.33875920449</v>
      </c>
      <c r="K271" s="1529">
        <f t="shared" si="24"/>
        <v>184590.97951605081</v>
      </c>
      <c r="L271" s="1529">
        <f t="shared" si="25"/>
        <v>86485.661240795424</v>
      </c>
      <c r="O271" s="1529">
        <f t="shared" si="17"/>
        <v>271076.64075684623</v>
      </c>
    </row>
    <row r="272" spans="4:15" hidden="1">
      <c r="D272" s="1534">
        <f t="shared" si="18"/>
        <v>108</v>
      </c>
      <c r="E272" s="1529">
        <f t="shared" si="19"/>
        <v>413514.33875920449</v>
      </c>
      <c r="F272" s="1529">
        <f t="shared" si="20"/>
        <v>2533.4265491294036</v>
      </c>
      <c r="G272" s="1529">
        <f t="shared" si="21"/>
        <v>1550.6787703470168</v>
      </c>
      <c r="H272" s="1529">
        <f t="shared" si="22"/>
        <v>982.74777878238683</v>
      </c>
      <c r="I272" s="1529">
        <f t="shared" si="23"/>
        <v>412531.5909804221</v>
      </c>
      <c r="K272" s="1529">
        <f t="shared" si="24"/>
        <v>186141.65828639781</v>
      </c>
      <c r="L272" s="1529">
        <f t="shared" si="25"/>
        <v>87468.409019577812</v>
      </c>
      <c r="O272" s="1529">
        <f t="shared" si="17"/>
        <v>273610.06730597559</v>
      </c>
    </row>
    <row r="273" spans="4:15" hidden="1">
      <c r="D273" s="1534">
        <f t="shared" si="18"/>
        <v>109</v>
      </c>
      <c r="E273" s="1529">
        <f t="shared" si="19"/>
        <v>412531.5909804221</v>
      </c>
      <c r="F273" s="1529">
        <f t="shared" si="20"/>
        <v>2533.4265491294036</v>
      </c>
      <c r="G273" s="1529">
        <f t="shared" si="21"/>
        <v>1546.9934661765828</v>
      </c>
      <c r="H273" s="1529">
        <f t="shared" si="22"/>
        <v>986.43308295282077</v>
      </c>
      <c r="I273" s="1529">
        <f t="shared" si="23"/>
        <v>411545.1578974693</v>
      </c>
      <c r="K273" s="1529">
        <f t="shared" si="24"/>
        <v>187688.6517525744</v>
      </c>
      <c r="L273" s="1529">
        <f t="shared" si="25"/>
        <v>88454.842102530631</v>
      </c>
      <c r="O273" s="1529">
        <f t="shared" si="17"/>
        <v>276143.49385510501</v>
      </c>
    </row>
    <row r="274" spans="4:15" hidden="1">
      <c r="D274" s="1534">
        <f t="shared" si="18"/>
        <v>110</v>
      </c>
      <c r="E274" s="1529">
        <f t="shared" si="19"/>
        <v>411545.1578974693</v>
      </c>
      <c r="F274" s="1529">
        <f t="shared" si="20"/>
        <v>2533.4265491294036</v>
      </c>
      <c r="G274" s="1529">
        <f t="shared" si="21"/>
        <v>1543.2943421155098</v>
      </c>
      <c r="H274" s="1529">
        <f t="shared" si="22"/>
        <v>990.13220701389378</v>
      </c>
      <c r="I274" s="1529">
        <f t="shared" si="23"/>
        <v>410555.0256904554</v>
      </c>
      <c r="K274" s="1529">
        <f t="shared" si="24"/>
        <v>189231.94609468992</v>
      </c>
      <c r="L274" s="1529">
        <f t="shared" si="25"/>
        <v>89444.97430954453</v>
      </c>
      <c r="O274" s="1529">
        <f t="shared" si="17"/>
        <v>278676.92040423444</v>
      </c>
    </row>
    <row r="275" spans="4:15" hidden="1">
      <c r="D275" s="1534">
        <f t="shared" si="18"/>
        <v>111</v>
      </c>
      <c r="E275" s="1529">
        <f t="shared" si="19"/>
        <v>410555.0256904554</v>
      </c>
      <c r="F275" s="1529">
        <f t="shared" si="20"/>
        <v>2533.4265491294036</v>
      </c>
      <c r="G275" s="1529">
        <f t="shared" si="21"/>
        <v>1539.5813463392076</v>
      </c>
      <c r="H275" s="1529">
        <f t="shared" si="22"/>
        <v>993.84520279019603</v>
      </c>
      <c r="I275" s="1529">
        <f t="shared" si="23"/>
        <v>409561.18048766517</v>
      </c>
      <c r="K275" s="1529">
        <f t="shared" si="24"/>
        <v>190771.52744102912</v>
      </c>
      <c r="L275" s="1529">
        <f t="shared" si="25"/>
        <v>90438.819512334725</v>
      </c>
      <c r="O275" s="1529">
        <f t="shared" si="17"/>
        <v>281210.34695336386</v>
      </c>
    </row>
    <row r="276" spans="4:15" hidden="1">
      <c r="D276" s="1534">
        <f t="shared" si="18"/>
        <v>112</v>
      </c>
      <c r="E276" s="1529">
        <f t="shared" si="19"/>
        <v>409561.18048766517</v>
      </c>
      <c r="F276" s="1529">
        <f t="shared" si="20"/>
        <v>2533.4265491294036</v>
      </c>
      <c r="G276" s="1529">
        <f t="shared" si="21"/>
        <v>1535.8544268287444</v>
      </c>
      <c r="H276" s="1529">
        <f t="shared" si="22"/>
        <v>997.5721223006592</v>
      </c>
      <c r="I276" s="1529">
        <f t="shared" si="23"/>
        <v>408563.60836536449</v>
      </c>
      <c r="K276" s="1529">
        <f t="shared" si="24"/>
        <v>192307.38186785785</v>
      </c>
      <c r="L276" s="1529">
        <f t="shared" si="25"/>
        <v>91436.39163463538</v>
      </c>
      <c r="O276" s="1529">
        <f t="shared" si="17"/>
        <v>283743.77350249322</v>
      </c>
    </row>
    <row r="277" spans="4:15" hidden="1">
      <c r="D277" s="1534">
        <f t="shared" si="18"/>
        <v>113</v>
      </c>
      <c r="E277" s="1529">
        <f t="shared" si="19"/>
        <v>408563.60836536449</v>
      </c>
      <c r="F277" s="1529">
        <f t="shared" si="20"/>
        <v>2533.4265491294036</v>
      </c>
      <c r="G277" s="1529">
        <f t="shared" si="21"/>
        <v>1532.1135313701168</v>
      </c>
      <c r="H277" s="1529">
        <f t="shared" si="22"/>
        <v>1001.3130177592868</v>
      </c>
      <c r="I277" s="1529">
        <f t="shared" si="23"/>
        <v>407562.29534760519</v>
      </c>
      <c r="K277" s="1529">
        <f t="shared" si="24"/>
        <v>193839.49539922798</v>
      </c>
      <c r="L277" s="1529">
        <f t="shared" si="25"/>
        <v>92437.704652394663</v>
      </c>
      <c r="O277" s="1529">
        <f t="shared" si="17"/>
        <v>286277.20005162264</v>
      </c>
    </row>
    <row r="278" spans="4:15" hidden="1">
      <c r="D278" s="1534">
        <f t="shared" si="18"/>
        <v>114</v>
      </c>
      <c r="E278" s="1529">
        <f t="shared" si="19"/>
        <v>407562.29534760519</v>
      </c>
      <c r="F278" s="1529">
        <f t="shared" si="20"/>
        <v>2533.4265491294036</v>
      </c>
      <c r="G278" s="1529">
        <f t="shared" si="21"/>
        <v>1528.3586075535195</v>
      </c>
      <c r="H278" s="1529">
        <f t="shared" si="22"/>
        <v>1005.0679415758841</v>
      </c>
      <c r="I278" s="1529">
        <f t="shared" si="23"/>
        <v>406557.2274060293</v>
      </c>
      <c r="K278" s="1529">
        <f t="shared" si="24"/>
        <v>195367.8540067815</v>
      </c>
      <c r="L278" s="1529">
        <f t="shared" si="25"/>
        <v>93442.772593970541</v>
      </c>
      <c r="O278" s="1529">
        <f t="shared" si="17"/>
        <v>288810.62660075206</v>
      </c>
    </row>
    <row r="279" spans="4:15" hidden="1">
      <c r="D279" s="1534">
        <f t="shared" si="18"/>
        <v>115</v>
      </c>
      <c r="E279" s="1529">
        <f t="shared" si="19"/>
        <v>406557.2274060293</v>
      </c>
      <c r="F279" s="1529">
        <f t="shared" si="20"/>
        <v>2533.4265491294036</v>
      </c>
      <c r="G279" s="1529">
        <f t="shared" si="21"/>
        <v>1524.5896027726099</v>
      </c>
      <c r="H279" s="1529">
        <f t="shared" si="22"/>
        <v>1008.8369463567938</v>
      </c>
      <c r="I279" s="1529">
        <f t="shared" si="23"/>
        <v>405548.39045967249</v>
      </c>
      <c r="K279" s="1529">
        <f t="shared" si="24"/>
        <v>196892.44360955412</v>
      </c>
      <c r="L279" s="1529">
        <f t="shared" si="25"/>
        <v>94451.609540327336</v>
      </c>
      <c r="O279" s="1529">
        <f t="shared" si="17"/>
        <v>291344.05314988142</v>
      </c>
    </row>
    <row r="280" spans="4:15" hidden="1">
      <c r="D280" s="1534">
        <f t="shared" si="18"/>
        <v>116</v>
      </c>
      <c r="E280" s="1529">
        <f t="shared" si="19"/>
        <v>405548.39045967249</v>
      </c>
      <c r="F280" s="1529">
        <f t="shared" si="20"/>
        <v>2533.4265491294036</v>
      </c>
      <c r="G280" s="1529">
        <f t="shared" si="21"/>
        <v>1520.8064642237719</v>
      </c>
      <c r="H280" s="1529">
        <f t="shared" si="22"/>
        <v>1012.6200849056318</v>
      </c>
      <c r="I280" s="1529">
        <f t="shared" si="23"/>
        <v>404535.77037476684</v>
      </c>
      <c r="K280" s="1529">
        <f t="shared" si="24"/>
        <v>198413.25007377789</v>
      </c>
      <c r="L280" s="1529">
        <f t="shared" si="25"/>
        <v>95464.229625232969</v>
      </c>
      <c r="O280" s="1529">
        <f t="shared" si="17"/>
        <v>293877.47969901084</v>
      </c>
    </row>
    <row r="281" spans="4:15" hidden="1">
      <c r="D281" s="1534">
        <f t="shared" si="18"/>
        <v>117</v>
      </c>
      <c r="E281" s="1529">
        <f t="shared" si="19"/>
        <v>404535.77037476684</v>
      </c>
      <c r="F281" s="1529">
        <f t="shared" si="20"/>
        <v>2533.4265491294036</v>
      </c>
      <c r="G281" s="1529">
        <f t="shared" si="21"/>
        <v>1517.0091389053755</v>
      </c>
      <c r="H281" s="1529">
        <f t="shared" si="22"/>
        <v>1016.4174102240281</v>
      </c>
      <c r="I281" s="1529">
        <f t="shared" si="23"/>
        <v>403519.35296454281</v>
      </c>
      <c r="K281" s="1529">
        <f t="shared" si="24"/>
        <v>199930.25921268328</v>
      </c>
      <c r="L281" s="1529">
        <f t="shared" si="25"/>
        <v>96480.64703545699</v>
      </c>
      <c r="O281" s="1529">
        <f t="shared" si="17"/>
        <v>296410.90624814027</v>
      </c>
    </row>
    <row r="282" spans="4:15" hidden="1">
      <c r="D282" s="1534">
        <f t="shared" si="18"/>
        <v>118</v>
      </c>
      <c r="E282" s="1529">
        <f t="shared" si="19"/>
        <v>403519.35296454281</v>
      </c>
      <c r="F282" s="1529">
        <f t="shared" si="20"/>
        <v>2533.4265491294036</v>
      </c>
      <c r="G282" s="1529">
        <f t="shared" si="21"/>
        <v>1513.1975736170355</v>
      </c>
      <c r="H282" s="1529">
        <f t="shared" si="22"/>
        <v>1020.2289755123682</v>
      </c>
      <c r="I282" s="1529">
        <f t="shared" si="23"/>
        <v>402499.12398903043</v>
      </c>
      <c r="K282" s="1529">
        <f t="shared" si="24"/>
        <v>201443.45678630032</v>
      </c>
      <c r="L282" s="1529">
        <f t="shared" si="25"/>
        <v>97500.876010969354</v>
      </c>
      <c r="O282" s="1529">
        <f t="shared" si="17"/>
        <v>298944.33279726969</v>
      </c>
    </row>
    <row r="283" spans="4:15" hidden="1">
      <c r="D283" s="1534">
        <f t="shared" si="18"/>
        <v>119</v>
      </c>
      <c r="E283" s="1529">
        <f t="shared" si="19"/>
        <v>402499.12398903043</v>
      </c>
      <c r="F283" s="1529">
        <f t="shared" si="20"/>
        <v>2533.4265491294036</v>
      </c>
      <c r="G283" s="1529">
        <f t="shared" si="21"/>
        <v>1509.371714958864</v>
      </c>
      <c r="H283" s="1529">
        <f t="shared" si="22"/>
        <v>1024.0548341705396</v>
      </c>
      <c r="I283" s="1529">
        <f t="shared" si="23"/>
        <v>401475.06915485987</v>
      </c>
      <c r="K283" s="1529">
        <f t="shared" si="24"/>
        <v>202952.82850125918</v>
      </c>
      <c r="L283" s="1529">
        <f t="shared" si="25"/>
        <v>98524.930845139897</v>
      </c>
      <c r="O283" s="1529">
        <f t="shared" si="17"/>
        <v>301477.75934639911</v>
      </c>
    </row>
    <row r="284" spans="4:15" hidden="1">
      <c r="D284" s="1534">
        <f t="shared" si="18"/>
        <v>120</v>
      </c>
      <c r="E284" s="1529">
        <f t="shared" si="19"/>
        <v>401475.06915485987</v>
      </c>
      <c r="F284" s="1529">
        <f t="shared" si="20"/>
        <v>2533.4265491294036</v>
      </c>
      <c r="G284" s="1529">
        <f t="shared" si="21"/>
        <v>1505.5315093307245</v>
      </c>
      <c r="H284" s="1529">
        <f t="shared" si="22"/>
        <v>1027.8950397986791</v>
      </c>
      <c r="I284" s="1529">
        <f t="shared" si="23"/>
        <v>400447.17411506118</v>
      </c>
      <c r="K284" s="1529">
        <f t="shared" si="24"/>
        <v>204458.36001058991</v>
      </c>
      <c r="L284" s="1529">
        <f t="shared" si="25"/>
        <v>99552.825884938575</v>
      </c>
      <c r="O284" s="1529">
        <f t="shared" si="17"/>
        <v>304011.18589552847</v>
      </c>
    </row>
    <row r="285" spans="4:15" hidden="1">
      <c r="D285" s="1534">
        <f t="shared" si="18"/>
        <v>121</v>
      </c>
      <c r="E285" s="1529">
        <f t="shared" si="19"/>
        <v>400447.17411506118</v>
      </c>
      <c r="F285" s="1529">
        <f t="shared" si="20"/>
        <v>2533.4265491294036</v>
      </c>
      <c r="G285" s="1529">
        <f t="shared" si="21"/>
        <v>1501.6769029314794</v>
      </c>
      <c r="H285" s="1529">
        <f t="shared" si="22"/>
        <v>1031.7496461979242</v>
      </c>
      <c r="I285" s="1529">
        <f t="shared" si="23"/>
        <v>399415.42446886323</v>
      </c>
      <c r="K285" s="1529">
        <f t="shared" si="24"/>
        <v>205960.03691352138</v>
      </c>
      <c r="L285" s="1529">
        <f t="shared" si="25"/>
        <v>100584.57553113649</v>
      </c>
      <c r="O285" s="1529">
        <f t="shared" si="17"/>
        <v>306544.61244465789</v>
      </c>
    </row>
    <row r="286" spans="4:15" hidden="1">
      <c r="D286" s="1534">
        <f t="shared" si="18"/>
        <v>122</v>
      </c>
      <c r="E286" s="1529">
        <f t="shared" si="19"/>
        <v>399415.42446886323</v>
      </c>
      <c r="F286" s="1529">
        <f t="shared" si="20"/>
        <v>2533.4265491294036</v>
      </c>
      <c r="G286" s="1529">
        <f t="shared" si="21"/>
        <v>1497.8078417582371</v>
      </c>
      <c r="H286" s="1529">
        <f t="shared" si="22"/>
        <v>1035.6187073711665</v>
      </c>
      <c r="I286" s="1529">
        <f t="shared" si="23"/>
        <v>398379.80576149205</v>
      </c>
      <c r="K286" s="1529">
        <f t="shared" si="24"/>
        <v>207457.84475527963</v>
      </c>
      <c r="L286" s="1529">
        <f t="shared" si="25"/>
        <v>101620.19423850765</v>
      </c>
      <c r="O286" s="1529">
        <f t="shared" si="17"/>
        <v>309078.03899378725</v>
      </c>
    </row>
    <row r="287" spans="4:15" hidden="1">
      <c r="D287" s="1534">
        <f t="shared" si="18"/>
        <v>123</v>
      </c>
      <c r="E287" s="1529">
        <f t="shared" si="19"/>
        <v>398379.80576149205</v>
      </c>
      <c r="F287" s="1529">
        <f t="shared" si="20"/>
        <v>2533.4265491294036</v>
      </c>
      <c r="G287" s="1529">
        <f t="shared" si="21"/>
        <v>1493.9242716055951</v>
      </c>
      <c r="H287" s="1529">
        <f t="shared" si="22"/>
        <v>1039.5022775238085</v>
      </c>
      <c r="I287" s="1529">
        <f t="shared" si="23"/>
        <v>397340.30348396825</v>
      </c>
      <c r="K287" s="1529">
        <f t="shared" si="24"/>
        <v>208951.76902688522</v>
      </c>
      <c r="L287" s="1529">
        <f t="shared" si="25"/>
        <v>102659.69651603146</v>
      </c>
      <c r="O287" s="1529">
        <f t="shared" si="17"/>
        <v>311611.46554291667</v>
      </c>
    </row>
    <row r="288" spans="4:15" hidden="1">
      <c r="D288" s="1534">
        <f t="shared" si="18"/>
        <v>124</v>
      </c>
      <c r="E288" s="1529">
        <f t="shared" si="19"/>
        <v>397340.30348396825</v>
      </c>
      <c r="F288" s="1529">
        <f t="shared" si="20"/>
        <v>2533.4265491294036</v>
      </c>
      <c r="G288" s="1529">
        <f t="shared" si="21"/>
        <v>1490.0261380648808</v>
      </c>
      <c r="H288" s="1529">
        <f t="shared" si="22"/>
        <v>1043.4004110645228</v>
      </c>
      <c r="I288" s="1529">
        <f t="shared" si="23"/>
        <v>396296.90307290375</v>
      </c>
      <c r="K288" s="1529">
        <f t="shared" si="24"/>
        <v>210441.7951649501</v>
      </c>
      <c r="L288" s="1529">
        <f t="shared" si="25"/>
        <v>103703.09692709598</v>
      </c>
      <c r="O288" s="1529">
        <f t="shared" si="17"/>
        <v>314144.8920920461</v>
      </c>
    </row>
    <row r="289" spans="4:15" hidden="1">
      <c r="D289" s="1534">
        <f t="shared" si="18"/>
        <v>125</v>
      </c>
      <c r="E289" s="1529">
        <f t="shared" si="19"/>
        <v>396296.90307290375</v>
      </c>
      <c r="F289" s="1529">
        <f t="shared" si="20"/>
        <v>2533.4265491294036</v>
      </c>
      <c r="G289" s="1529">
        <f t="shared" si="21"/>
        <v>1486.113386523389</v>
      </c>
      <c r="H289" s="1529">
        <f t="shared" si="22"/>
        <v>1047.3131626060147</v>
      </c>
      <c r="I289" s="1529">
        <f t="shared" si="23"/>
        <v>395249.58991029771</v>
      </c>
      <c r="K289" s="1529">
        <f t="shared" si="24"/>
        <v>211927.90855147349</v>
      </c>
      <c r="L289" s="1529">
        <f t="shared" si="25"/>
        <v>104750.410089702</v>
      </c>
      <c r="O289" s="1529">
        <f t="shared" si="17"/>
        <v>316678.31864117552</v>
      </c>
    </row>
    <row r="290" spans="4:15" hidden="1">
      <c r="D290" s="1534">
        <f t="shared" si="18"/>
        <v>126</v>
      </c>
      <c r="E290" s="1529">
        <f t="shared" si="19"/>
        <v>395249.58991029771</v>
      </c>
      <c r="F290" s="1529">
        <f t="shared" si="20"/>
        <v>2533.4265491294036</v>
      </c>
      <c r="G290" s="1529">
        <f t="shared" si="21"/>
        <v>1482.1859621636163</v>
      </c>
      <c r="H290" s="1529">
        <f t="shared" si="22"/>
        <v>1051.2405869657873</v>
      </c>
      <c r="I290" s="1529">
        <f t="shared" si="23"/>
        <v>394198.3493233319</v>
      </c>
      <c r="K290" s="1529">
        <f t="shared" si="24"/>
        <v>213410.0945136371</v>
      </c>
      <c r="L290" s="1529">
        <f t="shared" si="25"/>
        <v>105801.65067666778</v>
      </c>
      <c r="O290" s="1529">
        <f t="shared" si="17"/>
        <v>319211.74519030488</v>
      </c>
    </row>
    <row r="291" spans="4:15" hidden="1">
      <c r="D291" s="1534">
        <f t="shared" si="18"/>
        <v>127</v>
      </c>
      <c r="E291" s="1529">
        <f t="shared" si="19"/>
        <v>394198.3493233319</v>
      </c>
      <c r="F291" s="1529">
        <f t="shared" si="20"/>
        <v>2533.4265491294036</v>
      </c>
      <c r="G291" s="1529">
        <f t="shared" si="21"/>
        <v>1478.2438099624947</v>
      </c>
      <c r="H291" s="1529">
        <f t="shared" si="22"/>
        <v>1055.182739166909</v>
      </c>
      <c r="I291" s="1529">
        <f t="shared" si="23"/>
        <v>393143.16658416501</v>
      </c>
      <c r="K291" s="1529">
        <f t="shared" si="24"/>
        <v>214888.3383235996</v>
      </c>
      <c r="L291" s="1529">
        <f t="shared" si="25"/>
        <v>106856.83341583468</v>
      </c>
      <c r="O291" s="1529">
        <f t="shared" si="17"/>
        <v>321745.1717394343</v>
      </c>
    </row>
    <row r="292" spans="4:15" hidden="1">
      <c r="D292" s="1534">
        <f t="shared" si="18"/>
        <v>128</v>
      </c>
      <c r="E292" s="1529">
        <f t="shared" si="19"/>
        <v>393143.16658416501</v>
      </c>
      <c r="F292" s="1529">
        <f t="shared" si="20"/>
        <v>2533.4265491294036</v>
      </c>
      <c r="G292" s="1529">
        <f t="shared" si="21"/>
        <v>1474.2868746906188</v>
      </c>
      <c r="H292" s="1529">
        <f t="shared" si="22"/>
        <v>1059.1396744387848</v>
      </c>
      <c r="I292" s="1529">
        <f t="shared" si="23"/>
        <v>392084.02690972621</v>
      </c>
      <c r="K292" s="1529">
        <f t="shared" si="24"/>
        <v>216362.62519829022</v>
      </c>
      <c r="L292" s="1529">
        <f t="shared" si="25"/>
        <v>107915.97309027347</v>
      </c>
      <c r="O292" s="1529">
        <f t="shared" si="17"/>
        <v>324278.59828856366</v>
      </c>
    </row>
    <row r="293" spans="4:15" hidden="1">
      <c r="D293" s="1534">
        <f t="shared" si="18"/>
        <v>129</v>
      </c>
      <c r="E293" s="1529">
        <f t="shared" si="19"/>
        <v>392084.02690972621</v>
      </c>
      <c r="F293" s="1529">
        <f t="shared" si="20"/>
        <v>2533.4265491294036</v>
      </c>
      <c r="G293" s="1529">
        <f t="shared" si="21"/>
        <v>1470.3151009114731</v>
      </c>
      <c r="H293" s="1529">
        <f t="shared" si="22"/>
        <v>1063.1114482179305</v>
      </c>
      <c r="I293" s="1529">
        <f t="shared" si="23"/>
        <v>391020.91546150827</v>
      </c>
      <c r="K293" s="1529">
        <f t="shared" si="24"/>
        <v>217832.9402992017</v>
      </c>
      <c r="L293" s="1529">
        <f t="shared" si="25"/>
        <v>108979.0845384914</v>
      </c>
      <c r="O293" s="1529">
        <f t="shared" si="17"/>
        <v>326812.02483769308</v>
      </c>
    </row>
    <row r="294" spans="4:15" hidden="1">
      <c r="D294" s="1534">
        <f t="shared" si="18"/>
        <v>130</v>
      </c>
      <c r="E294" s="1529">
        <f t="shared" si="19"/>
        <v>391020.91546150827</v>
      </c>
      <c r="F294" s="1529">
        <f t="shared" si="20"/>
        <v>2533.4265491294036</v>
      </c>
      <c r="G294" s="1529">
        <f t="shared" si="21"/>
        <v>1466.3284329806559</v>
      </c>
      <c r="H294" s="1529">
        <f t="shared" si="22"/>
        <v>1067.0981161487477</v>
      </c>
      <c r="I294" s="1529">
        <f t="shared" si="23"/>
        <v>389953.81734535954</v>
      </c>
      <c r="K294" s="1529">
        <f t="shared" si="24"/>
        <v>219299.26873218236</v>
      </c>
      <c r="L294" s="1529">
        <f t="shared" si="25"/>
        <v>110046.18265464014</v>
      </c>
      <c r="O294" s="1529">
        <f t="shared" ref="O294:O357" si="26">K294+L294</f>
        <v>329345.4513868225</v>
      </c>
    </row>
    <row r="295" spans="4:15" hidden="1">
      <c r="D295" s="1534">
        <f t="shared" si="18"/>
        <v>131</v>
      </c>
      <c r="E295" s="1529">
        <f t="shared" si="19"/>
        <v>389953.81734535954</v>
      </c>
      <c r="F295" s="1529">
        <f t="shared" si="20"/>
        <v>2533.4265491294036</v>
      </c>
      <c r="G295" s="1529">
        <f t="shared" si="21"/>
        <v>1462.3268150450981</v>
      </c>
      <c r="H295" s="1529">
        <f t="shared" si="22"/>
        <v>1071.0997340843055</v>
      </c>
      <c r="I295" s="1529">
        <f t="shared" si="23"/>
        <v>388882.71761127521</v>
      </c>
      <c r="K295" s="1529">
        <f t="shared" si="24"/>
        <v>220761.59554722745</v>
      </c>
      <c r="L295" s="1529">
        <f t="shared" si="25"/>
        <v>111117.28238872444</v>
      </c>
      <c r="O295" s="1529">
        <f t="shared" si="26"/>
        <v>331878.87793595192</v>
      </c>
    </row>
    <row r="296" spans="4:15" hidden="1">
      <c r="D296" s="1534">
        <f t="shared" si="18"/>
        <v>132</v>
      </c>
      <c r="E296" s="1529">
        <f t="shared" si="19"/>
        <v>388882.71761127521</v>
      </c>
      <c r="F296" s="1529">
        <f t="shared" si="20"/>
        <v>2533.4265491294036</v>
      </c>
      <c r="G296" s="1529">
        <f t="shared" si="21"/>
        <v>1458.310191042282</v>
      </c>
      <c r="H296" s="1529">
        <f t="shared" si="22"/>
        <v>1075.1163580871216</v>
      </c>
      <c r="I296" s="1529">
        <f t="shared" si="23"/>
        <v>387807.6012531881</v>
      </c>
      <c r="K296" s="1529">
        <f t="shared" si="24"/>
        <v>222219.90573826974</v>
      </c>
      <c r="L296" s="1529">
        <f t="shared" si="25"/>
        <v>112192.39874681157</v>
      </c>
      <c r="O296" s="1529">
        <f t="shared" si="26"/>
        <v>334412.30448508129</v>
      </c>
    </row>
    <row r="297" spans="4:15" hidden="1">
      <c r="D297" s="1534">
        <f t="shared" si="18"/>
        <v>133</v>
      </c>
      <c r="E297" s="1529">
        <f t="shared" si="19"/>
        <v>387807.6012531881</v>
      </c>
      <c r="F297" s="1529">
        <f t="shared" si="20"/>
        <v>2533.4265491294036</v>
      </c>
      <c r="G297" s="1529">
        <f t="shared" si="21"/>
        <v>1454.2785046994554</v>
      </c>
      <c r="H297" s="1529">
        <f t="shared" si="22"/>
        <v>1079.1480444299482</v>
      </c>
      <c r="I297" s="1529">
        <f t="shared" si="23"/>
        <v>386728.45320875815</v>
      </c>
      <c r="K297" s="1529">
        <f t="shared" si="24"/>
        <v>223674.1842429692</v>
      </c>
      <c r="L297" s="1529">
        <f t="shared" si="25"/>
        <v>113271.54679124152</v>
      </c>
      <c r="O297" s="1529">
        <f t="shared" si="26"/>
        <v>336945.73103421071</v>
      </c>
    </row>
    <row r="298" spans="4:15" hidden="1">
      <c r="D298" s="1534">
        <f t="shared" si="18"/>
        <v>134</v>
      </c>
      <c r="E298" s="1529">
        <f t="shared" si="19"/>
        <v>386728.45320875815</v>
      </c>
      <c r="F298" s="1529">
        <f t="shared" si="20"/>
        <v>2533.4265491294036</v>
      </c>
      <c r="G298" s="1529">
        <f t="shared" si="21"/>
        <v>1450.2316995328431</v>
      </c>
      <c r="H298" s="1529">
        <f t="shared" si="22"/>
        <v>1083.1948495965605</v>
      </c>
      <c r="I298" s="1529">
        <f t="shared" si="23"/>
        <v>385645.25835916161</v>
      </c>
      <c r="K298" s="1529">
        <f t="shared" si="24"/>
        <v>225124.41594250203</v>
      </c>
      <c r="L298" s="1529">
        <f t="shared" si="25"/>
        <v>114354.74164083808</v>
      </c>
      <c r="O298" s="1529">
        <f t="shared" si="26"/>
        <v>339479.15758334013</v>
      </c>
    </row>
    <row r="299" spans="4:15" hidden="1">
      <c r="D299" s="1534">
        <f t="shared" si="18"/>
        <v>135</v>
      </c>
      <c r="E299" s="1529">
        <f t="shared" si="19"/>
        <v>385645.25835916161</v>
      </c>
      <c r="F299" s="1529">
        <f t="shared" si="20"/>
        <v>2533.4265491294036</v>
      </c>
      <c r="G299" s="1529">
        <f t="shared" si="21"/>
        <v>1446.1697188468561</v>
      </c>
      <c r="H299" s="1529">
        <f t="shared" si="22"/>
        <v>1087.2568302825475</v>
      </c>
      <c r="I299" s="1529">
        <f t="shared" si="23"/>
        <v>384558.00152887905</v>
      </c>
      <c r="K299" s="1529">
        <f t="shared" si="24"/>
        <v>226570.58566134889</v>
      </c>
      <c r="L299" s="1529">
        <f t="shared" si="25"/>
        <v>115441.99847112063</v>
      </c>
      <c r="O299" s="1529">
        <f t="shared" si="26"/>
        <v>342012.58413246949</v>
      </c>
    </row>
    <row r="300" spans="4:15" hidden="1">
      <c r="D300" s="1534">
        <f t="shared" si="18"/>
        <v>136</v>
      </c>
      <c r="E300" s="1529">
        <f t="shared" si="19"/>
        <v>384558.00152887905</v>
      </c>
      <c r="F300" s="1529">
        <f t="shared" si="20"/>
        <v>2533.4265491294036</v>
      </c>
      <c r="G300" s="1529">
        <f t="shared" si="21"/>
        <v>1442.0925057332963</v>
      </c>
      <c r="H300" s="1529">
        <f t="shared" si="22"/>
        <v>1091.3340433961073</v>
      </c>
      <c r="I300" s="1529">
        <f t="shared" si="23"/>
        <v>383466.66748548293</v>
      </c>
      <c r="K300" s="1529">
        <f t="shared" si="24"/>
        <v>228012.67816708219</v>
      </c>
      <c r="L300" s="1529">
        <f t="shared" si="25"/>
        <v>116533.33251451675</v>
      </c>
      <c r="O300" s="1529">
        <f t="shared" si="26"/>
        <v>344546.01068159891</v>
      </c>
    </row>
    <row r="301" spans="4:15" hidden="1">
      <c r="D301" s="1534">
        <f t="shared" si="18"/>
        <v>137</v>
      </c>
      <c r="E301" s="1529">
        <f t="shared" si="19"/>
        <v>383466.66748548293</v>
      </c>
      <c r="F301" s="1529">
        <f t="shared" si="20"/>
        <v>2533.4265491294036</v>
      </c>
      <c r="G301" s="1529">
        <f t="shared" si="21"/>
        <v>1438.000003070561</v>
      </c>
      <c r="H301" s="1529">
        <f t="shared" si="22"/>
        <v>1095.4265460588426</v>
      </c>
      <c r="I301" s="1529">
        <f t="shared" si="23"/>
        <v>382371.24093942408</v>
      </c>
      <c r="K301" s="1529">
        <f t="shared" si="24"/>
        <v>229450.67817015277</v>
      </c>
      <c r="L301" s="1529">
        <f t="shared" si="25"/>
        <v>117628.75906057558</v>
      </c>
      <c r="O301" s="1529">
        <f t="shared" si="26"/>
        <v>347079.43723072833</v>
      </c>
    </row>
    <row r="302" spans="4:15" hidden="1">
      <c r="D302" s="1534">
        <f t="shared" si="18"/>
        <v>138</v>
      </c>
      <c r="E302" s="1529">
        <f t="shared" si="19"/>
        <v>382371.24093942408</v>
      </c>
      <c r="F302" s="1529">
        <f t="shared" si="20"/>
        <v>2533.4265491294036</v>
      </c>
      <c r="G302" s="1529">
        <f t="shared" si="21"/>
        <v>1433.8921535228403</v>
      </c>
      <c r="H302" s="1529">
        <f t="shared" si="22"/>
        <v>1099.5343956065633</v>
      </c>
      <c r="I302" s="1529">
        <f t="shared" si="23"/>
        <v>381271.70654381753</v>
      </c>
      <c r="K302" s="1529">
        <f t="shared" si="24"/>
        <v>230884.57032367561</v>
      </c>
      <c r="L302" s="1529">
        <f t="shared" si="25"/>
        <v>118728.29345618215</v>
      </c>
      <c r="O302" s="1529">
        <f t="shared" si="26"/>
        <v>349612.86377985775</v>
      </c>
    </row>
    <row r="303" spans="4:15" hidden="1">
      <c r="D303" s="1534">
        <f t="shared" si="18"/>
        <v>139</v>
      </c>
      <c r="E303" s="1529">
        <f t="shared" si="19"/>
        <v>381271.70654381753</v>
      </c>
      <c r="F303" s="1529">
        <f t="shared" si="20"/>
        <v>2533.4265491294036</v>
      </c>
      <c r="G303" s="1529">
        <f t="shared" si="21"/>
        <v>1429.7688995393157</v>
      </c>
      <c r="H303" s="1529">
        <f t="shared" si="22"/>
        <v>1103.6576495900879</v>
      </c>
      <c r="I303" s="1529">
        <f t="shared" si="23"/>
        <v>380168.04889422742</v>
      </c>
      <c r="K303" s="1529">
        <f t="shared" si="24"/>
        <v>232314.33922321492</v>
      </c>
      <c r="L303" s="1529">
        <f t="shared" si="25"/>
        <v>119831.95110577223</v>
      </c>
      <c r="O303" s="1529">
        <f t="shared" si="26"/>
        <v>352146.29032898718</v>
      </c>
    </row>
    <row r="304" spans="4:15" hidden="1">
      <c r="D304" s="1534">
        <f t="shared" si="18"/>
        <v>140</v>
      </c>
      <c r="E304" s="1529">
        <f t="shared" si="19"/>
        <v>380168.04889422742</v>
      </c>
      <c r="F304" s="1529">
        <f t="shared" si="20"/>
        <v>2533.4265491294036</v>
      </c>
      <c r="G304" s="1529">
        <f t="shared" si="21"/>
        <v>1425.6301833533528</v>
      </c>
      <c r="H304" s="1529">
        <f t="shared" si="22"/>
        <v>1107.7963657760508</v>
      </c>
      <c r="I304" s="1529">
        <f t="shared" si="23"/>
        <v>379060.25252845138</v>
      </c>
      <c r="K304" s="1529">
        <f t="shared" si="24"/>
        <v>233739.96940656827</v>
      </c>
      <c r="L304" s="1529">
        <f t="shared" si="25"/>
        <v>120939.74747154828</v>
      </c>
      <c r="O304" s="1529">
        <f t="shared" si="26"/>
        <v>354679.71687811654</v>
      </c>
    </row>
    <row r="305" spans="4:15" hidden="1">
      <c r="D305" s="1534">
        <f t="shared" si="18"/>
        <v>141</v>
      </c>
      <c r="E305" s="1529">
        <f t="shared" si="19"/>
        <v>379060.25252845138</v>
      </c>
      <c r="F305" s="1529">
        <f t="shared" si="20"/>
        <v>2533.4265491294036</v>
      </c>
      <c r="G305" s="1529">
        <f t="shared" si="21"/>
        <v>1421.4759469816927</v>
      </c>
      <c r="H305" s="1529">
        <f t="shared" si="22"/>
        <v>1111.9506021477109</v>
      </c>
      <c r="I305" s="1529">
        <f t="shared" si="23"/>
        <v>377948.30192630365</v>
      </c>
      <c r="K305" s="1529">
        <f t="shared" si="24"/>
        <v>235161.44535354996</v>
      </c>
      <c r="L305" s="1529">
        <f t="shared" si="25"/>
        <v>122051.698073696</v>
      </c>
      <c r="O305" s="1529">
        <f t="shared" si="26"/>
        <v>357213.14342724596</v>
      </c>
    </row>
    <row r="306" spans="4:15" hidden="1">
      <c r="D306" s="1534">
        <f t="shared" si="18"/>
        <v>142</v>
      </c>
      <c r="E306" s="1529">
        <f t="shared" si="19"/>
        <v>377948.30192630365</v>
      </c>
      <c r="F306" s="1529">
        <f t="shared" si="20"/>
        <v>2533.4265491294036</v>
      </c>
      <c r="G306" s="1529">
        <f t="shared" si="21"/>
        <v>1417.3061322236385</v>
      </c>
      <c r="H306" s="1529">
        <f t="shared" si="22"/>
        <v>1116.1204169057651</v>
      </c>
      <c r="I306" s="1529">
        <f t="shared" si="23"/>
        <v>376832.18150939787</v>
      </c>
      <c r="K306" s="1529">
        <f t="shared" si="24"/>
        <v>236578.7514857736</v>
      </c>
      <c r="L306" s="1529">
        <f t="shared" si="25"/>
        <v>123167.81849060176</v>
      </c>
      <c r="O306" s="1529">
        <f t="shared" si="26"/>
        <v>359746.56997637532</v>
      </c>
    </row>
    <row r="307" spans="4:15" hidden="1">
      <c r="D307" s="1534">
        <f t="shared" si="18"/>
        <v>143</v>
      </c>
      <c r="E307" s="1529">
        <f t="shared" si="19"/>
        <v>376832.18150939787</v>
      </c>
      <c r="F307" s="1529">
        <f t="shared" si="20"/>
        <v>2533.4265491294036</v>
      </c>
      <c r="G307" s="1529">
        <f t="shared" si="21"/>
        <v>1413.120680660242</v>
      </c>
      <c r="H307" s="1529">
        <f t="shared" si="22"/>
        <v>1120.3058684691616</v>
      </c>
      <c r="I307" s="1529">
        <f t="shared" si="23"/>
        <v>375711.87564092869</v>
      </c>
      <c r="K307" s="1529">
        <f t="shared" si="24"/>
        <v>237991.87216643384</v>
      </c>
      <c r="L307" s="1529">
        <f t="shared" si="25"/>
        <v>124288.12435907092</v>
      </c>
      <c r="O307" s="1529">
        <f t="shared" si="26"/>
        <v>362279.99652550474</v>
      </c>
    </row>
    <row r="308" spans="4:15" hidden="1">
      <c r="D308" s="1534">
        <f t="shared" si="18"/>
        <v>144</v>
      </c>
      <c r="E308" s="1529">
        <f t="shared" si="19"/>
        <v>375711.87564092869</v>
      </c>
      <c r="F308" s="1529">
        <f t="shared" si="20"/>
        <v>2533.4265491294036</v>
      </c>
      <c r="G308" s="1529">
        <f t="shared" si="21"/>
        <v>1408.9195336534826</v>
      </c>
      <c r="H308" s="1529">
        <f t="shared" si="22"/>
        <v>1124.507015475921</v>
      </c>
      <c r="I308" s="1529">
        <f t="shared" si="23"/>
        <v>374587.36862545274</v>
      </c>
      <c r="K308" s="1529">
        <f t="shared" si="24"/>
        <v>239400.79170008731</v>
      </c>
      <c r="L308" s="1529">
        <f t="shared" si="25"/>
        <v>125412.63137454684</v>
      </c>
      <c r="O308" s="1529">
        <f t="shared" si="26"/>
        <v>364813.42307463416</v>
      </c>
    </row>
    <row r="309" spans="4:15" hidden="1">
      <c r="D309" s="1534">
        <f t="shared" si="18"/>
        <v>145</v>
      </c>
      <c r="E309" s="1529">
        <f t="shared" si="19"/>
        <v>374587.36862545274</v>
      </c>
      <c r="F309" s="1529">
        <f t="shared" si="20"/>
        <v>2533.4265491294036</v>
      </c>
      <c r="G309" s="1529">
        <f t="shared" si="21"/>
        <v>1404.7026323454477</v>
      </c>
      <c r="H309" s="1529">
        <f t="shared" si="22"/>
        <v>1128.7239167839559</v>
      </c>
      <c r="I309" s="1529">
        <f t="shared" si="23"/>
        <v>373458.64470866881</v>
      </c>
      <c r="K309" s="1529">
        <f t="shared" si="24"/>
        <v>240805.49433243275</v>
      </c>
      <c r="L309" s="1529">
        <f t="shared" si="25"/>
        <v>126541.35529133079</v>
      </c>
      <c r="O309" s="1529">
        <f t="shared" si="26"/>
        <v>367346.84962376353</v>
      </c>
    </row>
    <row r="310" spans="4:15" hidden="1">
      <c r="D310" s="1534">
        <f t="shared" si="18"/>
        <v>146</v>
      </c>
      <c r="E310" s="1529">
        <f t="shared" si="19"/>
        <v>373458.64470866881</v>
      </c>
      <c r="F310" s="1529">
        <f t="shared" si="20"/>
        <v>2533.4265491294036</v>
      </c>
      <c r="G310" s="1529">
        <f t="shared" si="21"/>
        <v>1400.4699176575079</v>
      </c>
      <c r="H310" s="1529">
        <f t="shared" si="22"/>
        <v>1132.9566314718957</v>
      </c>
      <c r="I310" s="1529">
        <f t="shared" si="23"/>
        <v>372325.68807719694</v>
      </c>
      <c r="K310" s="1529">
        <f t="shared" si="24"/>
        <v>242205.96425009024</v>
      </c>
      <c r="L310" s="1529">
        <f t="shared" si="25"/>
        <v>127674.31192280269</v>
      </c>
      <c r="O310" s="1529">
        <f t="shared" si="26"/>
        <v>369880.27617289295</v>
      </c>
    </row>
    <row r="311" spans="4:15" hidden="1">
      <c r="D311" s="1534">
        <f t="shared" si="18"/>
        <v>147</v>
      </c>
      <c r="E311" s="1529">
        <f t="shared" si="19"/>
        <v>372325.68807719694</v>
      </c>
      <c r="F311" s="1529">
        <f t="shared" si="20"/>
        <v>2533.4265491294036</v>
      </c>
      <c r="G311" s="1529">
        <f t="shared" si="21"/>
        <v>1396.2213302894884</v>
      </c>
      <c r="H311" s="1529">
        <f t="shared" si="22"/>
        <v>1137.2052188399152</v>
      </c>
      <c r="I311" s="1529">
        <f t="shared" si="23"/>
        <v>371188.48285835702</v>
      </c>
      <c r="K311" s="1529">
        <f t="shared" si="24"/>
        <v>243602.18558037974</v>
      </c>
      <c r="L311" s="1529">
        <f t="shared" si="25"/>
        <v>128811.5171416426</v>
      </c>
      <c r="O311" s="1529">
        <f t="shared" si="26"/>
        <v>372413.70272202231</v>
      </c>
    </row>
    <row r="312" spans="4:15" hidden="1">
      <c r="D312" s="1534">
        <f t="shared" si="18"/>
        <v>148</v>
      </c>
      <c r="E312" s="1529">
        <f t="shared" si="19"/>
        <v>371188.48285835702</v>
      </c>
      <c r="F312" s="1529">
        <f t="shared" si="20"/>
        <v>2533.4265491294036</v>
      </c>
      <c r="G312" s="1529">
        <f t="shared" si="21"/>
        <v>1391.9568107188388</v>
      </c>
      <c r="H312" s="1529">
        <f t="shared" si="22"/>
        <v>1141.4697384105648</v>
      </c>
      <c r="I312" s="1529">
        <f t="shared" si="23"/>
        <v>370047.01311994647</v>
      </c>
      <c r="K312" s="1529">
        <f t="shared" si="24"/>
        <v>244994.14239109858</v>
      </c>
      <c r="L312" s="1529">
        <f t="shared" si="25"/>
        <v>129952.98688005317</v>
      </c>
      <c r="O312" s="1529">
        <f t="shared" si="26"/>
        <v>374947.12927115173</v>
      </c>
    </row>
    <row r="313" spans="4:15" hidden="1">
      <c r="D313" s="1534">
        <f t="shared" si="18"/>
        <v>149</v>
      </c>
      <c r="E313" s="1529">
        <f t="shared" si="19"/>
        <v>370047.01311994647</v>
      </c>
      <c r="F313" s="1529">
        <f t="shared" si="20"/>
        <v>2533.4265491294036</v>
      </c>
      <c r="G313" s="1529">
        <f t="shared" si="21"/>
        <v>1387.6762991997991</v>
      </c>
      <c r="H313" s="1529">
        <f t="shared" si="22"/>
        <v>1145.7502499296045</v>
      </c>
      <c r="I313" s="1529">
        <f t="shared" si="23"/>
        <v>368901.26287001686</v>
      </c>
      <c r="K313" s="1529">
        <f t="shared" si="24"/>
        <v>246381.81869029839</v>
      </c>
      <c r="L313" s="1529">
        <f t="shared" si="25"/>
        <v>131098.73712998276</v>
      </c>
      <c r="O313" s="1529">
        <f t="shared" si="26"/>
        <v>377480.55582028115</v>
      </c>
    </row>
    <row r="314" spans="4:15" hidden="1">
      <c r="D314" s="1534">
        <f t="shared" si="18"/>
        <v>150</v>
      </c>
      <c r="E314" s="1529">
        <f t="shared" si="19"/>
        <v>368901.26287001686</v>
      </c>
      <c r="F314" s="1529">
        <f t="shared" si="20"/>
        <v>2533.4265491294036</v>
      </c>
      <c r="G314" s="1529">
        <f t="shared" si="21"/>
        <v>1383.3797357625631</v>
      </c>
      <c r="H314" s="1529">
        <f t="shared" si="22"/>
        <v>1150.0468133668405</v>
      </c>
      <c r="I314" s="1529">
        <f t="shared" si="23"/>
        <v>367751.21605665004</v>
      </c>
      <c r="K314" s="1529">
        <f t="shared" si="24"/>
        <v>247765.19842606096</v>
      </c>
      <c r="L314" s="1529">
        <f t="shared" si="25"/>
        <v>132248.78394334961</v>
      </c>
      <c r="O314" s="1529">
        <f t="shared" si="26"/>
        <v>380013.98236941057</v>
      </c>
    </row>
    <row r="315" spans="4:15" hidden="1">
      <c r="D315" s="1534">
        <f t="shared" si="18"/>
        <v>151</v>
      </c>
      <c r="E315" s="1529">
        <f t="shared" si="19"/>
        <v>367751.21605665004</v>
      </c>
      <c r="F315" s="1529">
        <f t="shared" si="20"/>
        <v>2533.4265491294036</v>
      </c>
      <c r="G315" s="1529">
        <f t="shared" si="21"/>
        <v>1379.0670602124376</v>
      </c>
      <c r="H315" s="1529">
        <f t="shared" si="22"/>
        <v>1154.359488916966</v>
      </c>
      <c r="I315" s="1529">
        <f t="shared" si="23"/>
        <v>366596.85656773305</v>
      </c>
      <c r="K315" s="1529">
        <f t="shared" si="24"/>
        <v>249144.26548627339</v>
      </c>
      <c r="L315" s="1529">
        <f t="shared" si="25"/>
        <v>133403.14343226657</v>
      </c>
      <c r="O315" s="1529">
        <f t="shared" si="26"/>
        <v>382547.40891853999</v>
      </c>
    </row>
    <row r="316" spans="4:15" hidden="1">
      <c r="D316" s="1534">
        <f t="shared" si="18"/>
        <v>152</v>
      </c>
      <c r="E316" s="1529">
        <f t="shared" si="19"/>
        <v>366596.85656773305</v>
      </c>
      <c r="F316" s="1529">
        <f t="shared" si="20"/>
        <v>2533.4265491294036</v>
      </c>
      <c r="G316" s="1529">
        <f t="shared" si="21"/>
        <v>1374.7382121289988</v>
      </c>
      <c r="H316" s="1529">
        <f t="shared" si="22"/>
        <v>1158.6883370004048</v>
      </c>
      <c r="I316" s="1529">
        <f t="shared" si="23"/>
        <v>365438.16823073267</v>
      </c>
      <c r="K316" s="1529">
        <f t="shared" si="24"/>
        <v>250519.00369840238</v>
      </c>
      <c r="L316" s="1529">
        <f t="shared" si="25"/>
        <v>134561.83176926698</v>
      </c>
      <c r="O316" s="1529">
        <f t="shared" si="26"/>
        <v>385080.83546766936</v>
      </c>
    </row>
    <row r="317" spans="4:15" hidden="1">
      <c r="D317" s="1534">
        <f t="shared" si="18"/>
        <v>153</v>
      </c>
      <c r="E317" s="1529">
        <f t="shared" si="19"/>
        <v>365438.16823073267</v>
      </c>
      <c r="F317" s="1529">
        <f t="shared" si="20"/>
        <v>2533.4265491294036</v>
      </c>
      <c r="G317" s="1529">
        <f t="shared" si="21"/>
        <v>1370.3931308652475</v>
      </c>
      <c r="H317" s="1529">
        <f t="shared" si="22"/>
        <v>1163.0334182641561</v>
      </c>
      <c r="I317" s="1529">
        <f t="shared" si="23"/>
        <v>364275.13481246849</v>
      </c>
      <c r="K317" s="1529">
        <f t="shared" si="24"/>
        <v>251889.39682926761</v>
      </c>
      <c r="L317" s="1529">
        <f t="shared" si="25"/>
        <v>135724.86518753113</v>
      </c>
      <c r="O317" s="1529">
        <f t="shared" si="26"/>
        <v>387614.26201679872</v>
      </c>
    </row>
    <row r="318" spans="4:15" hidden="1">
      <c r="D318" s="1534">
        <f t="shared" si="18"/>
        <v>154</v>
      </c>
      <c r="E318" s="1529">
        <f t="shared" si="19"/>
        <v>364275.13481246849</v>
      </c>
      <c r="F318" s="1529">
        <f t="shared" si="20"/>
        <v>2533.4265491294036</v>
      </c>
      <c r="G318" s="1529">
        <f t="shared" si="21"/>
        <v>1366.0317555467568</v>
      </c>
      <c r="H318" s="1529">
        <f t="shared" si="22"/>
        <v>1167.3947935826468</v>
      </c>
      <c r="I318" s="1529">
        <f t="shared" si="23"/>
        <v>363107.74001888582</v>
      </c>
      <c r="K318" s="1529">
        <f t="shared" si="24"/>
        <v>253255.42858481436</v>
      </c>
      <c r="L318" s="1529">
        <f t="shared" si="25"/>
        <v>136892.25998111378</v>
      </c>
      <c r="O318" s="1529">
        <f t="shared" si="26"/>
        <v>390147.68856592814</v>
      </c>
    </row>
    <row r="319" spans="4:15" hidden="1">
      <c r="D319" s="1534">
        <f t="shared" si="18"/>
        <v>155</v>
      </c>
      <c r="E319" s="1529">
        <f t="shared" si="19"/>
        <v>363107.74001888582</v>
      </c>
      <c r="F319" s="1529">
        <f t="shared" si="20"/>
        <v>2533.4265491294036</v>
      </c>
      <c r="G319" s="1529">
        <f t="shared" si="21"/>
        <v>1361.6540250708217</v>
      </c>
      <c r="H319" s="1529">
        <f t="shared" si="22"/>
        <v>1171.7725240585819</v>
      </c>
      <c r="I319" s="1529">
        <f t="shared" si="23"/>
        <v>361935.96749482723</v>
      </c>
      <c r="K319" s="1529">
        <f t="shared" si="24"/>
        <v>254617.0826098852</v>
      </c>
      <c r="L319" s="1529">
        <f t="shared" si="25"/>
        <v>138064.03250517236</v>
      </c>
      <c r="O319" s="1529">
        <f t="shared" si="26"/>
        <v>392681.11511505756</v>
      </c>
    </row>
    <row r="320" spans="4:15" hidden="1">
      <c r="D320" s="1534">
        <f t="shared" si="18"/>
        <v>156</v>
      </c>
      <c r="E320" s="1529">
        <f t="shared" si="19"/>
        <v>361935.96749482723</v>
      </c>
      <c r="F320" s="1529">
        <f t="shared" si="20"/>
        <v>2533.4265491294036</v>
      </c>
      <c r="G320" s="1529">
        <f t="shared" si="21"/>
        <v>1357.259878105602</v>
      </c>
      <c r="H320" s="1529">
        <f t="shared" si="22"/>
        <v>1176.1666710238017</v>
      </c>
      <c r="I320" s="1529">
        <f t="shared" si="23"/>
        <v>360759.80082380341</v>
      </c>
      <c r="K320" s="1529">
        <f t="shared" si="24"/>
        <v>255974.3424879908</v>
      </c>
      <c r="L320" s="1529">
        <f t="shared" si="25"/>
        <v>139240.19917619615</v>
      </c>
      <c r="O320" s="1529">
        <f t="shared" si="26"/>
        <v>395214.54166418698</v>
      </c>
    </row>
    <row r="321" spans="4:15" hidden="1">
      <c r="D321" s="1534">
        <f t="shared" si="18"/>
        <v>157</v>
      </c>
      <c r="E321" s="1529">
        <f t="shared" si="19"/>
        <v>360759.80082380341</v>
      </c>
      <c r="F321" s="1529">
        <f t="shared" si="20"/>
        <v>2533.4265491294036</v>
      </c>
      <c r="G321" s="1529">
        <f t="shared" si="21"/>
        <v>1352.8492530892627</v>
      </c>
      <c r="H321" s="1529">
        <f t="shared" si="22"/>
        <v>1180.5772960401409</v>
      </c>
      <c r="I321" s="1529">
        <f t="shared" si="23"/>
        <v>359579.22352776327</v>
      </c>
      <c r="K321" s="1529">
        <f t="shared" si="24"/>
        <v>257327.19174108005</v>
      </c>
      <c r="L321" s="1529">
        <f t="shared" si="25"/>
        <v>140420.77647223629</v>
      </c>
      <c r="O321" s="1529">
        <f t="shared" si="26"/>
        <v>397747.96821331634</v>
      </c>
    </row>
    <row r="322" spans="4:15" hidden="1">
      <c r="D322" s="1534">
        <f t="shared" si="18"/>
        <v>158</v>
      </c>
      <c r="E322" s="1529">
        <f t="shared" si="19"/>
        <v>359579.22352776327</v>
      </c>
      <c r="F322" s="1529">
        <f t="shared" si="20"/>
        <v>2533.4265491294036</v>
      </c>
      <c r="G322" s="1529">
        <f t="shared" si="21"/>
        <v>1348.4220882291122</v>
      </c>
      <c r="H322" s="1529">
        <f t="shared" si="22"/>
        <v>1185.0044609002914</v>
      </c>
      <c r="I322" s="1529">
        <f t="shared" si="23"/>
        <v>358394.21906686301</v>
      </c>
      <c r="K322" s="1529">
        <f t="shared" si="24"/>
        <v>258675.61382930918</v>
      </c>
      <c r="L322" s="1529">
        <f t="shared" si="25"/>
        <v>141605.78093313659</v>
      </c>
      <c r="O322" s="1529">
        <f t="shared" si="26"/>
        <v>400281.39476244577</v>
      </c>
    </row>
    <row r="323" spans="4:15" hidden="1">
      <c r="D323" s="1534">
        <f t="shared" si="18"/>
        <v>159</v>
      </c>
      <c r="E323" s="1529">
        <f t="shared" si="19"/>
        <v>358394.21906686301</v>
      </c>
      <c r="F323" s="1529">
        <f t="shared" si="20"/>
        <v>2533.4265491294036</v>
      </c>
      <c r="G323" s="1529">
        <f t="shared" si="21"/>
        <v>1343.9783215007362</v>
      </c>
      <c r="H323" s="1529">
        <f t="shared" si="22"/>
        <v>1189.4482276286674</v>
      </c>
      <c r="I323" s="1529">
        <f t="shared" si="23"/>
        <v>357204.77083923435</v>
      </c>
      <c r="K323" s="1529">
        <f t="shared" si="24"/>
        <v>260019.59215080991</v>
      </c>
      <c r="L323" s="1529">
        <f t="shared" si="25"/>
        <v>142795.22916076524</v>
      </c>
      <c r="O323" s="1529">
        <f t="shared" si="26"/>
        <v>402814.82131157513</v>
      </c>
    </row>
    <row r="324" spans="4:15" hidden="1">
      <c r="D324" s="1534">
        <f t="shared" si="18"/>
        <v>160</v>
      </c>
      <c r="E324" s="1529">
        <f t="shared" si="19"/>
        <v>357204.77083923435</v>
      </c>
      <c r="F324" s="1529">
        <f t="shared" si="20"/>
        <v>2533.4265491294036</v>
      </c>
      <c r="G324" s="1529">
        <f t="shared" si="21"/>
        <v>1339.5178906471288</v>
      </c>
      <c r="H324" s="1529">
        <f t="shared" si="22"/>
        <v>1193.9086584822749</v>
      </c>
      <c r="I324" s="1529">
        <f t="shared" si="23"/>
        <v>356010.8621807521</v>
      </c>
      <c r="K324" s="1529">
        <f t="shared" si="24"/>
        <v>261359.11004145705</v>
      </c>
      <c r="L324" s="1529">
        <f t="shared" si="25"/>
        <v>143989.13781924752</v>
      </c>
      <c r="O324" s="1529">
        <f t="shared" si="26"/>
        <v>405348.24786070455</v>
      </c>
    </row>
    <row r="325" spans="4:15" hidden="1">
      <c r="D325" s="1534">
        <f t="shared" si="18"/>
        <v>161</v>
      </c>
      <c r="E325" s="1529">
        <f t="shared" si="19"/>
        <v>356010.8621807521</v>
      </c>
      <c r="F325" s="1529">
        <f t="shared" si="20"/>
        <v>2533.4265491294036</v>
      </c>
      <c r="G325" s="1529">
        <f t="shared" si="21"/>
        <v>1335.0407331778204</v>
      </c>
      <c r="H325" s="1529">
        <f t="shared" si="22"/>
        <v>1198.3858159515833</v>
      </c>
      <c r="I325" s="1529">
        <f t="shared" si="23"/>
        <v>354812.47636480053</v>
      </c>
      <c r="K325" s="1529">
        <f t="shared" si="24"/>
        <v>262694.15077463485</v>
      </c>
      <c r="L325" s="1529">
        <f t="shared" si="25"/>
        <v>145187.52363519912</v>
      </c>
      <c r="O325" s="1529">
        <f t="shared" si="26"/>
        <v>407881.67440983397</v>
      </c>
    </row>
    <row r="326" spans="4:15" hidden="1">
      <c r="D326" s="1534">
        <f t="shared" si="18"/>
        <v>162</v>
      </c>
      <c r="E326" s="1529">
        <f t="shared" si="19"/>
        <v>354812.47636480053</v>
      </c>
      <c r="F326" s="1529">
        <f t="shared" si="20"/>
        <v>2533.4265491294036</v>
      </c>
      <c r="G326" s="1529">
        <f t="shared" si="21"/>
        <v>1330.5467863680019</v>
      </c>
      <c r="H326" s="1529">
        <f t="shared" si="22"/>
        <v>1202.8797627614017</v>
      </c>
      <c r="I326" s="1529">
        <f t="shared" si="23"/>
        <v>353609.59660203912</v>
      </c>
      <c r="K326" s="1529">
        <f t="shared" si="24"/>
        <v>264024.69756100286</v>
      </c>
      <c r="L326" s="1529">
        <f t="shared" si="25"/>
        <v>146390.40339796053</v>
      </c>
      <c r="O326" s="1529">
        <f t="shared" si="26"/>
        <v>410415.10095896339</v>
      </c>
    </row>
    <row r="327" spans="4:15" hidden="1">
      <c r="D327" s="1534">
        <f t="shared" si="18"/>
        <v>163</v>
      </c>
      <c r="E327" s="1529">
        <f t="shared" si="19"/>
        <v>353609.59660203912</v>
      </c>
      <c r="F327" s="1529">
        <f t="shared" si="20"/>
        <v>2533.4265491294036</v>
      </c>
      <c r="G327" s="1529">
        <f t="shared" si="21"/>
        <v>1326.0359872576466</v>
      </c>
      <c r="H327" s="1529">
        <f t="shared" si="22"/>
        <v>1207.390561871757</v>
      </c>
      <c r="I327" s="1529">
        <f t="shared" si="23"/>
        <v>352402.20604016737</v>
      </c>
      <c r="K327" s="1529">
        <f t="shared" si="24"/>
        <v>265350.73354826053</v>
      </c>
      <c r="L327" s="1529">
        <f t="shared" si="25"/>
        <v>147597.79395983228</v>
      </c>
      <c r="O327" s="1529">
        <f t="shared" si="26"/>
        <v>412948.52750809281</v>
      </c>
    </row>
    <row r="328" spans="4:15" hidden="1">
      <c r="D328" s="1534">
        <f t="shared" si="18"/>
        <v>164</v>
      </c>
      <c r="E328" s="1529">
        <f t="shared" si="19"/>
        <v>352402.20604016737</v>
      </c>
      <c r="F328" s="1529">
        <f t="shared" si="20"/>
        <v>2533.4265491294036</v>
      </c>
      <c r="G328" s="1529">
        <f t="shared" si="21"/>
        <v>1321.5082726506275</v>
      </c>
      <c r="H328" s="1529">
        <f t="shared" si="22"/>
        <v>1211.9182764787761</v>
      </c>
      <c r="I328" s="1529">
        <f t="shared" si="23"/>
        <v>351190.2877636886</v>
      </c>
      <c r="K328" s="1529">
        <f t="shared" si="24"/>
        <v>266672.24182091118</v>
      </c>
      <c r="L328" s="1529">
        <f t="shared" si="25"/>
        <v>148809.71223631105</v>
      </c>
      <c r="O328" s="1529">
        <f t="shared" si="26"/>
        <v>415481.95405722223</v>
      </c>
    </row>
    <row r="329" spans="4:15" hidden="1">
      <c r="D329" s="1534">
        <f t="shared" si="18"/>
        <v>165</v>
      </c>
      <c r="E329" s="1529">
        <f t="shared" si="19"/>
        <v>351190.2877636886</v>
      </c>
      <c r="F329" s="1529">
        <f t="shared" si="20"/>
        <v>2533.4265491294036</v>
      </c>
      <c r="G329" s="1529">
        <f t="shared" si="21"/>
        <v>1316.9635791138321</v>
      </c>
      <c r="H329" s="1529">
        <f t="shared" si="22"/>
        <v>1216.4629700155715</v>
      </c>
      <c r="I329" s="1529">
        <f t="shared" si="23"/>
        <v>349973.824793673</v>
      </c>
      <c r="K329" s="1529">
        <f t="shared" si="24"/>
        <v>267989.20540002501</v>
      </c>
      <c r="L329" s="1529">
        <f t="shared" si="25"/>
        <v>150026.17520632662</v>
      </c>
      <c r="O329" s="1529">
        <f t="shared" si="26"/>
        <v>418015.38060635165</v>
      </c>
    </row>
    <row r="330" spans="4:15" hidden="1">
      <c r="D330" s="1534">
        <f t="shared" si="18"/>
        <v>166</v>
      </c>
      <c r="E330" s="1529">
        <f t="shared" si="19"/>
        <v>349973.824793673</v>
      </c>
      <c r="F330" s="1529">
        <f t="shared" si="20"/>
        <v>2533.4265491294036</v>
      </c>
      <c r="G330" s="1529">
        <f t="shared" si="21"/>
        <v>1312.4018429762737</v>
      </c>
      <c r="H330" s="1529">
        <f t="shared" si="22"/>
        <v>1221.02470615313</v>
      </c>
      <c r="I330" s="1529">
        <f t="shared" si="23"/>
        <v>348752.80008751986</v>
      </c>
      <c r="K330" s="1529">
        <f t="shared" si="24"/>
        <v>269301.60724300129</v>
      </c>
      <c r="L330" s="1529">
        <f t="shared" si="25"/>
        <v>151247.19991247976</v>
      </c>
      <c r="O330" s="1529">
        <f t="shared" si="26"/>
        <v>420548.80715548107</v>
      </c>
    </row>
    <row r="331" spans="4:15" hidden="1">
      <c r="D331" s="1534">
        <f t="shared" si="18"/>
        <v>167</v>
      </c>
      <c r="E331" s="1529">
        <f t="shared" si="19"/>
        <v>348752.80008751986</v>
      </c>
      <c r="F331" s="1529">
        <f t="shared" si="20"/>
        <v>2533.4265491294036</v>
      </c>
      <c r="G331" s="1529">
        <f t="shared" si="21"/>
        <v>1307.8230003281994</v>
      </c>
      <c r="H331" s="1529">
        <f t="shared" si="22"/>
        <v>1225.6035488012042</v>
      </c>
      <c r="I331" s="1529">
        <f t="shared" si="23"/>
        <v>347527.19653871865</v>
      </c>
      <c r="K331" s="1529">
        <f t="shared" si="24"/>
        <v>270609.43024332949</v>
      </c>
      <c r="L331" s="1529">
        <f t="shared" si="25"/>
        <v>152472.80346128097</v>
      </c>
      <c r="O331" s="1529">
        <f t="shared" si="26"/>
        <v>423082.23370461049</v>
      </c>
    </row>
    <row r="332" spans="4:15" hidden="1">
      <c r="D332" s="1534">
        <f t="shared" si="18"/>
        <v>168</v>
      </c>
      <c r="E332" s="1529">
        <f t="shared" si="19"/>
        <v>347527.19653871865</v>
      </c>
      <c r="F332" s="1529">
        <f t="shared" si="20"/>
        <v>2533.4265491294036</v>
      </c>
      <c r="G332" s="1529">
        <f t="shared" si="21"/>
        <v>1303.2269870201949</v>
      </c>
      <c r="H332" s="1529">
        <f t="shared" si="22"/>
        <v>1230.1995621092087</v>
      </c>
      <c r="I332" s="1529">
        <f t="shared" si="23"/>
        <v>346296.99697660946</v>
      </c>
      <c r="K332" s="1529">
        <f t="shared" si="24"/>
        <v>271912.65723034967</v>
      </c>
      <c r="L332" s="1529">
        <f t="shared" si="25"/>
        <v>153703.00302339019</v>
      </c>
      <c r="O332" s="1529">
        <f t="shared" si="26"/>
        <v>425615.66025373986</v>
      </c>
    </row>
    <row r="333" spans="4:15" hidden="1">
      <c r="D333" s="1534">
        <f t="shared" ref="D333:D396" si="27">D332+1</f>
        <v>169</v>
      </c>
      <c r="E333" s="1529">
        <f t="shared" ref="E333:E396" si="28">I332</f>
        <v>346296.99697660946</v>
      </c>
      <c r="F333" s="1529">
        <f t="shared" ref="F333:F396" si="29">F332</f>
        <v>2533.4265491294036</v>
      </c>
      <c r="G333" s="1529">
        <f t="shared" ref="G333:G396" si="30">E333*$G$159</f>
        <v>1298.6137386622854</v>
      </c>
      <c r="H333" s="1529">
        <f t="shared" ref="H333:H396" si="31">F333-G333</f>
        <v>1234.8128104671182</v>
      </c>
      <c r="I333" s="1529">
        <f t="shared" ref="I333:I396" si="32">E333-H333</f>
        <v>345062.18416614237</v>
      </c>
      <c r="K333" s="1529">
        <f t="shared" ref="K333:K396" si="33">K332+G333</f>
        <v>273211.27096901194</v>
      </c>
      <c r="L333" s="1529">
        <f t="shared" ref="L333:L396" si="34">L332+H333</f>
        <v>154937.81583385731</v>
      </c>
      <c r="O333" s="1529">
        <f t="shared" si="26"/>
        <v>428149.08680286922</v>
      </c>
    </row>
    <row r="334" spans="4:15" hidden="1">
      <c r="D334" s="1534">
        <f t="shared" si="27"/>
        <v>170</v>
      </c>
      <c r="E334" s="1529">
        <f t="shared" si="28"/>
        <v>345062.18416614237</v>
      </c>
      <c r="F334" s="1529">
        <f t="shared" si="29"/>
        <v>2533.4265491294036</v>
      </c>
      <c r="G334" s="1529">
        <f t="shared" si="30"/>
        <v>1293.9831906230338</v>
      </c>
      <c r="H334" s="1529">
        <f t="shared" si="31"/>
        <v>1239.4433585063698</v>
      </c>
      <c r="I334" s="1529">
        <f t="shared" si="32"/>
        <v>343822.740807636</v>
      </c>
      <c r="K334" s="1529">
        <f t="shared" si="33"/>
        <v>274505.25415963499</v>
      </c>
      <c r="L334" s="1529">
        <f t="shared" si="34"/>
        <v>156177.25919236368</v>
      </c>
      <c r="O334" s="1529">
        <f t="shared" si="26"/>
        <v>430682.51335199864</v>
      </c>
    </row>
    <row r="335" spans="4:15" hidden="1">
      <c r="D335" s="1534">
        <f t="shared" si="27"/>
        <v>171</v>
      </c>
      <c r="E335" s="1529">
        <f t="shared" si="28"/>
        <v>343822.740807636</v>
      </c>
      <c r="F335" s="1529">
        <f t="shared" si="29"/>
        <v>2533.4265491294036</v>
      </c>
      <c r="G335" s="1529">
        <f t="shared" si="30"/>
        <v>1289.335278028635</v>
      </c>
      <c r="H335" s="1529">
        <f t="shared" si="31"/>
        <v>1244.0912711007686</v>
      </c>
      <c r="I335" s="1529">
        <f t="shared" si="32"/>
        <v>342578.64953653526</v>
      </c>
      <c r="K335" s="1529">
        <f t="shared" si="33"/>
        <v>275794.58943766361</v>
      </c>
      <c r="L335" s="1529">
        <f t="shared" si="34"/>
        <v>157421.35046346445</v>
      </c>
      <c r="O335" s="1529">
        <f t="shared" si="26"/>
        <v>433215.93990112806</v>
      </c>
    </row>
    <row r="336" spans="4:15" hidden="1">
      <c r="D336" s="1534">
        <f t="shared" si="27"/>
        <v>172</v>
      </c>
      <c r="E336" s="1529">
        <f t="shared" si="28"/>
        <v>342578.64953653526</v>
      </c>
      <c r="F336" s="1529">
        <f t="shared" si="29"/>
        <v>2533.4265491294036</v>
      </c>
      <c r="G336" s="1529">
        <f t="shared" si="30"/>
        <v>1284.6699357620071</v>
      </c>
      <c r="H336" s="1529">
        <f t="shared" si="31"/>
        <v>1248.7566133673965</v>
      </c>
      <c r="I336" s="1529">
        <f t="shared" si="32"/>
        <v>341329.89292316785</v>
      </c>
      <c r="K336" s="1529">
        <f t="shared" si="33"/>
        <v>277079.25937342562</v>
      </c>
      <c r="L336" s="1529">
        <f t="shared" si="34"/>
        <v>158670.10707683183</v>
      </c>
      <c r="O336" s="1529">
        <f t="shared" si="26"/>
        <v>435749.36645025748</v>
      </c>
    </row>
    <row r="337" spans="4:15" hidden="1">
      <c r="D337" s="1534">
        <f t="shared" si="27"/>
        <v>173</v>
      </c>
      <c r="E337" s="1529">
        <f t="shared" si="28"/>
        <v>341329.89292316785</v>
      </c>
      <c r="F337" s="1529">
        <f t="shared" si="29"/>
        <v>2533.4265491294036</v>
      </c>
      <c r="G337" s="1529">
        <f t="shared" si="30"/>
        <v>1279.9870984618794</v>
      </c>
      <c r="H337" s="1529">
        <f t="shared" si="31"/>
        <v>1253.4394506675242</v>
      </c>
      <c r="I337" s="1529">
        <f t="shared" si="32"/>
        <v>340076.45347250032</v>
      </c>
      <c r="K337" s="1529">
        <f t="shared" si="33"/>
        <v>278359.24647188751</v>
      </c>
      <c r="L337" s="1529">
        <f t="shared" si="34"/>
        <v>159923.54652749936</v>
      </c>
      <c r="O337" s="1529">
        <f t="shared" si="26"/>
        <v>438282.7929993869</v>
      </c>
    </row>
    <row r="338" spans="4:15" hidden="1">
      <c r="D338" s="1534">
        <f t="shared" si="27"/>
        <v>174</v>
      </c>
      <c r="E338" s="1529">
        <f t="shared" si="28"/>
        <v>340076.45347250032</v>
      </c>
      <c r="F338" s="1529">
        <f t="shared" si="29"/>
        <v>2533.4265491294036</v>
      </c>
      <c r="G338" s="1529">
        <f t="shared" si="30"/>
        <v>1275.2867005218761</v>
      </c>
      <c r="H338" s="1529">
        <f t="shared" si="31"/>
        <v>1258.1398486075275</v>
      </c>
      <c r="I338" s="1529">
        <f t="shared" si="32"/>
        <v>338818.31362389278</v>
      </c>
      <c r="K338" s="1529">
        <f t="shared" si="33"/>
        <v>279634.5331724094</v>
      </c>
      <c r="L338" s="1529">
        <f t="shared" si="34"/>
        <v>161181.6863761069</v>
      </c>
      <c r="O338" s="1529">
        <f t="shared" si="26"/>
        <v>440816.21954851632</v>
      </c>
    </row>
    <row r="339" spans="4:15" hidden="1">
      <c r="D339" s="1534">
        <f t="shared" si="27"/>
        <v>175</v>
      </c>
      <c r="E339" s="1529">
        <f t="shared" si="28"/>
        <v>338818.31362389278</v>
      </c>
      <c r="F339" s="1529">
        <f t="shared" si="29"/>
        <v>2533.4265491294036</v>
      </c>
      <c r="G339" s="1529">
        <f t="shared" si="30"/>
        <v>1270.5686760895978</v>
      </c>
      <c r="H339" s="1529">
        <f t="shared" si="31"/>
        <v>1262.8578730398058</v>
      </c>
      <c r="I339" s="1529">
        <f t="shared" si="32"/>
        <v>337555.455750853</v>
      </c>
      <c r="K339" s="1529">
        <f t="shared" si="33"/>
        <v>280905.10184849898</v>
      </c>
      <c r="L339" s="1529">
        <f t="shared" si="34"/>
        <v>162444.54424914671</v>
      </c>
      <c r="O339" s="1529">
        <f t="shared" si="26"/>
        <v>443349.64609764569</v>
      </c>
    </row>
    <row r="340" spans="4:15" hidden="1">
      <c r="D340" s="1534">
        <f t="shared" si="27"/>
        <v>176</v>
      </c>
      <c r="E340" s="1529">
        <f t="shared" si="28"/>
        <v>337555.455750853</v>
      </c>
      <c r="F340" s="1529">
        <f t="shared" si="29"/>
        <v>2533.4265491294036</v>
      </c>
      <c r="G340" s="1529">
        <f t="shared" si="30"/>
        <v>1265.8329590656988</v>
      </c>
      <c r="H340" s="1529">
        <f t="shared" si="31"/>
        <v>1267.5935900637048</v>
      </c>
      <c r="I340" s="1529">
        <f t="shared" si="32"/>
        <v>336287.86216078931</v>
      </c>
      <c r="K340" s="1529">
        <f t="shared" si="33"/>
        <v>282170.93480756466</v>
      </c>
      <c r="L340" s="1529">
        <f t="shared" si="34"/>
        <v>163712.13783921042</v>
      </c>
      <c r="O340" s="1529">
        <f t="shared" si="26"/>
        <v>445883.07264677505</v>
      </c>
    </row>
    <row r="341" spans="4:15" hidden="1">
      <c r="D341" s="1534">
        <f t="shared" si="27"/>
        <v>177</v>
      </c>
      <c r="E341" s="1529">
        <f t="shared" si="28"/>
        <v>336287.86216078931</v>
      </c>
      <c r="F341" s="1529">
        <f t="shared" si="29"/>
        <v>2533.4265491294036</v>
      </c>
      <c r="G341" s="1529">
        <f t="shared" si="30"/>
        <v>1261.0794831029598</v>
      </c>
      <c r="H341" s="1529">
        <f t="shared" si="31"/>
        <v>1272.3470660264438</v>
      </c>
      <c r="I341" s="1529">
        <f t="shared" si="32"/>
        <v>335015.51509476284</v>
      </c>
      <c r="K341" s="1529">
        <f t="shared" si="33"/>
        <v>283432.0142906676</v>
      </c>
      <c r="L341" s="1529">
        <f t="shared" si="34"/>
        <v>164984.48490523687</v>
      </c>
      <c r="O341" s="1529">
        <f t="shared" si="26"/>
        <v>448416.49919590447</v>
      </c>
    </row>
    <row r="342" spans="4:15" hidden="1">
      <c r="D342" s="1534">
        <f t="shared" si="27"/>
        <v>178</v>
      </c>
      <c r="E342" s="1529">
        <f t="shared" si="28"/>
        <v>335015.51509476284</v>
      </c>
      <c r="F342" s="1529">
        <f t="shared" si="29"/>
        <v>2533.4265491294036</v>
      </c>
      <c r="G342" s="1529">
        <f t="shared" si="30"/>
        <v>1256.3081816053607</v>
      </c>
      <c r="H342" s="1529">
        <f t="shared" si="31"/>
        <v>1277.1183675240429</v>
      </c>
      <c r="I342" s="1529">
        <f t="shared" si="32"/>
        <v>333738.39672723878</v>
      </c>
      <c r="K342" s="1529">
        <f t="shared" si="33"/>
        <v>284688.32247227296</v>
      </c>
      <c r="L342" s="1529">
        <f t="shared" si="34"/>
        <v>166261.6032727609</v>
      </c>
      <c r="O342" s="1529">
        <f t="shared" si="26"/>
        <v>450949.92574503389</v>
      </c>
    </row>
    <row r="343" spans="4:15" hidden="1">
      <c r="D343" s="1534">
        <f t="shared" si="27"/>
        <v>179</v>
      </c>
      <c r="E343" s="1529">
        <f t="shared" si="28"/>
        <v>333738.39672723878</v>
      </c>
      <c r="F343" s="1529">
        <f t="shared" si="29"/>
        <v>2533.4265491294036</v>
      </c>
      <c r="G343" s="1529">
        <f t="shared" si="30"/>
        <v>1251.5189877271455</v>
      </c>
      <c r="H343" s="1529">
        <f t="shared" si="31"/>
        <v>1281.9075614022581</v>
      </c>
      <c r="I343" s="1529">
        <f t="shared" si="32"/>
        <v>332456.48916583654</v>
      </c>
      <c r="K343" s="1529">
        <f t="shared" si="33"/>
        <v>285939.84146000008</v>
      </c>
      <c r="L343" s="1529">
        <f t="shared" si="34"/>
        <v>167543.51083416314</v>
      </c>
      <c r="O343" s="1529">
        <f t="shared" si="26"/>
        <v>453483.3522941632</v>
      </c>
    </row>
    <row r="344" spans="4:15" hidden="1">
      <c r="D344" s="1534">
        <f t="shared" si="27"/>
        <v>180</v>
      </c>
      <c r="E344" s="1529">
        <f t="shared" si="28"/>
        <v>332456.48916583654</v>
      </c>
      <c r="F344" s="1529">
        <f t="shared" si="29"/>
        <v>2533.4265491294036</v>
      </c>
      <c r="G344" s="1529">
        <f t="shared" si="30"/>
        <v>1246.7118343718869</v>
      </c>
      <c r="H344" s="1529">
        <f t="shared" si="31"/>
        <v>1286.7147147575167</v>
      </c>
      <c r="I344" s="1529">
        <f t="shared" si="32"/>
        <v>331169.77445107902</v>
      </c>
      <c r="K344" s="1529">
        <f t="shared" si="33"/>
        <v>287186.55329437199</v>
      </c>
      <c r="L344" s="1529">
        <f t="shared" si="34"/>
        <v>168830.22554892066</v>
      </c>
      <c r="O344" s="1529">
        <f t="shared" si="26"/>
        <v>456016.77884329262</v>
      </c>
    </row>
    <row r="345" spans="4:15" hidden="1">
      <c r="D345" s="1534">
        <f t="shared" si="27"/>
        <v>181</v>
      </c>
      <c r="E345" s="1529">
        <f t="shared" si="28"/>
        <v>331169.77445107902</v>
      </c>
      <c r="F345" s="1529">
        <f t="shared" si="29"/>
        <v>2533.4265491294036</v>
      </c>
      <c r="G345" s="1529">
        <f t="shared" si="30"/>
        <v>1241.8866541915463</v>
      </c>
      <c r="H345" s="1529">
        <f t="shared" si="31"/>
        <v>1291.5398949378573</v>
      </c>
      <c r="I345" s="1529">
        <f t="shared" si="32"/>
        <v>329878.23455614119</v>
      </c>
      <c r="K345" s="1529">
        <f t="shared" si="33"/>
        <v>288428.43994856352</v>
      </c>
      <c r="L345" s="1529">
        <f t="shared" si="34"/>
        <v>170121.76544385852</v>
      </c>
      <c r="O345" s="1529">
        <f t="shared" si="26"/>
        <v>458550.20539242204</v>
      </c>
    </row>
    <row r="346" spans="4:15" hidden="1">
      <c r="D346" s="1534">
        <f t="shared" si="27"/>
        <v>182</v>
      </c>
      <c r="E346" s="1529">
        <f t="shared" si="28"/>
        <v>329878.23455614119</v>
      </c>
      <c r="F346" s="1529">
        <f t="shared" si="29"/>
        <v>2533.4265491294036</v>
      </c>
      <c r="G346" s="1529">
        <f t="shared" si="30"/>
        <v>1237.0433795855295</v>
      </c>
      <c r="H346" s="1529">
        <f t="shared" si="31"/>
        <v>1296.3831695438741</v>
      </c>
      <c r="I346" s="1529">
        <f t="shared" si="32"/>
        <v>328581.85138659732</v>
      </c>
      <c r="K346" s="1529">
        <f t="shared" si="33"/>
        <v>289665.48332814907</v>
      </c>
      <c r="L346" s="1529">
        <f t="shared" si="34"/>
        <v>171418.14861340239</v>
      </c>
      <c r="O346" s="1529">
        <f t="shared" si="26"/>
        <v>461083.63194155146</v>
      </c>
    </row>
    <row r="347" spans="4:15" hidden="1">
      <c r="D347" s="1534">
        <f t="shared" si="27"/>
        <v>183</v>
      </c>
      <c r="E347" s="1529">
        <f t="shared" si="28"/>
        <v>328581.85138659732</v>
      </c>
      <c r="F347" s="1529">
        <f t="shared" si="29"/>
        <v>2533.4265491294036</v>
      </c>
      <c r="G347" s="1529">
        <f t="shared" si="30"/>
        <v>1232.1819426997399</v>
      </c>
      <c r="H347" s="1529">
        <f t="shared" si="31"/>
        <v>1301.2446064296637</v>
      </c>
      <c r="I347" s="1529">
        <f t="shared" si="32"/>
        <v>327280.60678016767</v>
      </c>
      <c r="K347" s="1529">
        <f t="shared" si="33"/>
        <v>290897.66527084884</v>
      </c>
      <c r="L347" s="1529">
        <f t="shared" si="34"/>
        <v>172719.39321983204</v>
      </c>
      <c r="O347" s="1529">
        <f t="shared" si="26"/>
        <v>463617.05849068088</v>
      </c>
    </row>
    <row r="348" spans="4:15" hidden="1">
      <c r="D348" s="1534">
        <f t="shared" si="27"/>
        <v>184</v>
      </c>
      <c r="E348" s="1529">
        <f t="shared" si="28"/>
        <v>327280.60678016767</v>
      </c>
      <c r="F348" s="1529">
        <f t="shared" si="29"/>
        <v>2533.4265491294036</v>
      </c>
      <c r="G348" s="1529">
        <f t="shared" si="30"/>
        <v>1227.3022754256287</v>
      </c>
      <c r="H348" s="1529">
        <f t="shared" si="31"/>
        <v>1306.1242737037749</v>
      </c>
      <c r="I348" s="1529">
        <f t="shared" si="32"/>
        <v>325974.48250646389</v>
      </c>
      <c r="K348" s="1529">
        <f t="shared" si="33"/>
        <v>292124.96754627448</v>
      </c>
      <c r="L348" s="1529">
        <f t="shared" si="34"/>
        <v>174025.51749353582</v>
      </c>
      <c r="O348" s="1529">
        <f t="shared" si="26"/>
        <v>466150.4850398103</v>
      </c>
    </row>
    <row r="349" spans="4:15" hidden="1">
      <c r="D349" s="1534">
        <f t="shared" si="27"/>
        <v>185</v>
      </c>
      <c r="E349" s="1529">
        <f t="shared" si="28"/>
        <v>325974.48250646389</v>
      </c>
      <c r="F349" s="1529">
        <f t="shared" si="29"/>
        <v>2533.4265491294036</v>
      </c>
      <c r="G349" s="1529">
        <f t="shared" si="30"/>
        <v>1222.4043093992395</v>
      </c>
      <c r="H349" s="1529">
        <f t="shared" si="31"/>
        <v>1311.0222397301641</v>
      </c>
      <c r="I349" s="1529">
        <f t="shared" si="32"/>
        <v>324663.46026673372</v>
      </c>
      <c r="K349" s="1529">
        <f t="shared" si="33"/>
        <v>293347.37185567373</v>
      </c>
      <c r="L349" s="1529">
        <f t="shared" si="34"/>
        <v>175336.53973326599</v>
      </c>
      <c r="O349" s="1529">
        <f t="shared" si="26"/>
        <v>468683.91158893972</v>
      </c>
    </row>
    <row r="350" spans="4:15" hidden="1">
      <c r="D350" s="1534">
        <f t="shared" si="27"/>
        <v>186</v>
      </c>
      <c r="E350" s="1529">
        <f t="shared" si="28"/>
        <v>324663.46026673372</v>
      </c>
      <c r="F350" s="1529">
        <f t="shared" si="29"/>
        <v>2533.4265491294036</v>
      </c>
      <c r="G350" s="1529">
        <f t="shared" si="30"/>
        <v>1217.4879760002514</v>
      </c>
      <c r="H350" s="1529">
        <f t="shared" si="31"/>
        <v>1315.9385731291522</v>
      </c>
      <c r="I350" s="1529">
        <f t="shared" si="32"/>
        <v>323347.52169360459</v>
      </c>
      <c r="K350" s="1529">
        <f t="shared" si="33"/>
        <v>294564.85983167397</v>
      </c>
      <c r="L350" s="1529">
        <f t="shared" si="34"/>
        <v>176652.47830639515</v>
      </c>
      <c r="O350" s="1529">
        <f t="shared" si="26"/>
        <v>471217.33813806914</v>
      </c>
    </row>
    <row r="351" spans="4:15" hidden="1">
      <c r="D351" s="1534">
        <f t="shared" si="27"/>
        <v>187</v>
      </c>
      <c r="E351" s="1529">
        <f t="shared" si="28"/>
        <v>323347.52169360459</v>
      </c>
      <c r="F351" s="1529">
        <f t="shared" si="29"/>
        <v>2533.4265491294036</v>
      </c>
      <c r="G351" s="1529">
        <f t="shared" si="30"/>
        <v>1212.5532063510173</v>
      </c>
      <c r="H351" s="1529">
        <f t="shared" si="31"/>
        <v>1320.8733427783864</v>
      </c>
      <c r="I351" s="1529">
        <f t="shared" si="32"/>
        <v>322026.64835082623</v>
      </c>
      <c r="K351" s="1529">
        <f t="shared" si="33"/>
        <v>295777.41303802497</v>
      </c>
      <c r="L351" s="1529">
        <f t="shared" si="34"/>
        <v>177973.35164917354</v>
      </c>
      <c r="O351" s="1529">
        <f t="shared" si="26"/>
        <v>473750.76468719851</v>
      </c>
    </row>
    <row r="352" spans="4:15" hidden="1">
      <c r="D352" s="1534">
        <f t="shared" si="27"/>
        <v>188</v>
      </c>
      <c r="E352" s="1529">
        <f t="shared" si="28"/>
        <v>322026.64835082623</v>
      </c>
      <c r="F352" s="1529">
        <f t="shared" si="29"/>
        <v>2533.4265491294036</v>
      </c>
      <c r="G352" s="1529">
        <f t="shared" si="30"/>
        <v>1207.5999313155983</v>
      </c>
      <c r="H352" s="1529">
        <f t="shared" si="31"/>
        <v>1325.8266178138053</v>
      </c>
      <c r="I352" s="1529">
        <f t="shared" si="32"/>
        <v>320700.82173301245</v>
      </c>
      <c r="K352" s="1529">
        <f t="shared" si="33"/>
        <v>296985.01296934055</v>
      </c>
      <c r="L352" s="1529">
        <f t="shared" si="34"/>
        <v>179299.17826698735</v>
      </c>
      <c r="O352" s="1529">
        <f t="shared" si="26"/>
        <v>476284.19123632787</v>
      </c>
    </row>
    <row r="353" spans="4:15" hidden="1">
      <c r="D353" s="1534">
        <f t="shared" si="27"/>
        <v>189</v>
      </c>
      <c r="E353" s="1529">
        <f t="shared" si="28"/>
        <v>320700.82173301245</v>
      </c>
      <c r="F353" s="1529">
        <f t="shared" si="29"/>
        <v>2533.4265491294036</v>
      </c>
      <c r="G353" s="1529">
        <f t="shared" si="30"/>
        <v>1202.6280814987965</v>
      </c>
      <c r="H353" s="1529">
        <f t="shared" si="31"/>
        <v>1330.7984676306071</v>
      </c>
      <c r="I353" s="1529">
        <f t="shared" si="32"/>
        <v>319370.02326538187</v>
      </c>
      <c r="K353" s="1529">
        <f t="shared" si="33"/>
        <v>298187.64105083933</v>
      </c>
      <c r="L353" s="1529">
        <f t="shared" si="34"/>
        <v>180629.97673461796</v>
      </c>
      <c r="O353" s="1529">
        <f t="shared" si="26"/>
        <v>478817.61778545729</v>
      </c>
    </row>
    <row r="354" spans="4:15" hidden="1">
      <c r="D354" s="1534">
        <f t="shared" si="27"/>
        <v>190</v>
      </c>
      <c r="E354" s="1529">
        <f t="shared" si="28"/>
        <v>319370.02326538187</v>
      </c>
      <c r="F354" s="1529">
        <f t="shared" si="29"/>
        <v>2533.4265491294036</v>
      </c>
      <c r="G354" s="1529">
        <f t="shared" si="30"/>
        <v>1197.637587245182</v>
      </c>
      <c r="H354" s="1529">
        <f t="shared" si="31"/>
        <v>1335.7889618842216</v>
      </c>
      <c r="I354" s="1529">
        <f t="shared" si="32"/>
        <v>318034.23430349765</v>
      </c>
      <c r="K354" s="1529">
        <f t="shared" si="33"/>
        <v>299385.27863808454</v>
      </c>
      <c r="L354" s="1529">
        <f t="shared" si="34"/>
        <v>181965.76569650217</v>
      </c>
      <c r="O354" s="1529">
        <f t="shared" si="26"/>
        <v>481351.04433458671</v>
      </c>
    </row>
    <row r="355" spans="4:15" hidden="1">
      <c r="D355" s="1534">
        <f t="shared" si="27"/>
        <v>191</v>
      </c>
      <c r="E355" s="1529">
        <f t="shared" si="28"/>
        <v>318034.23430349765</v>
      </c>
      <c r="F355" s="1529">
        <f t="shared" si="29"/>
        <v>2533.4265491294036</v>
      </c>
      <c r="G355" s="1529">
        <f t="shared" si="30"/>
        <v>1192.6283786381161</v>
      </c>
      <c r="H355" s="1529">
        <f t="shared" si="31"/>
        <v>1340.7981704912875</v>
      </c>
      <c r="I355" s="1529">
        <f t="shared" si="32"/>
        <v>316693.43613300635</v>
      </c>
      <c r="K355" s="1529">
        <f t="shared" si="33"/>
        <v>300577.90701672266</v>
      </c>
      <c r="L355" s="1529">
        <f t="shared" si="34"/>
        <v>183306.56386699347</v>
      </c>
      <c r="O355" s="1529">
        <f t="shared" si="26"/>
        <v>483884.47088371613</v>
      </c>
    </row>
    <row r="356" spans="4:15" hidden="1">
      <c r="D356" s="1534">
        <f t="shared" si="27"/>
        <v>192</v>
      </c>
      <c r="E356" s="1529">
        <f t="shared" si="28"/>
        <v>316693.43613300635</v>
      </c>
      <c r="F356" s="1529">
        <f t="shared" si="29"/>
        <v>2533.4265491294036</v>
      </c>
      <c r="G356" s="1529">
        <f t="shared" si="30"/>
        <v>1187.6003854987737</v>
      </c>
      <c r="H356" s="1529">
        <f t="shared" si="31"/>
        <v>1345.8261636306299</v>
      </c>
      <c r="I356" s="1529">
        <f t="shared" si="32"/>
        <v>315347.60996937571</v>
      </c>
      <c r="K356" s="1529">
        <f t="shared" si="33"/>
        <v>301765.50740222144</v>
      </c>
      <c r="L356" s="1529">
        <f t="shared" si="34"/>
        <v>184652.39003062411</v>
      </c>
      <c r="O356" s="1529">
        <f t="shared" si="26"/>
        <v>486417.89743284555</v>
      </c>
    </row>
    <row r="357" spans="4:15" hidden="1">
      <c r="D357" s="1534">
        <f t="shared" si="27"/>
        <v>193</v>
      </c>
      <c r="E357" s="1529">
        <f t="shared" si="28"/>
        <v>315347.60996937571</v>
      </c>
      <c r="F357" s="1529">
        <f t="shared" si="29"/>
        <v>2533.4265491294036</v>
      </c>
      <c r="G357" s="1529">
        <f t="shared" si="30"/>
        <v>1182.553537385159</v>
      </c>
      <c r="H357" s="1529">
        <f t="shared" si="31"/>
        <v>1350.8730117442446</v>
      </c>
      <c r="I357" s="1529">
        <f t="shared" si="32"/>
        <v>313996.73695763148</v>
      </c>
      <c r="K357" s="1529">
        <f t="shared" si="33"/>
        <v>302948.06093960657</v>
      </c>
      <c r="L357" s="1529">
        <f t="shared" si="34"/>
        <v>186003.26304236834</v>
      </c>
      <c r="O357" s="1529">
        <f t="shared" si="26"/>
        <v>488951.32398197491</v>
      </c>
    </row>
    <row r="358" spans="4:15" hidden="1">
      <c r="D358" s="1534">
        <f t="shared" si="27"/>
        <v>194</v>
      </c>
      <c r="E358" s="1529">
        <f t="shared" si="28"/>
        <v>313996.73695763148</v>
      </c>
      <c r="F358" s="1529">
        <f t="shared" si="29"/>
        <v>2533.4265491294036</v>
      </c>
      <c r="G358" s="1529">
        <f t="shared" si="30"/>
        <v>1177.487763591118</v>
      </c>
      <c r="H358" s="1529">
        <f t="shared" si="31"/>
        <v>1355.9387855382856</v>
      </c>
      <c r="I358" s="1529">
        <f t="shared" si="32"/>
        <v>312640.79817209317</v>
      </c>
      <c r="K358" s="1529">
        <f t="shared" si="33"/>
        <v>304125.54870319768</v>
      </c>
      <c r="L358" s="1529">
        <f t="shared" si="34"/>
        <v>187359.20182790663</v>
      </c>
      <c r="O358" s="1529">
        <f t="shared" ref="O358:O421" si="35">K358+L358</f>
        <v>491484.75053110428</v>
      </c>
    </row>
    <row r="359" spans="4:15" hidden="1">
      <c r="D359" s="1534">
        <f t="shared" si="27"/>
        <v>195</v>
      </c>
      <c r="E359" s="1529">
        <f t="shared" si="28"/>
        <v>312640.79817209317</v>
      </c>
      <c r="F359" s="1529">
        <f t="shared" si="29"/>
        <v>2533.4265491294036</v>
      </c>
      <c r="G359" s="1529">
        <f t="shared" si="30"/>
        <v>1172.4029931453495</v>
      </c>
      <c r="H359" s="1529">
        <f t="shared" si="31"/>
        <v>1361.0235559840542</v>
      </c>
      <c r="I359" s="1529">
        <f t="shared" si="32"/>
        <v>311279.77461610909</v>
      </c>
      <c r="K359" s="1529">
        <f t="shared" si="33"/>
        <v>305297.95169634302</v>
      </c>
      <c r="L359" s="1529">
        <f t="shared" si="34"/>
        <v>188720.22538389068</v>
      </c>
      <c r="O359" s="1529">
        <f t="shared" si="35"/>
        <v>494018.1770802337</v>
      </c>
    </row>
    <row r="360" spans="4:15" hidden="1">
      <c r="D360" s="1534">
        <f t="shared" si="27"/>
        <v>196</v>
      </c>
      <c r="E360" s="1529">
        <f t="shared" si="28"/>
        <v>311279.77461610909</v>
      </c>
      <c r="F360" s="1529">
        <f t="shared" si="29"/>
        <v>2533.4265491294036</v>
      </c>
      <c r="G360" s="1529">
        <f t="shared" si="30"/>
        <v>1167.2991548104089</v>
      </c>
      <c r="H360" s="1529">
        <f t="shared" si="31"/>
        <v>1366.1273943189947</v>
      </c>
      <c r="I360" s="1529">
        <f t="shared" si="32"/>
        <v>309913.6472217901</v>
      </c>
      <c r="K360" s="1529">
        <f t="shared" si="33"/>
        <v>306465.25085115345</v>
      </c>
      <c r="L360" s="1529">
        <f t="shared" si="34"/>
        <v>190086.35277820966</v>
      </c>
      <c r="O360" s="1529">
        <f t="shared" si="35"/>
        <v>496551.60362936312</v>
      </c>
    </row>
    <row r="361" spans="4:15" hidden="1">
      <c r="D361" s="1534">
        <f t="shared" si="27"/>
        <v>197</v>
      </c>
      <c r="E361" s="1529">
        <f t="shared" si="28"/>
        <v>309913.6472217901</v>
      </c>
      <c r="F361" s="1529">
        <f t="shared" si="29"/>
        <v>2533.4265491294036</v>
      </c>
      <c r="G361" s="1529">
        <f t="shared" si="30"/>
        <v>1162.1761770817129</v>
      </c>
      <c r="H361" s="1529">
        <f t="shared" si="31"/>
        <v>1371.2503720476907</v>
      </c>
      <c r="I361" s="1529">
        <f t="shared" si="32"/>
        <v>308542.39684974239</v>
      </c>
      <c r="K361" s="1529">
        <f t="shared" si="33"/>
        <v>307627.42702823516</v>
      </c>
      <c r="L361" s="1529">
        <f t="shared" si="34"/>
        <v>191457.60315025735</v>
      </c>
      <c r="O361" s="1529">
        <f t="shared" si="35"/>
        <v>499085.03017849254</v>
      </c>
    </row>
    <row r="362" spans="4:15" hidden="1">
      <c r="D362" s="1534">
        <f t="shared" si="27"/>
        <v>198</v>
      </c>
      <c r="E362" s="1529">
        <f t="shared" si="28"/>
        <v>308542.39684974239</v>
      </c>
      <c r="F362" s="1529">
        <f t="shared" si="29"/>
        <v>2533.4265491294036</v>
      </c>
      <c r="G362" s="1529">
        <f t="shared" si="30"/>
        <v>1157.0339881865339</v>
      </c>
      <c r="H362" s="1529">
        <f t="shared" si="31"/>
        <v>1376.3925609428697</v>
      </c>
      <c r="I362" s="1529">
        <f t="shared" si="32"/>
        <v>307166.00428879954</v>
      </c>
      <c r="K362" s="1529">
        <f t="shared" si="33"/>
        <v>308784.46101642167</v>
      </c>
      <c r="L362" s="1529">
        <f t="shared" si="34"/>
        <v>192833.99571120023</v>
      </c>
      <c r="O362" s="1529">
        <f t="shared" si="35"/>
        <v>501618.4567276219</v>
      </c>
    </row>
    <row r="363" spans="4:15" hidden="1">
      <c r="D363" s="1534">
        <f t="shared" si="27"/>
        <v>199</v>
      </c>
      <c r="E363" s="1529">
        <f t="shared" si="28"/>
        <v>307166.00428879954</v>
      </c>
      <c r="F363" s="1529">
        <f t="shared" si="29"/>
        <v>2533.4265491294036</v>
      </c>
      <c r="G363" s="1529">
        <f t="shared" si="30"/>
        <v>1151.8725160829981</v>
      </c>
      <c r="H363" s="1529">
        <f t="shared" si="31"/>
        <v>1381.5540330464055</v>
      </c>
      <c r="I363" s="1529">
        <f t="shared" si="32"/>
        <v>305784.45025575312</v>
      </c>
      <c r="K363" s="1529">
        <f t="shared" si="33"/>
        <v>309936.33353250468</v>
      </c>
      <c r="L363" s="1529">
        <f t="shared" si="34"/>
        <v>194215.54974424664</v>
      </c>
      <c r="O363" s="1529">
        <f t="shared" si="35"/>
        <v>504151.88327675132</v>
      </c>
    </row>
    <row r="364" spans="4:15" hidden="1">
      <c r="D364" s="1534">
        <f t="shared" si="27"/>
        <v>200</v>
      </c>
      <c r="E364" s="1529">
        <f t="shared" si="28"/>
        <v>305784.45025575312</v>
      </c>
      <c r="F364" s="1529">
        <f t="shared" si="29"/>
        <v>2533.4265491294036</v>
      </c>
      <c r="G364" s="1529">
        <f t="shared" si="30"/>
        <v>1146.6916884590742</v>
      </c>
      <c r="H364" s="1529">
        <f t="shared" si="31"/>
        <v>1386.7348606703295</v>
      </c>
      <c r="I364" s="1529">
        <f t="shared" si="32"/>
        <v>304397.71539508278</v>
      </c>
      <c r="K364" s="1529">
        <f t="shared" si="33"/>
        <v>311083.02522096375</v>
      </c>
      <c r="L364" s="1529">
        <f t="shared" si="34"/>
        <v>195602.28460491696</v>
      </c>
      <c r="O364" s="1529">
        <f t="shared" si="35"/>
        <v>506685.30982588069</v>
      </c>
    </row>
    <row r="365" spans="4:15" hidden="1">
      <c r="D365" s="1534">
        <f t="shared" si="27"/>
        <v>201</v>
      </c>
      <c r="E365" s="1529">
        <f t="shared" si="28"/>
        <v>304397.71539508278</v>
      </c>
      <c r="F365" s="1529">
        <f t="shared" si="29"/>
        <v>2533.4265491294036</v>
      </c>
      <c r="G365" s="1529">
        <f t="shared" si="30"/>
        <v>1141.4914327315603</v>
      </c>
      <c r="H365" s="1529">
        <f t="shared" si="31"/>
        <v>1391.9351163978433</v>
      </c>
      <c r="I365" s="1529">
        <f t="shared" si="32"/>
        <v>303005.78027868492</v>
      </c>
      <c r="K365" s="1529">
        <f t="shared" si="33"/>
        <v>312224.51665369532</v>
      </c>
      <c r="L365" s="1529">
        <f t="shared" si="34"/>
        <v>196994.21972131482</v>
      </c>
      <c r="O365" s="1529">
        <f t="shared" si="35"/>
        <v>509218.73637501011</v>
      </c>
    </row>
    <row r="366" spans="4:15" hidden="1">
      <c r="D366" s="1534">
        <f t="shared" si="27"/>
        <v>202</v>
      </c>
      <c r="E366" s="1529">
        <f t="shared" si="28"/>
        <v>303005.78027868492</v>
      </c>
      <c r="F366" s="1529">
        <f t="shared" si="29"/>
        <v>2533.4265491294036</v>
      </c>
      <c r="G366" s="1529">
        <f t="shared" si="30"/>
        <v>1136.2716760450685</v>
      </c>
      <c r="H366" s="1529">
        <f t="shared" si="31"/>
        <v>1397.1548730843351</v>
      </c>
      <c r="I366" s="1529">
        <f t="shared" si="32"/>
        <v>301608.62540560059</v>
      </c>
      <c r="K366" s="1529">
        <f t="shared" si="33"/>
        <v>313360.7883297404</v>
      </c>
      <c r="L366" s="1529">
        <f t="shared" si="34"/>
        <v>198391.37459439915</v>
      </c>
      <c r="O366" s="1529">
        <f t="shared" si="35"/>
        <v>511752.16292413953</v>
      </c>
    </row>
    <row r="367" spans="4:15" hidden="1">
      <c r="D367" s="1534">
        <f t="shared" si="27"/>
        <v>203</v>
      </c>
      <c r="E367" s="1529">
        <f t="shared" si="28"/>
        <v>301608.62540560059</v>
      </c>
      <c r="F367" s="1529">
        <f t="shared" si="29"/>
        <v>2533.4265491294036</v>
      </c>
      <c r="G367" s="1529">
        <f t="shared" si="30"/>
        <v>1131.0323452710022</v>
      </c>
      <c r="H367" s="1529">
        <f t="shared" si="31"/>
        <v>1402.3942038584014</v>
      </c>
      <c r="I367" s="1529">
        <f t="shared" si="32"/>
        <v>300206.23120174219</v>
      </c>
      <c r="K367" s="1529">
        <f t="shared" si="33"/>
        <v>314491.82067501143</v>
      </c>
      <c r="L367" s="1529">
        <f t="shared" si="34"/>
        <v>199793.76879825754</v>
      </c>
      <c r="O367" s="1529">
        <f t="shared" si="35"/>
        <v>514285.58947326895</v>
      </c>
    </row>
    <row r="368" spans="4:15" hidden="1">
      <c r="D368" s="1534">
        <f t="shared" si="27"/>
        <v>204</v>
      </c>
      <c r="E368" s="1529">
        <f t="shared" si="28"/>
        <v>300206.23120174219</v>
      </c>
      <c r="F368" s="1529">
        <f t="shared" si="29"/>
        <v>2533.4265491294036</v>
      </c>
      <c r="G368" s="1529">
        <f t="shared" si="30"/>
        <v>1125.7733670065331</v>
      </c>
      <c r="H368" s="1529">
        <f t="shared" si="31"/>
        <v>1407.6531821228705</v>
      </c>
      <c r="I368" s="1529">
        <f t="shared" si="32"/>
        <v>298798.57801961934</v>
      </c>
      <c r="K368" s="1529">
        <f t="shared" si="33"/>
        <v>315617.59404201794</v>
      </c>
      <c r="L368" s="1529">
        <f t="shared" si="34"/>
        <v>201201.4219803804</v>
      </c>
      <c r="O368" s="1529">
        <f t="shared" si="35"/>
        <v>516819.01602239837</v>
      </c>
    </row>
    <row r="369" spans="4:15" hidden="1">
      <c r="D369" s="1534">
        <f t="shared" si="27"/>
        <v>205</v>
      </c>
      <c r="E369" s="1529">
        <f t="shared" si="28"/>
        <v>298798.57801961934</v>
      </c>
      <c r="F369" s="1529">
        <f t="shared" si="29"/>
        <v>2533.4265491294036</v>
      </c>
      <c r="G369" s="1529">
        <f t="shared" si="30"/>
        <v>1120.4946675735725</v>
      </c>
      <c r="H369" s="1529">
        <f t="shared" si="31"/>
        <v>1412.9318815558311</v>
      </c>
      <c r="I369" s="1529">
        <f t="shared" si="32"/>
        <v>297385.64613806352</v>
      </c>
      <c r="K369" s="1529">
        <f t="shared" si="33"/>
        <v>316738.08870959154</v>
      </c>
      <c r="L369" s="1529">
        <f t="shared" si="34"/>
        <v>202614.35386193622</v>
      </c>
      <c r="O369" s="1529">
        <f t="shared" si="35"/>
        <v>519352.44257152779</v>
      </c>
    </row>
    <row r="370" spans="4:15" hidden="1">
      <c r="D370" s="1534">
        <f t="shared" si="27"/>
        <v>206</v>
      </c>
      <c r="E370" s="1529">
        <f t="shared" si="28"/>
        <v>297385.64613806352</v>
      </c>
      <c r="F370" s="1529">
        <f t="shared" si="29"/>
        <v>2533.4265491294036</v>
      </c>
      <c r="G370" s="1529">
        <f t="shared" si="30"/>
        <v>1115.1961730177381</v>
      </c>
      <c r="H370" s="1529">
        <f t="shared" si="31"/>
        <v>1418.2303761116655</v>
      </c>
      <c r="I370" s="1529">
        <f t="shared" si="32"/>
        <v>295967.41576195182</v>
      </c>
      <c r="K370" s="1529">
        <f t="shared" si="33"/>
        <v>317853.28488260927</v>
      </c>
      <c r="L370" s="1529">
        <f t="shared" si="34"/>
        <v>204032.58423804789</v>
      </c>
      <c r="O370" s="1529">
        <f t="shared" si="35"/>
        <v>521885.86912065715</v>
      </c>
    </row>
    <row r="371" spans="4:15" hidden="1">
      <c r="D371" s="1534">
        <f t="shared" si="27"/>
        <v>207</v>
      </c>
      <c r="E371" s="1529">
        <f t="shared" si="28"/>
        <v>295967.41576195182</v>
      </c>
      <c r="F371" s="1529">
        <f t="shared" si="29"/>
        <v>2533.4265491294036</v>
      </c>
      <c r="G371" s="1529">
        <f t="shared" si="30"/>
        <v>1109.8778091073193</v>
      </c>
      <c r="H371" s="1529">
        <f t="shared" si="31"/>
        <v>1423.5487400220843</v>
      </c>
      <c r="I371" s="1529">
        <f t="shared" si="32"/>
        <v>294543.86702192976</v>
      </c>
      <c r="K371" s="1529">
        <f t="shared" si="33"/>
        <v>318963.16269171657</v>
      </c>
      <c r="L371" s="1529">
        <f t="shared" si="34"/>
        <v>205456.13297806997</v>
      </c>
      <c r="O371" s="1529">
        <f t="shared" si="35"/>
        <v>524419.29566978652</v>
      </c>
    </row>
    <row r="372" spans="4:15" hidden="1">
      <c r="D372" s="1534">
        <f t="shared" si="27"/>
        <v>208</v>
      </c>
      <c r="E372" s="1529">
        <f t="shared" si="28"/>
        <v>294543.86702192976</v>
      </c>
      <c r="F372" s="1529">
        <f t="shared" si="29"/>
        <v>2533.4265491294036</v>
      </c>
      <c r="G372" s="1529">
        <f t="shared" si="30"/>
        <v>1104.5395013322366</v>
      </c>
      <c r="H372" s="1529">
        <f t="shared" si="31"/>
        <v>1428.887047797167</v>
      </c>
      <c r="I372" s="1529">
        <f t="shared" si="32"/>
        <v>293114.97997413261</v>
      </c>
      <c r="K372" s="1529">
        <f t="shared" si="33"/>
        <v>320067.70219304878</v>
      </c>
      <c r="L372" s="1529">
        <f t="shared" si="34"/>
        <v>206885.02002586715</v>
      </c>
      <c r="O372" s="1529">
        <f t="shared" si="35"/>
        <v>526952.72221891594</v>
      </c>
    </row>
    <row r="373" spans="4:15" hidden="1">
      <c r="D373" s="1534">
        <f t="shared" si="27"/>
        <v>209</v>
      </c>
      <c r="E373" s="1529">
        <f t="shared" si="28"/>
        <v>293114.97997413261</v>
      </c>
      <c r="F373" s="1529">
        <f t="shared" si="29"/>
        <v>2533.4265491294036</v>
      </c>
      <c r="G373" s="1529">
        <f t="shared" si="30"/>
        <v>1099.1811749029973</v>
      </c>
      <c r="H373" s="1529">
        <f t="shared" si="31"/>
        <v>1434.2453742264063</v>
      </c>
      <c r="I373" s="1529">
        <f t="shared" si="32"/>
        <v>291680.73459990619</v>
      </c>
      <c r="K373" s="1529">
        <f t="shared" si="33"/>
        <v>321166.88336795178</v>
      </c>
      <c r="L373" s="1529">
        <f t="shared" si="34"/>
        <v>208319.26540009357</v>
      </c>
      <c r="O373" s="1529">
        <f t="shared" si="35"/>
        <v>529486.14876804536</v>
      </c>
    </row>
    <row r="374" spans="4:15" hidden="1">
      <c r="D374" s="1534">
        <f t="shared" si="27"/>
        <v>210</v>
      </c>
      <c r="E374" s="1529">
        <f t="shared" si="28"/>
        <v>291680.73459990619</v>
      </c>
      <c r="F374" s="1529">
        <f t="shared" si="29"/>
        <v>2533.4265491294036</v>
      </c>
      <c r="G374" s="1529">
        <f t="shared" si="30"/>
        <v>1093.8027547496481</v>
      </c>
      <c r="H374" s="1529">
        <f t="shared" si="31"/>
        <v>1439.6237943797555</v>
      </c>
      <c r="I374" s="1529">
        <f t="shared" si="32"/>
        <v>290241.11080552643</v>
      </c>
      <c r="K374" s="1529">
        <f t="shared" si="33"/>
        <v>322260.68612270145</v>
      </c>
      <c r="L374" s="1529">
        <f t="shared" si="34"/>
        <v>209758.88919447333</v>
      </c>
      <c r="O374" s="1529">
        <f t="shared" si="35"/>
        <v>532019.57531717478</v>
      </c>
    </row>
    <row r="375" spans="4:15" hidden="1">
      <c r="D375" s="1534">
        <f t="shared" si="27"/>
        <v>211</v>
      </c>
      <c r="E375" s="1529">
        <f t="shared" si="28"/>
        <v>290241.11080552643</v>
      </c>
      <c r="F375" s="1529">
        <f t="shared" si="29"/>
        <v>2533.4265491294036</v>
      </c>
      <c r="G375" s="1529">
        <f t="shared" si="30"/>
        <v>1088.4041655207241</v>
      </c>
      <c r="H375" s="1529">
        <f t="shared" si="31"/>
        <v>1445.0223836086795</v>
      </c>
      <c r="I375" s="1529">
        <f t="shared" si="32"/>
        <v>288796.08842191775</v>
      </c>
      <c r="K375" s="1529">
        <f t="shared" si="33"/>
        <v>323349.09028822219</v>
      </c>
      <c r="L375" s="1529">
        <f t="shared" si="34"/>
        <v>211203.91157808201</v>
      </c>
      <c r="O375" s="1529">
        <f t="shared" si="35"/>
        <v>534553.0018663042</v>
      </c>
    </row>
    <row r="376" spans="4:15" hidden="1">
      <c r="D376" s="1534">
        <f t="shared" si="27"/>
        <v>212</v>
      </c>
      <c r="E376" s="1529">
        <f t="shared" si="28"/>
        <v>288796.08842191775</v>
      </c>
      <c r="F376" s="1529">
        <f t="shared" si="29"/>
        <v>2533.4265491294036</v>
      </c>
      <c r="G376" s="1529">
        <f t="shared" si="30"/>
        <v>1082.9853315821915</v>
      </c>
      <c r="H376" s="1529">
        <f t="shared" si="31"/>
        <v>1450.4412175472121</v>
      </c>
      <c r="I376" s="1529">
        <f t="shared" si="32"/>
        <v>287345.64720437053</v>
      </c>
      <c r="K376" s="1529">
        <f t="shared" si="33"/>
        <v>324432.07561980438</v>
      </c>
      <c r="L376" s="1529">
        <f t="shared" si="34"/>
        <v>212654.35279562924</v>
      </c>
      <c r="O376" s="1529">
        <f t="shared" si="35"/>
        <v>537086.42841543362</v>
      </c>
    </row>
    <row r="377" spans="4:15" hidden="1">
      <c r="D377" s="1534">
        <f t="shared" si="27"/>
        <v>213</v>
      </c>
      <c r="E377" s="1529">
        <f t="shared" si="28"/>
        <v>287345.64720437053</v>
      </c>
      <c r="F377" s="1529">
        <f t="shared" si="29"/>
        <v>2533.4265491294036</v>
      </c>
      <c r="G377" s="1529">
        <f t="shared" si="30"/>
        <v>1077.5461770163895</v>
      </c>
      <c r="H377" s="1529">
        <f t="shared" si="31"/>
        <v>1455.8803721130141</v>
      </c>
      <c r="I377" s="1529">
        <f t="shared" si="32"/>
        <v>285889.7668322575</v>
      </c>
      <c r="K377" s="1529">
        <f t="shared" si="33"/>
        <v>325509.62179682078</v>
      </c>
      <c r="L377" s="1529">
        <f t="shared" si="34"/>
        <v>214110.23316774226</v>
      </c>
      <c r="O377" s="1529">
        <f t="shared" si="35"/>
        <v>539619.85496456304</v>
      </c>
    </row>
    <row r="378" spans="4:15" hidden="1">
      <c r="D378" s="1534">
        <f t="shared" si="27"/>
        <v>214</v>
      </c>
      <c r="E378" s="1529">
        <f t="shared" si="28"/>
        <v>285889.7668322575</v>
      </c>
      <c r="F378" s="1529">
        <f t="shared" si="29"/>
        <v>2533.4265491294036</v>
      </c>
      <c r="G378" s="1529">
        <f t="shared" si="30"/>
        <v>1072.0866256209656</v>
      </c>
      <c r="H378" s="1529">
        <f t="shared" si="31"/>
        <v>1461.339923508438</v>
      </c>
      <c r="I378" s="1529">
        <f t="shared" si="32"/>
        <v>284428.42690874904</v>
      </c>
      <c r="K378" s="1529">
        <f t="shared" si="33"/>
        <v>326581.70842244173</v>
      </c>
      <c r="L378" s="1529">
        <f t="shared" si="34"/>
        <v>215571.5730912507</v>
      </c>
      <c r="O378" s="1529">
        <f t="shared" si="35"/>
        <v>542153.28151369246</v>
      </c>
    </row>
    <row r="379" spans="4:15" hidden="1">
      <c r="D379" s="1534">
        <f t="shared" si="27"/>
        <v>215</v>
      </c>
      <c r="E379" s="1529">
        <f t="shared" si="28"/>
        <v>284428.42690874904</v>
      </c>
      <c r="F379" s="1529">
        <f t="shared" si="29"/>
        <v>2533.4265491294036</v>
      </c>
      <c r="G379" s="1529">
        <f t="shared" si="30"/>
        <v>1066.6066009078088</v>
      </c>
      <c r="H379" s="1529">
        <f t="shared" si="31"/>
        <v>1466.8199482215948</v>
      </c>
      <c r="I379" s="1529">
        <f t="shared" si="32"/>
        <v>282961.60696052742</v>
      </c>
      <c r="K379" s="1529">
        <f t="shared" si="33"/>
        <v>327648.31502334954</v>
      </c>
      <c r="L379" s="1529">
        <f t="shared" si="34"/>
        <v>217038.39303947228</v>
      </c>
      <c r="O379" s="1529">
        <f t="shared" si="35"/>
        <v>544686.70806282177</v>
      </c>
    </row>
    <row r="380" spans="4:15" hidden="1">
      <c r="D380" s="1534">
        <f t="shared" si="27"/>
        <v>216</v>
      </c>
      <c r="E380" s="1529">
        <f t="shared" si="28"/>
        <v>282961.60696052742</v>
      </c>
      <c r="F380" s="1529">
        <f t="shared" si="29"/>
        <v>2533.4265491294036</v>
      </c>
      <c r="G380" s="1529">
        <f t="shared" si="30"/>
        <v>1061.1060261019777</v>
      </c>
      <c r="H380" s="1529">
        <f t="shared" si="31"/>
        <v>1472.3205230274259</v>
      </c>
      <c r="I380" s="1529">
        <f t="shared" si="32"/>
        <v>281489.28643749998</v>
      </c>
      <c r="K380" s="1529">
        <f t="shared" si="33"/>
        <v>328709.42104945151</v>
      </c>
      <c r="L380" s="1529">
        <f t="shared" si="34"/>
        <v>218510.7135624997</v>
      </c>
      <c r="O380" s="1529">
        <f t="shared" si="35"/>
        <v>547220.13461195119</v>
      </c>
    </row>
    <row r="381" spans="4:15" hidden="1">
      <c r="D381" s="1534">
        <f t="shared" si="27"/>
        <v>217</v>
      </c>
      <c r="E381" s="1529">
        <f t="shared" si="28"/>
        <v>281489.28643749998</v>
      </c>
      <c r="F381" s="1529">
        <f t="shared" si="29"/>
        <v>2533.4265491294036</v>
      </c>
      <c r="G381" s="1529">
        <f t="shared" si="30"/>
        <v>1055.584824140625</v>
      </c>
      <c r="H381" s="1529">
        <f t="shared" si="31"/>
        <v>1477.8417249887787</v>
      </c>
      <c r="I381" s="1529">
        <f t="shared" si="32"/>
        <v>280011.44471251121</v>
      </c>
      <c r="K381" s="1529">
        <f t="shared" si="33"/>
        <v>329765.00587359216</v>
      </c>
      <c r="L381" s="1529">
        <f t="shared" si="34"/>
        <v>219988.55528748847</v>
      </c>
      <c r="O381" s="1529">
        <f t="shared" si="35"/>
        <v>549753.56116108061</v>
      </c>
    </row>
    <row r="382" spans="4:15" hidden="1">
      <c r="D382" s="1534">
        <f t="shared" si="27"/>
        <v>218</v>
      </c>
      <c r="E382" s="1529">
        <f t="shared" si="28"/>
        <v>280011.44471251121</v>
      </c>
      <c r="F382" s="1529">
        <f t="shared" si="29"/>
        <v>2533.4265491294036</v>
      </c>
      <c r="G382" s="1529">
        <f t="shared" si="30"/>
        <v>1050.0429176719169</v>
      </c>
      <c r="H382" s="1529">
        <f t="shared" si="31"/>
        <v>1483.3836314574867</v>
      </c>
      <c r="I382" s="1529">
        <f t="shared" si="32"/>
        <v>278528.06108105375</v>
      </c>
      <c r="K382" s="1529">
        <f t="shared" si="33"/>
        <v>330815.04879126407</v>
      </c>
      <c r="L382" s="1529">
        <f t="shared" si="34"/>
        <v>221471.93891894596</v>
      </c>
      <c r="O382" s="1529">
        <f t="shared" si="35"/>
        <v>552286.98771021003</v>
      </c>
    </row>
    <row r="383" spans="4:15" hidden="1">
      <c r="D383" s="1534">
        <f t="shared" si="27"/>
        <v>219</v>
      </c>
      <c r="E383" s="1529">
        <f t="shared" si="28"/>
        <v>278528.06108105375</v>
      </c>
      <c r="F383" s="1529">
        <f t="shared" si="29"/>
        <v>2533.4265491294036</v>
      </c>
      <c r="G383" s="1529">
        <f t="shared" si="30"/>
        <v>1044.4802290539515</v>
      </c>
      <c r="H383" s="1529">
        <f t="shared" si="31"/>
        <v>1488.9463200754521</v>
      </c>
      <c r="I383" s="1529">
        <f t="shared" si="32"/>
        <v>277039.11476097832</v>
      </c>
      <c r="K383" s="1529">
        <f t="shared" si="33"/>
        <v>331859.529020318</v>
      </c>
      <c r="L383" s="1529">
        <f t="shared" si="34"/>
        <v>222960.88523902142</v>
      </c>
      <c r="O383" s="1529">
        <f t="shared" si="35"/>
        <v>554820.41425933945</v>
      </c>
    </row>
    <row r="384" spans="4:15" hidden="1">
      <c r="D384" s="1534">
        <f t="shared" si="27"/>
        <v>220</v>
      </c>
      <c r="E384" s="1529">
        <f t="shared" si="28"/>
        <v>277039.11476097832</v>
      </c>
      <c r="F384" s="1529">
        <f t="shared" si="29"/>
        <v>2533.4265491294036</v>
      </c>
      <c r="G384" s="1529">
        <f t="shared" si="30"/>
        <v>1038.8966803536687</v>
      </c>
      <c r="H384" s="1529">
        <f t="shared" si="31"/>
        <v>1494.5298687757349</v>
      </c>
      <c r="I384" s="1529">
        <f t="shared" si="32"/>
        <v>275544.58489220258</v>
      </c>
      <c r="K384" s="1529">
        <f t="shared" si="33"/>
        <v>332898.42570067168</v>
      </c>
      <c r="L384" s="1529">
        <f t="shared" si="34"/>
        <v>224455.41510779716</v>
      </c>
      <c r="O384" s="1529">
        <f t="shared" si="35"/>
        <v>557353.84080846887</v>
      </c>
    </row>
    <row r="385" spans="4:15" hidden="1">
      <c r="D385" s="1534">
        <f t="shared" si="27"/>
        <v>221</v>
      </c>
      <c r="E385" s="1529">
        <f t="shared" si="28"/>
        <v>275544.58489220258</v>
      </c>
      <c r="F385" s="1529">
        <f t="shared" si="29"/>
        <v>2533.4265491294036</v>
      </c>
      <c r="G385" s="1529">
        <f t="shared" si="30"/>
        <v>1033.2921933457596</v>
      </c>
      <c r="H385" s="1529">
        <f t="shared" si="31"/>
        <v>1500.134355783644</v>
      </c>
      <c r="I385" s="1529">
        <f t="shared" si="32"/>
        <v>274044.45053641894</v>
      </c>
      <c r="K385" s="1529">
        <f t="shared" si="33"/>
        <v>333931.71789401746</v>
      </c>
      <c r="L385" s="1529">
        <f t="shared" si="34"/>
        <v>225955.5494635808</v>
      </c>
      <c r="O385" s="1529">
        <f t="shared" si="35"/>
        <v>559887.26735759829</v>
      </c>
    </row>
    <row r="386" spans="4:15" hidden="1">
      <c r="D386" s="1534">
        <f t="shared" si="27"/>
        <v>222</v>
      </c>
      <c r="E386" s="1529">
        <f t="shared" si="28"/>
        <v>274044.45053641894</v>
      </c>
      <c r="F386" s="1529">
        <f t="shared" si="29"/>
        <v>2533.4265491294036</v>
      </c>
      <c r="G386" s="1529">
        <f t="shared" si="30"/>
        <v>1027.6666895115709</v>
      </c>
      <c r="H386" s="1529">
        <f t="shared" si="31"/>
        <v>1505.7598596178327</v>
      </c>
      <c r="I386" s="1529">
        <f t="shared" si="32"/>
        <v>272538.69067680108</v>
      </c>
      <c r="K386" s="1529">
        <f t="shared" si="33"/>
        <v>334959.38458352903</v>
      </c>
      <c r="L386" s="1529">
        <f t="shared" si="34"/>
        <v>227461.30932319863</v>
      </c>
      <c r="O386" s="1529">
        <f t="shared" si="35"/>
        <v>562420.69390672771</v>
      </c>
    </row>
    <row r="387" spans="4:15" hidden="1">
      <c r="D387" s="1534">
        <f t="shared" si="27"/>
        <v>223</v>
      </c>
      <c r="E387" s="1529">
        <f t="shared" si="28"/>
        <v>272538.69067680108</v>
      </c>
      <c r="F387" s="1529">
        <f t="shared" si="29"/>
        <v>2533.4265491294036</v>
      </c>
      <c r="G387" s="1529">
        <f t="shared" si="30"/>
        <v>1022.020090038004</v>
      </c>
      <c r="H387" s="1529">
        <f t="shared" si="31"/>
        <v>1511.4064590913995</v>
      </c>
      <c r="I387" s="1529">
        <f t="shared" si="32"/>
        <v>271027.28421770968</v>
      </c>
      <c r="K387" s="1529">
        <f t="shared" si="33"/>
        <v>335981.40467356704</v>
      </c>
      <c r="L387" s="1529">
        <f t="shared" si="34"/>
        <v>228972.71578229003</v>
      </c>
      <c r="O387" s="1529">
        <f t="shared" si="35"/>
        <v>564954.12045585713</v>
      </c>
    </row>
    <row r="388" spans="4:15" hidden="1">
      <c r="D388" s="1534">
        <f t="shared" si="27"/>
        <v>224</v>
      </c>
      <c r="E388" s="1529">
        <f t="shared" si="28"/>
        <v>271027.28421770968</v>
      </c>
      <c r="F388" s="1529">
        <f t="shared" si="29"/>
        <v>2533.4265491294036</v>
      </c>
      <c r="G388" s="1529">
        <f t="shared" si="30"/>
        <v>1016.3523158164112</v>
      </c>
      <c r="H388" s="1529">
        <f t="shared" si="31"/>
        <v>1517.0742333129924</v>
      </c>
      <c r="I388" s="1529">
        <f t="shared" si="32"/>
        <v>269510.2099843967</v>
      </c>
      <c r="K388" s="1529">
        <f t="shared" si="33"/>
        <v>336997.75698938343</v>
      </c>
      <c r="L388" s="1529">
        <f t="shared" si="34"/>
        <v>230489.79001560304</v>
      </c>
      <c r="O388" s="1529">
        <f t="shared" si="35"/>
        <v>567487.54700498644</v>
      </c>
    </row>
    <row r="389" spans="4:15" hidden="1">
      <c r="D389" s="1534">
        <f t="shared" si="27"/>
        <v>225</v>
      </c>
      <c r="E389" s="1529">
        <f t="shared" si="28"/>
        <v>269510.2099843967</v>
      </c>
      <c r="F389" s="1529">
        <f t="shared" si="29"/>
        <v>2533.4265491294036</v>
      </c>
      <c r="G389" s="1529">
        <f t="shared" si="30"/>
        <v>1010.6632874414876</v>
      </c>
      <c r="H389" s="1529">
        <f t="shared" si="31"/>
        <v>1522.7632616879159</v>
      </c>
      <c r="I389" s="1529">
        <f t="shared" si="32"/>
        <v>267987.44672270876</v>
      </c>
      <c r="K389" s="1529">
        <f t="shared" si="33"/>
        <v>338008.42027682491</v>
      </c>
      <c r="L389" s="1529">
        <f t="shared" si="34"/>
        <v>232012.55327729095</v>
      </c>
      <c r="O389" s="1529">
        <f t="shared" si="35"/>
        <v>570020.97355411586</v>
      </c>
    </row>
    <row r="390" spans="4:15" hidden="1">
      <c r="D390" s="1534">
        <f t="shared" si="27"/>
        <v>226</v>
      </c>
      <c r="E390" s="1529">
        <f t="shared" si="28"/>
        <v>267987.44672270876</v>
      </c>
      <c r="F390" s="1529">
        <f t="shared" si="29"/>
        <v>2533.4265491294036</v>
      </c>
      <c r="G390" s="1529">
        <f t="shared" si="30"/>
        <v>1004.9529252101578</v>
      </c>
      <c r="H390" s="1529">
        <f t="shared" si="31"/>
        <v>1528.4736239192457</v>
      </c>
      <c r="I390" s="1529">
        <f t="shared" si="32"/>
        <v>266458.97309878952</v>
      </c>
      <c r="K390" s="1529">
        <f t="shared" si="33"/>
        <v>339013.37320203509</v>
      </c>
      <c r="L390" s="1529">
        <f t="shared" si="34"/>
        <v>233541.02690121019</v>
      </c>
      <c r="O390" s="1529">
        <f t="shared" si="35"/>
        <v>572554.40010324528</v>
      </c>
    </row>
    <row r="391" spans="4:15" hidden="1">
      <c r="D391" s="1534">
        <f t="shared" si="27"/>
        <v>227</v>
      </c>
      <c r="E391" s="1529">
        <f t="shared" si="28"/>
        <v>266458.97309878952</v>
      </c>
      <c r="F391" s="1529">
        <f t="shared" si="29"/>
        <v>2533.4265491294036</v>
      </c>
      <c r="G391" s="1529">
        <f t="shared" si="30"/>
        <v>999.22114912046061</v>
      </c>
      <c r="H391" s="1529">
        <f t="shared" si="31"/>
        <v>1534.2054000089429</v>
      </c>
      <c r="I391" s="1529">
        <f t="shared" si="32"/>
        <v>264924.76769878058</v>
      </c>
      <c r="K391" s="1529">
        <f t="shared" si="33"/>
        <v>340012.59435115557</v>
      </c>
      <c r="L391" s="1529">
        <f t="shared" si="34"/>
        <v>235075.23230121913</v>
      </c>
      <c r="O391" s="1529">
        <f t="shared" si="35"/>
        <v>575087.8266523747</v>
      </c>
    </row>
    <row r="392" spans="4:15" hidden="1">
      <c r="D392" s="1534">
        <f t="shared" si="27"/>
        <v>228</v>
      </c>
      <c r="E392" s="1529">
        <f t="shared" si="28"/>
        <v>264924.76769878058</v>
      </c>
      <c r="F392" s="1529">
        <f t="shared" si="29"/>
        <v>2533.4265491294036</v>
      </c>
      <c r="G392" s="1529">
        <f t="shared" si="30"/>
        <v>993.46787887042717</v>
      </c>
      <c r="H392" s="1529">
        <f t="shared" si="31"/>
        <v>1539.9586702589763</v>
      </c>
      <c r="I392" s="1529">
        <f t="shared" si="32"/>
        <v>263384.80902852159</v>
      </c>
      <c r="K392" s="1529">
        <f t="shared" si="33"/>
        <v>341006.062230026</v>
      </c>
      <c r="L392" s="1529">
        <f t="shared" si="34"/>
        <v>236615.19097147812</v>
      </c>
      <c r="O392" s="1529">
        <f t="shared" si="35"/>
        <v>577621.25320150412</v>
      </c>
    </row>
    <row r="393" spans="4:15" hidden="1">
      <c r="D393" s="1534">
        <f t="shared" si="27"/>
        <v>229</v>
      </c>
      <c r="E393" s="1529">
        <f t="shared" si="28"/>
        <v>263384.80902852159</v>
      </c>
      <c r="F393" s="1529">
        <f t="shared" si="29"/>
        <v>2533.4265491294036</v>
      </c>
      <c r="G393" s="1529">
        <f t="shared" si="30"/>
        <v>987.69303385695594</v>
      </c>
      <c r="H393" s="1529">
        <f t="shared" si="31"/>
        <v>1545.7335152724477</v>
      </c>
      <c r="I393" s="1529">
        <f t="shared" si="32"/>
        <v>261839.07551324915</v>
      </c>
      <c r="K393" s="1529">
        <f t="shared" si="33"/>
        <v>341993.75526388298</v>
      </c>
      <c r="L393" s="1529">
        <f t="shared" si="34"/>
        <v>238160.92448675056</v>
      </c>
      <c r="O393" s="1529">
        <f t="shared" si="35"/>
        <v>580154.67975063354</v>
      </c>
    </row>
    <row r="394" spans="4:15" hidden="1">
      <c r="D394" s="1534">
        <f t="shared" si="27"/>
        <v>230</v>
      </c>
      <c r="E394" s="1529">
        <f t="shared" si="28"/>
        <v>261839.07551324915</v>
      </c>
      <c r="F394" s="1529">
        <f t="shared" si="29"/>
        <v>2533.4265491294036</v>
      </c>
      <c r="G394" s="1529">
        <f t="shared" si="30"/>
        <v>981.89653317468424</v>
      </c>
      <c r="H394" s="1529">
        <f t="shared" si="31"/>
        <v>1551.5300159547194</v>
      </c>
      <c r="I394" s="1529">
        <f t="shared" si="32"/>
        <v>260287.54549729443</v>
      </c>
      <c r="K394" s="1529">
        <f t="shared" si="33"/>
        <v>342975.65179705765</v>
      </c>
      <c r="L394" s="1529">
        <f t="shared" si="34"/>
        <v>239712.45450270528</v>
      </c>
      <c r="O394" s="1529">
        <f t="shared" si="35"/>
        <v>582688.10629976296</v>
      </c>
    </row>
    <row r="395" spans="4:15" hidden="1">
      <c r="D395" s="1534">
        <f t="shared" si="27"/>
        <v>231</v>
      </c>
      <c r="E395" s="1529">
        <f t="shared" si="28"/>
        <v>260287.54549729443</v>
      </c>
      <c r="F395" s="1529">
        <f t="shared" si="29"/>
        <v>2533.4265491294036</v>
      </c>
      <c r="G395" s="1529">
        <f t="shared" si="30"/>
        <v>976.07829561485403</v>
      </c>
      <c r="H395" s="1529">
        <f t="shared" si="31"/>
        <v>1557.3482535145495</v>
      </c>
      <c r="I395" s="1529">
        <f t="shared" si="32"/>
        <v>258730.19724377987</v>
      </c>
      <c r="K395" s="1529">
        <f t="shared" si="33"/>
        <v>343951.73009267251</v>
      </c>
      <c r="L395" s="1529">
        <f t="shared" si="34"/>
        <v>241269.80275621984</v>
      </c>
      <c r="O395" s="1529">
        <f t="shared" si="35"/>
        <v>585221.53284889238</v>
      </c>
    </row>
    <row r="396" spans="4:15" hidden="1">
      <c r="D396" s="1534">
        <f t="shared" si="27"/>
        <v>232</v>
      </c>
      <c r="E396" s="1529">
        <f t="shared" si="28"/>
        <v>258730.19724377987</v>
      </c>
      <c r="F396" s="1529">
        <f t="shared" si="29"/>
        <v>2533.4265491294036</v>
      </c>
      <c r="G396" s="1529">
        <f t="shared" si="30"/>
        <v>970.23823966417444</v>
      </c>
      <c r="H396" s="1529">
        <f t="shared" si="31"/>
        <v>1563.1883094652292</v>
      </c>
      <c r="I396" s="1529">
        <f t="shared" si="32"/>
        <v>257167.00893431465</v>
      </c>
      <c r="K396" s="1529">
        <f t="shared" si="33"/>
        <v>344921.96833233669</v>
      </c>
      <c r="L396" s="1529">
        <f t="shared" si="34"/>
        <v>242832.99106568506</v>
      </c>
      <c r="O396" s="1529">
        <f t="shared" si="35"/>
        <v>587754.95939802169</v>
      </c>
    </row>
    <row r="397" spans="4:15" hidden="1">
      <c r="D397" s="1534">
        <f t="shared" ref="D397:D460" si="36">D396+1</f>
        <v>233</v>
      </c>
      <c r="E397" s="1529">
        <f t="shared" ref="E397:E460" si="37">I396</f>
        <v>257167.00893431465</v>
      </c>
      <c r="F397" s="1529">
        <f t="shared" ref="F397:F460" si="38">F396</f>
        <v>2533.4265491294036</v>
      </c>
      <c r="G397" s="1529">
        <f t="shared" ref="G397:G460" si="39">E397*$G$159</f>
        <v>964.37628350367993</v>
      </c>
      <c r="H397" s="1529">
        <f t="shared" ref="H397:H460" si="40">F397-G397</f>
        <v>1569.0502656257236</v>
      </c>
      <c r="I397" s="1529">
        <f t="shared" ref="I397:I460" si="41">E397-H397</f>
        <v>255597.95866868892</v>
      </c>
      <c r="K397" s="1529">
        <f t="shared" ref="K397:K460" si="42">K396+G397</f>
        <v>345886.34461584035</v>
      </c>
      <c r="L397" s="1529">
        <f t="shared" ref="L397:L460" si="43">L396+H397</f>
        <v>244402.04133131079</v>
      </c>
      <c r="O397" s="1529">
        <f t="shared" si="35"/>
        <v>590288.38594715111</v>
      </c>
    </row>
    <row r="398" spans="4:15" hidden="1">
      <c r="D398" s="1534">
        <f t="shared" si="36"/>
        <v>234</v>
      </c>
      <c r="E398" s="1529">
        <f t="shared" si="37"/>
        <v>255597.95866868892</v>
      </c>
      <c r="F398" s="1529">
        <f t="shared" si="38"/>
        <v>2533.4265491294036</v>
      </c>
      <c r="G398" s="1529">
        <f t="shared" si="39"/>
        <v>958.49234500758348</v>
      </c>
      <c r="H398" s="1529">
        <f t="shared" si="40"/>
        <v>1574.9342041218201</v>
      </c>
      <c r="I398" s="1529">
        <f t="shared" si="41"/>
        <v>254023.0244645671</v>
      </c>
      <c r="K398" s="1529">
        <f t="shared" si="42"/>
        <v>346844.83696084796</v>
      </c>
      <c r="L398" s="1529">
        <f t="shared" si="43"/>
        <v>245976.9755354326</v>
      </c>
      <c r="O398" s="1529">
        <f t="shared" si="35"/>
        <v>592821.81249628053</v>
      </c>
    </row>
    <row r="399" spans="4:15" hidden="1">
      <c r="D399" s="1534">
        <f t="shared" si="36"/>
        <v>235</v>
      </c>
      <c r="E399" s="1529">
        <f t="shared" si="37"/>
        <v>254023.0244645671</v>
      </c>
      <c r="F399" s="1529">
        <f t="shared" si="38"/>
        <v>2533.4265491294036</v>
      </c>
      <c r="G399" s="1529">
        <f t="shared" si="39"/>
        <v>952.58634174212659</v>
      </c>
      <c r="H399" s="1529">
        <f t="shared" si="40"/>
        <v>1580.8402073872771</v>
      </c>
      <c r="I399" s="1529">
        <f t="shared" si="41"/>
        <v>252442.18425717982</v>
      </c>
      <c r="K399" s="1529">
        <f t="shared" si="42"/>
        <v>347797.42330259009</v>
      </c>
      <c r="L399" s="1529">
        <f t="shared" si="43"/>
        <v>247557.81574281989</v>
      </c>
      <c r="O399" s="1529">
        <f t="shared" si="35"/>
        <v>595355.23904540995</v>
      </c>
    </row>
    <row r="400" spans="4:15" hidden="1">
      <c r="D400" s="1534">
        <f t="shared" si="36"/>
        <v>236</v>
      </c>
      <c r="E400" s="1529">
        <f t="shared" si="37"/>
        <v>252442.18425717982</v>
      </c>
      <c r="F400" s="1529">
        <f t="shared" si="38"/>
        <v>2533.4265491294036</v>
      </c>
      <c r="G400" s="1529">
        <f t="shared" si="39"/>
        <v>946.65819096442431</v>
      </c>
      <c r="H400" s="1529">
        <f t="shared" si="40"/>
        <v>1586.7683581649794</v>
      </c>
      <c r="I400" s="1529">
        <f t="shared" si="41"/>
        <v>250855.41589901483</v>
      </c>
      <c r="K400" s="1529">
        <f t="shared" si="42"/>
        <v>348744.08149355452</v>
      </c>
      <c r="L400" s="1529">
        <f t="shared" si="43"/>
        <v>249144.58410098488</v>
      </c>
      <c r="O400" s="1529">
        <f t="shared" si="35"/>
        <v>597888.66559453937</v>
      </c>
    </row>
    <row r="401" spans="4:15" hidden="1">
      <c r="D401" s="1534">
        <f t="shared" si="36"/>
        <v>237</v>
      </c>
      <c r="E401" s="1529">
        <f t="shared" si="37"/>
        <v>250855.41589901483</v>
      </c>
      <c r="F401" s="1529">
        <f t="shared" si="38"/>
        <v>2533.4265491294036</v>
      </c>
      <c r="G401" s="1529">
        <f t="shared" si="39"/>
        <v>940.70780962130561</v>
      </c>
      <c r="H401" s="1529">
        <f t="shared" si="40"/>
        <v>1592.718739508098</v>
      </c>
      <c r="I401" s="1529">
        <f t="shared" si="41"/>
        <v>249262.69715950673</v>
      </c>
      <c r="K401" s="1529">
        <f t="shared" si="42"/>
        <v>349684.78930317581</v>
      </c>
      <c r="L401" s="1529">
        <f t="shared" si="43"/>
        <v>250737.30284049298</v>
      </c>
      <c r="O401" s="1529">
        <f t="shared" si="35"/>
        <v>600422.09214366879</v>
      </c>
    </row>
    <row r="402" spans="4:15" hidden="1">
      <c r="D402" s="1534">
        <f t="shared" si="36"/>
        <v>238</v>
      </c>
      <c r="E402" s="1529">
        <f t="shared" si="37"/>
        <v>249262.69715950673</v>
      </c>
      <c r="F402" s="1529">
        <f t="shared" si="38"/>
        <v>2533.4265491294036</v>
      </c>
      <c r="G402" s="1529">
        <f t="shared" si="39"/>
        <v>934.7351143481502</v>
      </c>
      <c r="H402" s="1529">
        <f t="shared" si="40"/>
        <v>1598.6914347812535</v>
      </c>
      <c r="I402" s="1529">
        <f t="shared" si="41"/>
        <v>247664.00572472549</v>
      </c>
      <c r="K402" s="1529">
        <f t="shared" si="42"/>
        <v>350619.52441752399</v>
      </c>
      <c r="L402" s="1529">
        <f t="shared" si="43"/>
        <v>252335.99427527422</v>
      </c>
      <c r="O402" s="1529">
        <f t="shared" si="35"/>
        <v>602955.51869279821</v>
      </c>
    </row>
    <row r="403" spans="4:15" hidden="1">
      <c r="D403" s="1534">
        <f t="shared" si="36"/>
        <v>239</v>
      </c>
      <c r="E403" s="1529">
        <f t="shared" si="37"/>
        <v>247664.00572472549</v>
      </c>
      <c r="F403" s="1529">
        <f t="shared" si="38"/>
        <v>2533.4265491294036</v>
      </c>
      <c r="G403" s="1529">
        <f t="shared" si="39"/>
        <v>928.74002146772057</v>
      </c>
      <c r="H403" s="1529">
        <f t="shared" si="40"/>
        <v>1604.6865276616832</v>
      </c>
      <c r="I403" s="1529">
        <f t="shared" si="41"/>
        <v>246059.3191970638</v>
      </c>
      <c r="K403" s="1529">
        <f t="shared" si="42"/>
        <v>351548.26443899173</v>
      </c>
      <c r="L403" s="1529">
        <f t="shared" si="43"/>
        <v>253940.68080293591</v>
      </c>
      <c r="O403" s="1529">
        <f t="shared" si="35"/>
        <v>605488.94524192763</v>
      </c>
    </row>
    <row r="404" spans="4:15" hidden="1">
      <c r="D404" s="1534">
        <f t="shared" si="36"/>
        <v>240</v>
      </c>
      <c r="E404" s="1529">
        <f t="shared" si="37"/>
        <v>246059.3191970638</v>
      </c>
      <c r="F404" s="1529">
        <f t="shared" si="38"/>
        <v>2533.4265491294036</v>
      </c>
      <c r="G404" s="1529">
        <f t="shared" si="39"/>
        <v>922.72244698898919</v>
      </c>
      <c r="H404" s="1529">
        <f t="shared" si="40"/>
        <v>1610.7041021404143</v>
      </c>
      <c r="I404" s="1529">
        <f t="shared" si="41"/>
        <v>244448.61509492339</v>
      </c>
      <c r="K404" s="1529">
        <f t="shared" si="42"/>
        <v>352470.9868859807</v>
      </c>
      <c r="L404" s="1529">
        <f t="shared" si="43"/>
        <v>255551.38490507632</v>
      </c>
      <c r="O404" s="1529">
        <f t="shared" si="35"/>
        <v>608022.37179105706</v>
      </c>
    </row>
    <row r="405" spans="4:15" hidden="1">
      <c r="D405" s="1534">
        <f t="shared" si="36"/>
        <v>241</v>
      </c>
      <c r="E405" s="1529">
        <f t="shared" si="37"/>
        <v>244448.61509492339</v>
      </c>
      <c r="F405" s="1529">
        <f t="shared" si="38"/>
        <v>2533.4265491294036</v>
      </c>
      <c r="G405" s="1529">
        <f t="shared" si="39"/>
        <v>916.68230660596271</v>
      </c>
      <c r="H405" s="1529">
        <f t="shared" si="40"/>
        <v>1616.7442425234408</v>
      </c>
      <c r="I405" s="1529">
        <f t="shared" si="41"/>
        <v>242831.87085239994</v>
      </c>
      <c r="K405" s="1529">
        <f t="shared" si="42"/>
        <v>353387.66919258668</v>
      </c>
      <c r="L405" s="1529">
        <f t="shared" si="43"/>
        <v>257168.12914759977</v>
      </c>
      <c r="O405" s="1529">
        <f t="shared" si="35"/>
        <v>610555.79834018648</v>
      </c>
    </row>
    <row r="406" spans="4:15" hidden="1">
      <c r="D406" s="1534">
        <f t="shared" si="36"/>
        <v>242</v>
      </c>
      <c r="E406" s="1529">
        <f t="shared" si="37"/>
        <v>242831.87085239994</v>
      </c>
      <c r="F406" s="1529">
        <f t="shared" si="38"/>
        <v>2533.4265491294036</v>
      </c>
      <c r="G406" s="1529">
        <f t="shared" si="39"/>
        <v>910.61951569649978</v>
      </c>
      <c r="H406" s="1529">
        <f t="shared" si="40"/>
        <v>1622.8070334329038</v>
      </c>
      <c r="I406" s="1529">
        <f t="shared" si="41"/>
        <v>241209.06381896703</v>
      </c>
      <c r="K406" s="1529">
        <f t="shared" si="42"/>
        <v>354298.28870828316</v>
      </c>
      <c r="L406" s="1529">
        <f t="shared" si="43"/>
        <v>258790.93618103268</v>
      </c>
      <c r="O406" s="1529">
        <f t="shared" si="35"/>
        <v>613089.2248893159</v>
      </c>
    </row>
    <row r="407" spans="4:15" hidden="1">
      <c r="D407" s="1534">
        <f t="shared" si="36"/>
        <v>243</v>
      </c>
      <c r="E407" s="1529">
        <f t="shared" si="37"/>
        <v>241209.06381896703</v>
      </c>
      <c r="F407" s="1529">
        <f t="shared" si="38"/>
        <v>2533.4265491294036</v>
      </c>
      <c r="G407" s="1529">
        <f t="shared" si="39"/>
        <v>904.53398932112634</v>
      </c>
      <c r="H407" s="1529">
        <f t="shared" si="40"/>
        <v>1628.8925598082774</v>
      </c>
      <c r="I407" s="1529">
        <f t="shared" si="41"/>
        <v>239580.17125915876</v>
      </c>
      <c r="K407" s="1529">
        <f t="shared" si="42"/>
        <v>355202.82269760431</v>
      </c>
      <c r="L407" s="1529">
        <f t="shared" si="43"/>
        <v>260419.82874084095</v>
      </c>
      <c r="O407" s="1529">
        <f t="shared" si="35"/>
        <v>615622.65143844532</v>
      </c>
    </row>
    <row r="408" spans="4:15" hidden="1">
      <c r="D408" s="1534">
        <f t="shared" si="36"/>
        <v>244</v>
      </c>
      <c r="E408" s="1529">
        <f t="shared" si="37"/>
        <v>239580.17125915876</v>
      </c>
      <c r="F408" s="1529">
        <f t="shared" si="38"/>
        <v>2533.4265491294036</v>
      </c>
      <c r="G408" s="1529">
        <f t="shared" si="39"/>
        <v>898.42564222184535</v>
      </c>
      <c r="H408" s="1529">
        <f t="shared" si="40"/>
        <v>1635.0009069075581</v>
      </c>
      <c r="I408" s="1529">
        <f t="shared" si="41"/>
        <v>237945.17035225121</v>
      </c>
      <c r="K408" s="1529">
        <f t="shared" si="42"/>
        <v>356101.24833982612</v>
      </c>
      <c r="L408" s="1529">
        <f t="shared" si="43"/>
        <v>262054.8296477485</v>
      </c>
      <c r="O408" s="1529">
        <f t="shared" si="35"/>
        <v>618156.07798757462</v>
      </c>
    </row>
    <row r="409" spans="4:15" hidden="1">
      <c r="D409" s="1534">
        <f t="shared" si="36"/>
        <v>245</v>
      </c>
      <c r="E409" s="1529">
        <f t="shared" si="37"/>
        <v>237945.17035225121</v>
      </c>
      <c r="F409" s="1529">
        <f t="shared" si="38"/>
        <v>2533.4265491294036</v>
      </c>
      <c r="G409" s="1529">
        <f t="shared" si="39"/>
        <v>892.294388820942</v>
      </c>
      <c r="H409" s="1529">
        <f t="shared" si="40"/>
        <v>1641.1321603084616</v>
      </c>
      <c r="I409" s="1529">
        <f t="shared" si="41"/>
        <v>236304.03819194276</v>
      </c>
      <c r="K409" s="1529">
        <f t="shared" si="42"/>
        <v>356993.54272864707</v>
      </c>
      <c r="L409" s="1529">
        <f t="shared" si="43"/>
        <v>263695.96180805698</v>
      </c>
      <c r="O409" s="1529">
        <f t="shared" si="35"/>
        <v>620689.50453670404</v>
      </c>
    </row>
    <row r="410" spans="4:15" hidden="1">
      <c r="D410" s="1534">
        <f t="shared" si="36"/>
        <v>246</v>
      </c>
      <c r="E410" s="1529">
        <f t="shared" si="37"/>
        <v>236304.03819194276</v>
      </c>
      <c r="F410" s="1529">
        <f t="shared" si="38"/>
        <v>2533.4265491294036</v>
      </c>
      <c r="G410" s="1529">
        <f t="shared" si="39"/>
        <v>886.14014321978527</v>
      </c>
      <c r="H410" s="1529">
        <f t="shared" si="40"/>
        <v>1647.2864059096182</v>
      </c>
      <c r="I410" s="1529">
        <f t="shared" si="41"/>
        <v>234656.75178603313</v>
      </c>
      <c r="K410" s="1529">
        <f t="shared" si="42"/>
        <v>357879.68287186685</v>
      </c>
      <c r="L410" s="1529">
        <f t="shared" si="43"/>
        <v>265343.24821396661</v>
      </c>
      <c r="O410" s="1529">
        <f t="shared" si="35"/>
        <v>623222.93108583346</v>
      </c>
    </row>
    <row r="411" spans="4:15" hidden="1">
      <c r="D411" s="1534">
        <f t="shared" si="36"/>
        <v>247</v>
      </c>
      <c r="E411" s="1529">
        <f t="shared" si="37"/>
        <v>234656.75178603313</v>
      </c>
      <c r="F411" s="1529">
        <f t="shared" si="38"/>
        <v>2533.4265491294036</v>
      </c>
      <c r="G411" s="1529">
        <f t="shared" si="39"/>
        <v>879.96281919762419</v>
      </c>
      <c r="H411" s="1529">
        <f t="shared" si="40"/>
        <v>1653.4637299317794</v>
      </c>
      <c r="I411" s="1529">
        <f t="shared" si="41"/>
        <v>233003.28805610136</v>
      </c>
      <c r="K411" s="1529">
        <f t="shared" si="42"/>
        <v>358759.64569106448</v>
      </c>
      <c r="L411" s="1529">
        <f t="shared" si="43"/>
        <v>266996.71194389841</v>
      </c>
      <c r="O411" s="1529">
        <f t="shared" si="35"/>
        <v>625756.35763496289</v>
      </c>
    </row>
    <row r="412" spans="4:15" hidden="1">
      <c r="D412" s="1534">
        <f t="shared" si="36"/>
        <v>248</v>
      </c>
      <c r="E412" s="1529">
        <f t="shared" si="37"/>
        <v>233003.28805610136</v>
      </c>
      <c r="F412" s="1529">
        <f t="shared" si="38"/>
        <v>2533.4265491294036</v>
      </c>
      <c r="G412" s="1529">
        <f t="shared" si="39"/>
        <v>873.76233021038001</v>
      </c>
      <c r="H412" s="1529">
        <f t="shared" si="40"/>
        <v>1659.6642189190236</v>
      </c>
      <c r="I412" s="1529">
        <f t="shared" si="41"/>
        <v>231343.62383718233</v>
      </c>
      <c r="K412" s="1529">
        <f t="shared" si="42"/>
        <v>359633.40802127484</v>
      </c>
      <c r="L412" s="1529">
        <f t="shared" si="43"/>
        <v>268656.37616281741</v>
      </c>
      <c r="O412" s="1529">
        <f t="shared" si="35"/>
        <v>628289.78418409219</v>
      </c>
    </row>
    <row r="413" spans="4:15" hidden="1">
      <c r="D413" s="1534">
        <f t="shared" si="36"/>
        <v>249</v>
      </c>
      <c r="E413" s="1529">
        <f t="shared" si="37"/>
        <v>231343.62383718233</v>
      </c>
      <c r="F413" s="1529">
        <f t="shared" si="38"/>
        <v>2533.4265491294036</v>
      </c>
      <c r="G413" s="1529">
        <f t="shared" si="39"/>
        <v>867.5385893894337</v>
      </c>
      <c r="H413" s="1529">
        <f t="shared" si="40"/>
        <v>1665.88795973997</v>
      </c>
      <c r="I413" s="1529">
        <f t="shared" si="41"/>
        <v>229677.73587744235</v>
      </c>
      <c r="K413" s="1529">
        <f t="shared" si="42"/>
        <v>360500.94661066425</v>
      </c>
      <c r="L413" s="1529">
        <f t="shared" si="43"/>
        <v>270322.26412255736</v>
      </c>
      <c r="O413" s="1529">
        <f t="shared" si="35"/>
        <v>630823.21073322161</v>
      </c>
    </row>
    <row r="414" spans="4:15" hidden="1">
      <c r="D414" s="1534">
        <f t="shared" si="36"/>
        <v>250</v>
      </c>
      <c r="E414" s="1529">
        <f t="shared" si="37"/>
        <v>229677.73587744235</v>
      </c>
      <c r="F414" s="1529">
        <f t="shared" si="38"/>
        <v>2533.4265491294036</v>
      </c>
      <c r="G414" s="1529">
        <f t="shared" si="39"/>
        <v>861.29150954040881</v>
      </c>
      <c r="H414" s="1529">
        <f t="shared" si="40"/>
        <v>1672.1350395889949</v>
      </c>
      <c r="I414" s="1529">
        <f t="shared" si="41"/>
        <v>228005.60083785336</v>
      </c>
      <c r="K414" s="1529">
        <f t="shared" si="42"/>
        <v>361362.23812020465</v>
      </c>
      <c r="L414" s="1529">
        <f t="shared" si="43"/>
        <v>271994.39916214638</v>
      </c>
      <c r="O414" s="1529">
        <f t="shared" si="35"/>
        <v>633356.63728235103</v>
      </c>
    </row>
    <row r="415" spans="4:15" hidden="1">
      <c r="D415" s="1534">
        <f t="shared" si="36"/>
        <v>251</v>
      </c>
      <c r="E415" s="1529">
        <f t="shared" si="37"/>
        <v>228005.60083785336</v>
      </c>
      <c r="F415" s="1529">
        <f t="shared" si="38"/>
        <v>2533.4265491294036</v>
      </c>
      <c r="G415" s="1529">
        <f t="shared" si="39"/>
        <v>855.02100314195002</v>
      </c>
      <c r="H415" s="1529">
        <f t="shared" si="40"/>
        <v>1678.4055459874535</v>
      </c>
      <c r="I415" s="1529">
        <f t="shared" si="41"/>
        <v>226327.19529186591</v>
      </c>
      <c r="K415" s="1529">
        <f t="shared" si="42"/>
        <v>362217.25912334659</v>
      </c>
      <c r="L415" s="1529">
        <f t="shared" si="43"/>
        <v>273672.80470813386</v>
      </c>
      <c r="O415" s="1529">
        <f t="shared" si="35"/>
        <v>635890.06383148045</v>
      </c>
    </row>
    <row r="416" spans="4:15" hidden="1">
      <c r="D416" s="1534">
        <f t="shared" si="36"/>
        <v>252</v>
      </c>
      <c r="E416" s="1529">
        <f t="shared" si="37"/>
        <v>226327.19529186591</v>
      </c>
      <c r="F416" s="1529">
        <f t="shared" si="38"/>
        <v>2533.4265491294036</v>
      </c>
      <c r="G416" s="1529">
        <f t="shared" si="39"/>
        <v>848.72698234449717</v>
      </c>
      <c r="H416" s="1529">
        <f t="shared" si="40"/>
        <v>1684.6995667849064</v>
      </c>
      <c r="I416" s="1529">
        <f t="shared" si="41"/>
        <v>224642.49572508101</v>
      </c>
      <c r="K416" s="1529">
        <f t="shared" si="42"/>
        <v>363065.98610569112</v>
      </c>
      <c r="L416" s="1529">
        <f t="shared" si="43"/>
        <v>275357.50427491876</v>
      </c>
      <c r="O416" s="1529">
        <f t="shared" si="35"/>
        <v>638423.49038060987</v>
      </c>
    </row>
    <row r="417" spans="4:15" hidden="1">
      <c r="D417" s="1534">
        <f t="shared" si="36"/>
        <v>253</v>
      </c>
      <c r="E417" s="1529">
        <f t="shared" si="37"/>
        <v>224642.49572508101</v>
      </c>
      <c r="F417" s="1529">
        <f t="shared" si="38"/>
        <v>2533.4265491294036</v>
      </c>
      <c r="G417" s="1529">
        <f t="shared" si="39"/>
        <v>842.40935896905376</v>
      </c>
      <c r="H417" s="1529">
        <f t="shared" si="40"/>
        <v>1691.0171901603499</v>
      </c>
      <c r="I417" s="1529">
        <f t="shared" si="41"/>
        <v>222951.47853492066</v>
      </c>
      <c r="K417" s="1529">
        <f t="shared" si="42"/>
        <v>363908.39546466019</v>
      </c>
      <c r="L417" s="1529">
        <f t="shared" si="43"/>
        <v>277048.5214650791</v>
      </c>
      <c r="O417" s="1529">
        <f t="shared" si="35"/>
        <v>640956.91692973929</v>
      </c>
    </row>
    <row r="418" spans="4:15" hidden="1">
      <c r="D418" s="1534">
        <f t="shared" si="36"/>
        <v>254</v>
      </c>
      <c r="E418" s="1529">
        <f t="shared" si="37"/>
        <v>222951.47853492066</v>
      </c>
      <c r="F418" s="1529">
        <f t="shared" si="38"/>
        <v>2533.4265491294036</v>
      </c>
      <c r="G418" s="1529">
        <f t="shared" si="39"/>
        <v>836.06804450595246</v>
      </c>
      <c r="H418" s="1529">
        <f t="shared" si="40"/>
        <v>1697.3585046234512</v>
      </c>
      <c r="I418" s="1529">
        <f t="shared" si="41"/>
        <v>221254.1200302972</v>
      </c>
      <c r="K418" s="1529">
        <f t="shared" si="42"/>
        <v>364744.46350916615</v>
      </c>
      <c r="L418" s="1529">
        <f t="shared" si="43"/>
        <v>278745.87996970257</v>
      </c>
      <c r="O418" s="1529">
        <f t="shared" si="35"/>
        <v>643490.34347886872</v>
      </c>
    </row>
    <row r="419" spans="4:15" hidden="1">
      <c r="D419" s="1534">
        <f t="shared" si="36"/>
        <v>255</v>
      </c>
      <c r="E419" s="1529">
        <f t="shared" si="37"/>
        <v>221254.1200302972</v>
      </c>
      <c r="F419" s="1529">
        <f t="shared" si="38"/>
        <v>2533.4265491294036</v>
      </c>
      <c r="G419" s="1529">
        <f t="shared" si="39"/>
        <v>829.70295011361452</v>
      </c>
      <c r="H419" s="1529">
        <f t="shared" si="40"/>
        <v>1703.7235990157892</v>
      </c>
      <c r="I419" s="1529">
        <f t="shared" si="41"/>
        <v>219550.39643128141</v>
      </c>
      <c r="K419" s="1529">
        <f t="shared" si="42"/>
        <v>365574.16645927978</v>
      </c>
      <c r="L419" s="1529">
        <f t="shared" si="43"/>
        <v>280449.60356871836</v>
      </c>
      <c r="O419" s="1529">
        <f t="shared" si="35"/>
        <v>646023.77002799814</v>
      </c>
    </row>
    <row r="420" spans="4:15" hidden="1">
      <c r="D420" s="1534">
        <f t="shared" si="36"/>
        <v>256</v>
      </c>
      <c r="E420" s="1529">
        <f t="shared" si="37"/>
        <v>219550.39643128141</v>
      </c>
      <c r="F420" s="1529">
        <f t="shared" si="38"/>
        <v>2533.4265491294036</v>
      </c>
      <c r="G420" s="1529">
        <f t="shared" si="39"/>
        <v>823.3139866173052</v>
      </c>
      <c r="H420" s="1529">
        <f t="shared" si="40"/>
        <v>1710.1125625120985</v>
      </c>
      <c r="I420" s="1529">
        <f t="shared" si="41"/>
        <v>217840.2838687693</v>
      </c>
      <c r="K420" s="1529">
        <f t="shared" si="42"/>
        <v>366397.48044589709</v>
      </c>
      <c r="L420" s="1529">
        <f t="shared" si="43"/>
        <v>282159.71613123047</v>
      </c>
      <c r="O420" s="1529">
        <f t="shared" si="35"/>
        <v>648557.19657712756</v>
      </c>
    </row>
    <row r="421" spans="4:15" hidden="1">
      <c r="D421" s="1534">
        <f t="shared" si="36"/>
        <v>257</v>
      </c>
      <c r="E421" s="1529">
        <f t="shared" si="37"/>
        <v>217840.2838687693</v>
      </c>
      <c r="F421" s="1529">
        <f t="shared" si="38"/>
        <v>2533.4265491294036</v>
      </c>
      <c r="G421" s="1529">
        <f t="shared" si="39"/>
        <v>816.90106450788483</v>
      </c>
      <c r="H421" s="1529">
        <f t="shared" si="40"/>
        <v>1716.5254846215189</v>
      </c>
      <c r="I421" s="1529">
        <f t="shared" si="41"/>
        <v>216123.75838414778</v>
      </c>
      <c r="K421" s="1529">
        <f t="shared" si="42"/>
        <v>367214.38151040499</v>
      </c>
      <c r="L421" s="1529">
        <f t="shared" si="43"/>
        <v>283876.24161585199</v>
      </c>
      <c r="O421" s="1529">
        <f t="shared" si="35"/>
        <v>651090.62312625698</v>
      </c>
    </row>
    <row r="422" spans="4:15" hidden="1">
      <c r="D422" s="1534">
        <f t="shared" si="36"/>
        <v>258</v>
      </c>
      <c r="E422" s="1529">
        <f t="shared" si="37"/>
        <v>216123.75838414778</v>
      </c>
      <c r="F422" s="1529">
        <f t="shared" si="38"/>
        <v>2533.4265491294036</v>
      </c>
      <c r="G422" s="1529">
        <f t="shared" si="39"/>
        <v>810.46409394055411</v>
      </c>
      <c r="H422" s="1529">
        <f t="shared" si="40"/>
        <v>1722.9624551888496</v>
      </c>
      <c r="I422" s="1529">
        <f t="shared" si="41"/>
        <v>214400.79592895892</v>
      </c>
      <c r="K422" s="1529">
        <f t="shared" si="42"/>
        <v>368024.84560434555</v>
      </c>
      <c r="L422" s="1529">
        <f t="shared" si="43"/>
        <v>285599.20407104085</v>
      </c>
      <c r="O422" s="1529">
        <f t="shared" ref="O422:O485" si="44">K422+L422</f>
        <v>653624.0496753864</v>
      </c>
    </row>
    <row r="423" spans="4:15" hidden="1">
      <c r="D423" s="1534">
        <f t="shared" si="36"/>
        <v>259</v>
      </c>
      <c r="E423" s="1529">
        <f t="shared" si="37"/>
        <v>214400.79592895892</v>
      </c>
      <c r="F423" s="1529">
        <f t="shared" si="38"/>
        <v>2533.4265491294036</v>
      </c>
      <c r="G423" s="1529">
        <f t="shared" si="39"/>
        <v>804.00298473359589</v>
      </c>
      <c r="H423" s="1529">
        <f t="shared" si="40"/>
        <v>1729.4235643958077</v>
      </c>
      <c r="I423" s="1529">
        <f t="shared" si="41"/>
        <v>212671.37236456311</v>
      </c>
      <c r="K423" s="1529">
        <f t="shared" si="42"/>
        <v>368828.84858907916</v>
      </c>
      <c r="L423" s="1529">
        <f t="shared" si="43"/>
        <v>287328.62763543666</v>
      </c>
      <c r="O423" s="1529">
        <f t="shared" si="44"/>
        <v>656157.47622451582</v>
      </c>
    </row>
    <row r="424" spans="4:15" hidden="1">
      <c r="D424" s="1534">
        <f t="shared" si="36"/>
        <v>260</v>
      </c>
      <c r="E424" s="1529">
        <f t="shared" si="37"/>
        <v>212671.37236456311</v>
      </c>
      <c r="F424" s="1529">
        <f t="shared" si="38"/>
        <v>2533.4265491294036</v>
      </c>
      <c r="G424" s="1529">
        <f t="shared" si="39"/>
        <v>797.51764636711164</v>
      </c>
      <c r="H424" s="1529">
        <f t="shared" si="40"/>
        <v>1735.908902762292</v>
      </c>
      <c r="I424" s="1529">
        <f t="shared" si="41"/>
        <v>210935.46346180083</v>
      </c>
      <c r="K424" s="1529">
        <f t="shared" si="42"/>
        <v>369626.3662354463</v>
      </c>
      <c r="L424" s="1529">
        <f t="shared" si="43"/>
        <v>289064.53653819894</v>
      </c>
      <c r="O424" s="1529">
        <f t="shared" si="44"/>
        <v>658690.90277364524</v>
      </c>
    </row>
    <row r="425" spans="4:15" hidden="1">
      <c r="D425" s="1534">
        <f t="shared" si="36"/>
        <v>261</v>
      </c>
      <c r="E425" s="1529">
        <f t="shared" si="37"/>
        <v>210935.46346180083</v>
      </c>
      <c r="F425" s="1529">
        <f t="shared" si="38"/>
        <v>2533.4265491294036</v>
      </c>
      <c r="G425" s="1529">
        <f t="shared" si="39"/>
        <v>791.0079879817531</v>
      </c>
      <c r="H425" s="1529">
        <f t="shared" si="40"/>
        <v>1742.4185611476505</v>
      </c>
      <c r="I425" s="1529">
        <f t="shared" si="41"/>
        <v>209193.04490065319</v>
      </c>
      <c r="K425" s="1529">
        <f t="shared" si="42"/>
        <v>370417.37422342808</v>
      </c>
      <c r="L425" s="1529">
        <f t="shared" si="43"/>
        <v>290806.95509934658</v>
      </c>
      <c r="O425" s="1529">
        <f t="shared" si="44"/>
        <v>661224.32932277466</v>
      </c>
    </row>
    <row r="426" spans="4:15" hidden="1">
      <c r="D426" s="1534">
        <f t="shared" si="36"/>
        <v>262</v>
      </c>
      <c r="E426" s="1529">
        <f t="shared" si="37"/>
        <v>209193.04490065319</v>
      </c>
      <c r="F426" s="1529">
        <f t="shared" si="38"/>
        <v>2533.4265491294036</v>
      </c>
      <c r="G426" s="1529">
        <f t="shared" si="39"/>
        <v>784.47391837744942</v>
      </c>
      <c r="H426" s="1529">
        <f t="shared" si="40"/>
        <v>1748.9526307519541</v>
      </c>
      <c r="I426" s="1529">
        <f t="shared" si="41"/>
        <v>207444.09226990124</v>
      </c>
      <c r="K426" s="1529">
        <f t="shared" si="42"/>
        <v>371201.8481418055</v>
      </c>
      <c r="L426" s="1529">
        <f t="shared" si="43"/>
        <v>292555.90773009852</v>
      </c>
      <c r="O426" s="1529">
        <f t="shared" si="44"/>
        <v>663757.75587190408</v>
      </c>
    </row>
    <row r="427" spans="4:15" hidden="1">
      <c r="D427" s="1534">
        <f t="shared" si="36"/>
        <v>263</v>
      </c>
      <c r="E427" s="1529">
        <f t="shared" si="37"/>
        <v>207444.09226990124</v>
      </c>
      <c r="F427" s="1529">
        <f t="shared" si="38"/>
        <v>2533.4265491294036</v>
      </c>
      <c r="G427" s="1529">
        <f t="shared" si="39"/>
        <v>777.91534601212959</v>
      </c>
      <c r="H427" s="1529">
        <f t="shared" si="40"/>
        <v>1755.5112031172739</v>
      </c>
      <c r="I427" s="1529">
        <f t="shared" si="41"/>
        <v>205688.58106678398</v>
      </c>
      <c r="K427" s="1529">
        <f t="shared" si="42"/>
        <v>371979.7634878176</v>
      </c>
      <c r="L427" s="1529">
        <f t="shared" si="43"/>
        <v>294311.41893321578</v>
      </c>
      <c r="O427" s="1529">
        <f t="shared" si="44"/>
        <v>666291.18242103339</v>
      </c>
    </row>
    <row r="428" spans="4:15" hidden="1">
      <c r="D428" s="1534">
        <f t="shared" si="36"/>
        <v>264</v>
      </c>
      <c r="E428" s="1529">
        <f t="shared" si="37"/>
        <v>205688.58106678398</v>
      </c>
      <c r="F428" s="1529">
        <f t="shared" si="38"/>
        <v>2533.4265491294036</v>
      </c>
      <c r="G428" s="1529">
        <f t="shared" si="39"/>
        <v>771.33217900043996</v>
      </c>
      <c r="H428" s="1529">
        <f t="shared" si="40"/>
        <v>1762.0943701289636</v>
      </c>
      <c r="I428" s="1529">
        <f t="shared" si="41"/>
        <v>203926.48669665502</v>
      </c>
      <c r="K428" s="1529">
        <f t="shared" si="42"/>
        <v>372751.09566681803</v>
      </c>
      <c r="L428" s="1529">
        <f t="shared" si="43"/>
        <v>296073.51330334472</v>
      </c>
      <c r="O428" s="1529">
        <f t="shared" si="44"/>
        <v>668824.60897016269</v>
      </c>
    </row>
    <row r="429" spans="4:15" hidden="1">
      <c r="D429" s="1534">
        <f t="shared" si="36"/>
        <v>265</v>
      </c>
      <c r="E429" s="1529">
        <f t="shared" si="37"/>
        <v>203926.48669665502</v>
      </c>
      <c r="F429" s="1529">
        <f t="shared" si="38"/>
        <v>2533.4265491294036</v>
      </c>
      <c r="G429" s="1529">
        <f t="shared" si="39"/>
        <v>764.72432511245631</v>
      </c>
      <c r="H429" s="1529">
        <f t="shared" si="40"/>
        <v>1768.7022240169472</v>
      </c>
      <c r="I429" s="1529">
        <f t="shared" si="41"/>
        <v>202157.78447263807</v>
      </c>
      <c r="K429" s="1529">
        <f t="shared" si="42"/>
        <v>373515.8199919305</v>
      </c>
      <c r="L429" s="1529">
        <f t="shared" si="43"/>
        <v>297842.21552736167</v>
      </c>
      <c r="O429" s="1529">
        <f t="shared" si="44"/>
        <v>671358.03551929211</v>
      </c>
    </row>
    <row r="430" spans="4:15" hidden="1">
      <c r="D430" s="1534">
        <f t="shared" si="36"/>
        <v>266</v>
      </c>
      <c r="E430" s="1529">
        <f t="shared" si="37"/>
        <v>202157.78447263807</v>
      </c>
      <c r="F430" s="1529">
        <f t="shared" si="38"/>
        <v>2533.4265491294036</v>
      </c>
      <c r="G430" s="1529">
        <f t="shared" si="39"/>
        <v>758.09169177239278</v>
      </c>
      <c r="H430" s="1529">
        <f t="shared" si="40"/>
        <v>1775.3348573570108</v>
      </c>
      <c r="I430" s="1529">
        <f t="shared" si="41"/>
        <v>200382.44961528108</v>
      </c>
      <c r="K430" s="1529">
        <f t="shared" si="42"/>
        <v>374273.9116837029</v>
      </c>
      <c r="L430" s="1529">
        <f t="shared" si="43"/>
        <v>299617.55038471869</v>
      </c>
      <c r="O430" s="1529">
        <f t="shared" si="44"/>
        <v>673891.46206842153</v>
      </c>
    </row>
    <row r="431" spans="4:15" hidden="1">
      <c r="D431" s="1534">
        <f t="shared" si="36"/>
        <v>267</v>
      </c>
      <c r="E431" s="1529">
        <f t="shared" si="37"/>
        <v>200382.44961528108</v>
      </c>
      <c r="F431" s="1529">
        <f t="shared" si="38"/>
        <v>2533.4265491294036</v>
      </c>
      <c r="G431" s="1529">
        <f t="shared" si="39"/>
        <v>751.43418605730403</v>
      </c>
      <c r="H431" s="1529">
        <f t="shared" si="40"/>
        <v>1781.9923630720996</v>
      </c>
      <c r="I431" s="1529">
        <f t="shared" si="41"/>
        <v>198600.45725220899</v>
      </c>
      <c r="K431" s="1529">
        <f t="shared" si="42"/>
        <v>375025.3458697602</v>
      </c>
      <c r="L431" s="1529">
        <f t="shared" si="43"/>
        <v>301399.54274779081</v>
      </c>
      <c r="O431" s="1529">
        <f t="shared" si="44"/>
        <v>676424.88861755095</v>
      </c>
    </row>
    <row r="432" spans="4:15" hidden="1">
      <c r="D432" s="1534">
        <f t="shared" si="36"/>
        <v>268</v>
      </c>
      <c r="E432" s="1529">
        <f t="shared" si="37"/>
        <v>198600.45725220899</v>
      </c>
      <c r="F432" s="1529">
        <f t="shared" si="38"/>
        <v>2533.4265491294036</v>
      </c>
      <c r="G432" s="1529">
        <f t="shared" si="39"/>
        <v>744.75171469578368</v>
      </c>
      <c r="H432" s="1529">
        <f t="shared" si="40"/>
        <v>1788.6748344336199</v>
      </c>
      <c r="I432" s="1529">
        <f t="shared" si="41"/>
        <v>196811.78241777536</v>
      </c>
      <c r="K432" s="1529">
        <f t="shared" si="42"/>
        <v>375770.09758445597</v>
      </c>
      <c r="L432" s="1529">
        <f t="shared" si="43"/>
        <v>303188.2175822244</v>
      </c>
      <c r="O432" s="1529">
        <f t="shared" si="44"/>
        <v>678958.31516668038</v>
      </c>
    </row>
    <row r="433" spans="4:15" hidden="1">
      <c r="D433" s="1534">
        <f t="shared" si="36"/>
        <v>269</v>
      </c>
      <c r="E433" s="1529">
        <f t="shared" si="37"/>
        <v>196811.78241777536</v>
      </c>
      <c r="F433" s="1529">
        <f t="shared" si="38"/>
        <v>2533.4265491294036</v>
      </c>
      <c r="G433" s="1529">
        <f t="shared" si="39"/>
        <v>738.04418406665764</v>
      </c>
      <c r="H433" s="1529">
        <f t="shared" si="40"/>
        <v>1795.382365062746</v>
      </c>
      <c r="I433" s="1529">
        <f t="shared" si="41"/>
        <v>195016.40005271262</v>
      </c>
      <c r="K433" s="1529">
        <f t="shared" si="42"/>
        <v>376508.14176852262</v>
      </c>
      <c r="L433" s="1529">
        <f t="shared" si="43"/>
        <v>304983.59994728718</v>
      </c>
      <c r="O433" s="1529">
        <f t="shared" si="44"/>
        <v>681491.7417158098</v>
      </c>
    </row>
    <row r="434" spans="4:15" hidden="1">
      <c r="D434" s="1534">
        <f t="shared" si="36"/>
        <v>270</v>
      </c>
      <c r="E434" s="1529">
        <f t="shared" si="37"/>
        <v>195016.40005271262</v>
      </c>
      <c r="F434" s="1529">
        <f t="shared" si="38"/>
        <v>2533.4265491294036</v>
      </c>
      <c r="G434" s="1529">
        <f t="shared" si="39"/>
        <v>731.31150019767233</v>
      </c>
      <c r="H434" s="1529">
        <f t="shared" si="40"/>
        <v>1802.1150489317313</v>
      </c>
      <c r="I434" s="1529">
        <f t="shared" si="41"/>
        <v>193214.28500378088</v>
      </c>
      <c r="K434" s="1529">
        <f t="shared" si="42"/>
        <v>377239.4532687203</v>
      </c>
      <c r="L434" s="1529">
        <f t="shared" si="43"/>
        <v>306785.71499621891</v>
      </c>
      <c r="O434" s="1529">
        <f t="shared" si="44"/>
        <v>684025.16826493922</v>
      </c>
    </row>
    <row r="435" spans="4:15" hidden="1">
      <c r="D435" s="1534">
        <f t="shared" si="36"/>
        <v>271</v>
      </c>
      <c r="E435" s="1529">
        <f t="shared" si="37"/>
        <v>193214.28500378088</v>
      </c>
      <c r="F435" s="1529">
        <f t="shared" si="38"/>
        <v>2533.4265491294036</v>
      </c>
      <c r="G435" s="1529">
        <f t="shared" si="39"/>
        <v>724.55356876417829</v>
      </c>
      <c r="H435" s="1529">
        <f t="shared" si="40"/>
        <v>1808.8729803652254</v>
      </c>
      <c r="I435" s="1529">
        <f t="shared" si="41"/>
        <v>191405.41202341564</v>
      </c>
      <c r="K435" s="1529">
        <f t="shared" si="42"/>
        <v>377964.00683748449</v>
      </c>
      <c r="L435" s="1529">
        <f t="shared" si="43"/>
        <v>308594.58797658415</v>
      </c>
      <c r="O435" s="1529">
        <f t="shared" si="44"/>
        <v>686558.59481406864</v>
      </c>
    </row>
    <row r="436" spans="4:15" hidden="1">
      <c r="D436" s="1534">
        <f t="shared" si="36"/>
        <v>272</v>
      </c>
      <c r="E436" s="1529">
        <f t="shared" si="37"/>
        <v>191405.41202341564</v>
      </c>
      <c r="F436" s="1529">
        <f t="shared" si="38"/>
        <v>2533.4265491294036</v>
      </c>
      <c r="G436" s="1529">
        <f t="shared" si="39"/>
        <v>717.77029508780868</v>
      </c>
      <c r="H436" s="1529">
        <f t="shared" si="40"/>
        <v>1815.6562540415948</v>
      </c>
      <c r="I436" s="1529">
        <f t="shared" si="41"/>
        <v>189589.75576937405</v>
      </c>
      <c r="K436" s="1529">
        <f t="shared" si="42"/>
        <v>378681.77713257232</v>
      </c>
      <c r="L436" s="1529">
        <f t="shared" si="43"/>
        <v>310410.24423062574</v>
      </c>
      <c r="O436" s="1529">
        <f t="shared" si="44"/>
        <v>689092.02136319806</v>
      </c>
    </row>
    <row r="437" spans="4:15" hidden="1">
      <c r="D437" s="1534">
        <f t="shared" si="36"/>
        <v>273</v>
      </c>
      <c r="E437" s="1529">
        <f t="shared" si="37"/>
        <v>189589.75576937405</v>
      </c>
      <c r="F437" s="1529">
        <f t="shared" si="38"/>
        <v>2533.4265491294036</v>
      </c>
      <c r="G437" s="1529">
        <f t="shared" si="39"/>
        <v>710.96158413515263</v>
      </c>
      <c r="H437" s="1529">
        <f t="shared" si="40"/>
        <v>1822.464964994251</v>
      </c>
      <c r="I437" s="1529">
        <f t="shared" si="41"/>
        <v>187767.29080437979</v>
      </c>
      <c r="K437" s="1529">
        <f t="shared" si="42"/>
        <v>379392.73871670745</v>
      </c>
      <c r="L437" s="1529">
        <f t="shared" si="43"/>
        <v>312232.70919561997</v>
      </c>
      <c r="O437" s="1529">
        <f t="shared" si="44"/>
        <v>691625.44791232748</v>
      </c>
    </row>
    <row r="438" spans="4:15" hidden="1">
      <c r="D438" s="1534">
        <f t="shared" si="36"/>
        <v>274</v>
      </c>
      <c r="E438" s="1529">
        <f t="shared" si="37"/>
        <v>187767.29080437979</v>
      </c>
      <c r="F438" s="1529">
        <f t="shared" si="38"/>
        <v>2533.4265491294036</v>
      </c>
      <c r="G438" s="1529">
        <f t="shared" si="39"/>
        <v>704.12734051642417</v>
      </c>
      <c r="H438" s="1529">
        <f t="shared" si="40"/>
        <v>1829.2992086129793</v>
      </c>
      <c r="I438" s="1529">
        <f t="shared" si="41"/>
        <v>185937.99159576683</v>
      </c>
      <c r="K438" s="1529">
        <f t="shared" si="42"/>
        <v>380096.86605722387</v>
      </c>
      <c r="L438" s="1529">
        <f t="shared" si="43"/>
        <v>314062.00840423297</v>
      </c>
      <c r="O438" s="1529">
        <f t="shared" si="44"/>
        <v>694158.8744614569</v>
      </c>
    </row>
    <row r="439" spans="4:15" hidden="1">
      <c r="D439" s="1534">
        <f t="shared" si="36"/>
        <v>275</v>
      </c>
      <c r="E439" s="1529">
        <f t="shared" si="37"/>
        <v>185937.99159576683</v>
      </c>
      <c r="F439" s="1529">
        <f t="shared" si="38"/>
        <v>2533.4265491294036</v>
      </c>
      <c r="G439" s="1529">
        <f t="shared" si="39"/>
        <v>697.26746848412563</v>
      </c>
      <c r="H439" s="1529">
        <f t="shared" si="40"/>
        <v>1836.159080645278</v>
      </c>
      <c r="I439" s="1529">
        <f t="shared" si="41"/>
        <v>184101.83251512155</v>
      </c>
      <c r="K439" s="1529">
        <f t="shared" si="42"/>
        <v>380794.13352570799</v>
      </c>
      <c r="L439" s="1529">
        <f t="shared" si="43"/>
        <v>315898.16748487827</v>
      </c>
      <c r="O439" s="1529">
        <f t="shared" si="44"/>
        <v>696692.30101058632</v>
      </c>
    </row>
    <row r="440" spans="4:15" hidden="1">
      <c r="D440" s="1534">
        <f t="shared" si="36"/>
        <v>276</v>
      </c>
      <c r="E440" s="1529">
        <f t="shared" si="37"/>
        <v>184101.83251512155</v>
      </c>
      <c r="F440" s="1529">
        <f t="shared" si="38"/>
        <v>2533.4265491294036</v>
      </c>
      <c r="G440" s="1529">
        <f t="shared" si="39"/>
        <v>690.38187193170575</v>
      </c>
      <c r="H440" s="1529">
        <f t="shared" si="40"/>
        <v>1843.0446771976979</v>
      </c>
      <c r="I440" s="1529">
        <f t="shared" si="41"/>
        <v>182258.78783792385</v>
      </c>
      <c r="K440" s="1529">
        <f t="shared" si="42"/>
        <v>381484.51539763971</v>
      </c>
      <c r="L440" s="1529">
        <f t="shared" si="43"/>
        <v>317741.21216207597</v>
      </c>
      <c r="O440" s="1529">
        <f t="shared" si="44"/>
        <v>699225.72755971574</v>
      </c>
    </row>
    <row r="441" spans="4:15" hidden="1">
      <c r="D441" s="1534">
        <f t="shared" si="36"/>
        <v>277</v>
      </c>
      <c r="E441" s="1529">
        <f t="shared" si="37"/>
        <v>182258.78783792385</v>
      </c>
      <c r="F441" s="1529">
        <f t="shared" si="38"/>
        <v>2533.4265491294036</v>
      </c>
      <c r="G441" s="1529">
        <f t="shared" si="39"/>
        <v>683.47045439221438</v>
      </c>
      <c r="H441" s="1529">
        <f t="shared" si="40"/>
        <v>1849.9560947371892</v>
      </c>
      <c r="I441" s="1529">
        <f t="shared" si="41"/>
        <v>180408.83174318666</v>
      </c>
      <c r="K441" s="1529">
        <f t="shared" si="42"/>
        <v>382167.98585203191</v>
      </c>
      <c r="L441" s="1529">
        <f t="shared" si="43"/>
        <v>319591.16825681314</v>
      </c>
      <c r="O441" s="1529">
        <f t="shared" si="44"/>
        <v>701759.15410884505</v>
      </c>
    </row>
    <row r="442" spans="4:15" hidden="1">
      <c r="D442" s="1534">
        <f t="shared" si="36"/>
        <v>278</v>
      </c>
      <c r="E442" s="1529">
        <f t="shared" si="37"/>
        <v>180408.83174318666</v>
      </c>
      <c r="F442" s="1529">
        <f t="shared" si="38"/>
        <v>2533.4265491294036</v>
      </c>
      <c r="G442" s="1529">
        <f t="shared" si="39"/>
        <v>676.53311903694998</v>
      </c>
      <c r="H442" s="1529">
        <f t="shared" si="40"/>
        <v>1856.8934300924536</v>
      </c>
      <c r="I442" s="1529">
        <f t="shared" si="41"/>
        <v>178551.9383130942</v>
      </c>
      <c r="K442" s="1529">
        <f t="shared" si="42"/>
        <v>382844.51897106884</v>
      </c>
      <c r="L442" s="1529">
        <f t="shared" si="43"/>
        <v>321448.06168690557</v>
      </c>
      <c r="O442" s="1529">
        <f t="shared" si="44"/>
        <v>704292.58065797435</v>
      </c>
    </row>
    <row r="443" spans="4:15" hidden="1">
      <c r="D443" s="1534">
        <f t="shared" si="36"/>
        <v>279</v>
      </c>
      <c r="E443" s="1529">
        <f t="shared" si="37"/>
        <v>178551.9383130942</v>
      </c>
      <c r="F443" s="1529">
        <f t="shared" si="38"/>
        <v>2533.4265491294036</v>
      </c>
      <c r="G443" s="1529">
        <f t="shared" si="39"/>
        <v>669.56976867410322</v>
      </c>
      <c r="H443" s="1529">
        <f t="shared" si="40"/>
        <v>1863.8567804553004</v>
      </c>
      <c r="I443" s="1529">
        <f t="shared" si="41"/>
        <v>176688.0815326389</v>
      </c>
      <c r="K443" s="1529">
        <f t="shared" si="42"/>
        <v>383514.08873974293</v>
      </c>
      <c r="L443" s="1529">
        <f t="shared" si="43"/>
        <v>323311.91846736084</v>
      </c>
      <c r="O443" s="1529">
        <f t="shared" si="44"/>
        <v>706826.00720710377</v>
      </c>
    </row>
    <row r="444" spans="4:15" hidden="1">
      <c r="D444" s="1534">
        <f t="shared" si="36"/>
        <v>280</v>
      </c>
      <c r="E444" s="1529">
        <f t="shared" si="37"/>
        <v>176688.0815326389</v>
      </c>
      <c r="F444" s="1529">
        <f t="shared" si="38"/>
        <v>2533.4265491294036</v>
      </c>
      <c r="G444" s="1529">
        <f t="shared" si="39"/>
        <v>662.58030574739587</v>
      </c>
      <c r="H444" s="1529">
        <f t="shared" si="40"/>
        <v>1870.8462433820077</v>
      </c>
      <c r="I444" s="1529">
        <f t="shared" si="41"/>
        <v>174817.2352892569</v>
      </c>
      <c r="K444" s="1529">
        <f t="shared" si="42"/>
        <v>384176.66904549033</v>
      </c>
      <c r="L444" s="1529">
        <f t="shared" si="43"/>
        <v>325182.76471074286</v>
      </c>
      <c r="O444" s="1529">
        <f t="shared" si="44"/>
        <v>709359.43375623319</v>
      </c>
    </row>
    <row r="445" spans="4:15" hidden="1">
      <c r="D445" s="1534">
        <f t="shared" si="36"/>
        <v>281</v>
      </c>
      <c r="E445" s="1529">
        <f t="shared" si="37"/>
        <v>174817.2352892569</v>
      </c>
      <c r="F445" s="1529">
        <f t="shared" si="38"/>
        <v>2533.4265491294036</v>
      </c>
      <c r="G445" s="1529">
        <f t="shared" si="39"/>
        <v>655.56463233471334</v>
      </c>
      <c r="H445" s="1529">
        <f t="shared" si="40"/>
        <v>1877.8619167946904</v>
      </c>
      <c r="I445" s="1529">
        <f t="shared" si="41"/>
        <v>172939.3733724622</v>
      </c>
      <c r="K445" s="1529">
        <f t="shared" si="42"/>
        <v>384832.23367782502</v>
      </c>
      <c r="L445" s="1529">
        <f t="shared" si="43"/>
        <v>327060.62662753754</v>
      </c>
      <c r="O445" s="1529">
        <f t="shared" si="44"/>
        <v>711892.86030536261</v>
      </c>
    </row>
    <row r="446" spans="4:15" hidden="1">
      <c r="D446" s="1534">
        <f t="shared" si="36"/>
        <v>282</v>
      </c>
      <c r="E446" s="1529">
        <f t="shared" si="37"/>
        <v>172939.3733724622</v>
      </c>
      <c r="F446" s="1529">
        <f t="shared" si="38"/>
        <v>2533.4265491294036</v>
      </c>
      <c r="G446" s="1529">
        <f t="shared" si="39"/>
        <v>648.52265014673321</v>
      </c>
      <c r="H446" s="1529">
        <f t="shared" si="40"/>
        <v>1884.9038989826704</v>
      </c>
      <c r="I446" s="1529">
        <f t="shared" si="41"/>
        <v>171054.46947347952</v>
      </c>
      <c r="K446" s="1529">
        <f t="shared" si="42"/>
        <v>385480.75632797176</v>
      </c>
      <c r="L446" s="1529">
        <f t="shared" si="43"/>
        <v>328945.53052652022</v>
      </c>
      <c r="O446" s="1529">
        <f t="shared" si="44"/>
        <v>714426.28685449203</v>
      </c>
    </row>
    <row r="447" spans="4:15" hidden="1">
      <c r="D447" s="1534">
        <f t="shared" si="36"/>
        <v>283</v>
      </c>
      <c r="E447" s="1529">
        <f t="shared" si="37"/>
        <v>171054.46947347952</v>
      </c>
      <c r="F447" s="1529">
        <f t="shared" si="38"/>
        <v>2533.4265491294036</v>
      </c>
      <c r="G447" s="1529">
        <f t="shared" si="39"/>
        <v>641.45426052554819</v>
      </c>
      <c r="H447" s="1529">
        <f t="shared" si="40"/>
        <v>1891.9722886038553</v>
      </c>
      <c r="I447" s="1529">
        <f t="shared" si="41"/>
        <v>169162.49718487565</v>
      </c>
      <c r="K447" s="1529">
        <f t="shared" si="42"/>
        <v>386122.21058849728</v>
      </c>
      <c r="L447" s="1529">
        <f t="shared" si="43"/>
        <v>330837.50281512405</v>
      </c>
      <c r="O447" s="1529">
        <f t="shared" si="44"/>
        <v>716959.71340362134</v>
      </c>
    </row>
    <row r="448" spans="4:15" hidden="1">
      <c r="D448" s="1534">
        <f t="shared" si="36"/>
        <v>284</v>
      </c>
      <c r="E448" s="1529">
        <f t="shared" si="37"/>
        <v>169162.49718487565</v>
      </c>
      <c r="F448" s="1529">
        <f t="shared" si="38"/>
        <v>2533.4265491294036</v>
      </c>
      <c r="G448" s="1529">
        <f t="shared" si="39"/>
        <v>634.35936444328365</v>
      </c>
      <c r="H448" s="1529">
        <f t="shared" si="40"/>
        <v>1899.0671846861201</v>
      </c>
      <c r="I448" s="1529">
        <f t="shared" si="41"/>
        <v>167263.43000018955</v>
      </c>
      <c r="K448" s="1529">
        <f t="shared" si="42"/>
        <v>386756.56995294057</v>
      </c>
      <c r="L448" s="1529">
        <f t="shared" si="43"/>
        <v>332736.56999981019</v>
      </c>
      <c r="O448" s="1529">
        <f t="shared" si="44"/>
        <v>719493.13995275076</v>
      </c>
    </row>
    <row r="449" spans="4:15" hidden="1">
      <c r="D449" s="1534">
        <f t="shared" si="36"/>
        <v>285</v>
      </c>
      <c r="E449" s="1529">
        <f t="shared" si="37"/>
        <v>167263.43000018955</v>
      </c>
      <c r="F449" s="1529">
        <f t="shared" si="38"/>
        <v>2533.4265491294036</v>
      </c>
      <c r="G449" s="1529">
        <f t="shared" si="39"/>
        <v>627.23786250071078</v>
      </c>
      <c r="H449" s="1529">
        <f t="shared" si="40"/>
        <v>1906.1886866286927</v>
      </c>
      <c r="I449" s="1529">
        <f t="shared" si="41"/>
        <v>165357.24131356087</v>
      </c>
      <c r="K449" s="1529">
        <f t="shared" si="42"/>
        <v>387383.80781544128</v>
      </c>
      <c r="L449" s="1529">
        <f t="shared" si="43"/>
        <v>334642.7586864389</v>
      </c>
      <c r="O449" s="1529">
        <f t="shared" si="44"/>
        <v>722026.56650188018</v>
      </c>
    </row>
    <row r="450" spans="4:15" hidden="1">
      <c r="D450" s="1534">
        <f t="shared" si="36"/>
        <v>286</v>
      </c>
      <c r="E450" s="1529">
        <f t="shared" si="37"/>
        <v>165357.24131356087</v>
      </c>
      <c r="F450" s="1529">
        <f t="shared" si="38"/>
        <v>2533.4265491294036</v>
      </c>
      <c r="G450" s="1529">
        <f t="shared" si="39"/>
        <v>620.08965492585321</v>
      </c>
      <c r="H450" s="1529">
        <f t="shared" si="40"/>
        <v>1913.3368942035504</v>
      </c>
      <c r="I450" s="1529">
        <f t="shared" si="41"/>
        <v>163443.90441935731</v>
      </c>
      <c r="K450" s="1529">
        <f t="shared" si="42"/>
        <v>388003.89747036714</v>
      </c>
      <c r="L450" s="1529">
        <f t="shared" si="43"/>
        <v>336556.09558064246</v>
      </c>
      <c r="O450" s="1529">
        <f t="shared" si="44"/>
        <v>724559.9930510096</v>
      </c>
    </row>
    <row r="451" spans="4:15" hidden="1">
      <c r="D451" s="1534">
        <f t="shared" si="36"/>
        <v>287</v>
      </c>
      <c r="E451" s="1529">
        <f t="shared" si="37"/>
        <v>163443.90441935731</v>
      </c>
      <c r="F451" s="1529">
        <f t="shared" si="38"/>
        <v>2533.4265491294036</v>
      </c>
      <c r="G451" s="1529">
        <f t="shared" si="39"/>
        <v>612.91464157258986</v>
      </c>
      <c r="H451" s="1529">
        <f t="shared" si="40"/>
        <v>1920.5119075568136</v>
      </c>
      <c r="I451" s="1529">
        <f t="shared" si="41"/>
        <v>161523.39251180048</v>
      </c>
      <c r="K451" s="1529">
        <f t="shared" si="42"/>
        <v>388616.81211193971</v>
      </c>
      <c r="L451" s="1529">
        <f t="shared" si="43"/>
        <v>338476.60748819925</v>
      </c>
      <c r="O451" s="1529">
        <f t="shared" si="44"/>
        <v>727093.41960013891</v>
      </c>
    </row>
    <row r="452" spans="4:15" hidden="1">
      <c r="D452" s="1534">
        <f t="shared" si="36"/>
        <v>288</v>
      </c>
      <c r="E452" s="1529">
        <f t="shared" si="37"/>
        <v>161523.39251180048</v>
      </c>
      <c r="F452" s="1529">
        <f t="shared" si="38"/>
        <v>2533.4265491294036</v>
      </c>
      <c r="G452" s="1529">
        <f t="shared" si="39"/>
        <v>605.71272191925175</v>
      </c>
      <c r="H452" s="1529">
        <f t="shared" si="40"/>
        <v>1927.713827210152</v>
      </c>
      <c r="I452" s="1529">
        <f t="shared" si="41"/>
        <v>159595.67868459033</v>
      </c>
      <c r="K452" s="1529">
        <f t="shared" si="42"/>
        <v>389222.52483385894</v>
      </c>
      <c r="L452" s="1529">
        <f t="shared" si="43"/>
        <v>340404.32131540938</v>
      </c>
      <c r="O452" s="1529">
        <f t="shared" si="44"/>
        <v>729626.84614926833</v>
      </c>
    </row>
    <row r="453" spans="4:15" hidden="1">
      <c r="D453" s="1534">
        <f t="shared" si="36"/>
        <v>289</v>
      </c>
      <c r="E453" s="1529">
        <f t="shared" si="37"/>
        <v>159595.67868459033</v>
      </c>
      <c r="F453" s="1529">
        <f t="shared" si="38"/>
        <v>2533.4265491294036</v>
      </c>
      <c r="G453" s="1529">
        <f t="shared" si="39"/>
        <v>598.48379506721369</v>
      </c>
      <c r="H453" s="1529">
        <f t="shared" si="40"/>
        <v>1934.94275406219</v>
      </c>
      <c r="I453" s="1529">
        <f t="shared" si="41"/>
        <v>157660.73593052814</v>
      </c>
      <c r="K453" s="1529">
        <f t="shared" si="42"/>
        <v>389821.00862892618</v>
      </c>
      <c r="L453" s="1529">
        <f t="shared" si="43"/>
        <v>342339.26406947157</v>
      </c>
      <c r="O453" s="1529">
        <f t="shared" si="44"/>
        <v>732160.27269839775</v>
      </c>
    </row>
    <row r="454" spans="4:15" hidden="1">
      <c r="D454" s="1534">
        <f t="shared" si="36"/>
        <v>290</v>
      </c>
      <c r="E454" s="1529">
        <f t="shared" si="37"/>
        <v>157660.73593052814</v>
      </c>
      <c r="F454" s="1529">
        <f t="shared" si="38"/>
        <v>2533.4265491294036</v>
      </c>
      <c r="G454" s="1529">
        <f t="shared" si="39"/>
        <v>591.22775973948046</v>
      </c>
      <c r="H454" s="1529">
        <f t="shared" si="40"/>
        <v>1942.1987893899231</v>
      </c>
      <c r="I454" s="1529">
        <f t="shared" si="41"/>
        <v>155718.53714113822</v>
      </c>
      <c r="K454" s="1529">
        <f t="shared" si="42"/>
        <v>390412.23638866568</v>
      </c>
      <c r="L454" s="1529">
        <f t="shared" si="43"/>
        <v>344281.46285886149</v>
      </c>
      <c r="O454" s="1529">
        <f t="shared" si="44"/>
        <v>734693.69924752717</v>
      </c>
    </row>
    <row r="455" spans="4:15" hidden="1">
      <c r="D455" s="1534">
        <f t="shared" si="36"/>
        <v>291</v>
      </c>
      <c r="E455" s="1529">
        <f t="shared" si="37"/>
        <v>155718.53714113822</v>
      </c>
      <c r="F455" s="1529">
        <f t="shared" si="38"/>
        <v>2533.4265491294036</v>
      </c>
      <c r="G455" s="1529">
        <f t="shared" si="39"/>
        <v>583.94451427926833</v>
      </c>
      <c r="H455" s="1529">
        <f t="shared" si="40"/>
        <v>1949.4820348501353</v>
      </c>
      <c r="I455" s="1529">
        <f t="shared" si="41"/>
        <v>153769.05510628808</v>
      </c>
      <c r="K455" s="1529">
        <f t="shared" si="42"/>
        <v>390996.18090294494</v>
      </c>
      <c r="L455" s="1529">
        <f t="shared" si="43"/>
        <v>346230.9448937116</v>
      </c>
      <c r="O455" s="1529">
        <f t="shared" si="44"/>
        <v>737227.12579665659</v>
      </c>
    </row>
    <row r="456" spans="4:15" hidden="1">
      <c r="D456" s="1534">
        <f t="shared" si="36"/>
        <v>292</v>
      </c>
      <c r="E456" s="1529">
        <f t="shared" si="37"/>
        <v>153769.05510628808</v>
      </c>
      <c r="F456" s="1529">
        <f t="shared" si="38"/>
        <v>2533.4265491294036</v>
      </c>
      <c r="G456" s="1529">
        <f t="shared" si="39"/>
        <v>576.63395664858024</v>
      </c>
      <c r="H456" s="1529">
        <f t="shared" si="40"/>
        <v>1956.7925924808233</v>
      </c>
      <c r="I456" s="1529">
        <f t="shared" si="41"/>
        <v>151812.26251380725</v>
      </c>
      <c r="K456" s="1529">
        <f t="shared" si="42"/>
        <v>391572.81485959352</v>
      </c>
      <c r="L456" s="1529">
        <f t="shared" si="43"/>
        <v>348187.73748619243</v>
      </c>
      <c r="O456" s="1529">
        <f t="shared" si="44"/>
        <v>739760.55234578601</v>
      </c>
    </row>
    <row r="457" spans="4:15" hidden="1">
      <c r="D457" s="1534">
        <f t="shared" si="36"/>
        <v>293</v>
      </c>
      <c r="E457" s="1529">
        <f t="shared" si="37"/>
        <v>151812.26251380725</v>
      </c>
      <c r="F457" s="1529">
        <f t="shared" si="38"/>
        <v>2533.4265491294036</v>
      </c>
      <c r="G457" s="1529">
        <f t="shared" si="39"/>
        <v>569.29598442677718</v>
      </c>
      <c r="H457" s="1529">
        <f t="shared" si="40"/>
        <v>1964.1305647026265</v>
      </c>
      <c r="I457" s="1529">
        <f t="shared" si="41"/>
        <v>149848.13194910463</v>
      </c>
      <c r="K457" s="1529">
        <f t="shared" si="42"/>
        <v>392142.11084402032</v>
      </c>
      <c r="L457" s="1529">
        <f t="shared" si="43"/>
        <v>350151.86805089505</v>
      </c>
      <c r="O457" s="1529">
        <f t="shared" si="44"/>
        <v>742293.97889491543</v>
      </c>
    </row>
    <row r="458" spans="4:15" hidden="1">
      <c r="D458" s="1534">
        <f t="shared" si="36"/>
        <v>294</v>
      </c>
      <c r="E458" s="1529">
        <f t="shared" si="37"/>
        <v>149848.13194910463</v>
      </c>
      <c r="F458" s="1529">
        <f t="shared" si="38"/>
        <v>2533.4265491294036</v>
      </c>
      <c r="G458" s="1529">
        <f t="shared" si="39"/>
        <v>561.93049480914237</v>
      </c>
      <c r="H458" s="1529">
        <f t="shared" si="40"/>
        <v>1971.4960543202612</v>
      </c>
      <c r="I458" s="1529">
        <f t="shared" si="41"/>
        <v>147876.63589478438</v>
      </c>
      <c r="K458" s="1529">
        <f t="shared" si="42"/>
        <v>392704.04133882944</v>
      </c>
      <c r="L458" s="1529">
        <f t="shared" si="43"/>
        <v>352123.3641052153</v>
      </c>
      <c r="O458" s="1529">
        <f t="shared" si="44"/>
        <v>744827.40544404474</v>
      </c>
    </row>
    <row r="459" spans="4:15" hidden="1">
      <c r="D459" s="1534">
        <f t="shared" si="36"/>
        <v>295</v>
      </c>
      <c r="E459" s="1529">
        <f t="shared" si="37"/>
        <v>147876.63589478438</v>
      </c>
      <c r="F459" s="1529">
        <f t="shared" si="38"/>
        <v>2533.4265491294036</v>
      </c>
      <c r="G459" s="1529">
        <f t="shared" si="39"/>
        <v>554.53738460544139</v>
      </c>
      <c r="H459" s="1529">
        <f t="shared" si="40"/>
        <v>1978.8891645239623</v>
      </c>
      <c r="I459" s="1529">
        <f t="shared" si="41"/>
        <v>145897.74673026043</v>
      </c>
      <c r="K459" s="1529">
        <f t="shared" si="42"/>
        <v>393258.57872343488</v>
      </c>
      <c r="L459" s="1529">
        <f t="shared" si="43"/>
        <v>354102.25326973927</v>
      </c>
      <c r="O459" s="1529">
        <f t="shared" si="44"/>
        <v>747360.83199317416</v>
      </c>
    </row>
    <row r="460" spans="4:15" hidden="1">
      <c r="D460" s="1534">
        <f t="shared" si="36"/>
        <v>296</v>
      </c>
      <c r="E460" s="1529">
        <f t="shared" si="37"/>
        <v>145897.74673026043</v>
      </c>
      <c r="F460" s="1529">
        <f t="shared" si="38"/>
        <v>2533.4265491294036</v>
      </c>
      <c r="G460" s="1529">
        <f t="shared" si="39"/>
        <v>547.11655023847663</v>
      </c>
      <c r="H460" s="1529">
        <f t="shared" si="40"/>
        <v>1986.3099988909271</v>
      </c>
      <c r="I460" s="1529">
        <f t="shared" si="41"/>
        <v>143911.4367313695</v>
      </c>
      <c r="K460" s="1529">
        <f t="shared" si="42"/>
        <v>393805.69527367334</v>
      </c>
      <c r="L460" s="1529">
        <f t="shared" si="43"/>
        <v>356088.56326863018</v>
      </c>
      <c r="O460" s="1529">
        <f t="shared" si="44"/>
        <v>749894.25854230346</v>
      </c>
    </row>
    <row r="461" spans="4:15" hidden="1">
      <c r="D461" s="1534">
        <f t="shared" ref="D461:D482" si="45">D460+1</f>
        <v>297</v>
      </c>
      <c r="E461" s="1529">
        <f t="shared" ref="E461:E482" si="46">I460</f>
        <v>143911.4367313695</v>
      </c>
      <c r="F461" s="1529">
        <f t="shared" ref="F461:F482" si="47">F460</f>
        <v>2533.4265491294036</v>
      </c>
      <c r="G461" s="1529">
        <f t="shared" ref="G461:G482" si="48">E461*$G$159</f>
        <v>539.66788774263557</v>
      </c>
      <c r="H461" s="1529">
        <f t="shared" ref="H461:H482" si="49">F461-G461</f>
        <v>1993.7586613867679</v>
      </c>
      <c r="I461" s="1529">
        <f t="shared" ref="I461:I482" si="50">E461-H461</f>
        <v>141917.67806998274</v>
      </c>
      <c r="K461" s="1529">
        <f t="shared" ref="K461:K482" si="51">K460+G461</f>
        <v>394345.36316141597</v>
      </c>
      <c r="L461" s="1529">
        <f t="shared" ref="L461:L482" si="52">L460+H461</f>
        <v>358082.32193001697</v>
      </c>
      <c r="O461" s="1529">
        <f t="shared" si="44"/>
        <v>752427.68509143288</v>
      </c>
    </row>
    <row r="462" spans="4:15" hidden="1">
      <c r="D462" s="1534">
        <f t="shared" si="45"/>
        <v>298</v>
      </c>
      <c r="E462" s="1529">
        <f t="shared" si="46"/>
        <v>141917.67806998274</v>
      </c>
      <c r="F462" s="1529">
        <f t="shared" si="47"/>
        <v>2533.4265491294036</v>
      </c>
      <c r="G462" s="1529">
        <f t="shared" si="48"/>
        <v>532.1912927624353</v>
      </c>
      <c r="H462" s="1529">
        <f t="shared" si="49"/>
        <v>2001.2352563669683</v>
      </c>
      <c r="I462" s="1529">
        <f t="shared" si="50"/>
        <v>139916.44281361578</v>
      </c>
      <c r="K462" s="1529">
        <f t="shared" si="51"/>
        <v>394877.55445417837</v>
      </c>
      <c r="L462" s="1529">
        <f t="shared" si="52"/>
        <v>360083.55718638393</v>
      </c>
      <c r="O462" s="1529">
        <f t="shared" si="44"/>
        <v>754961.1116405623</v>
      </c>
    </row>
    <row r="463" spans="4:15" hidden="1">
      <c r="D463" s="1534">
        <f t="shared" si="45"/>
        <v>299</v>
      </c>
      <c r="E463" s="1529">
        <f t="shared" si="46"/>
        <v>139916.44281361578</v>
      </c>
      <c r="F463" s="1529">
        <f t="shared" si="47"/>
        <v>2533.4265491294036</v>
      </c>
      <c r="G463" s="1529">
        <f t="shared" si="48"/>
        <v>524.68666055105916</v>
      </c>
      <c r="H463" s="1529">
        <f t="shared" si="49"/>
        <v>2008.7398885783446</v>
      </c>
      <c r="I463" s="1529">
        <f t="shared" si="50"/>
        <v>137907.70292503745</v>
      </c>
      <c r="K463" s="1529">
        <f t="shared" si="51"/>
        <v>395402.24111472943</v>
      </c>
      <c r="L463" s="1529">
        <f t="shared" si="52"/>
        <v>362092.29707496229</v>
      </c>
      <c r="O463" s="1529">
        <f t="shared" si="44"/>
        <v>757494.53818969172</v>
      </c>
    </row>
    <row r="464" spans="4:15" hidden="1">
      <c r="D464" s="1534">
        <f t="shared" si="45"/>
        <v>300</v>
      </c>
      <c r="E464" s="1529">
        <f t="shared" si="46"/>
        <v>137907.70292503745</v>
      </c>
      <c r="F464" s="1529">
        <f t="shared" si="47"/>
        <v>2533.4265491294036</v>
      </c>
      <c r="G464" s="1529">
        <f t="shared" si="48"/>
        <v>517.15388596889045</v>
      </c>
      <c r="H464" s="1529">
        <f t="shared" si="49"/>
        <v>2016.2726631605133</v>
      </c>
      <c r="I464" s="1529">
        <f t="shared" si="50"/>
        <v>135891.43026187693</v>
      </c>
      <c r="K464" s="1529">
        <f t="shared" si="51"/>
        <v>395919.39500069834</v>
      </c>
      <c r="L464" s="1529">
        <f t="shared" si="52"/>
        <v>364108.56973812281</v>
      </c>
      <c r="O464" s="1529">
        <f t="shared" si="44"/>
        <v>760027.96473882115</v>
      </c>
    </row>
    <row r="465" spans="4:15" hidden="1">
      <c r="D465" s="1534">
        <f t="shared" si="45"/>
        <v>301</v>
      </c>
      <c r="E465" s="1529">
        <f t="shared" si="46"/>
        <v>135891.43026187693</v>
      </c>
      <c r="F465" s="1529">
        <f t="shared" si="47"/>
        <v>2533.4265491294036</v>
      </c>
      <c r="G465" s="1529">
        <f t="shared" si="48"/>
        <v>509.59286348203847</v>
      </c>
      <c r="H465" s="1529">
        <f t="shared" si="49"/>
        <v>2023.8336856473652</v>
      </c>
      <c r="I465" s="1529">
        <f t="shared" si="50"/>
        <v>133867.59657622955</v>
      </c>
      <c r="K465" s="1529">
        <f t="shared" si="51"/>
        <v>396428.98786418035</v>
      </c>
      <c r="L465" s="1529">
        <f t="shared" si="52"/>
        <v>366132.40342377016</v>
      </c>
      <c r="O465" s="1529">
        <f t="shared" si="44"/>
        <v>762561.39128795057</v>
      </c>
    </row>
    <row r="466" spans="4:15" hidden="1">
      <c r="D466" s="1534">
        <f t="shared" si="45"/>
        <v>302</v>
      </c>
      <c r="E466" s="1529">
        <f t="shared" si="46"/>
        <v>133867.59657622955</v>
      </c>
      <c r="F466" s="1529">
        <f t="shared" si="47"/>
        <v>2533.4265491294036</v>
      </c>
      <c r="G466" s="1529">
        <f t="shared" si="48"/>
        <v>502.0034871608608</v>
      </c>
      <c r="H466" s="1529">
        <f t="shared" si="49"/>
        <v>2031.4230619685427</v>
      </c>
      <c r="I466" s="1529">
        <f t="shared" si="50"/>
        <v>131836.173514261</v>
      </c>
      <c r="K466" s="1529">
        <f t="shared" si="51"/>
        <v>396930.99135134119</v>
      </c>
      <c r="L466" s="1529">
        <f t="shared" si="52"/>
        <v>368163.82648573868</v>
      </c>
      <c r="O466" s="1529">
        <f t="shared" si="44"/>
        <v>765094.81783707987</v>
      </c>
    </row>
    <row r="467" spans="4:15" hidden="1">
      <c r="D467" s="1534">
        <f t="shared" si="45"/>
        <v>303</v>
      </c>
      <c r="E467" s="1529">
        <f t="shared" si="46"/>
        <v>131836.173514261</v>
      </c>
      <c r="F467" s="1529">
        <f t="shared" si="47"/>
        <v>2533.4265491294036</v>
      </c>
      <c r="G467" s="1529">
        <f t="shared" si="48"/>
        <v>494.38565067847873</v>
      </c>
      <c r="H467" s="1529">
        <f t="shared" si="49"/>
        <v>2039.0408984509249</v>
      </c>
      <c r="I467" s="1529">
        <f t="shared" si="50"/>
        <v>129797.13261581007</v>
      </c>
      <c r="K467" s="1529">
        <f t="shared" si="51"/>
        <v>397425.37700201967</v>
      </c>
      <c r="L467" s="1529">
        <f t="shared" si="52"/>
        <v>370202.86738418962</v>
      </c>
      <c r="O467" s="1529">
        <f t="shared" si="44"/>
        <v>767628.24438620929</v>
      </c>
    </row>
    <row r="468" spans="4:15" hidden="1">
      <c r="D468" s="1534">
        <f t="shared" si="45"/>
        <v>304</v>
      </c>
      <c r="E468" s="1529">
        <f t="shared" si="46"/>
        <v>129797.13261581007</v>
      </c>
      <c r="F468" s="1529">
        <f t="shared" si="47"/>
        <v>2533.4265491294036</v>
      </c>
      <c r="G468" s="1529">
        <f t="shared" si="48"/>
        <v>486.73924730928775</v>
      </c>
      <c r="H468" s="1529">
        <f t="shared" si="49"/>
        <v>2046.6873018201159</v>
      </c>
      <c r="I468" s="1529">
        <f t="shared" si="50"/>
        <v>127750.44531398996</v>
      </c>
      <c r="K468" s="1529">
        <f t="shared" si="51"/>
        <v>397912.11624932894</v>
      </c>
      <c r="L468" s="1529">
        <f t="shared" si="52"/>
        <v>372249.55468600977</v>
      </c>
      <c r="O468" s="1529">
        <f t="shared" si="44"/>
        <v>770161.67093533871</v>
      </c>
    </row>
    <row r="469" spans="4:15" hidden="1">
      <c r="D469" s="1534">
        <f t="shared" si="45"/>
        <v>305</v>
      </c>
      <c r="E469" s="1529">
        <f t="shared" si="46"/>
        <v>127750.44531398996</v>
      </c>
      <c r="F469" s="1529">
        <f t="shared" si="47"/>
        <v>2533.4265491294036</v>
      </c>
      <c r="G469" s="1529">
        <f t="shared" si="48"/>
        <v>479.06416992746233</v>
      </c>
      <c r="H469" s="1529">
        <f t="shared" si="49"/>
        <v>2054.3623792019412</v>
      </c>
      <c r="I469" s="1529">
        <f t="shared" si="50"/>
        <v>125696.08293478802</v>
      </c>
      <c r="K469" s="1529">
        <f t="shared" si="51"/>
        <v>398391.18041925639</v>
      </c>
      <c r="L469" s="1529">
        <f t="shared" si="52"/>
        <v>374303.91706521169</v>
      </c>
      <c r="O469" s="1529">
        <f t="shared" si="44"/>
        <v>772695.09748446802</v>
      </c>
    </row>
    <row r="470" spans="4:15" hidden="1">
      <c r="D470" s="1534">
        <f t="shared" si="45"/>
        <v>306</v>
      </c>
      <c r="E470" s="1529">
        <f t="shared" si="46"/>
        <v>125696.08293478802</v>
      </c>
      <c r="F470" s="1529">
        <f t="shared" si="47"/>
        <v>2533.4265491294036</v>
      </c>
      <c r="G470" s="1529">
        <f t="shared" si="48"/>
        <v>471.36031100545506</v>
      </c>
      <c r="H470" s="1529">
        <f t="shared" si="49"/>
        <v>2062.0662381239486</v>
      </c>
      <c r="I470" s="1529">
        <f t="shared" si="50"/>
        <v>123634.01669666407</v>
      </c>
      <c r="K470" s="1529">
        <f t="shared" si="51"/>
        <v>398862.54073026183</v>
      </c>
      <c r="L470" s="1529">
        <f t="shared" si="52"/>
        <v>376365.98330333561</v>
      </c>
      <c r="O470" s="1529">
        <f t="shared" si="44"/>
        <v>775228.52403359744</v>
      </c>
    </row>
    <row r="471" spans="4:15" hidden="1">
      <c r="D471" s="1534">
        <f t="shared" si="45"/>
        <v>307</v>
      </c>
      <c r="E471" s="1529">
        <f t="shared" si="46"/>
        <v>123634.01669666407</v>
      </c>
      <c r="F471" s="1529">
        <f t="shared" si="47"/>
        <v>2533.4265491294036</v>
      </c>
      <c r="G471" s="1529">
        <f t="shared" si="48"/>
        <v>463.62756261249024</v>
      </c>
      <c r="H471" s="1529">
        <f t="shared" si="49"/>
        <v>2069.7989865169134</v>
      </c>
      <c r="I471" s="1529">
        <f t="shared" si="50"/>
        <v>121564.21771014716</v>
      </c>
      <c r="K471" s="1529">
        <f t="shared" si="51"/>
        <v>399326.1682928743</v>
      </c>
      <c r="L471" s="1529">
        <f t="shared" si="52"/>
        <v>378435.7822898525</v>
      </c>
      <c r="O471" s="1529">
        <f t="shared" si="44"/>
        <v>777761.95058272686</v>
      </c>
    </row>
    <row r="472" spans="4:15" hidden="1">
      <c r="D472" s="1534">
        <f t="shared" si="45"/>
        <v>308</v>
      </c>
      <c r="E472" s="1529">
        <f t="shared" si="46"/>
        <v>121564.21771014716</v>
      </c>
      <c r="F472" s="1529">
        <f t="shared" si="47"/>
        <v>2533.4265491294036</v>
      </c>
      <c r="G472" s="1529">
        <f t="shared" si="48"/>
        <v>455.86581641305185</v>
      </c>
      <c r="H472" s="1529">
        <f t="shared" si="49"/>
        <v>2077.5607327163516</v>
      </c>
      <c r="I472" s="1529">
        <f t="shared" si="50"/>
        <v>119486.65697743082</v>
      </c>
      <c r="K472" s="1529">
        <f t="shared" si="51"/>
        <v>399782.03410928737</v>
      </c>
      <c r="L472" s="1529">
        <f t="shared" si="52"/>
        <v>380513.34302256885</v>
      </c>
      <c r="O472" s="1529">
        <f t="shared" si="44"/>
        <v>780295.37713185628</v>
      </c>
    </row>
    <row r="473" spans="4:15" hidden="1">
      <c r="D473" s="1534">
        <f t="shared" si="45"/>
        <v>309</v>
      </c>
      <c r="E473" s="1529">
        <f t="shared" si="46"/>
        <v>119486.65697743082</v>
      </c>
      <c r="F473" s="1529">
        <f t="shared" si="47"/>
        <v>2533.4265491294036</v>
      </c>
      <c r="G473" s="1529">
        <f t="shared" si="48"/>
        <v>448.07496366536554</v>
      </c>
      <c r="H473" s="1529">
        <f t="shared" si="49"/>
        <v>2085.3515854640382</v>
      </c>
      <c r="I473" s="1529">
        <f t="shared" si="50"/>
        <v>117401.30539196677</v>
      </c>
      <c r="K473" s="1529">
        <f t="shared" si="51"/>
        <v>400230.10907295276</v>
      </c>
      <c r="L473" s="1529">
        <f t="shared" si="52"/>
        <v>382598.69460803288</v>
      </c>
      <c r="O473" s="1529">
        <f t="shared" si="44"/>
        <v>782828.8036809857</v>
      </c>
    </row>
    <row r="474" spans="4:15" hidden="1">
      <c r="D474" s="1534">
        <f t="shared" si="45"/>
        <v>310</v>
      </c>
      <c r="E474" s="1529">
        <f t="shared" si="46"/>
        <v>117401.30539196677</v>
      </c>
      <c r="F474" s="1529">
        <f t="shared" si="47"/>
        <v>2533.4265491294036</v>
      </c>
      <c r="G474" s="1529">
        <f t="shared" si="48"/>
        <v>440.25489521987538</v>
      </c>
      <c r="H474" s="1529">
        <f t="shared" si="49"/>
        <v>2093.1716539095282</v>
      </c>
      <c r="I474" s="1529">
        <f t="shared" si="50"/>
        <v>115308.13373805725</v>
      </c>
      <c r="K474" s="1529">
        <f t="shared" si="51"/>
        <v>400670.36396817263</v>
      </c>
      <c r="L474" s="1529">
        <f t="shared" si="52"/>
        <v>384691.86626194243</v>
      </c>
      <c r="O474" s="1529">
        <f t="shared" si="44"/>
        <v>785362.23023011512</v>
      </c>
    </row>
    <row r="475" spans="4:15" hidden="1">
      <c r="D475" s="1534">
        <f t="shared" si="45"/>
        <v>311</v>
      </c>
      <c r="E475" s="1529">
        <f t="shared" si="46"/>
        <v>115308.13373805725</v>
      </c>
      <c r="F475" s="1529">
        <f t="shared" si="47"/>
        <v>2533.4265491294036</v>
      </c>
      <c r="G475" s="1529">
        <f t="shared" si="48"/>
        <v>432.4055015177147</v>
      </c>
      <c r="H475" s="1529">
        <f t="shared" si="49"/>
        <v>2101.021047611689</v>
      </c>
      <c r="I475" s="1529">
        <f t="shared" si="50"/>
        <v>113207.11269044556</v>
      </c>
      <c r="K475" s="1529">
        <f t="shared" si="51"/>
        <v>401102.76946969033</v>
      </c>
      <c r="L475" s="1529">
        <f t="shared" si="52"/>
        <v>386792.88730955409</v>
      </c>
      <c r="O475" s="1529">
        <f t="shared" si="44"/>
        <v>787895.65677924443</v>
      </c>
    </row>
    <row r="476" spans="4:15" hidden="1">
      <c r="D476" s="1534">
        <f t="shared" si="45"/>
        <v>312</v>
      </c>
      <c r="E476" s="1529">
        <f t="shared" si="46"/>
        <v>113207.11269044556</v>
      </c>
      <c r="F476" s="1529">
        <f t="shared" si="47"/>
        <v>2533.4265491294036</v>
      </c>
      <c r="G476" s="1529">
        <f t="shared" si="48"/>
        <v>424.52667258917086</v>
      </c>
      <c r="H476" s="1529">
        <f t="shared" si="49"/>
        <v>2108.899876540233</v>
      </c>
      <c r="I476" s="1529">
        <f t="shared" si="50"/>
        <v>111098.21281390532</v>
      </c>
      <c r="K476" s="1529">
        <f t="shared" si="51"/>
        <v>401527.29614227952</v>
      </c>
      <c r="L476" s="1529">
        <f t="shared" si="52"/>
        <v>388901.78718609433</v>
      </c>
      <c r="O476" s="1529">
        <f t="shared" si="44"/>
        <v>790429.08332837385</v>
      </c>
    </row>
    <row r="477" spans="4:15" hidden="1">
      <c r="D477" s="1534">
        <f t="shared" si="45"/>
        <v>313</v>
      </c>
      <c r="E477" s="1529">
        <f t="shared" si="46"/>
        <v>111098.21281390532</v>
      </c>
      <c r="F477" s="1529">
        <f t="shared" si="47"/>
        <v>2533.4265491294036</v>
      </c>
      <c r="G477" s="1529">
        <f t="shared" si="48"/>
        <v>416.61829805214495</v>
      </c>
      <c r="H477" s="1529">
        <f t="shared" si="49"/>
        <v>2116.8082510772588</v>
      </c>
      <c r="I477" s="1529">
        <f t="shared" si="50"/>
        <v>108981.40456282806</v>
      </c>
      <c r="K477" s="1529">
        <f t="shared" si="51"/>
        <v>401943.91444033169</v>
      </c>
      <c r="L477" s="1529">
        <f t="shared" si="52"/>
        <v>391018.59543717158</v>
      </c>
      <c r="O477" s="1529">
        <f t="shared" si="44"/>
        <v>792962.50987750327</v>
      </c>
    </row>
    <row r="478" spans="4:15" hidden="1">
      <c r="D478" s="1534">
        <f t="shared" si="45"/>
        <v>314</v>
      </c>
      <c r="E478" s="1529">
        <f t="shared" si="46"/>
        <v>108981.40456282806</v>
      </c>
      <c r="F478" s="1529">
        <f t="shared" si="47"/>
        <v>2533.4265491294036</v>
      </c>
      <c r="G478" s="1529">
        <f t="shared" si="48"/>
        <v>408.6802671106052</v>
      </c>
      <c r="H478" s="1529">
        <f t="shared" si="49"/>
        <v>2124.7462820187984</v>
      </c>
      <c r="I478" s="1529">
        <f t="shared" si="50"/>
        <v>106856.65828080926</v>
      </c>
      <c r="K478" s="1529">
        <f t="shared" si="51"/>
        <v>402352.59470744227</v>
      </c>
      <c r="L478" s="1529">
        <f t="shared" si="52"/>
        <v>393143.34171919036</v>
      </c>
      <c r="O478" s="1529">
        <f t="shared" si="44"/>
        <v>795495.93642663257</v>
      </c>
    </row>
    <row r="479" spans="4:15" hidden="1">
      <c r="D479" s="1534">
        <f t="shared" si="45"/>
        <v>315</v>
      </c>
      <c r="E479" s="1529">
        <f t="shared" si="46"/>
        <v>106856.65828080926</v>
      </c>
      <c r="F479" s="1529">
        <f t="shared" si="47"/>
        <v>2533.4265491294036</v>
      </c>
      <c r="G479" s="1529">
        <f t="shared" si="48"/>
        <v>400.71246855303474</v>
      </c>
      <c r="H479" s="1529">
        <f t="shared" si="49"/>
        <v>2132.7140805763688</v>
      </c>
      <c r="I479" s="1529">
        <f t="shared" si="50"/>
        <v>104723.9442002329</v>
      </c>
      <c r="K479" s="1529">
        <f t="shared" si="51"/>
        <v>402753.30717599532</v>
      </c>
      <c r="L479" s="1529">
        <f t="shared" si="52"/>
        <v>395276.05579976673</v>
      </c>
      <c r="O479" s="1529">
        <f t="shared" si="44"/>
        <v>798029.36297576199</v>
      </c>
    </row>
    <row r="480" spans="4:15" hidden="1">
      <c r="D480" s="1534">
        <f t="shared" si="45"/>
        <v>316</v>
      </c>
      <c r="E480" s="1529">
        <f t="shared" si="46"/>
        <v>104723.9442002329</v>
      </c>
      <c r="F480" s="1529">
        <f t="shared" si="47"/>
        <v>2533.4265491294036</v>
      </c>
      <c r="G480" s="1529">
        <f t="shared" si="48"/>
        <v>392.71479075087336</v>
      </c>
      <c r="H480" s="1529">
        <f t="shared" si="49"/>
        <v>2140.7117583785302</v>
      </c>
      <c r="I480" s="1529">
        <f t="shared" si="50"/>
        <v>102583.23244185437</v>
      </c>
      <c r="K480" s="1529">
        <f t="shared" si="51"/>
        <v>403146.02196674619</v>
      </c>
      <c r="L480" s="1529">
        <f t="shared" si="52"/>
        <v>397416.76755814528</v>
      </c>
      <c r="O480" s="1529">
        <f t="shared" si="44"/>
        <v>800562.78952489141</v>
      </c>
    </row>
    <row r="481" spans="4:15" hidden="1">
      <c r="D481" s="1534">
        <f t="shared" si="45"/>
        <v>317</v>
      </c>
      <c r="E481" s="1529">
        <f t="shared" si="46"/>
        <v>102583.23244185437</v>
      </c>
      <c r="F481" s="1529">
        <f t="shared" si="47"/>
        <v>2533.4265491294036</v>
      </c>
      <c r="G481" s="1529">
        <f t="shared" si="48"/>
        <v>384.68712165695388</v>
      </c>
      <c r="H481" s="1529">
        <f t="shared" si="49"/>
        <v>2148.7394274724497</v>
      </c>
      <c r="I481" s="1529">
        <f t="shared" si="50"/>
        <v>100434.49301438192</v>
      </c>
      <c r="K481" s="1529">
        <f t="shared" si="51"/>
        <v>403530.70908840315</v>
      </c>
      <c r="L481" s="1529">
        <f t="shared" si="52"/>
        <v>399565.50698561774</v>
      </c>
      <c r="O481" s="1529">
        <f t="shared" si="44"/>
        <v>803096.21607402083</v>
      </c>
    </row>
    <row r="482" spans="4:15" ht="17" hidden="1" customHeight="1">
      <c r="D482" s="1534">
        <f t="shared" si="45"/>
        <v>318</v>
      </c>
      <c r="E482" s="1529">
        <f t="shared" si="46"/>
        <v>100434.49301438192</v>
      </c>
      <c r="F482" s="1529">
        <f t="shared" si="47"/>
        <v>2533.4265491294036</v>
      </c>
      <c r="G482" s="1529">
        <f t="shared" si="48"/>
        <v>376.6293488039322</v>
      </c>
      <c r="H482" s="1529">
        <f t="shared" si="49"/>
        <v>2156.7972003254713</v>
      </c>
      <c r="I482" s="1529">
        <f t="shared" si="50"/>
        <v>98277.695814056453</v>
      </c>
      <c r="K482" s="1529">
        <f t="shared" si="51"/>
        <v>403907.3384372071</v>
      </c>
      <c r="L482" s="1529">
        <f t="shared" si="52"/>
        <v>401722.30418594321</v>
      </c>
      <c r="O482" s="1529">
        <f t="shared" si="44"/>
        <v>805629.64262315026</v>
      </c>
    </row>
    <row r="483" spans="4:15" hidden="1">
      <c r="D483" s="1534">
        <f t="shared" ref="D483:D524" si="53">D482+1</f>
        <v>319</v>
      </c>
      <c r="E483" s="1529">
        <f t="shared" ref="E483:E524" si="54">I482</f>
        <v>98277.695814056453</v>
      </c>
      <c r="F483" s="1529">
        <f t="shared" ref="F483:F524" si="55">F482</f>
        <v>2533.4265491294036</v>
      </c>
      <c r="G483" s="1529">
        <f t="shared" ref="G483:G524" si="56">E483*$G$159</f>
        <v>368.54135930271167</v>
      </c>
      <c r="H483" s="1529">
        <f t="shared" ref="H483:H524" si="57">F483-G483</f>
        <v>2164.8851898266921</v>
      </c>
      <c r="I483" s="1529">
        <f t="shared" ref="I483:I524" si="58">E483-H483</f>
        <v>96112.810624229765</v>
      </c>
      <c r="K483" s="1529">
        <f t="shared" ref="K483:K524" si="59">K482+G483</f>
        <v>404275.87979650981</v>
      </c>
      <c r="L483" s="1529">
        <f t="shared" ref="L483:L524" si="60">L482+H483</f>
        <v>403887.18937576993</v>
      </c>
      <c r="O483" s="1529">
        <f t="shared" si="44"/>
        <v>808163.06917227968</v>
      </c>
    </row>
    <row r="484" spans="4:15" hidden="1">
      <c r="D484" s="1534">
        <f t="shared" si="53"/>
        <v>320</v>
      </c>
      <c r="E484" s="1529">
        <f t="shared" si="54"/>
        <v>96112.810624229765</v>
      </c>
      <c r="F484" s="1529">
        <f t="shared" si="55"/>
        <v>2533.4265491294036</v>
      </c>
      <c r="G484" s="1529">
        <f t="shared" si="56"/>
        <v>360.42303984086163</v>
      </c>
      <c r="H484" s="1529">
        <f t="shared" si="57"/>
        <v>2173.0035092885419</v>
      </c>
      <c r="I484" s="1529">
        <f t="shared" si="58"/>
        <v>93939.807114941228</v>
      </c>
      <c r="K484" s="1529">
        <f t="shared" si="59"/>
        <v>404636.30283635069</v>
      </c>
      <c r="L484" s="1529">
        <f t="shared" si="60"/>
        <v>406060.19288505847</v>
      </c>
      <c r="O484" s="1529">
        <f t="shared" si="44"/>
        <v>810696.4957214091</v>
      </c>
    </row>
    <row r="485" spans="4:15" hidden="1">
      <c r="D485" s="1534">
        <f t="shared" si="53"/>
        <v>321</v>
      </c>
      <c r="E485" s="1529">
        <f t="shared" si="54"/>
        <v>93939.807114941228</v>
      </c>
      <c r="F485" s="1529">
        <f t="shared" si="55"/>
        <v>2533.4265491294036</v>
      </c>
      <c r="G485" s="1529">
        <f t="shared" si="56"/>
        <v>352.27427668102962</v>
      </c>
      <c r="H485" s="1529">
        <f t="shared" si="57"/>
        <v>2181.1522724483739</v>
      </c>
      <c r="I485" s="1529">
        <f t="shared" si="58"/>
        <v>91758.654842492848</v>
      </c>
      <c r="K485" s="1529">
        <f t="shared" si="59"/>
        <v>404988.5771130317</v>
      </c>
      <c r="L485" s="1529">
        <f t="shared" si="60"/>
        <v>408241.34515750682</v>
      </c>
      <c r="O485" s="1529">
        <f t="shared" si="44"/>
        <v>813229.92227053852</v>
      </c>
    </row>
    <row r="486" spans="4:15" hidden="1">
      <c r="D486" s="1534">
        <f t="shared" si="53"/>
        <v>322</v>
      </c>
      <c r="E486" s="1529">
        <f t="shared" si="54"/>
        <v>91758.654842492848</v>
      </c>
      <c r="F486" s="1529">
        <f t="shared" si="55"/>
        <v>2533.4265491294036</v>
      </c>
      <c r="G486" s="1529">
        <f t="shared" si="56"/>
        <v>344.09495565934816</v>
      </c>
      <c r="H486" s="1529">
        <f t="shared" si="57"/>
        <v>2189.3315934700554</v>
      </c>
      <c r="I486" s="1529">
        <f t="shared" si="58"/>
        <v>89569.323249022797</v>
      </c>
      <c r="K486" s="1529">
        <f t="shared" si="59"/>
        <v>405332.67206869106</v>
      </c>
      <c r="L486" s="1529">
        <f t="shared" si="60"/>
        <v>410430.67675097688</v>
      </c>
      <c r="O486" s="1529">
        <f t="shared" ref="O486:O524" si="61">K486+L486</f>
        <v>815763.34881966794</v>
      </c>
    </row>
    <row r="487" spans="4:15" hidden="1">
      <c r="D487" s="1534">
        <f t="shared" si="53"/>
        <v>323</v>
      </c>
      <c r="E487" s="1529">
        <f t="shared" si="54"/>
        <v>89569.323249022797</v>
      </c>
      <c r="F487" s="1529">
        <f t="shared" si="55"/>
        <v>2533.4265491294036</v>
      </c>
      <c r="G487" s="1529">
        <f t="shared" si="56"/>
        <v>335.88496218383546</v>
      </c>
      <c r="H487" s="1529">
        <f t="shared" si="57"/>
        <v>2197.5415869455683</v>
      </c>
      <c r="I487" s="1529">
        <f t="shared" si="58"/>
        <v>87371.781662077236</v>
      </c>
      <c r="K487" s="1529">
        <f t="shared" si="59"/>
        <v>405668.55703087489</v>
      </c>
      <c r="L487" s="1529">
        <f t="shared" si="60"/>
        <v>412628.21833792247</v>
      </c>
      <c r="O487" s="1529">
        <f t="shared" si="61"/>
        <v>818296.77536879736</v>
      </c>
    </row>
    <row r="488" spans="4:15" hidden="1">
      <c r="D488" s="1534">
        <f t="shared" si="53"/>
        <v>324</v>
      </c>
      <c r="E488" s="1529">
        <f t="shared" si="54"/>
        <v>87371.781662077236</v>
      </c>
      <c r="F488" s="1529">
        <f t="shared" si="55"/>
        <v>2533.4265491294036</v>
      </c>
      <c r="G488" s="1529">
        <f t="shared" si="56"/>
        <v>327.64418123278961</v>
      </c>
      <c r="H488" s="1529">
        <f t="shared" si="57"/>
        <v>2205.7823678966142</v>
      </c>
      <c r="I488" s="1529">
        <f t="shared" si="58"/>
        <v>85165.999294180627</v>
      </c>
      <c r="K488" s="1529">
        <f t="shared" si="59"/>
        <v>405996.20121210767</v>
      </c>
      <c r="L488" s="1529">
        <f t="shared" si="60"/>
        <v>414834.00070581911</v>
      </c>
      <c r="O488" s="1529">
        <f t="shared" si="61"/>
        <v>820830.20191792678</v>
      </c>
    </row>
    <row r="489" spans="4:15" hidden="1">
      <c r="D489" s="1534">
        <f t="shared" si="53"/>
        <v>325</v>
      </c>
      <c r="E489" s="1529">
        <f t="shared" si="54"/>
        <v>85165.999294180627</v>
      </c>
      <c r="F489" s="1529">
        <f t="shared" si="55"/>
        <v>2533.4265491294036</v>
      </c>
      <c r="G489" s="1529">
        <f t="shared" si="56"/>
        <v>319.37249735317732</v>
      </c>
      <c r="H489" s="1529">
        <f t="shared" si="57"/>
        <v>2214.0540517762265</v>
      </c>
      <c r="I489" s="1529">
        <f t="shared" si="58"/>
        <v>82951.945242404399</v>
      </c>
      <c r="K489" s="1529">
        <f t="shared" si="59"/>
        <v>406315.57370946085</v>
      </c>
      <c r="L489" s="1529">
        <f t="shared" si="60"/>
        <v>417048.05475759535</v>
      </c>
      <c r="O489" s="1529">
        <f t="shared" si="61"/>
        <v>823363.6284670562</v>
      </c>
    </row>
    <row r="490" spans="4:15" hidden="1">
      <c r="D490" s="1534">
        <f t="shared" si="53"/>
        <v>326</v>
      </c>
      <c r="E490" s="1529">
        <f t="shared" si="54"/>
        <v>82951.945242404399</v>
      </c>
      <c r="F490" s="1529">
        <f t="shared" si="55"/>
        <v>2533.4265491294036</v>
      </c>
      <c r="G490" s="1529">
        <f t="shared" si="56"/>
        <v>311.06979465901651</v>
      </c>
      <c r="H490" s="1529">
        <f t="shared" si="57"/>
        <v>2222.3567544703869</v>
      </c>
      <c r="I490" s="1529">
        <f t="shared" si="58"/>
        <v>80729.588487934016</v>
      </c>
      <c r="K490" s="1529">
        <f t="shared" si="59"/>
        <v>406626.64350411989</v>
      </c>
      <c r="L490" s="1529">
        <f t="shared" si="60"/>
        <v>419270.41151206574</v>
      </c>
      <c r="O490" s="1529">
        <f t="shared" si="61"/>
        <v>825897.05501618562</v>
      </c>
    </row>
    <row r="491" spans="4:15" hidden="1">
      <c r="D491" s="1534">
        <f t="shared" si="53"/>
        <v>327</v>
      </c>
      <c r="E491" s="1529">
        <f t="shared" si="54"/>
        <v>80729.588487934016</v>
      </c>
      <c r="F491" s="1529">
        <f t="shared" si="55"/>
        <v>2533.4265491294036</v>
      </c>
      <c r="G491" s="1529">
        <f t="shared" si="56"/>
        <v>302.73595682975252</v>
      </c>
      <c r="H491" s="1529">
        <f t="shared" si="57"/>
        <v>2230.6905922996511</v>
      </c>
      <c r="I491" s="1529">
        <f t="shared" si="58"/>
        <v>78498.897895634364</v>
      </c>
      <c r="K491" s="1529">
        <f t="shared" si="59"/>
        <v>406929.37946094963</v>
      </c>
      <c r="L491" s="1529">
        <f t="shared" si="60"/>
        <v>421501.10210436536</v>
      </c>
      <c r="O491" s="1529">
        <f t="shared" si="61"/>
        <v>828430.48156531504</v>
      </c>
    </row>
    <row r="492" spans="4:15" hidden="1">
      <c r="D492" s="1534">
        <f t="shared" si="53"/>
        <v>328</v>
      </c>
      <c r="E492" s="1529">
        <f t="shared" si="54"/>
        <v>78498.897895634364</v>
      </c>
      <c r="F492" s="1529">
        <f t="shared" si="55"/>
        <v>2533.4265491294036</v>
      </c>
      <c r="G492" s="1529">
        <f t="shared" si="56"/>
        <v>294.37086710862883</v>
      </c>
      <c r="H492" s="1529">
        <f t="shared" si="57"/>
        <v>2239.0556820207748</v>
      </c>
      <c r="I492" s="1529">
        <f t="shared" si="58"/>
        <v>76259.842213613592</v>
      </c>
      <c r="K492" s="1529">
        <f t="shared" si="59"/>
        <v>407223.75032805826</v>
      </c>
      <c r="L492" s="1529">
        <f t="shared" si="60"/>
        <v>423740.15778638615</v>
      </c>
      <c r="O492" s="1529">
        <f t="shared" si="61"/>
        <v>830963.90811444446</v>
      </c>
    </row>
    <row r="493" spans="4:15" hidden="1">
      <c r="D493" s="1534">
        <f t="shared" si="53"/>
        <v>329</v>
      </c>
      <c r="E493" s="1529">
        <f t="shared" si="54"/>
        <v>76259.842213613592</v>
      </c>
      <c r="F493" s="1529">
        <f t="shared" si="55"/>
        <v>2533.4265491294036</v>
      </c>
      <c r="G493" s="1529">
        <f t="shared" si="56"/>
        <v>285.97440830105097</v>
      </c>
      <c r="H493" s="1529">
        <f t="shared" si="57"/>
        <v>2247.4521408283526</v>
      </c>
      <c r="I493" s="1529">
        <f t="shared" si="58"/>
        <v>74012.390072785245</v>
      </c>
      <c r="K493" s="1529">
        <f t="shared" si="59"/>
        <v>407509.72473635932</v>
      </c>
      <c r="L493" s="1529">
        <f t="shared" si="60"/>
        <v>425987.60992721451</v>
      </c>
      <c r="O493" s="1529">
        <f t="shared" si="61"/>
        <v>833497.33466357389</v>
      </c>
    </row>
    <row r="494" spans="4:15" hidden="1">
      <c r="D494" s="1534">
        <f t="shared" si="53"/>
        <v>330</v>
      </c>
      <c r="E494" s="1529">
        <f t="shared" si="54"/>
        <v>74012.390072785245</v>
      </c>
      <c r="F494" s="1529">
        <f t="shared" si="55"/>
        <v>2533.4265491294036</v>
      </c>
      <c r="G494" s="1529">
        <f t="shared" si="56"/>
        <v>277.54646277294466</v>
      </c>
      <c r="H494" s="1529">
        <f t="shared" si="57"/>
        <v>2255.8800863564588</v>
      </c>
      <c r="I494" s="1529">
        <f t="shared" si="58"/>
        <v>71756.509986428791</v>
      </c>
      <c r="K494" s="1529">
        <f t="shared" si="59"/>
        <v>407787.27119913226</v>
      </c>
      <c r="L494" s="1529">
        <f t="shared" si="60"/>
        <v>428243.49001357099</v>
      </c>
      <c r="O494" s="1529">
        <f t="shared" si="61"/>
        <v>836030.76121270331</v>
      </c>
    </row>
    <row r="495" spans="4:15" hidden="1">
      <c r="D495" s="1534">
        <f t="shared" si="53"/>
        <v>331</v>
      </c>
      <c r="E495" s="1529">
        <f t="shared" si="54"/>
        <v>71756.509986428791</v>
      </c>
      <c r="F495" s="1529">
        <f t="shared" si="55"/>
        <v>2533.4265491294036</v>
      </c>
      <c r="G495" s="1529">
        <f t="shared" si="56"/>
        <v>269.08691244910796</v>
      </c>
      <c r="H495" s="1529">
        <f t="shared" si="57"/>
        <v>2264.3396366802958</v>
      </c>
      <c r="I495" s="1529">
        <f t="shared" si="58"/>
        <v>69492.1703497485</v>
      </c>
      <c r="K495" s="1529">
        <f t="shared" si="59"/>
        <v>408056.35811158136</v>
      </c>
      <c r="L495" s="1529">
        <f t="shared" si="60"/>
        <v>430507.82965025131</v>
      </c>
      <c r="O495" s="1529">
        <f t="shared" si="61"/>
        <v>838564.18776183273</v>
      </c>
    </row>
    <row r="496" spans="4:15" hidden="1">
      <c r="D496" s="1534">
        <f t="shared" si="53"/>
        <v>332</v>
      </c>
      <c r="E496" s="1529">
        <f t="shared" si="54"/>
        <v>69492.1703497485</v>
      </c>
      <c r="F496" s="1529">
        <f t="shared" si="55"/>
        <v>2533.4265491294036</v>
      </c>
      <c r="G496" s="1529">
        <f t="shared" si="56"/>
        <v>260.59563881155685</v>
      </c>
      <c r="H496" s="1529">
        <f t="shared" si="57"/>
        <v>2272.8309103178467</v>
      </c>
      <c r="I496" s="1529">
        <f t="shared" si="58"/>
        <v>67219.339439430652</v>
      </c>
      <c r="K496" s="1529">
        <f t="shared" si="59"/>
        <v>408316.95375039289</v>
      </c>
      <c r="L496" s="1529">
        <f t="shared" si="60"/>
        <v>432780.66056056914</v>
      </c>
      <c r="O496" s="1529">
        <f t="shared" si="61"/>
        <v>841097.61431096203</v>
      </c>
    </row>
    <row r="497" spans="4:15" hidden="1">
      <c r="D497" s="1534">
        <f t="shared" si="53"/>
        <v>333</v>
      </c>
      <c r="E497" s="1529">
        <f t="shared" si="54"/>
        <v>67219.339439430652</v>
      </c>
      <c r="F497" s="1529">
        <f t="shared" si="55"/>
        <v>2533.4265491294036</v>
      </c>
      <c r="G497" s="1529">
        <f t="shared" si="56"/>
        <v>252.07252289786493</v>
      </c>
      <c r="H497" s="1529">
        <f t="shared" si="57"/>
        <v>2281.3540262315387</v>
      </c>
      <c r="I497" s="1529">
        <f t="shared" si="58"/>
        <v>64937.985413199116</v>
      </c>
      <c r="K497" s="1529">
        <f t="shared" si="59"/>
        <v>408569.02627329074</v>
      </c>
      <c r="L497" s="1529">
        <f t="shared" si="60"/>
        <v>435062.01458680071</v>
      </c>
      <c r="O497" s="1529">
        <f t="shared" si="61"/>
        <v>843631.04086009145</v>
      </c>
    </row>
    <row r="498" spans="4:15" hidden="1">
      <c r="D498" s="1534">
        <f t="shared" si="53"/>
        <v>334</v>
      </c>
      <c r="E498" s="1529">
        <f t="shared" si="54"/>
        <v>64937.985413199116</v>
      </c>
      <c r="F498" s="1529">
        <f t="shared" si="55"/>
        <v>2533.4265491294036</v>
      </c>
      <c r="G498" s="1529">
        <f t="shared" si="56"/>
        <v>243.51744529949667</v>
      </c>
      <c r="H498" s="1529">
        <f t="shared" si="57"/>
        <v>2289.9091038299071</v>
      </c>
      <c r="I498" s="1529">
        <f t="shared" si="58"/>
        <v>62648.076309369208</v>
      </c>
      <c r="K498" s="1529">
        <f t="shared" si="59"/>
        <v>408812.54371859023</v>
      </c>
      <c r="L498" s="1529">
        <f t="shared" si="60"/>
        <v>437351.92369063059</v>
      </c>
      <c r="O498" s="1529">
        <f t="shared" si="61"/>
        <v>846164.46740922076</v>
      </c>
    </row>
    <row r="499" spans="4:15" hidden="1">
      <c r="D499" s="1534">
        <f t="shared" si="53"/>
        <v>335</v>
      </c>
      <c r="E499" s="1529">
        <f t="shared" si="54"/>
        <v>62648.076309369208</v>
      </c>
      <c r="F499" s="1529">
        <f t="shared" si="55"/>
        <v>2533.4265491294036</v>
      </c>
      <c r="G499" s="1529">
        <f t="shared" si="56"/>
        <v>234.93028616013453</v>
      </c>
      <c r="H499" s="1529">
        <f t="shared" si="57"/>
        <v>2298.4962629692691</v>
      </c>
      <c r="I499" s="1529">
        <f t="shared" si="58"/>
        <v>60349.58004639994</v>
      </c>
      <c r="K499" s="1529">
        <f t="shared" si="59"/>
        <v>409047.47400475037</v>
      </c>
      <c r="L499" s="1529">
        <f t="shared" si="60"/>
        <v>439650.41995359986</v>
      </c>
      <c r="O499" s="1529">
        <f t="shared" si="61"/>
        <v>848697.89395835018</v>
      </c>
    </row>
    <row r="500" spans="4:15" hidden="1">
      <c r="D500" s="1534">
        <f t="shared" si="53"/>
        <v>336</v>
      </c>
      <c r="E500" s="1529">
        <f t="shared" si="54"/>
        <v>60349.58004639994</v>
      </c>
      <c r="F500" s="1529">
        <f t="shared" si="55"/>
        <v>2533.4265491294036</v>
      </c>
      <c r="G500" s="1529">
        <f t="shared" si="56"/>
        <v>226.31092517399978</v>
      </c>
      <c r="H500" s="1529">
        <f t="shared" si="57"/>
        <v>2307.1156239554039</v>
      </c>
      <c r="I500" s="1529">
        <f t="shared" si="58"/>
        <v>58042.464422444536</v>
      </c>
      <c r="K500" s="1529">
        <f t="shared" si="59"/>
        <v>409273.78492992435</v>
      </c>
      <c r="L500" s="1529">
        <f t="shared" si="60"/>
        <v>441957.53557755525</v>
      </c>
      <c r="O500" s="1529">
        <f t="shared" si="61"/>
        <v>851231.3205074796</v>
      </c>
    </row>
    <row r="501" spans="4:15" hidden="1">
      <c r="D501" s="1534">
        <f t="shared" si="53"/>
        <v>337</v>
      </c>
      <c r="E501" s="1529">
        <f t="shared" si="54"/>
        <v>58042.464422444536</v>
      </c>
      <c r="F501" s="1529">
        <f t="shared" si="55"/>
        <v>2533.4265491294036</v>
      </c>
      <c r="G501" s="1529">
        <f t="shared" si="56"/>
        <v>217.65924158416701</v>
      </c>
      <c r="H501" s="1529">
        <f t="shared" si="57"/>
        <v>2315.7673075452367</v>
      </c>
      <c r="I501" s="1529">
        <f t="shared" si="58"/>
        <v>55726.697114899303</v>
      </c>
      <c r="K501" s="1529">
        <f t="shared" si="59"/>
        <v>409491.44417150854</v>
      </c>
      <c r="L501" s="1529">
        <f t="shared" si="60"/>
        <v>444273.30288510048</v>
      </c>
      <c r="O501" s="1529">
        <f t="shared" si="61"/>
        <v>853764.74705660902</v>
      </c>
    </row>
    <row r="502" spans="4:15" hidden="1">
      <c r="D502" s="1534">
        <f t="shared" si="53"/>
        <v>338</v>
      </c>
      <c r="E502" s="1529">
        <f t="shared" si="54"/>
        <v>55726.697114899303</v>
      </c>
      <c r="F502" s="1529">
        <f t="shared" si="55"/>
        <v>2533.4265491294036</v>
      </c>
      <c r="G502" s="1529">
        <f t="shared" si="56"/>
        <v>208.97511418087237</v>
      </c>
      <c r="H502" s="1529">
        <f t="shared" si="57"/>
        <v>2324.4514349485312</v>
      </c>
      <c r="I502" s="1529">
        <f t="shared" si="58"/>
        <v>53402.245679950771</v>
      </c>
      <c r="K502" s="1529">
        <f t="shared" si="59"/>
        <v>409700.41928568942</v>
      </c>
      <c r="L502" s="1529">
        <f t="shared" si="60"/>
        <v>446597.75432004902</v>
      </c>
      <c r="O502" s="1529">
        <f t="shared" si="61"/>
        <v>856298.17360573844</v>
      </c>
    </row>
    <row r="503" spans="4:15" hidden="1">
      <c r="D503" s="1534">
        <f t="shared" si="53"/>
        <v>339</v>
      </c>
      <c r="E503" s="1529">
        <f t="shared" si="54"/>
        <v>53402.245679950771</v>
      </c>
      <c r="F503" s="1529">
        <f t="shared" si="55"/>
        <v>2533.4265491294036</v>
      </c>
      <c r="G503" s="1529">
        <f t="shared" si="56"/>
        <v>200.25842129981538</v>
      </c>
      <c r="H503" s="1529">
        <f t="shared" si="57"/>
        <v>2333.1681278295882</v>
      </c>
      <c r="I503" s="1529">
        <f t="shared" si="58"/>
        <v>51069.077552121184</v>
      </c>
      <c r="K503" s="1529">
        <f t="shared" si="59"/>
        <v>409900.67770698923</v>
      </c>
      <c r="L503" s="1529">
        <f t="shared" si="60"/>
        <v>448930.92244787863</v>
      </c>
      <c r="O503" s="1529">
        <f t="shared" si="61"/>
        <v>858831.60015486786</v>
      </c>
    </row>
    <row r="504" spans="4:15" hidden="1">
      <c r="D504" s="1534">
        <f t="shared" si="53"/>
        <v>340</v>
      </c>
      <c r="E504" s="1529">
        <f t="shared" si="54"/>
        <v>51069.077552121184</v>
      </c>
      <c r="F504" s="1529">
        <f t="shared" si="55"/>
        <v>2533.4265491294036</v>
      </c>
      <c r="G504" s="1529">
        <f t="shared" si="56"/>
        <v>191.50904082045443</v>
      </c>
      <c r="H504" s="1529">
        <f t="shared" si="57"/>
        <v>2341.917508308949</v>
      </c>
      <c r="I504" s="1529">
        <f t="shared" si="58"/>
        <v>48727.160043812233</v>
      </c>
      <c r="K504" s="1529">
        <f t="shared" si="59"/>
        <v>410092.1867478097</v>
      </c>
      <c r="L504" s="1529">
        <f t="shared" si="60"/>
        <v>451272.83995618758</v>
      </c>
      <c r="O504" s="1529">
        <f t="shared" si="61"/>
        <v>861365.02670399728</v>
      </c>
    </row>
    <row r="505" spans="4:15" hidden="1">
      <c r="D505" s="1534">
        <f t="shared" si="53"/>
        <v>341</v>
      </c>
      <c r="E505" s="1529">
        <f t="shared" si="54"/>
        <v>48727.160043812233</v>
      </c>
      <c r="F505" s="1529">
        <f t="shared" si="55"/>
        <v>2533.4265491294036</v>
      </c>
      <c r="G505" s="1529">
        <f t="shared" si="56"/>
        <v>182.72685016429585</v>
      </c>
      <c r="H505" s="1529">
        <f t="shared" si="57"/>
        <v>2350.6996989651079</v>
      </c>
      <c r="I505" s="1529">
        <f t="shared" si="58"/>
        <v>46376.460344847124</v>
      </c>
      <c r="K505" s="1529">
        <f t="shared" si="59"/>
        <v>410274.91359797399</v>
      </c>
      <c r="L505" s="1529">
        <f t="shared" si="60"/>
        <v>453623.53965515271</v>
      </c>
      <c r="O505" s="1529">
        <f t="shared" si="61"/>
        <v>863898.4532531267</v>
      </c>
    </row>
    <row r="506" spans="4:15" hidden="1">
      <c r="D506" s="1534">
        <f t="shared" si="53"/>
        <v>342</v>
      </c>
      <c r="E506" s="1529">
        <f t="shared" si="54"/>
        <v>46376.460344847124</v>
      </c>
      <c r="F506" s="1529">
        <f t="shared" si="55"/>
        <v>2533.4265491294036</v>
      </c>
      <c r="G506" s="1529">
        <f t="shared" si="56"/>
        <v>173.91172629317671</v>
      </c>
      <c r="H506" s="1529">
        <f t="shared" si="57"/>
        <v>2359.5148228362268</v>
      </c>
      <c r="I506" s="1529">
        <f t="shared" si="58"/>
        <v>44016.945522010894</v>
      </c>
      <c r="K506" s="1529">
        <f t="shared" si="59"/>
        <v>410448.82532426715</v>
      </c>
      <c r="L506" s="1529">
        <f t="shared" si="60"/>
        <v>455983.05447798892</v>
      </c>
      <c r="O506" s="1529">
        <f t="shared" si="61"/>
        <v>866431.87980225612</v>
      </c>
    </row>
    <row r="507" spans="4:15" hidden="1">
      <c r="D507" s="1534">
        <f t="shared" si="53"/>
        <v>343</v>
      </c>
      <c r="E507" s="1529">
        <f t="shared" si="54"/>
        <v>44016.945522010894</v>
      </c>
      <c r="F507" s="1529">
        <f t="shared" si="55"/>
        <v>2533.4265491294036</v>
      </c>
      <c r="G507" s="1529">
        <f t="shared" si="56"/>
        <v>165.06354570754084</v>
      </c>
      <c r="H507" s="1529">
        <f t="shared" si="57"/>
        <v>2368.3630034218627</v>
      </c>
      <c r="I507" s="1529">
        <f t="shared" si="58"/>
        <v>41648.582518589028</v>
      </c>
      <c r="K507" s="1529">
        <f t="shared" si="59"/>
        <v>410613.8888699747</v>
      </c>
      <c r="L507" s="1529">
        <f t="shared" si="60"/>
        <v>458351.41748141078</v>
      </c>
      <c r="O507" s="1529">
        <f t="shared" si="61"/>
        <v>868965.30635138554</v>
      </c>
    </row>
    <row r="508" spans="4:15" hidden="1">
      <c r="D508" s="1534">
        <f t="shared" si="53"/>
        <v>344</v>
      </c>
      <c r="E508" s="1529">
        <f t="shared" si="54"/>
        <v>41648.582518589028</v>
      </c>
      <c r="F508" s="1529">
        <f t="shared" si="55"/>
        <v>2533.4265491294036</v>
      </c>
      <c r="G508" s="1529">
        <f t="shared" si="56"/>
        <v>156.18218444470884</v>
      </c>
      <c r="H508" s="1529">
        <f t="shared" si="57"/>
        <v>2377.2443646846946</v>
      </c>
      <c r="I508" s="1529">
        <f t="shared" si="58"/>
        <v>39271.338153904333</v>
      </c>
      <c r="K508" s="1529">
        <f t="shared" si="59"/>
        <v>410770.07105441939</v>
      </c>
      <c r="L508" s="1529">
        <f t="shared" si="60"/>
        <v>460728.66184609546</v>
      </c>
      <c r="O508" s="1529">
        <f t="shared" si="61"/>
        <v>871498.73290051485</v>
      </c>
    </row>
    <row r="509" spans="4:15" hidden="1">
      <c r="D509" s="1534">
        <f t="shared" si="53"/>
        <v>345</v>
      </c>
      <c r="E509" s="1529">
        <f t="shared" si="54"/>
        <v>39271.338153904333</v>
      </c>
      <c r="F509" s="1529">
        <f t="shared" si="55"/>
        <v>2533.4265491294036</v>
      </c>
      <c r="G509" s="1529">
        <f t="shared" si="56"/>
        <v>147.26751807714123</v>
      </c>
      <c r="H509" s="1529">
        <f t="shared" si="57"/>
        <v>2386.1590310522624</v>
      </c>
      <c r="I509" s="1529">
        <f t="shared" si="58"/>
        <v>36885.179122852074</v>
      </c>
      <c r="K509" s="1529">
        <f t="shared" si="59"/>
        <v>410917.33857249655</v>
      </c>
      <c r="L509" s="1529">
        <f t="shared" si="60"/>
        <v>463114.82087714772</v>
      </c>
      <c r="O509" s="1529">
        <f t="shared" si="61"/>
        <v>874032.15944964427</v>
      </c>
    </row>
    <row r="510" spans="4:15" hidden="1">
      <c r="D510" s="1534">
        <f t="shared" si="53"/>
        <v>346</v>
      </c>
      <c r="E510" s="1529">
        <f t="shared" si="54"/>
        <v>36885.179122852074</v>
      </c>
      <c r="F510" s="1529">
        <f t="shared" si="55"/>
        <v>2533.4265491294036</v>
      </c>
      <c r="G510" s="1529">
        <f t="shared" si="56"/>
        <v>138.31942171069528</v>
      </c>
      <c r="H510" s="1529">
        <f t="shared" si="57"/>
        <v>2395.1071274187084</v>
      </c>
      <c r="I510" s="1529">
        <f t="shared" si="58"/>
        <v>34490.071995433369</v>
      </c>
      <c r="K510" s="1529">
        <f t="shared" si="59"/>
        <v>411055.65799420723</v>
      </c>
      <c r="L510" s="1529">
        <f t="shared" si="60"/>
        <v>465509.92800456641</v>
      </c>
      <c r="O510" s="1529">
        <f t="shared" si="61"/>
        <v>876565.58599877357</v>
      </c>
    </row>
    <row r="511" spans="4:15" hidden="1">
      <c r="D511" s="1534">
        <f t="shared" si="53"/>
        <v>347</v>
      </c>
      <c r="E511" s="1529">
        <f t="shared" si="54"/>
        <v>34490.071995433369</v>
      </c>
      <c r="F511" s="1529">
        <f t="shared" si="55"/>
        <v>2533.4265491294036</v>
      </c>
      <c r="G511" s="1529">
        <f t="shared" si="56"/>
        <v>129.33776998287513</v>
      </c>
      <c r="H511" s="1529">
        <f t="shared" si="57"/>
        <v>2404.0887791465284</v>
      </c>
      <c r="I511" s="1529">
        <f t="shared" si="58"/>
        <v>32085.983216286841</v>
      </c>
      <c r="K511" s="1529">
        <f t="shared" si="59"/>
        <v>411184.9957641901</v>
      </c>
      <c r="L511" s="1529">
        <f t="shared" si="60"/>
        <v>467914.01678371296</v>
      </c>
      <c r="O511" s="1529">
        <f t="shared" si="61"/>
        <v>879099.012547903</v>
      </c>
    </row>
    <row r="512" spans="4:15" hidden="1">
      <c r="D512" s="1534">
        <f t="shared" si="53"/>
        <v>348</v>
      </c>
      <c r="E512" s="1529">
        <f t="shared" si="54"/>
        <v>32085.983216286841</v>
      </c>
      <c r="F512" s="1529">
        <f t="shared" si="55"/>
        <v>2533.4265491294036</v>
      </c>
      <c r="G512" s="1529">
        <f t="shared" si="56"/>
        <v>120.32243706107565</v>
      </c>
      <c r="H512" s="1529">
        <f t="shared" si="57"/>
        <v>2413.104112068328</v>
      </c>
      <c r="I512" s="1529">
        <f t="shared" si="58"/>
        <v>29672.879104218511</v>
      </c>
      <c r="K512" s="1529">
        <f t="shared" si="59"/>
        <v>411305.31820125115</v>
      </c>
      <c r="L512" s="1529">
        <f t="shared" si="60"/>
        <v>470327.12089578126</v>
      </c>
      <c r="O512" s="1529">
        <f t="shared" si="61"/>
        <v>881632.43909703242</v>
      </c>
    </row>
    <row r="513" spans="4:15" hidden="1">
      <c r="D513" s="1534">
        <f t="shared" si="53"/>
        <v>349</v>
      </c>
      <c r="E513" s="1529">
        <f t="shared" si="54"/>
        <v>29672.879104218511</v>
      </c>
      <c r="F513" s="1529">
        <f t="shared" si="55"/>
        <v>2533.4265491294036</v>
      </c>
      <c r="G513" s="1529">
        <f t="shared" si="56"/>
        <v>111.27329664081941</v>
      </c>
      <c r="H513" s="1529">
        <f t="shared" si="57"/>
        <v>2422.1532524885843</v>
      </c>
      <c r="I513" s="1529">
        <f t="shared" si="58"/>
        <v>27250.725851729927</v>
      </c>
      <c r="K513" s="1529">
        <f t="shared" si="59"/>
        <v>411416.59149789199</v>
      </c>
      <c r="L513" s="1529">
        <f t="shared" si="60"/>
        <v>472749.27414826985</v>
      </c>
      <c r="O513" s="1529">
        <f t="shared" si="61"/>
        <v>884165.86564616184</v>
      </c>
    </row>
    <row r="514" spans="4:15" hidden="1">
      <c r="D514" s="1534">
        <f t="shared" si="53"/>
        <v>350</v>
      </c>
      <c r="E514" s="1529">
        <f t="shared" si="54"/>
        <v>27250.725851729927</v>
      </c>
      <c r="F514" s="1529">
        <f t="shared" si="55"/>
        <v>2533.4265491294036</v>
      </c>
      <c r="G514" s="1529">
        <f t="shared" si="56"/>
        <v>102.19022194398723</v>
      </c>
      <c r="H514" s="1529">
        <f t="shared" si="57"/>
        <v>2431.2363271854165</v>
      </c>
      <c r="I514" s="1529">
        <f t="shared" si="58"/>
        <v>24819.489524544511</v>
      </c>
      <c r="K514" s="1529">
        <f t="shared" si="59"/>
        <v>411518.781719836</v>
      </c>
      <c r="L514" s="1529">
        <f t="shared" si="60"/>
        <v>475180.51047545526</v>
      </c>
      <c r="O514" s="1529">
        <f t="shared" si="61"/>
        <v>886699.29219529126</v>
      </c>
    </row>
    <row r="515" spans="4:15" hidden="1">
      <c r="D515" s="1534">
        <f t="shared" si="53"/>
        <v>351</v>
      </c>
      <c r="E515" s="1529">
        <f t="shared" si="54"/>
        <v>24819.489524544511</v>
      </c>
      <c r="F515" s="1529">
        <f t="shared" si="55"/>
        <v>2533.4265491294036</v>
      </c>
      <c r="G515" s="1529">
        <f t="shared" si="56"/>
        <v>93.07308571704192</v>
      </c>
      <c r="H515" s="1529">
        <f t="shared" si="57"/>
        <v>2440.3534634123616</v>
      </c>
      <c r="I515" s="1529">
        <f t="shared" si="58"/>
        <v>22379.136061132151</v>
      </c>
      <c r="K515" s="1529">
        <f t="shared" si="59"/>
        <v>411611.85480555304</v>
      </c>
      <c r="L515" s="1529">
        <f t="shared" si="60"/>
        <v>477620.86393886764</v>
      </c>
      <c r="O515" s="1529">
        <f t="shared" si="61"/>
        <v>889232.71874442068</v>
      </c>
    </row>
    <row r="516" spans="4:15" hidden="1">
      <c r="D516" s="1534">
        <f t="shared" si="53"/>
        <v>352</v>
      </c>
      <c r="E516" s="1529">
        <f t="shared" si="54"/>
        <v>22379.136061132151</v>
      </c>
      <c r="F516" s="1529">
        <f t="shared" si="55"/>
        <v>2533.4265491294036</v>
      </c>
      <c r="G516" s="1529">
        <f t="shared" si="56"/>
        <v>83.921760229245564</v>
      </c>
      <c r="H516" s="1529">
        <f t="shared" si="57"/>
        <v>2449.504788900158</v>
      </c>
      <c r="I516" s="1529">
        <f t="shared" si="58"/>
        <v>19929.631272231993</v>
      </c>
      <c r="K516" s="1529">
        <f t="shared" si="59"/>
        <v>411695.77656578226</v>
      </c>
      <c r="L516" s="1529">
        <f t="shared" si="60"/>
        <v>480070.36872776778</v>
      </c>
      <c r="O516" s="1529">
        <f t="shared" si="61"/>
        <v>891766.1452935501</v>
      </c>
    </row>
    <row r="517" spans="4:15" hidden="1">
      <c r="D517" s="1534">
        <f t="shared" si="53"/>
        <v>353</v>
      </c>
      <c r="E517" s="1529">
        <f t="shared" si="54"/>
        <v>19929.631272231993</v>
      </c>
      <c r="F517" s="1529">
        <f t="shared" si="55"/>
        <v>2533.4265491294036</v>
      </c>
      <c r="G517" s="1529">
        <f t="shared" si="56"/>
        <v>74.736117270869968</v>
      </c>
      <c r="H517" s="1529">
        <f t="shared" si="57"/>
        <v>2458.6904318585334</v>
      </c>
      <c r="I517" s="1529">
        <f t="shared" si="58"/>
        <v>17470.94084037346</v>
      </c>
      <c r="K517" s="1529">
        <f t="shared" si="59"/>
        <v>411770.51268305315</v>
      </c>
      <c r="L517" s="1529">
        <f t="shared" si="60"/>
        <v>482529.05915962631</v>
      </c>
      <c r="O517" s="1529">
        <f t="shared" si="61"/>
        <v>894299.57184267952</v>
      </c>
    </row>
    <row r="518" spans="4:15" hidden="1">
      <c r="D518" s="1534">
        <f t="shared" si="53"/>
        <v>354</v>
      </c>
      <c r="E518" s="1529">
        <f t="shared" si="54"/>
        <v>17470.94084037346</v>
      </c>
      <c r="F518" s="1529">
        <f t="shared" si="55"/>
        <v>2533.4265491294036</v>
      </c>
      <c r="G518" s="1529">
        <f t="shared" si="56"/>
        <v>65.516028151400477</v>
      </c>
      <c r="H518" s="1529">
        <f t="shared" si="57"/>
        <v>2467.9105209780032</v>
      </c>
      <c r="I518" s="1529">
        <f t="shared" si="58"/>
        <v>15003.030319395457</v>
      </c>
      <c r="K518" s="1529">
        <f t="shared" si="59"/>
        <v>411836.02871120453</v>
      </c>
      <c r="L518" s="1529">
        <f t="shared" si="60"/>
        <v>484996.96968060429</v>
      </c>
      <c r="O518" s="1529">
        <f t="shared" si="61"/>
        <v>896832.99839180883</v>
      </c>
    </row>
    <row r="519" spans="4:15" hidden="1">
      <c r="D519" s="1534">
        <f t="shared" si="53"/>
        <v>355</v>
      </c>
      <c r="E519" s="1529">
        <f t="shared" si="54"/>
        <v>15003.030319395457</v>
      </c>
      <c r="F519" s="1529">
        <f t="shared" si="55"/>
        <v>2533.4265491294036</v>
      </c>
      <c r="G519" s="1529">
        <f t="shared" si="56"/>
        <v>56.261363697732961</v>
      </c>
      <c r="H519" s="1529">
        <f t="shared" si="57"/>
        <v>2477.1651854316706</v>
      </c>
      <c r="I519" s="1529">
        <f t="shared" si="58"/>
        <v>12525.865133963787</v>
      </c>
      <c r="K519" s="1529">
        <f t="shared" si="59"/>
        <v>411892.29007490224</v>
      </c>
      <c r="L519" s="1529">
        <f t="shared" si="60"/>
        <v>487474.13486603595</v>
      </c>
      <c r="O519" s="1529">
        <f t="shared" si="61"/>
        <v>899366.42494093813</v>
      </c>
    </row>
    <row r="520" spans="4:15" hidden="1">
      <c r="D520" s="1534">
        <f t="shared" si="53"/>
        <v>356</v>
      </c>
      <c r="E520" s="1529">
        <f t="shared" si="54"/>
        <v>12525.865133963787</v>
      </c>
      <c r="F520" s="1529">
        <f t="shared" si="55"/>
        <v>2533.4265491294036</v>
      </c>
      <c r="G520" s="1529">
        <f t="shared" si="56"/>
        <v>46.971994252364198</v>
      </c>
      <c r="H520" s="1529">
        <f t="shared" si="57"/>
        <v>2486.4545548770393</v>
      </c>
      <c r="I520" s="1529">
        <f t="shared" si="58"/>
        <v>10039.410579086747</v>
      </c>
      <c r="K520" s="1529">
        <f t="shared" si="59"/>
        <v>411939.26206915459</v>
      </c>
      <c r="L520" s="1529">
        <f t="shared" si="60"/>
        <v>489960.58942091296</v>
      </c>
      <c r="O520" s="1529">
        <f t="shared" si="61"/>
        <v>901899.85149006755</v>
      </c>
    </row>
    <row r="521" spans="4:15" hidden="1">
      <c r="D521" s="1534">
        <f t="shared" si="53"/>
        <v>357</v>
      </c>
      <c r="E521" s="1529">
        <f t="shared" si="54"/>
        <v>10039.410579086747</v>
      </c>
      <c r="F521" s="1529">
        <f t="shared" si="55"/>
        <v>2533.4265491294036</v>
      </c>
      <c r="G521" s="1529">
        <f t="shared" si="56"/>
        <v>37.647789671575303</v>
      </c>
      <c r="H521" s="1529">
        <f t="shared" si="57"/>
        <v>2495.7787594578285</v>
      </c>
      <c r="I521" s="1529">
        <f t="shared" si="58"/>
        <v>7543.6318196289185</v>
      </c>
      <c r="K521" s="1529">
        <f t="shared" si="59"/>
        <v>411976.90985882614</v>
      </c>
      <c r="L521" s="1529">
        <f t="shared" si="60"/>
        <v>492456.36818037077</v>
      </c>
      <c r="O521" s="1529">
        <f t="shared" si="61"/>
        <v>904433.27803919697</v>
      </c>
    </row>
    <row r="522" spans="4:15" hidden="1">
      <c r="D522" s="1534">
        <f t="shared" si="53"/>
        <v>358</v>
      </c>
      <c r="E522" s="1529">
        <f t="shared" si="54"/>
        <v>7543.6318196289185</v>
      </c>
      <c r="F522" s="1529">
        <f t="shared" si="55"/>
        <v>2533.4265491294036</v>
      </c>
      <c r="G522" s="1529">
        <f t="shared" si="56"/>
        <v>28.288619323608444</v>
      </c>
      <c r="H522" s="1529">
        <f t="shared" si="57"/>
        <v>2505.137929805795</v>
      </c>
      <c r="I522" s="1529">
        <f t="shared" si="58"/>
        <v>5038.493889823123</v>
      </c>
      <c r="K522" s="1529">
        <f t="shared" si="59"/>
        <v>412005.19847814977</v>
      </c>
      <c r="L522" s="1529">
        <f t="shared" si="60"/>
        <v>494961.50611017656</v>
      </c>
      <c r="O522" s="1529">
        <f t="shared" si="61"/>
        <v>906966.70458832639</v>
      </c>
    </row>
    <row r="523" spans="4:15" hidden="1">
      <c r="D523" s="1534">
        <f t="shared" si="53"/>
        <v>359</v>
      </c>
      <c r="E523" s="1529">
        <f t="shared" si="54"/>
        <v>5038.493889823123</v>
      </c>
      <c r="F523" s="1529">
        <f t="shared" si="55"/>
        <v>2533.4265491294036</v>
      </c>
      <c r="G523" s="1529">
        <f t="shared" si="56"/>
        <v>18.894352086836712</v>
      </c>
      <c r="H523" s="1529">
        <f t="shared" si="57"/>
        <v>2514.5321970425671</v>
      </c>
      <c r="I523" s="1529">
        <f t="shared" si="58"/>
        <v>2523.9616927805559</v>
      </c>
      <c r="K523" s="1529">
        <f t="shared" si="59"/>
        <v>412024.09283023659</v>
      </c>
      <c r="L523" s="1529">
        <f t="shared" si="60"/>
        <v>497476.0383072191</v>
      </c>
      <c r="O523" s="1529">
        <f t="shared" si="61"/>
        <v>909500.1311374557</v>
      </c>
    </row>
    <row r="524" spans="4:15" hidden="1">
      <c r="D524" s="1534">
        <f t="shared" si="53"/>
        <v>360</v>
      </c>
      <c r="E524" s="1529">
        <f t="shared" si="54"/>
        <v>2523.9616927805559</v>
      </c>
      <c r="F524" s="1529">
        <f t="shared" si="55"/>
        <v>2533.4265491294036</v>
      </c>
      <c r="G524" s="1529">
        <f t="shared" si="56"/>
        <v>9.4648563479270837</v>
      </c>
      <c r="H524" s="1529">
        <f t="shared" si="57"/>
        <v>2523.9616927814764</v>
      </c>
      <c r="I524" s="1529">
        <f t="shared" si="58"/>
        <v>-9.2040863819420338E-10</v>
      </c>
      <c r="K524" s="1529">
        <f t="shared" si="59"/>
        <v>412033.55768658454</v>
      </c>
      <c r="L524" s="1529">
        <f t="shared" si="60"/>
        <v>500000.00000000058</v>
      </c>
      <c r="O524" s="1529">
        <f t="shared" si="61"/>
        <v>912033.55768658512</v>
      </c>
    </row>
    <row r="525" spans="4:15">
      <c r="D525" s="1534"/>
      <c r="E525" s="1529"/>
      <c r="F525" s="1529"/>
      <c r="G525" s="1529"/>
      <c r="H525" s="1529"/>
      <c r="I525" s="1529"/>
      <c r="K525" s="1529"/>
      <c r="L525" s="1529"/>
    </row>
    <row r="526" spans="4:15">
      <c r="D526" s="1534"/>
      <c r="E526" s="1529"/>
      <c r="F526" s="1529"/>
      <c r="G526" s="1529"/>
      <c r="H526" s="1529"/>
      <c r="I526" s="1529"/>
      <c r="K526" s="1529"/>
      <c r="L526" s="1529"/>
    </row>
    <row r="527" spans="4:15">
      <c r="D527" s="1534"/>
      <c r="E527" s="1529"/>
      <c r="F527" s="1529"/>
      <c r="G527" s="1529"/>
      <c r="H527" s="1529"/>
      <c r="I527" s="1529"/>
      <c r="K527" s="1529"/>
      <c r="L527" s="1529"/>
    </row>
    <row r="528" spans="4:15">
      <c r="D528" s="1534"/>
      <c r="E528" s="1529"/>
      <c r="F528" s="1529"/>
      <c r="G528" s="1529"/>
      <c r="H528" s="1529"/>
      <c r="I528" s="1529"/>
      <c r="K528" s="1529"/>
      <c r="L528" s="1529"/>
    </row>
    <row r="529" spans="4:12">
      <c r="D529" s="1534"/>
      <c r="E529" s="1529"/>
      <c r="F529" s="1529"/>
      <c r="G529" s="1529"/>
      <c r="H529" s="1529"/>
      <c r="I529" s="1529"/>
      <c r="K529" s="1529"/>
      <c r="L529" s="1529"/>
    </row>
    <row r="530" spans="4:12">
      <c r="D530" s="1534"/>
      <c r="E530" s="1529"/>
      <c r="F530" s="1529"/>
      <c r="G530" s="1529"/>
      <c r="H530" s="1529"/>
      <c r="I530" s="1529"/>
      <c r="K530" s="1529"/>
      <c r="L530" s="1529"/>
    </row>
    <row r="531" spans="4:12">
      <c r="D531" s="1534"/>
      <c r="E531" s="1529"/>
      <c r="F531" s="1529"/>
      <c r="G531" s="1529"/>
      <c r="H531" s="1529"/>
      <c r="I531" s="1529"/>
      <c r="K531" s="1529"/>
      <c r="L531" s="1529"/>
    </row>
    <row r="532" spans="4:12">
      <c r="D532" s="1534"/>
      <c r="E532" s="1529"/>
      <c r="F532" s="1529"/>
      <c r="G532" s="1529"/>
      <c r="H532" s="1529"/>
      <c r="I532" s="1529"/>
      <c r="K532" s="1529"/>
      <c r="L532" s="1529"/>
    </row>
    <row r="533" spans="4:12">
      <c r="D533" s="1534"/>
      <c r="E533" s="1529"/>
      <c r="F533" s="1529"/>
      <c r="G533" s="1529"/>
      <c r="H533" s="1529"/>
      <c r="I533" s="1529"/>
      <c r="K533" s="1529"/>
      <c r="L533" s="1529"/>
    </row>
    <row r="534" spans="4:12">
      <c r="D534" s="1534"/>
      <c r="E534" s="1529"/>
      <c r="F534" s="1529"/>
      <c r="G534" s="1529"/>
      <c r="H534" s="1529"/>
      <c r="I534" s="1529"/>
      <c r="K534" s="1529"/>
      <c r="L534" s="1529"/>
    </row>
    <row r="535" spans="4:12">
      <c r="D535" s="1534"/>
      <c r="E535" s="1529"/>
      <c r="F535" s="1529"/>
      <c r="G535" s="1529"/>
      <c r="H535" s="1529"/>
      <c r="I535" s="1529"/>
      <c r="K535" s="1529"/>
      <c r="L535" s="1529"/>
    </row>
    <row r="536" spans="4:12">
      <c r="D536" s="1534"/>
      <c r="E536" s="1529"/>
      <c r="F536" s="1529"/>
      <c r="G536" s="1529"/>
      <c r="H536" s="1529"/>
      <c r="I536" s="1529"/>
      <c r="K536" s="1529"/>
      <c r="L536" s="1529"/>
    </row>
    <row r="537" spans="4:12">
      <c r="D537" s="1534"/>
      <c r="E537" s="1529"/>
      <c r="F537" s="1529"/>
      <c r="G537" s="1529"/>
      <c r="H537" s="1529"/>
      <c r="I537" s="1529"/>
      <c r="K537" s="1529"/>
      <c r="L537" s="1529"/>
    </row>
  </sheetData>
  <sheetProtection algorithmName="SHA-512" hashValue="N6NhNSDh6m3EvdY40vUUk7Bybt2yeaIw7dgGBp5q1wB+YmOhXAOnQAsDgJ8WhFezScTje/S9IxenwK9M2riI5A==" saltValue="VnHDxN/sI9fz34am6boF5Q=="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25" zoomScaleNormal="125" workbookViewId="0">
      <pane ySplit="3" topLeftCell="A4" activePane="bottomLeft" state="frozen"/>
      <selection pane="bottomLeft" activeCell="B6" sqref="B6"/>
    </sheetView>
  </sheetViews>
  <sheetFormatPr baseColWidth="10" defaultRowHeight="16"/>
  <cols>
    <col min="1" max="1" width="5.7109375" style="1604" customWidth="1"/>
    <col min="2" max="16384" width="10.7109375" style="1604"/>
  </cols>
  <sheetData>
    <row r="1" spans="1:13" s="892" customFormat="1" ht="8" customHeight="1">
      <c r="A1" s="891"/>
      <c r="B1" s="891"/>
      <c r="C1" s="891"/>
      <c r="D1" s="891"/>
      <c r="E1" s="891"/>
      <c r="F1" s="891"/>
      <c r="G1" s="891"/>
      <c r="H1" s="891"/>
      <c r="I1" s="891"/>
      <c r="J1" s="891"/>
      <c r="K1" s="891"/>
      <c r="L1" s="891"/>
      <c r="M1" s="891"/>
    </row>
    <row r="2" spans="1:13" s="892" customFormat="1" ht="40" customHeight="1">
      <c r="A2" s="869"/>
      <c r="B2" s="890" t="s">
        <v>2392</v>
      </c>
    </row>
    <row r="3" spans="1:13" s="892" customFormat="1" ht="40" customHeight="1">
      <c r="A3" s="1752" t="s">
        <v>1310</v>
      </c>
      <c r="B3" s="1605" t="s">
        <v>2585</v>
      </c>
    </row>
    <row r="4" spans="1:13" s="892" customFormat="1"/>
    <row r="5" spans="1:13">
      <c r="B5" s="1606" t="s">
        <v>2584</v>
      </c>
    </row>
    <row r="6" spans="1:13">
      <c r="B6" s="1606"/>
    </row>
  </sheetData>
  <sheetProtection algorithmName="SHA-512" hashValue="3ABU+8urRQAoIArPENln2vHZta91GHEDzdMh6TcG05V1Kcq44PC6+hlFLsyL/zvZJAD3s91LmfPAN0nggOtXRA==" saltValue="F+52rkjPIpwdLid0Xcdjrg=="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46"/>
  <sheetViews>
    <sheetView topLeftCell="A1404" zoomScale="125" zoomScaleNormal="125" workbookViewId="0">
      <selection activeCell="S1" sqref="S1:W1646"/>
    </sheetView>
  </sheetViews>
  <sheetFormatPr baseColWidth="10" defaultRowHeight="16"/>
  <cols>
    <col min="1" max="1" width="12.140625" style="1655" customWidth="1"/>
    <col min="2" max="2" width="10.7109375" style="1655"/>
    <col min="3" max="3" width="44.85546875" style="1655" customWidth="1"/>
    <col min="4" max="5" width="10.7109375" style="1655"/>
    <col min="6" max="6" width="10.7109375" style="1525"/>
    <col min="7" max="8" width="10.7109375" style="1655"/>
    <col min="9" max="9" width="44.85546875" style="1655" customWidth="1"/>
    <col min="10" max="11" width="10.7109375" style="1655"/>
    <col min="12" max="12" width="10.7109375" style="1525"/>
    <col min="13" max="14" width="10.7109375" style="1655"/>
    <col min="15" max="15" width="44.85546875" style="1655" customWidth="1"/>
    <col min="16" max="17" width="10.7109375" style="1655"/>
    <col min="18" max="18" width="10.7109375" style="1525"/>
    <col min="19" max="20" width="10.7109375" style="1655"/>
    <col min="21" max="21" width="44.85546875" style="1655" customWidth="1"/>
    <col min="22" max="23" width="10.7109375" style="1655"/>
    <col min="24" max="24" width="10.7109375" style="1525"/>
    <col min="25" max="16384" width="10.7109375" style="1655"/>
  </cols>
  <sheetData>
    <row r="1" spans="1:23">
      <c r="A1" s="1655" t="s">
        <v>423</v>
      </c>
      <c r="B1" s="1655" t="s">
        <v>1155</v>
      </c>
      <c r="C1" s="1655" t="s">
        <v>83</v>
      </c>
      <c r="D1" s="1655" t="s">
        <v>42</v>
      </c>
      <c r="E1" s="1655" t="s">
        <v>569</v>
      </c>
      <c r="G1" s="1655" t="s">
        <v>423</v>
      </c>
      <c r="H1" s="1655" t="s">
        <v>1155</v>
      </c>
      <c r="I1" s="1655" t="s">
        <v>83</v>
      </c>
      <c r="J1" s="1655" t="s">
        <v>42</v>
      </c>
      <c r="K1" s="1655" t="s">
        <v>569</v>
      </c>
      <c r="M1" s="1655" t="s">
        <v>423</v>
      </c>
      <c r="N1" s="1655" t="s">
        <v>1155</v>
      </c>
      <c r="O1" s="1655" t="s">
        <v>83</v>
      </c>
      <c r="P1" s="1655" t="s">
        <v>42</v>
      </c>
      <c r="Q1" s="1655" t="s">
        <v>569</v>
      </c>
      <c r="S1" s="1655" t="s">
        <v>423</v>
      </c>
      <c r="T1" s="1655" t="s">
        <v>1155</v>
      </c>
      <c r="U1" s="1655" t="s">
        <v>83</v>
      </c>
      <c r="V1" s="1655" t="s">
        <v>42</v>
      </c>
      <c r="W1" s="1655" t="s">
        <v>569</v>
      </c>
    </row>
    <row r="2" spans="1:23">
      <c r="A2" s="1655" t="s">
        <v>423</v>
      </c>
      <c r="B2" s="1655" t="s">
        <v>1156</v>
      </c>
      <c r="C2" s="1655" t="s">
        <v>2303</v>
      </c>
      <c r="D2" s="1655" t="s">
        <v>42</v>
      </c>
      <c r="E2" s="1655" t="s">
        <v>569</v>
      </c>
      <c r="G2" s="1655" t="s">
        <v>423</v>
      </c>
      <c r="H2" s="1655" t="s">
        <v>1156</v>
      </c>
      <c r="I2" s="1655" t="s">
        <v>570</v>
      </c>
      <c r="J2" s="1655" t="s">
        <v>43</v>
      </c>
      <c r="K2" s="1655" t="s">
        <v>569</v>
      </c>
      <c r="M2" s="1655" t="s">
        <v>423</v>
      </c>
      <c r="N2" s="1655" t="s">
        <v>1156</v>
      </c>
      <c r="O2" s="1655" t="s">
        <v>84</v>
      </c>
      <c r="P2" s="1655" t="s">
        <v>42</v>
      </c>
      <c r="Q2" s="1655" t="s">
        <v>569</v>
      </c>
      <c r="S2" s="1655" t="s">
        <v>423</v>
      </c>
      <c r="T2" s="1655" t="s">
        <v>1156</v>
      </c>
      <c r="U2" s="1655" t="s">
        <v>570</v>
      </c>
      <c r="V2" s="1655" t="s">
        <v>43</v>
      </c>
      <c r="W2" s="1655" t="s">
        <v>569</v>
      </c>
    </row>
    <row r="3" spans="1:23">
      <c r="A3" s="1655" t="s">
        <v>423</v>
      </c>
      <c r="B3" s="1655" t="s">
        <v>1157</v>
      </c>
      <c r="C3" s="1655" t="s">
        <v>570</v>
      </c>
      <c r="D3" s="1655" t="s">
        <v>43</v>
      </c>
      <c r="E3" s="1655" t="s">
        <v>569</v>
      </c>
      <c r="G3" s="1655" t="s">
        <v>423</v>
      </c>
      <c r="H3" s="1655" t="s">
        <v>1157</v>
      </c>
      <c r="I3" s="1655" t="s">
        <v>570</v>
      </c>
      <c r="J3" s="1655" t="s">
        <v>43</v>
      </c>
      <c r="K3" s="1655" t="s">
        <v>569</v>
      </c>
      <c r="M3" s="1655" t="s">
        <v>423</v>
      </c>
      <c r="N3" s="1655" t="s">
        <v>1157</v>
      </c>
      <c r="O3" s="1655" t="s">
        <v>570</v>
      </c>
      <c r="P3" s="1655" t="s">
        <v>43</v>
      </c>
      <c r="Q3" s="1655" t="s">
        <v>569</v>
      </c>
      <c r="S3" s="1655" t="s">
        <v>423</v>
      </c>
      <c r="T3" s="1655" t="s">
        <v>1157</v>
      </c>
      <c r="U3" s="1655" t="s">
        <v>570</v>
      </c>
      <c r="V3" s="1655" t="s">
        <v>43</v>
      </c>
      <c r="W3" s="1655" t="s">
        <v>569</v>
      </c>
    </row>
    <row r="4" spans="1:23">
      <c r="A4" s="1655" t="s">
        <v>423</v>
      </c>
      <c r="B4" s="1655" t="s">
        <v>1158</v>
      </c>
      <c r="C4" s="1655" t="s">
        <v>570</v>
      </c>
      <c r="D4" s="1655" t="s">
        <v>43</v>
      </c>
      <c r="E4" s="1655" t="s">
        <v>569</v>
      </c>
      <c r="G4" s="1655" t="s">
        <v>423</v>
      </c>
      <c r="H4" s="1655" t="s">
        <v>1158</v>
      </c>
      <c r="I4" s="1655" t="s">
        <v>570</v>
      </c>
      <c r="J4" s="1655" t="s">
        <v>43</v>
      </c>
      <c r="K4" s="1655" t="s">
        <v>569</v>
      </c>
      <c r="M4" s="1655" t="s">
        <v>423</v>
      </c>
      <c r="N4" s="1655" t="s">
        <v>1158</v>
      </c>
      <c r="O4" s="1655" t="s">
        <v>570</v>
      </c>
      <c r="P4" s="1655" t="s">
        <v>43</v>
      </c>
      <c r="Q4" s="1655" t="s">
        <v>569</v>
      </c>
      <c r="S4" s="1655" t="s">
        <v>423</v>
      </c>
      <c r="T4" s="1655" t="s">
        <v>1158</v>
      </c>
      <c r="U4" s="1655" t="s">
        <v>570</v>
      </c>
      <c r="V4" s="1655" t="s">
        <v>43</v>
      </c>
      <c r="W4" s="1655" t="s">
        <v>569</v>
      </c>
    </row>
    <row r="5" spans="1:23">
      <c r="A5" s="1655" t="s">
        <v>423</v>
      </c>
      <c r="B5" s="1655" t="s">
        <v>1159</v>
      </c>
      <c r="C5" s="1655" t="s">
        <v>570</v>
      </c>
      <c r="D5" s="1655" t="s">
        <v>43</v>
      </c>
      <c r="E5" s="1655" t="s">
        <v>569</v>
      </c>
      <c r="G5" s="1655" t="s">
        <v>423</v>
      </c>
      <c r="H5" s="1655" t="s">
        <v>1159</v>
      </c>
      <c r="I5" s="1655" t="s">
        <v>570</v>
      </c>
      <c r="J5" s="1655" t="s">
        <v>43</v>
      </c>
      <c r="K5" s="1655" t="s">
        <v>569</v>
      </c>
      <c r="M5" s="1655" t="s">
        <v>423</v>
      </c>
      <c r="N5" s="1655" t="s">
        <v>1159</v>
      </c>
      <c r="O5" s="1655" t="s">
        <v>570</v>
      </c>
      <c r="P5" s="1655" t="s">
        <v>43</v>
      </c>
      <c r="Q5" s="1655" t="s">
        <v>569</v>
      </c>
      <c r="S5" s="1655" t="s">
        <v>423</v>
      </c>
      <c r="T5" s="1655" t="s">
        <v>1159</v>
      </c>
      <c r="U5" s="1655" t="s">
        <v>570</v>
      </c>
      <c r="V5" s="1655" t="s">
        <v>43</v>
      </c>
      <c r="W5" s="1655" t="s">
        <v>569</v>
      </c>
    </row>
    <row r="6" spans="1:23">
      <c r="A6" s="1655" t="s">
        <v>423</v>
      </c>
      <c r="B6" s="1655" t="s">
        <v>1255</v>
      </c>
      <c r="C6" s="1655" t="s">
        <v>381</v>
      </c>
      <c r="D6" s="1655" t="s">
        <v>42</v>
      </c>
      <c r="E6" s="1655" t="s">
        <v>569</v>
      </c>
      <c r="G6" s="1655" t="s">
        <v>423</v>
      </c>
      <c r="H6" s="1655" t="s">
        <v>1255</v>
      </c>
      <c r="I6" s="1655" t="s">
        <v>570</v>
      </c>
      <c r="J6" s="1655" t="s">
        <v>43</v>
      </c>
      <c r="K6" s="1655" t="s">
        <v>569</v>
      </c>
      <c r="M6" s="1655" t="s">
        <v>423</v>
      </c>
      <c r="N6" s="1655" t="s">
        <v>1255</v>
      </c>
      <c r="O6" s="1655" t="s">
        <v>381</v>
      </c>
      <c r="P6" s="1655" t="s">
        <v>42</v>
      </c>
      <c r="Q6" s="1655" t="s">
        <v>569</v>
      </c>
      <c r="S6" s="1655" t="s">
        <v>423</v>
      </c>
      <c r="T6" s="1655" t="s">
        <v>1255</v>
      </c>
      <c r="U6" s="1655" t="s">
        <v>570</v>
      </c>
      <c r="V6" s="1655" t="s">
        <v>43</v>
      </c>
      <c r="W6" s="1655" t="s">
        <v>569</v>
      </c>
    </row>
    <row r="7" spans="1:23">
      <c r="A7" s="1655" t="s">
        <v>423</v>
      </c>
      <c r="B7" s="1655" t="s">
        <v>1261</v>
      </c>
      <c r="C7" s="1655" t="s">
        <v>2297</v>
      </c>
      <c r="D7" s="1655" t="s">
        <v>42</v>
      </c>
      <c r="E7" s="1655" t="s">
        <v>569</v>
      </c>
      <c r="G7" s="1655" t="s">
        <v>423</v>
      </c>
      <c r="H7" s="1655" t="s">
        <v>1261</v>
      </c>
      <c r="I7" s="1655" t="s">
        <v>2381</v>
      </c>
      <c r="J7" s="1655" t="s">
        <v>42</v>
      </c>
      <c r="K7" s="1655" t="s">
        <v>569</v>
      </c>
      <c r="M7" s="1655" t="s">
        <v>423</v>
      </c>
      <c r="N7" s="1655" t="s">
        <v>1261</v>
      </c>
      <c r="O7" s="1655" t="s">
        <v>85</v>
      </c>
      <c r="P7" s="1655" t="s">
        <v>42</v>
      </c>
      <c r="Q7" s="1655" t="s">
        <v>569</v>
      </c>
      <c r="S7" s="1655" t="s">
        <v>423</v>
      </c>
      <c r="T7" s="1655" t="s">
        <v>1261</v>
      </c>
      <c r="U7" s="1655" t="s">
        <v>2299</v>
      </c>
      <c r="V7" s="1655" t="s">
        <v>42</v>
      </c>
      <c r="W7" s="1655" t="s">
        <v>569</v>
      </c>
    </row>
    <row r="8" spans="1:23">
      <c r="A8" s="1655" t="s">
        <v>423</v>
      </c>
      <c r="B8" s="1655" t="s">
        <v>1497</v>
      </c>
      <c r="C8" s="1655" t="s">
        <v>2299</v>
      </c>
      <c r="D8" s="1655" t="s">
        <v>42</v>
      </c>
      <c r="E8" s="1655" t="s">
        <v>569</v>
      </c>
      <c r="G8" s="1655" t="s">
        <v>423</v>
      </c>
      <c r="H8" s="1655" t="s">
        <v>1497</v>
      </c>
      <c r="I8" s="1655" t="s">
        <v>570</v>
      </c>
      <c r="J8" s="1655" t="s">
        <v>43</v>
      </c>
      <c r="K8" s="1655" t="s">
        <v>569</v>
      </c>
      <c r="M8" s="1655" t="s">
        <v>423</v>
      </c>
      <c r="N8" s="1655" t="s">
        <v>1497</v>
      </c>
      <c r="O8" s="1655" t="s">
        <v>2375</v>
      </c>
      <c r="P8" s="1655" t="s">
        <v>42</v>
      </c>
      <c r="Q8" s="1655" t="s">
        <v>569</v>
      </c>
      <c r="S8" s="1655" t="s">
        <v>423</v>
      </c>
      <c r="T8" s="1655" t="s">
        <v>1497</v>
      </c>
      <c r="U8" s="1655" t="s">
        <v>570</v>
      </c>
      <c r="V8" s="1655" t="s">
        <v>43</v>
      </c>
      <c r="W8" s="1655" t="s">
        <v>569</v>
      </c>
    </row>
    <row r="9" spans="1:23">
      <c r="A9" s="1655" t="s">
        <v>423</v>
      </c>
      <c r="B9" s="1655" t="s">
        <v>1498</v>
      </c>
      <c r="C9" s="1655" t="s">
        <v>570</v>
      </c>
      <c r="D9" s="1655" t="s">
        <v>43</v>
      </c>
      <c r="E9" s="1655" t="s">
        <v>569</v>
      </c>
      <c r="G9" s="1655" t="s">
        <v>423</v>
      </c>
      <c r="H9" s="1655" t="s">
        <v>1498</v>
      </c>
      <c r="I9" s="1655" t="s">
        <v>570</v>
      </c>
      <c r="J9" s="1655" t="s">
        <v>43</v>
      </c>
      <c r="K9" s="1655" t="s">
        <v>569</v>
      </c>
      <c r="M9" s="1655" t="s">
        <v>423</v>
      </c>
      <c r="N9" s="1655" t="s">
        <v>1498</v>
      </c>
      <c r="O9" s="1655" t="s">
        <v>570</v>
      </c>
      <c r="P9" s="1655" t="s">
        <v>43</v>
      </c>
      <c r="Q9" s="1655" t="s">
        <v>569</v>
      </c>
      <c r="S9" s="1655" t="s">
        <v>423</v>
      </c>
      <c r="T9" s="1655" t="s">
        <v>1498</v>
      </c>
      <c r="U9" s="1655" t="s">
        <v>570</v>
      </c>
      <c r="V9" s="1655" t="s">
        <v>43</v>
      </c>
      <c r="W9" s="1655" t="s">
        <v>569</v>
      </c>
    </row>
    <row r="10" spans="1:23">
      <c r="A10" s="1655" t="s">
        <v>423</v>
      </c>
      <c r="B10" s="1655" t="s">
        <v>1499</v>
      </c>
      <c r="C10" s="1655" t="s">
        <v>570</v>
      </c>
      <c r="D10" s="1655" t="s">
        <v>43</v>
      </c>
      <c r="E10" s="1655" t="s">
        <v>569</v>
      </c>
      <c r="G10" s="1655" t="s">
        <v>423</v>
      </c>
      <c r="H10" s="1655" t="s">
        <v>1499</v>
      </c>
      <c r="I10" s="1655" t="s">
        <v>570</v>
      </c>
      <c r="J10" s="1655" t="s">
        <v>43</v>
      </c>
      <c r="K10" s="1655" t="s">
        <v>569</v>
      </c>
      <c r="M10" s="1655" t="s">
        <v>423</v>
      </c>
      <c r="N10" s="1655" t="s">
        <v>1499</v>
      </c>
      <c r="O10" s="1655" t="s">
        <v>570</v>
      </c>
      <c r="P10" s="1655" t="s">
        <v>43</v>
      </c>
      <c r="Q10" s="1655" t="s">
        <v>569</v>
      </c>
      <c r="S10" s="1655" t="s">
        <v>423</v>
      </c>
      <c r="T10" s="1655" t="s">
        <v>1499</v>
      </c>
      <c r="U10" s="1655" t="s">
        <v>570</v>
      </c>
      <c r="V10" s="1655" t="s">
        <v>43</v>
      </c>
      <c r="W10" s="1655" t="s">
        <v>569</v>
      </c>
    </row>
    <row r="11" spans="1:23">
      <c r="A11" s="1655" t="s">
        <v>423</v>
      </c>
      <c r="B11" s="1655" t="s">
        <v>1500</v>
      </c>
      <c r="C11" s="1655" t="s">
        <v>2295</v>
      </c>
      <c r="D11" s="1655" t="s">
        <v>42</v>
      </c>
      <c r="E11" s="1655" t="s">
        <v>569</v>
      </c>
      <c r="G11" s="1655" t="s">
        <v>423</v>
      </c>
      <c r="H11" s="1655" t="s">
        <v>1500</v>
      </c>
      <c r="I11" s="1655" t="s">
        <v>2380</v>
      </c>
      <c r="J11" s="1655" t="s">
        <v>42</v>
      </c>
      <c r="K11" s="1655" t="s">
        <v>569</v>
      </c>
      <c r="M11" s="1655" t="s">
        <v>423</v>
      </c>
      <c r="N11" s="1655" t="s">
        <v>1500</v>
      </c>
      <c r="O11" s="1655" t="s">
        <v>2365</v>
      </c>
      <c r="P11" s="1655" t="s">
        <v>42</v>
      </c>
      <c r="Q11" s="1655" t="s">
        <v>569</v>
      </c>
      <c r="S11" s="1655" t="s">
        <v>423</v>
      </c>
      <c r="T11" s="1655" t="s">
        <v>1500</v>
      </c>
      <c r="U11" s="1655" t="s">
        <v>2386</v>
      </c>
      <c r="V11" s="1655" t="s">
        <v>42</v>
      </c>
      <c r="W11" s="1655" t="s">
        <v>569</v>
      </c>
    </row>
    <row r="12" spans="1:23">
      <c r="A12" s="1655" t="s">
        <v>423</v>
      </c>
      <c r="B12" s="1655" t="s">
        <v>1501</v>
      </c>
      <c r="C12" s="1655" t="s">
        <v>2296</v>
      </c>
      <c r="D12" s="1655" t="s">
        <v>42</v>
      </c>
      <c r="E12" s="1655" t="s">
        <v>569</v>
      </c>
      <c r="G12" s="1655" t="s">
        <v>423</v>
      </c>
      <c r="H12" s="1655" t="s">
        <v>1501</v>
      </c>
      <c r="I12" s="1655" t="s">
        <v>570</v>
      </c>
      <c r="J12" s="1655" t="s">
        <v>43</v>
      </c>
      <c r="K12" s="1655" t="s">
        <v>569</v>
      </c>
      <c r="M12" s="1655" t="s">
        <v>423</v>
      </c>
      <c r="N12" s="1655" t="s">
        <v>1501</v>
      </c>
      <c r="O12" s="1655" t="s">
        <v>2364</v>
      </c>
      <c r="P12" s="1655" t="s">
        <v>42</v>
      </c>
      <c r="Q12" s="1655" t="s">
        <v>569</v>
      </c>
      <c r="S12" s="1655" t="s">
        <v>423</v>
      </c>
      <c r="T12" s="1655" t="s">
        <v>1501</v>
      </c>
      <c r="U12" s="1655" t="s">
        <v>570</v>
      </c>
      <c r="V12" s="1655" t="s">
        <v>43</v>
      </c>
      <c r="W12" s="1655" t="s">
        <v>569</v>
      </c>
    </row>
    <row r="13" spans="1:23">
      <c r="A13" s="1655" t="s">
        <v>423</v>
      </c>
      <c r="B13" s="1655" t="s">
        <v>1502</v>
      </c>
      <c r="C13" s="1655" t="s">
        <v>2296</v>
      </c>
      <c r="D13" s="1655" t="s">
        <v>42</v>
      </c>
      <c r="E13" s="1655" t="s">
        <v>569</v>
      </c>
      <c r="G13" s="1655" t="s">
        <v>423</v>
      </c>
      <c r="H13" s="1655" t="s">
        <v>1502</v>
      </c>
      <c r="I13" s="1655" t="s">
        <v>570</v>
      </c>
      <c r="J13" s="1655" t="s">
        <v>43</v>
      </c>
      <c r="K13" s="1655" t="s">
        <v>569</v>
      </c>
      <c r="M13" s="1655" t="s">
        <v>423</v>
      </c>
      <c r="N13" s="1655" t="s">
        <v>1502</v>
      </c>
      <c r="O13" s="1655" t="s">
        <v>2365</v>
      </c>
      <c r="P13" s="1655" t="s">
        <v>42</v>
      </c>
      <c r="Q13" s="1655" t="s">
        <v>569</v>
      </c>
      <c r="S13" s="1655" t="s">
        <v>423</v>
      </c>
      <c r="T13" s="1655" t="s">
        <v>1502</v>
      </c>
      <c r="U13" s="1655" t="s">
        <v>570</v>
      </c>
      <c r="V13" s="1655" t="s">
        <v>43</v>
      </c>
      <c r="W13" s="1655" t="s">
        <v>569</v>
      </c>
    </row>
    <row r="14" spans="1:23">
      <c r="A14" s="1655" t="s">
        <v>423</v>
      </c>
      <c r="B14" s="1655" t="s">
        <v>1503</v>
      </c>
      <c r="C14" s="1655" t="s">
        <v>570</v>
      </c>
      <c r="D14" s="1655" t="s">
        <v>43</v>
      </c>
      <c r="E14" s="1655" t="s">
        <v>569</v>
      </c>
      <c r="G14" s="1655" t="s">
        <v>423</v>
      </c>
      <c r="H14" s="1655" t="s">
        <v>1503</v>
      </c>
      <c r="I14" s="1655" t="s">
        <v>570</v>
      </c>
      <c r="J14" s="1655" t="s">
        <v>43</v>
      </c>
      <c r="K14" s="1655" t="s">
        <v>569</v>
      </c>
      <c r="M14" s="1655" t="s">
        <v>423</v>
      </c>
      <c r="N14" s="1655" t="s">
        <v>1503</v>
      </c>
      <c r="O14" s="1655" t="s">
        <v>2364</v>
      </c>
      <c r="P14" s="1655" t="s">
        <v>42</v>
      </c>
      <c r="Q14" s="1655" t="s">
        <v>569</v>
      </c>
      <c r="S14" s="1655" t="s">
        <v>423</v>
      </c>
      <c r="T14" s="1655" t="s">
        <v>1503</v>
      </c>
      <c r="U14" s="1655" t="s">
        <v>570</v>
      </c>
      <c r="V14" s="1655" t="s">
        <v>43</v>
      </c>
      <c r="W14" s="1655" t="s">
        <v>569</v>
      </c>
    </row>
    <row r="15" spans="1:23">
      <c r="A15" s="1655" t="s">
        <v>423</v>
      </c>
      <c r="B15" s="1655" t="s">
        <v>1504</v>
      </c>
      <c r="C15" s="1655" t="s">
        <v>570</v>
      </c>
      <c r="D15" s="1655" t="s">
        <v>43</v>
      </c>
      <c r="E15" s="1655" t="s">
        <v>569</v>
      </c>
      <c r="G15" s="1655" t="s">
        <v>423</v>
      </c>
      <c r="H15" s="1655" t="s">
        <v>1504</v>
      </c>
      <c r="I15" s="1655" t="s">
        <v>570</v>
      </c>
      <c r="J15" s="1655" t="s">
        <v>43</v>
      </c>
      <c r="K15" s="1655" t="s">
        <v>569</v>
      </c>
      <c r="M15" s="1655" t="s">
        <v>423</v>
      </c>
      <c r="N15" s="1655" t="s">
        <v>1504</v>
      </c>
      <c r="O15" s="1655" t="s">
        <v>570</v>
      </c>
      <c r="P15" s="1655" t="s">
        <v>43</v>
      </c>
      <c r="Q15" s="1655" t="s">
        <v>569</v>
      </c>
      <c r="S15" s="1655" t="s">
        <v>423</v>
      </c>
      <c r="T15" s="1655" t="s">
        <v>1504</v>
      </c>
      <c r="U15" s="1655" t="s">
        <v>570</v>
      </c>
      <c r="V15" s="1655" t="s">
        <v>43</v>
      </c>
      <c r="W15" s="1655" t="s">
        <v>569</v>
      </c>
    </row>
    <row r="16" spans="1:23">
      <c r="A16" s="1655" t="s">
        <v>423</v>
      </c>
      <c r="B16" s="1655" t="s">
        <v>1505</v>
      </c>
      <c r="C16" s="1655" t="s">
        <v>570</v>
      </c>
      <c r="D16" s="1655" t="s">
        <v>43</v>
      </c>
      <c r="E16" s="1655" t="s">
        <v>569</v>
      </c>
      <c r="G16" s="1655" t="s">
        <v>423</v>
      </c>
      <c r="H16" s="1655" t="s">
        <v>1505</v>
      </c>
      <c r="I16" s="1655" t="s">
        <v>570</v>
      </c>
      <c r="J16" s="1655" t="s">
        <v>43</v>
      </c>
      <c r="K16" s="1655" t="s">
        <v>569</v>
      </c>
      <c r="M16" s="1655" t="s">
        <v>423</v>
      </c>
      <c r="N16" s="1655" t="s">
        <v>1505</v>
      </c>
      <c r="O16" s="1655" t="s">
        <v>570</v>
      </c>
      <c r="P16" s="1655" t="s">
        <v>43</v>
      </c>
      <c r="Q16" s="1655" t="s">
        <v>569</v>
      </c>
      <c r="S16" s="1655" t="s">
        <v>423</v>
      </c>
      <c r="T16" s="1655" t="s">
        <v>1505</v>
      </c>
      <c r="U16" s="1655" t="s">
        <v>570</v>
      </c>
      <c r="V16" s="1655" t="s">
        <v>43</v>
      </c>
      <c r="W16" s="1655" t="s">
        <v>569</v>
      </c>
    </row>
    <row r="17" spans="1:23">
      <c r="A17" s="1655" t="s">
        <v>423</v>
      </c>
      <c r="B17" s="1655" t="s">
        <v>1506</v>
      </c>
      <c r="C17" s="1655" t="s">
        <v>570</v>
      </c>
      <c r="D17" s="1655" t="s">
        <v>43</v>
      </c>
      <c r="E17" s="1655" t="s">
        <v>569</v>
      </c>
      <c r="G17" s="1655" t="s">
        <v>423</v>
      </c>
      <c r="H17" s="1655" t="s">
        <v>1506</v>
      </c>
      <c r="I17" s="1655" t="s">
        <v>570</v>
      </c>
      <c r="J17" s="1655" t="s">
        <v>43</v>
      </c>
      <c r="K17" s="1655" t="s">
        <v>569</v>
      </c>
      <c r="M17" s="1655" t="s">
        <v>423</v>
      </c>
      <c r="N17" s="1655" t="s">
        <v>1506</v>
      </c>
      <c r="O17" s="1655" t="s">
        <v>570</v>
      </c>
      <c r="P17" s="1655" t="s">
        <v>43</v>
      </c>
      <c r="Q17" s="1655" t="s">
        <v>569</v>
      </c>
      <c r="S17" s="1655" t="s">
        <v>423</v>
      </c>
      <c r="T17" s="1655" t="s">
        <v>1506</v>
      </c>
      <c r="U17" s="1655" t="s">
        <v>570</v>
      </c>
      <c r="V17" s="1655" t="s">
        <v>43</v>
      </c>
      <c r="W17" s="1655" t="s">
        <v>569</v>
      </c>
    </row>
    <row r="18" spans="1:23">
      <c r="A18" s="1655" t="s">
        <v>423</v>
      </c>
      <c r="B18" s="1655" t="s">
        <v>1507</v>
      </c>
      <c r="C18" s="1655" t="s">
        <v>570</v>
      </c>
      <c r="D18" s="1655" t="s">
        <v>43</v>
      </c>
      <c r="E18" s="1655" t="s">
        <v>569</v>
      </c>
      <c r="G18" s="1655" t="s">
        <v>423</v>
      </c>
      <c r="H18" s="1655" t="s">
        <v>1507</v>
      </c>
      <c r="I18" s="1655" t="s">
        <v>570</v>
      </c>
      <c r="J18" s="1655" t="s">
        <v>43</v>
      </c>
      <c r="K18" s="1655" t="s">
        <v>569</v>
      </c>
      <c r="M18" s="1655" t="s">
        <v>423</v>
      </c>
      <c r="N18" s="1655" t="s">
        <v>1507</v>
      </c>
      <c r="O18" s="1655" t="s">
        <v>570</v>
      </c>
      <c r="P18" s="1655" t="s">
        <v>43</v>
      </c>
      <c r="Q18" s="1655" t="s">
        <v>569</v>
      </c>
      <c r="S18" s="1655" t="s">
        <v>423</v>
      </c>
      <c r="T18" s="1655" t="s">
        <v>1507</v>
      </c>
      <c r="U18" s="1655" t="s">
        <v>570</v>
      </c>
      <c r="V18" s="1655" t="s">
        <v>43</v>
      </c>
      <c r="W18" s="1655" t="s">
        <v>569</v>
      </c>
    </row>
    <row r="19" spans="1:23">
      <c r="A19" s="1655" t="s">
        <v>423</v>
      </c>
      <c r="B19" s="1655" t="s">
        <v>1508</v>
      </c>
      <c r="C19" s="1655" t="s">
        <v>570</v>
      </c>
      <c r="D19" s="1655" t="s">
        <v>43</v>
      </c>
      <c r="E19" s="1655" t="s">
        <v>569</v>
      </c>
      <c r="G19" s="1655" t="s">
        <v>423</v>
      </c>
      <c r="H19" s="1655" t="s">
        <v>1508</v>
      </c>
      <c r="I19" s="1655" t="s">
        <v>570</v>
      </c>
      <c r="J19" s="1655" t="s">
        <v>43</v>
      </c>
      <c r="K19" s="1655" t="s">
        <v>569</v>
      </c>
      <c r="M19" s="1655" t="s">
        <v>423</v>
      </c>
      <c r="N19" s="1655" t="s">
        <v>1508</v>
      </c>
      <c r="O19" s="1655" t="s">
        <v>570</v>
      </c>
      <c r="P19" s="1655" t="s">
        <v>43</v>
      </c>
      <c r="Q19" s="1655" t="s">
        <v>569</v>
      </c>
      <c r="S19" s="1655" t="s">
        <v>423</v>
      </c>
      <c r="T19" s="1655" t="s">
        <v>1508</v>
      </c>
      <c r="U19" s="1655" t="s">
        <v>570</v>
      </c>
      <c r="V19" s="1655" t="s">
        <v>43</v>
      </c>
      <c r="W19" s="1655" t="s">
        <v>569</v>
      </c>
    </row>
    <row r="20" spans="1:23">
      <c r="A20" s="1655" t="s">
        <v>423</v>
      </c>
      <c r="B20" s="1655" t="s">
        <v>1509</v>
      </c>
      <c r="C20" s="1655" t="s">
        <v>570</v>
      </c>
      <c r="D20" s="1655" t="s">
        <v>43</v>
      </c>
      <c r="E20" s="1655" t="s">
        <v>569</v>
      </c>
      <c r="G20" s="1655" t="s">
        <v>423</v>
      </c>
      <c r="H20" s="1655" t="s">
        <v>1509</v>
      </c>
      <c r="I20" s="1655" t="s">
        <v>570</v>
      </c>
      <c r="J20" s="1655" t="s">
        <v>43</v>
      </c>
      <c r="K20" s="1655" t="s">
        <v>569</v>
      </c>
      <c r="M20" s="1655" t="s">
        <v>423</v>
      </c>
      <c r="N20" s="1655" t="s">
        <v>1509</v>
      </c>
      <c r="O20" s="1655" t="s">
        <v>570</v>
      </c>
      <c r="P20" s="1655" t="s">
        <v>43</v>
      </c>
      <c r="Q20" s="1655" t="s">
        <v>569</v>
      </c>
      <c r="S20" s="1655" t="s">
        <v>423</v>
      </c>
      <c r="T20" s="1655" t="s">
        <v>1509</v>
      </c>
      <c r="U20" s="1655" t="s">
        <v>570</v>
      </c>
      <c r="V20" s="1655" t="s">
        <v>43</v>
      </c>
      <c r="W20" s="1655" t="s">
        <v>569</v>
      </c>
    </row>
    <row r="21" spans="1:23">
      <c r="A21" s="1655" t="s">
        <v>423</v>
      </c>
      <c r="B21" s="1655" t="s">
        <v>674</v>
      </c>
      <c r="C21" s="1655" t="s">
        <v>570</v>
      </c>
      <c r="D21" s="1655" t="s">
        <v>43</v>
      </c>
      <c r="E21" s="1655" t="s">
        <v>569</v>
      </c>
      <c r="G21" s="1655" t="s">
        <v>423</v>
      </c>
      <c r="H21" s="1655" t="s">
        <v>674</v>
      </c>
      <c r="I21" s="1655" t="s">
        <v>570</v>
      </c>
      <c r="J21" s="1655" t="s">
        <v>43</v>
      </c>
      <c r="K21" s="1655" t="s">
        <v>569</v>
      </c>
      <c r="M21" s="1655" t="s">
        <v>423</v>
      </c>
      <c r="N21" s="1655" t="s">
        <v>674</v>
      </c>
      <c r="O21" s="1655" t="s">
        <v>570</v>
      </c>
      <c r="P21" s="1655" t="s">
        <v>43</v>
      </c>
      <c r="Q21" s="1655" t="s">
        <v>569</v>
      </c>
      <c r="S21" s="1655" t="s">
        <v>423</v>
      </c>
      <c r="T21" s="1655" t="s">
        <v>674</v>
      </c>
      <c r="U21" s="1655" t="s">
        <v>570</v>
      </c>
      <c r="V21" s="1655" t="s">
        <v>43</v>
      </c>
      <c r="W21" s="1655" t="s">
        <v>569</v>
      </c>
    </row>
    <row r="22" spans="1:23">
      <c r="A22" s="1655" t="s">
        <v>423</v>
      </c>
      <c r="B22" s="1655" t="s">
        <v>675</v>
      </c>
      <c r="C22" s="1655" t="s">
        <v>570</v>
      </c>
      <c r="D22" s="1655" t="s">
        <v>43</v>
      </c>
      <c r="E22" s="1655" t="s">
        <v>569</v>
      </c>
      <c r="G22" s="1655" t="s">
        <v>423</v>
      </c>
      <c r="H22" s="1655" t="s">
        <v>675</v>
      </c>
      <c r="I22" s="1655" t="s">
        <v>570</v>
      </c>
      <c r="J22" s="1655" t="s">
        <v>43</v>
      </c>
      <c r="K22" s="1655" t="s">
        <v>569</v>
      </c>
      <c r="M22" s="1655" t="s">
        <v>423</v>
      </c>
      <c r="N22" s="1655" t="s">
        <v>675</v>
      </c>
      <c r="O22" s="1655" t="s">
        <v>570</v>
      </c>
      <c r="P22" s="1655" t="s">
        <v>43</v>
      </c>
      <c r="Q22" s="1655" t="s">
        <v>569</v>
      </c>
      <c r="S22" s="1655" t="s">
        <v>423</v>
      </c>
      <c r="T22" s="1655" t="s">
        <v>675</v>
      </c>
      <c r="U22" s="1655" t="s">
        <v>570</v>
      </c>
      <c r="V22" s="1655" t="s">
        <v>43</v>
      </c>
      <c r="W22" s="1655" t="s">
        <v>569</v>
      </c>
    </row>
    <row r="23" spans="1:23">
      <c r="A23" s="1655" t="s">
        <v>423</v>
      </c>
      <c r="B23" s="1655" t="s">
        <v>683</v>
      </c>
      <c r="C23" s="1655" t="s">
        <v>570</v>
      </c>
      <c r="D23" s="1655" t="s">
        <v>43</v>
      </c>
      <c r="E23" s="1655" t="s">
        <v>569</v>
      </c>
      <c r="G23" s="1655" t="s">
        <v>423</v>
      </c>
      <c r="H23" s="1655" t="s">
        <v>683</v>
      </c>
      <c r="I23" s="1655" t="s">
        <v>570</v>
      </c>
      <c r="J23" s="1655" t="s">
        <v>43</v>
      </c>
      <c r="K23" s="1655" t="s">
        <v>569</v>
      </c>
      <c r="M23" s="1655" t="s">
        <v>423</v>
      </c>
      <c r="N23" s="1655" t="s">
        <v>683</v>
      </c>
      <c r="O23" s="1655" t="s">
        <v>2672</v>
      </c>
      <c r="P23" s="1655" t="s">
        <v>42</v>
      </c>
      <c r="Q23" s="1655" t="s">
        <v>569</v>
      </c>
      <c r="S23" s="1655" t="s">
        <v>423</v>
      </c>
      <c r="T23" s="1655" t="s">
        <v>683</v>
      </c>
      <c r="U23" s="1655" t="s">
        <v>570</v>
      </c>
      <c r="V23" s="1655" t="s">
        <v>43</v>
      </c>
      <c r="W23" s="1655" t="s">
        <v>569</v>
      </c>
    </row>
    <row r="24" spans="1:23">
      <c r="A24" s="1655" t="s">
        <v>423</v>
      </c>
      <c r="B24" s="1655" t="s">
        <v>684</v>
      </c>
      <c r="C24" s="1655" t="s">
        <v>570</v>
      </c>
      <c r="D24" s="1655" t="s">
        <v>43</v>
      </c>
      <c r="E24" s="1655" t="s">
        <v>569</v>
      </c>
      <c r="G24" s="1655" t="s">
        <v>423</v>
      </c>
      <c r="H24" s="1655" t="s">
        <v>684</v>
      </c>
      <c r="I24" s="1655" t="s">
        <v>570</v>
      </c>
      <c r="J24" s="1655" t="s">
        <v>43</v>
      </c>
      <c r="K24" s="1655" t="s">
        <v>569</v>
      </c>
      <c r="M24" s="1655" t="s">
        <v>423</v>
      </c>
      <c r="N24" s="1655" t="s">
        <v>684</v>
      </c>
      <c r="O24" s="1655" t="s">
        <v>570</v>
      </c>
      <c r="P24" s="1655" t="s">
        <v>43</v>
      </c>
      <c r="Q24" s="1655" t="s">
        <v>569</v>
      </c>
      <c r="S24" s="1655" t="s">
        <v>423</v>
      </c>
      <c r="T24" s="1655" t="s">
        <v>684</v>
      </c>
      <c r="U24" s="1655" t="s">
        <v>570</v>
      </c>
      <c r="V24" s="1655" t="s">
        <v>43</v>
      </c>
      <c r="W24" s="1655" t="s">
        <v>569</v>
      </c>
    </row>
    <row r="25" spans="1:23">
      <c r="A25" s="1655" t="s">
        <v>423</v>
      </c>
      <c r="B25" s="1655" t="s">
        <v>1162</v>
      </c>
      <c r="C25" s="1655" t="s">
        <v>81</v>
      </c>
      <c r="D25" s="1655" t="s">
        <v>42</v>
      </c>
      <c r="E25" s="1655" t="s">
        <v>569</v>
      </c>
      <c r="G25" s="1655" t="s">
        <v>423</v>
      </c>
      <c r="H25" s="1655" t="s">
        <v>1162</v>
      </c>
      <c r="I25" s="1655" t="s">
        <v>81</v>
      </c>
      <c r="J25" s="1655" t="s">
        <v>42</v>
      </c>
      <c r="K25" s="1655" t="s">
        <v>569</v>
      </c>
      <c r="M25" s="1655" t="s">
        <v>423</v>
      </c>
      <c r="N25" s="1655" t="s">
        <v>1162</v>
      </c>
      <c r="O25" s="1655" t="s">
        <v>81</v>
      </c>
      <c r="P25" s="1655" t="s">
        <v>42</v>
      </c>
      <c r="Q25" s="1655" t="s">
        <v>569</v>
      </c>
      <c r="S25" s="1655" t="s">
        <v>423</v>
      </c>
      <c r="T25" s="1655" t="s">
        <v>1162</v>
      </c>
      <c r="U25" s="1655" t="s">
        <v>81</v>
      </c>
      <c r="V25" s="1655" t="s">
        <v>42</v>
      </c>
      <c r="W25" s="1655" t="s">
        <v>569</v>
      </c>
    </row>
    <row r="26" spans="1:23">
      <c r="A26" s="1655" t="s">
        <v>423</v>
      </c>
      <c r="B26" s="1655" t="s">
        <v>1163</v>
      </c>
      <c r="C26" s="1655" t="s">
        <v>2</v>
      </c>
      <c r="D26" s="1655" t="s">
        <v>42</v>
      </c>
      <c r="E26" s="1655" t="s">
        <v>569</v>
      </c>
      <c r="G26" s="1655" t="s">
        <v>423</v>
      </c>
      <c r="H26" s="1655" t="s">
        <v>1163</v>
      </c>
      <c r="I26" s="1655" t="s">
        <v>570</v>
      </c>
      <c r="J26" s="1655" t="s">
        <v>43</v>
      </c>
      <c r="K26" s="1655" t="s">
        <v>569</v>
      </c>
      <c r="M26" s="1655" t="s">
        <v>423</v>
      </c>
      <c r="N26" s="1655" t="s">
        <v>1163</v>
      </c>
      <c r="O26" s="1655" t="s">
        <v>2374</v>
      </c>
      <c r="P26" s="1655" t="s">
        <v>42</v>
      </c>
      <c r="Q26" s="1655" t="s">
        <v>569</v>
      </c>
      <c r="S26" s="1655" t="s">
        <v>423</v>
      </c>
      <c r="T26" s="1655" t="s">
        <v>1163</v>
      </c>
      <c r="U26" s="1655" t="s">
        <v>570</v>
      </c>
      <c r="V26" s="1655" t="s">
        <v>43</v>
      </c>
      <c r="W26" s="1655" t="s">
        <v>569</v>
      </c>
    </row>
    <row r="27" spans="1:23">
      <c r="A27" s="1655" t="s">
        <v>423</v>
      </c>
      <c r="B27" s="1655" t="s">
        <v>573</v>
      </c>
      <c r="C27" s="1655" t="s">
        <v>570</v>
      </c>
      <c r="D27" s="1655" t="s">
        <v>43</v>
      </c>
      <c r="E27" s="1655" t="s">
        <v>569</v>
      </c>
      <c r="G27" s="1655" t="s">
        <v>423</v>
      </c>
      <c r="H27" s="1655" t="s">
        <v>573</v>
      </c>
      <c r="I27" s="1655" t="s">
        <v>570</v>
      </c>
      <c r="J27" s="1655" t="s">
        <v>43</v>
      </c>
      <c r="K27" s="1655" t="s">
        <v>569</v>
      </c>
      <c r="M27" s="1655" t="s">
        <v>423</v>
      </c>
      <c r="N27" s="1655" t="s">
        <v>573</v>
      </c>
      <c r="O27" s="1655" t="s">
        <v>570</v>
      </c>
      <c r="P27" s="1655" t="s">
        <v>43</v>
      </c>
      <c r="Q27" s="1655" t="s">
        <v>569</v>
      </c>
      <c r="S27" s="1655" t="s">
        <v>423</v>
      </c>
      <c r="T27" s="1655" t="s">
        <v>573</v>
      </c>
      <c r="U27" s="1655" t="s">
        <v>570</v>
      </c>
      <c r="V27" s="1655" t="s">
        <v>43</v>
      </c>
      <c r="W27" s="1655" t="s">
        <v>569</v>
      </c>
    </row>
    <row r="28" spans="1:23">
      <c r="A28" s="1655" t="s">
        <v>423</v>
      </c>
      <c r="B28" s="1655" t="s">
        <v>1164</v>
      </c>
      <c r="C28" s="1655" t="s">
        <v>570</v>
      </c>
      <c r="D28" s="1655" t="s">
        <v>43</v>
      </c>
      <c r="E28" s="1655" t="s">
        <v>569</v>
      </c>
      <c r="G28" s="1655" t="s">
        <v>423</v>
      </c>
      <c r="H28" s="1655" t="s">
        <v>1164</v>
      </c>
      <c r="I28" s="1655" t="s">
        <v>570</v>
      </c>
      <c r="J28" s="1655" t="s">
        <v>43</v>
      </c>
      <c r="K28" s="1655" t="s">
        <v>569</v>
      </c>
      <c r="M28" s="1655" t="s">
        <v>423</v>
      </c>
      <c r="N28" s="1655" t="s">
        <v>1164</v>
      </c>
      <c r="O28" s="1655" t="s">
        <v>570</v>
      </c>
      <c r="P28" s="1655" t="s">
        <v>43</v>
      </c>
      <c r="Q28" s="1655" t="s">
        <v>569</v>
      </c>
      <c r="S28" s="1655" t="s">
        <v>423</v>
      </c>
      <c r="T28" s="1655" t="s">
        <v>1164</v>
      </c>
      <c r="U28" s="1655" t="s">
        <v>570</v>
      </c>
      <c r="V28" s="1655" t="s">
        <v>43</v>
      </c>
      <c r="W28" s="1655" t="s">
        <v>569</v>
      </c>
    </row>
    <row r="29" spans="1:23">
      <c r="A29" s="1655" t="s">
        <v>423</v>
      </c>
      <c r="B29" s="1655" t="s">
        <v>1165</v>
      </c>
      <c r="C29" s="1655" t="s">
        <v>570</v>
      </c>
      <c r="D29" s="1655" t="s">
        <v>43</v>
      </c>
      <c r="E29" s="1655" t="s">
        <v>569</v>
      </c>
      <c r="G29" s="1655" t="s">
        <v>423</v>
      </c>
      <c r="H29" s="1655" t="s">
        <v>1165</v>
      </c>
      <c r="I29" s="1655" t="s">
        <v>570</v>
      </c>
      <c r="J29" s="1655" t="s">
        <v>43</v>
      </c>
      <c r="K29" s="1655" t="s">
        <v>569</v>
      </c>
      <c r="M29" s="1655" t="s">
        <v>423</v>
      </c>
      <c r="N29" s="1655" t="s">
        <v>1165</v>
      </c>
      <c r="O29" s="1655" t="s">
        <v>570</v>
      </c>
      <c r="P29" s="1655" t="s">
        <v>43</v>
      </c>
      <c r="Q29" s="1655" t="s">
        <v>569</v>
      </c>
      <c r="S29" s="1655" t="s">
        <v>423</v>
      </c>
      <c r="T29" s="1655" t="s">
        <v>1165</v>
      </c>
      <c r="U29" s="1655" t="s">
        <v>570</v>
      </c>
      <c r="V29" s="1655" t="s">
        <v>43</v>
      </c>
      <c r="W29" s="1655" t="s">
        <v>569</v>
      </c>
    </row>
    <row r="30" spans="1:23">
      <c r="A30" s="1655" t="s">
        <v>423</v>
      </c>
      <c r="B30" s="1655" t="s">
        <v>1266</v>
      </c>
      <c r="C30" s="1655" t="s">
        <v>2302</v>
      </c>
      <c r="D30" s="1655" t="s">
        <v>42</v>
      </c>
      <c r="E30" s="1655" t="s">
        <v>569</v>
      </c>
      <c r="G30" s="1655" t="s">
        <v>423</v>
      </c>
      <c r="H30" s="1655" t="s">
        <v>1266</v>
      </c>
      <c r="I30" s="1655" t="s">
        <v>570</v>
      </c>
      <c r="J30" s="1655" t="s">
        <v>43</v>
      </c>
      <c r="K30" s="1655" t="s">
        <v>569</v>
      </c>
      <c r="M30" s="1655" t="s">
        <v>423</v>
      </c>
      <c r="N30" s="1655" t="s">
        <v>1266</v>
      </c>
      <c r="O30" s="1655" t="s">
        <v>2378</v>
      </c>
      <c r="P30" s="1655" t="s">
        <v>42</v>
      </c>
      <c r="Q30" s="1655" t="s">
        <v>569</v>
      </c>
      <c r="S30" s="1655" t="s">
        <v>423</v>
      </c>
      <c r="T30" s="1655" t="s">
        <v>1266</v>
      </c>
      <c r="U30" s="1655" t="s">
        <v>570</v>
      </c>
      <c r="V30" s="1655" t="s">
        <v>43</v>
      </c>
      <c r="W30" s="1655" t="s">
        <v>569</v>
      </c>
    </row>
    <row r="31" spans="1:23">
      <c r="A31" s="1655" t="s">
        <v>423</v>
      </c>
      <c r="B31" s="1655" t="s">
        <v>578</v>
      </c>
      <c r="C31" s="1655" t="s">
        <v>2298</v>
      </c>
      <c r="D31" s="1655" t="s">
        <v>42</v>
      </c>
      <c r="E31" s="1655" t="s">
        <v>569</v>
      </c>
      <c r="G31" s="1655" t="s">
        <v>423</v>
      </c>
      <c r="H31" s="1655" t="s">
        <v>578</v>
      </c>
      <c r="I31" s="1655" t="s">
        <v>2382</v>
      </c>
      <c r="J31" s="1655" t="s">
        <v>42</v>
      </c>
      <c r="K31" s="1655" t="s">
        <v>569</v>
      </c>
      <c r="M31" s="1655" t="s">
        <v>423</v>
      </c>
      <c r="N31" s="1655" t="s">
        <v>578</v>
      </c>
      <c r="O31" s="1655" t="s">
        <v>2667</v>
      </c>
      <c r="P31" s="1655" t="s">
        <v>42</v>
      </c>
      <c r="Q31" s="1655" t="s">
        <v>569</v>
      </c>
      <c r="S31" s="1655" t="s">
        <v>423</v>
      </c>
      <c r="T31" s="1655" t="s">
        <v>578</v>
      </c>
      <c r="U31" s="1655" t="s">
        <v>2681</v>
      </c>
      <c r="V31" s="1655" t="s">
        <v>42</v>
      </c>
      <c r="W31" s="1655" t="s">
        <v>569</v>
      </c>
    </row>
    <row r="32" spans="1:23">
      <c r="A32" s="1655" t="s">
        <v>423</v>
      </c>
      <c r="B32" s="1655" t="s">
        <v>579</v>
      </c>
      <c r="C32" s="1655" t="s">
        <v>2300</v>
      </c>
      <c r="D32" s="1655" t="s">
        <v>42</v>
      </c>
      <c r="E32" s="1655" t="s">
        <v>569</v>
      </c>
      <c r="G32" s="1655" t="s">
        <v>423</v>
      </c>
      <c r="H32" s="1655" t="s">
        <v>579</v>
      </c>
      <c r="I32" s="1655" t="s">
        <v>570</v>
      </c>
      <c r="J32" s="1655" t="s">
        <v>43</v>
      </c>
      <c r="K32" s="1655" t="s">
        <v>569</v>
      </c>
      <c r="M32" s="1655" t="s">
        <v>423</v>
      </c>
      <c r="N32" s="1655" t="s">
        <v>579</v>
      </c>
      <c r="O32" s="1655" t="s">
        <v>2451</v>
      </c>
      <c r="P32" s="1655" t="s">
        <v>42</v>
      </c>
      <c r="Q32" s="1655" t="s">
        <v>569</v>
      </c>
      <c r="S32" s="1655" t="s">
        <v>423</v>
      </c>
      <c r="T32" s="1655" t="s">
        <v>579</v>
      </c>
      <c r="U32" s="1655" t="s">
        <v>570</v>
      </c>
      <c r="V32" s="1655" t="s">
        <v>43</v>
      </c>
      <c r="W32" s="1655" t="s">
        <v>569</v>
      </c>
    </row>
    <row r="33" spans="1:23">
      <c r="A33" s="1655" t="s">
        <v>423</v>
      </c>
      <c r="B33" s="1655" t="s">
        <v>580</v>
      </c>
      <c r="C33" s="1655" t="s">
        <v>570</v>
      </c>
      <c r="D33" s="1655" t="s">
        <v>43</v>
      </c>
      <c r="E33" s="1655" t="s">
        <v>569</v>
      </c>
      <c r="G33" s="1655" t="s">
        <v>423</v>
      </c>
      <c r="H33" s="1655" t="s">
        <v>580</v>
      </c>
      <c r="I33" s="1655" t="s">
        <v>570</v>
      </c>
      <c r="J33" s="1655" t="s">
        <v>43</v>
      </c>
      <c r="K33" s="1655" t="s">
        <v>569</v>
      </c>
      <c r="M33" s="1655" t="s">
        <v>423</v>
      </c>
      <c r="N33" s="1655" t="s">
        <v>580</v>
      </c>
      <c r="O33" s="1655" t="s">
        <v>570</v>
      </c>
      <c r="P33" s="1655" t="s">
        <v>43</v>
      </c>
      <c r="Q33" s="1655" t="s">
        <v>569</v>
      </c>
      <c r="S33" s="1655" t="s">
        <v>423</v>
      </c>
      <c r="T33" s="1655" t="s">
        <v>580</v>
      </c>
      <c r="U33" s="1655" t="s">
        <v>570</v>
      </c>
      <c r="V33" s="1655" t="s">
        <v>43</v>
      </c>
      <c r="W33" s="1655" t="s">
        <v>569</v>
      </c>
    </row>
    <row r="34" spans="1:23">
      <c r="A34" s="1655" t="s">
        <v>423</v>
      </c>
      <c r="B34" s="1655" t="s">
        <v>581</v>
      </c>
      <c r="C34" s="1655" t="s">
        <v>570</v>
      </c>
      <c r="D34" s="1655" t="s">
        <v>43</v>
      </c>
      <c r="E34" s="1655" t="s">
        <v>569</v>
      </c>
      <c r="G34" s="1655" t="s">
        <v>423</v>
      </c>
      <c r="H34" s="1655" t="s">
        <v>581</v>
      </c>
      <c r="I34" s="1655" t="s">
        <v>570</v>
      </c>
      <c r="J34" s="1655" t="s">
        <v>43</v>
      </c>
      <c r="K34" s="1655" t="s">
        <v>569</v>
      </c>
      <c r="M34" s="1655" t="s">
        <v>423</v>
      </c>
      <c r="N34" s="1655" t="s">
        <v>581</v>
      </c>
      <c r="O34" s="1655" t="s">
        <v>570</v>
      </c>
      <c r="P34" s="1655" t="s">
        <v>43</v>
      </c>
      <c r="Q34" s="1655" t="s">
        <v>569</v>
      </c>
      <c r="S34" s="1655" t="s">
        <v>423</v>
      </c>
      <c r="T34" s="1655" t="s">
        <v>581</v>
      </c>
      <c r="U34" s="1655" t="s">
        <v>570</v>
      </c>
      <c r="V34" s="1655" t="s">
        <v>43</v>
      </c>
      <c r="W34" s="1655" t="s">
        <v>569</v>
      </c>
    </row>
    <row r="35" spans="1:23">
      <c r="A35" s="1655" t="s">
        <v>423</v>
      </c>
      <c r="B35" s="1655" t="s">
        <v>1510</v>
      </c>
      <c r="C35" s="1655" t="s">
        <v>2288</v>
      </c>
      <c r="D35" s="1655" t="s">
        <v>42</v>
      </c>
      <c r="E35" s="1655" t="s">
        <v>569</v>
      </c>
      <c r="G35" s="1655" t="s">
        <v>423</v>
      </c>
      <c r="H35" s="1655" t="s">
        <v>1510</v>
      </c>
      <c r="I35" s="1655" t="s">
        <v>2288</v>
      </c>
      <c r="J35" s="1655" t="s">
        <v>42</v>
      </c>
      <c r="K35" s="1655" t="s">
        <v>569</v>
      </c>
      <c r="M35" s="1655" t="s">
        <v>423</v>
      </c>
      <c r="N35" s="1655" t="s">
        <v>1510</v>
      </c>
      <c r="O35" s="1655" t="s">
        <v>2301</v>
      </c>
      <c r="P35" s="1655" t="s">
        <v>42</v>
      </c>
      <c r="Q35" s="1655" t="s">
        <v>569</v>
      </c>
      <c r="S35" s="1655" t="s">
        <v>423</v>
      </c>
      <c r="T35" s="1655" t="s">
        <v>1510</v>
      </c>
      <c r="U35" s="1655" t="s">
        <v>2376</v>
      </c>
      <c r="V35" s="1655" t="s">
        <v>42</v>
      </c>
      <c r="W35" s="1655" t="s">
        <v>569</v>
      </c>
    </row>
    <row r="36" spans="1:23">
      <c r="A36" s="1655" t="s">
        <v>423</v>
      </c>
      <c r="B36" s="1655" t="s">
        <v>1511</v>
      </c>
      <c r="C36" s="1655" t="s">
        <v>2288</v>
      </c>
      <c r="D36" s="1655" t="s">
        <v>42</v>
      </c>
      <c r="E36" s="1655" t="s">
        <v>569</v>
      </c>
      <c r="G36" s="1655" t="s">
        <v>423</v>
      </c>
      <c r="H36" s="1655" t="s">
        <v>1511</v>
      </c>
      <c r="I36" s="1655" t="s">
        <v>570</v>
      </c>
      <c r="J36" s="1655" t="s">
        <v>43</v>
      </c>
      <c r="K36" s="1655" t="s">
        <v>569</v>
      </c>
      <c r="M36" s="1655" t="s">
        <v>423</v>
      </c>
      <c r="N36" s="1655" t="s">
        <v>1511</v>
      </c>
      <c r="O36" s="1655" t="s">
        <v>2301</v>
      </c>
      <c r="P36" s="1655" t="s">
        <v>42</v>
      </c>
      <c r="Q36" s="1655" t="s">
        <v>569</v>
      </c>
      <c r="S36" s="1655" t="s">
        <v>423</v>
      </c>
      <c r="T36" s="1655" t="s">
        <v>1511</v>
      </c>
      <c r="U36" s="1655" t="s">
        <v>570</v>
      </c>
      <c r="V36" s="1655" t="s">
        <v>43</v>
      </c>
      <c r="W36" s="1655" t="s">
        <v>569</v>
      </c>
    </row>
    <row r="37" spans="1:23">
      <c r="A37" s="1655" t="s">
        <v>423</v>
      </c>
      <c r="B37" s="1655" t="s">
        <v>1512</v>
      </c>
      <c r="C37" s="1655" t="s">
        <v>2301</v>
      </c>
      <c r="D37" s="1655" t="s">
        <v>42</v>
      </c>
      <c r="E37" s="1655" t="s">
        <v>569</v>
      </c>
      <c r="G37" s="1655" t="s">
        <v>423</v>
      </c>
      <c r="H37" s="1655" t="s">
        <v>1512</v>
      </c>
      <c r="I37" s="1655" t="s">
        <v>570</v>
      </c>
      <c r="J37" s="1655" t="s">
        <v>43</v>
      </c>
      <c r="K37" s="1655" t="s">
        <v>569</v>
      </c>
      <c r="M37" s="1655" t="s">
        <v>423</v>
      </c>
      <c r="N37" s="1655" t="s">
        <v>1512</v>
      </c>
      <c r="O37" s="1655" t="s">
        <v>2376</v>
      </c>
      <c r="P37" s="1655" t="s">
        <v>42</v>
      </c>
      <c r="Q37" s="1655" t="s">
        <v>569</v>
      </c>
      <c r="S37" s="1655" t="s">
        <v>423</v>
      </c>
      <c r="T37" s="1655" t="s">
        <v>1512</v>
      </c>
      <c r="U37" s="1655" t="s">
        <v>570</v>
      </c>
      <c r="V37" s="1655" t="s">
        <v>43</v>
      </c>
      <c r="W37" s="1655" t="s">
        <v>569</v>
      </c>
    </row>
    <row r="38" spans="1:23">
      <c r="A38" s="1655" t="s">
        <v>423</v>
      </c>
      <c r="B38" s="1655" t="s">
        <v>586</v>
      </c>
      <c r="C38" s="1655" t="s">
        <v>570</v>
      </c>
      <c r="D38" s="1655" t="s">
        <v>43</v>
      </c>
      <c r="E38" s="1655" t="s">
        <v>569</v>
      </c>
      <c r="G38" s="1655" t="s">
        <v>423</v>
      </c>
      <c r="H38" s="1655" t="s">
        <v>586</v>
      </c>
      <c r="I38" s="1655" t="s">
        <v>570</v>
      </c>
      <c r="J38" s="1655" t="s">
        <v>43</v>
      </c>
      <c r="K38" s="1655" t="s">
        <v>569</v>
      </c>
      <c r="M38" s="1655" t="s">
        <v>423</v>
      </c>
      <c r="N38" s="1655" t="s">
        <v>586</v>
      </c>
      <c r="O38" s="1655" t="s">
        <v>2376</v>
      </c>
      <c r="P38" s="1655" t="s">
        <v>42</v>
      </c>
      <c r="Q38" s="1655" t="s">
        <v>569</v>
      </c>
      <c r="S38" s="1655" t="s">
        <v>423</v>
      </c>
      <c r="T38" s="1655" t="s">
        <v>586</v>
      </c>
      <c r="U38" s="1655" t="s">
        <v>570</v>
      </c>
      <c r="V38" s="1655" t="s">
        <v>43</v>
      </c>
      <c r="W38" s="1655" t="s">
        <v>569</v>
      </c>
    </row>
    <row r="39" spans="1:23">
      <c r="A39" s="1655" t="s">
        <v>423</v>
      </c>
      <c r="B39" s="1655" t="s">
        <v>587</v>
      </c>
      <c r="C39" s="1655" t="s">
        <v>570</v>
      </c>
      <c r="D39" s="1655" t="s">
        <v>43</v>
      </c>
      <c r="E39" s="1655" t="s">
        <v>569</v>
      </c>
      <c r="G39" s="1655" t="s">
        <v>423</v>
      </c>
      <c r="H39" s="1655" t="s">
        <v>587</v>
      </c>
      <c r="I39" s="1655" t="s">
        <v>570</v>
      </c>
      <c r="J39" s="1655" t="s">
        <v>43</v>
      </c>
      <c r="K39" s="1655" t="s">
        <v>569</v>
      </c>
      <c r="M39" s="1655" t="s">
        <v>423</v>
      </c>
      <c r="N39" s="1655" t="s">
        <v>587</v>
      </c>
      <c r="O39" s="1655" t="s">
        <v>570</v>
      </c>
      <c r="P39" s="1655" t="s">
        <v>43</v>
      </c>
      <c r="Q39" s="1655" t="s">
        <v>569</v>
      </c>
      <c r="S39" s="1655" t="s">
        <v>423</v>
      </c>
      <c r="T39" s="1655" t="s">
        <v>587</v>
      </c>
      <c r="U39" s="1655" t="s">
        <v>570</v>
      </c>
      <c r="V39" s="1655" t="s">
        <v>43</v>
      </c>
      <c r="W39" s="1655" t="s">
        <v>569</v>
      </c>
    </row>
    <row r="40" spans="1:23">
      <c r="A40" s="1655" t="s">
        <v>423</v>
      </c>
      <c r="B40" s="1655" t="s">
        <v>588</v>
      </c>
      <c r="C40" s="1655" t="s">
        <v>570</v>
      </c>
      <c r="D40" s="1655" t="s">
        <v>43</v>
      </c>
      <c r="E40" s="1655" t="s">
        <v>569</v>
      </c>
      <c r="G40" s="1655" t="s">
        <v>423</v>
      </c>
      <c r="H40" s="1655" t="s">
        <v>588</v>
      </c>
      <c r="I40" s="1655" t="s">
        <v>570</v>
      </c>
      <c r="J40" s="1655" t="s">
        <v>43</v>
      </c>
      <c r="K40" s="1655" t="s">
        <v>569</v>
      </c>
      <c r="M40" s="1655" t="s">
        <v>423</v>
      </c>
      <c r="N40" s="1655" t="s">
        <v>588</v>
      </c>
      <c r="O40" s="1655" t="s">
        <v>570</v>
      </c>
      <c r="P40" s="1655" t="s">
        <v>43</v>
      </c>
      <c r="Q40" s="1655" t="s">
        <v>569</v>
      </c>
      <c r="S40" s="1655" t="s">
        <v>423</v>
      </c>
      <c r="T40" s="1655" t="s">
        <v>588</v>
      </c>
      <c r="U40" s="1655" t="s">
        <v>570</v>
      </c>
      <c r="V40" s="1655" t="s">
        <v>43</v>
      </c>
      <c r="W40" s="1655" t="s">
        <v>569</v>
      </c>
    </row>
    <row r="41" spans="1:23">
      <c r="A41" s="1655" t="s">
        <v>423</v>
      </c>
      <c r="B41" s="1655" t="s">
        <v>1513</v>
      </c>
      <c r="C41" s="1655" t="s">
        <v>570</v>
      </c>
      <c r="D41" s="1655" t="s">
        <v>43</v>
      </c>
      <c r="E41" s="1655" t="s">
        <v>569</v>
      </c>
      <c r="G41" s="1655" t="s">
        <v>423</v>
      </c>
      <c r="H41" s="1655" t="s">
        <v>1513</v>
      </c>
      <c r="I41" s="1655" t="s">
        <v>570</v>
      </c>
      <c r="J41" s="1655" t="s">
        <v>43</v>
      </c>
      <c r="K41" s="1655" t="s">
        <v>569</v>
      </c>
      <c r="M41" s="1655" t="s">
        <v>423</v>
      </c>
      <c r="N41" s="1655" t="s">
        <v>1513</v>
      </c>
      <c r="O41" s="1655" t="s">
        <v>570</v>
      </c>
      <c r="P41" s="1655" t="s">
        <v>43</v>
      </c>
      <c r="Q41" s="1655" t="s">
        <v>569</v>
      </c>
      <c r="S41" s="1655" t="s">
        <v>423</v>
      </c>
      <c r="T41" s="1655" t="s">
        <v>1513</v>
      </c>
      <c r="U41" s="1655" t="s">
        <v>570</v>
      </c>
      <c r="V41" s="1655" t="s">
        <v>43</v>
      </c>
      <c r="W41" s="1655" t="s">
        <v>569</v>
      </c>
    </row>
    <row r="42" spans="1:23">
      <c r="A42" s="1655" t="s">
        <v>423</v>
      </c>
      <c r="B42" s="1655" t="s">
        <v>1514</v>
      </c>
      <c r="C42" s="1655" t="s">
        <v>570</v>
      </c>
      <c r="D42" s="1655" t="s">
        <v>43</v>
      </c>
      <c r="E42" s="1655" t="s">
        <v>569</v>
      </c>
      <c r="G42" s="1655" t="s">
        <v>423</v>
      </c>
      <c r="H42" s="1655" t="s">
        <v>1514</v>
      </c>
      <c r="I42" s="1655" t="s">
        <v>570</v>
      </c>
      <c r="J42" s="1655" t="s">
        <v>43</v>
      </c>
      <c r="K42" s="1655" t="s">
        <v>569</v>
      </c>
      <c r="M42" s="1655" t="s">
        <v>423</v>
      </c>
      <c r="N42" s="1655" t="s">
        <v>1514</v>
      </c>
      <c r="O42" s="1655" t="s">
        <v>570</v>
      </c>
      <c r="P42" s="1655" t="s">
        <v>43</v>
      </c>
      <c r="Q42" s="1655" t="s">
        <v>569</v>
      </c>
      <c r="S42" s="1655" t="s">
        <v>423</v>
      </c>
      <c r="T42" s="1655" t="s">
        <v>1514</v>
      </c>
      <c r="U42" s="1655" t="s">
        <v>570</v>
      </c>
      <c r="V42" s="1655" t="s">
        <v>43</v>
      </c>
      <c r="W42" s="1655" t="s">
        <v>569</v>
      </c>
    </row>
    <row r="43" spans="1:23">
      <c r="A43" s="1655" t="s">
        <v>423</v>
      </c>
      <c r="B43" s="1655" t="s">
        <v>1515</v>
      </c>
      <c r="C43" s="1655" t="s">
        <v>570</v>
      </c>
      <c r="D43" s="1655" t="s">
        <v>43</v>
      </c>
      <c r="E43" s="1655" t="s">
        <v>569</v>
      </c>
      <c r="G43" s="1655" t="s">
        <v>423</v>
      </c>
      <c r="H43" s="1655" t="s">
        <v>1515</v>
      </c>
      <c r="I43" s="1655" t="s">
        <v>570</v>
      </c>
      <c r="J43" s="1655" t="s">
        <v>43</v>
      </c>
      <c r="K43" s="1655" t="s">
        <v>569</v>
      </c>
      <c r="M43" s="1655" t="s">
        <v>423</v>
      </c>
      <c r="N43" s="1655" t="s">
        <v>1515</v>
      </c>
      <c r="O43" s="1655" t="s">
        <v>570</v>
      </c>
      <c r="P43" s="1655" t="s">
        <v>43</v>
      </c>
      <c r="Q43" s="1655" t="s">
        <v>569</v>
      </c>
      <c r="S43" s="1655" t="s">
        <v>423</v>
      </c>
      <c r="T43" s="1655" t="s">
        <v>1515</v>
      </c>
      <c r="U43" s="1655" t="s">
        <v>570</v>
      </c>
      <c r="V43" s="1655" t="s">
        <v>43</v>
      </c>
      <c r="W43" s="1655" t="s">
        <v>569</v>
      </c>
    </row>
    <row r="44" spans="1:23">
      <c r="A44" s="1655" t="s">
        <v>423</v>
      </c>
      <c r="B44" s="1655" t="s">
        <v>1516</v>
      </c>
      <c r="C44" s="1655" t="s">
        <v>570</v>
      </c>
      <c r="D44" s="1655" t="s">
        <v>43</v>
      </c>
      <c r="E44" s="1655" t="s">
        <v>569</v>
      </c>
      <c r="G44" s="1655" t="s">
        <v>423</v>
      </c>
      <c r="H44" s="1655" t="s">
        <v>1516</v>
      </c>
      <c r="I44" s="1655" t="s">
        <v>570</v>
      </c>
      <c r="J44" s="1655" t="s">
        <v>43</v>
      </c>
      <c r="K44" s="1655" t="s">
        <v>569</v>
      </c>
      <c r="M44" s="1655" t="s">
        <v>423</v>
      </c>
      <c r="N44" s="1655" t="s">
        <v>1516</v>
      </c>
      <c r="O44" s="1655" t="s">
        <v>570</v>
      </c>
      <c r="P44" s="1655" t="s">
        <v>43</v>
      </c>
      <c r="Q44" s="1655" t="s">
        <v>569</v>
      </c>
      <c r="S44" s="1655" t="s">
        <v>423</v>
      </c>
      <c r="T44" s="1655" t="s">
        <v>1516</v>
      </c>
      <c r="U44" s="1655" t="s">
        <v>570</v>
      </c>
      <c r="V44" s="1655" t="s">
        <v>43</v>
      </c>
      <c r="W44" s="1655" t="s">
        <v>569</v>
      </c>
    </row>
    <row r="45" spans="1:23">
      <c r="A45" s="1655" t="s">
        <v>423</v>
      </c>
      <c r="B45" s="1655" t="s">
        <v>725</v>
      </c>
      <c r="C45" s="1655" t="s">
        <v>570</v>
      </c>
      <c r="D45" s="1655" t="s">
        <v>43</v>
      </c>
      <c r="E45" s="1655" t="s">
        <v>569</v>
      </c>
      <c r="G45" s="1655" t="s">
        <v>423</v>
      </c>
      <c r="H45" s="1655" t="s">
        <v>725</v>
      </c>
      <c r="I45" s="1655" t="s">
        <v>570</v>
      </c>
      <c r="J45" s="1655" t="s">
        <v>43</v>
      </c>
      <c r="K45" s="1655" t="s">
        <v>569</v>
      </c>
      <c r="M45" s="1655" t="s">
        <v>423</v>
      </c>
      <c r="N45" s="1655" t="s">
        <v>725</v>
      </c>
      <c r="O45" s="1655" t="s">
        <v>570</v>
      </c>
      <c r="P45" s="1655" t="s">
        <v>43</v>
      </c>
      <c r="Q45" s="1655" t="s">
        <v>569</v>
      </c>
      <c r="S45" s="1655" t="s">
        <v>423</v>
      </c>
      <c r="T45" s="1655" t="s">
        <v>725</v>
      </c>
      <c r="U45" s="1655" t="s">
        <v>570</v>
      </c>
      <c r="V45" s="1655" t="s">
        <v>43</v>
      </c>
      <c r="W45" s="1655" t="s">
        <v>569</v>
      </c>
    </row>
    <row r="46" spans="1:23">
      <c r="A46" s="1655" t="s">
        <v>423</v>
      </c>
      <c r="B46" s="1655" t="s">
        <v>726</v>
      </c>
      <c r="C46" s="1655" t="s">
        <v>570</v>
      </c>
      <c r="D46" s="1655" t="s">
        <v>43</v>
      </c>
      <c r="E46" s="1655" t="s">
        <v>569</v>
      </c>
      <c r="G46" s="1655" t="s">
        <v>423</v>
      </c>
      <c r="H46" s="1655" t="s">
        <v>726</v>
      </c>
      <c r="I46" s="1655" t="s">
        <v>570</v>
      </c>
      <c r="J46" s="1655" t="s">
        <v>43</v>
      </c>
      <c r="K46" s="1655" t="s">
        <v>569</v>
      </c>
      <c r="M46" s="1655" t="s">
        <v>423</v>
      </c>
      <c r="N46" s="1655" t="s">
        <v>726</v>
      </c>
      <c r="O46" s="1655" t="s">
        <v>570</v>
      </c>
      <c r="P46" s="1655" t="s">
        <v>43</v>
      </c>
      <c r="Q46" s="1655" t="s">
        <v>569</v>
      </c>
      <c r="S46" s="1655" t="s">
        <v>423</v>
      </c>
      <c r="T46" s="1655" t="s">
        <v>726</v>
      </c>
      <c r="U46" s="1655" t="s">
        <v>570</v>
      </c>
      <c r="V46" s="1655" t="s">
        <v>43</v>
      </c>
      <c r="W46" s="1655" t="s">
        <v>569</v>
      </c>
    </row>
    <row r="47" spans="1:23">
      <c r="A47" s="1655" t="s">
        <v>423</v>
      </c>
      <c r="B47" s="1655" t="s">
        <v>734</v>
      </c>
      <c r="C47" s="1655" t="s">
        <v>570</v>
      </c>
      <c r="D47" s="1655" t="s">
        <v>43</v>
      </c>
      <c r="E47" s="1655" t="s">
        <v>569</v>
      </c>
      <c r="G47" s="1655" t="s">
        <v>423</v>
      </c>
      <c r="H47" s="1655" t="s">
        <v>734</v>
      </c>
      <c r="I47" s="1655" t="s">
        <v>570</v>
      </c>
      <c r="J47" s="1655" t="s">
        <v>43</v>
      </c>
      <c r="K47" s="1655" t="s">
        <v>569</v>
      </c>
      <c r="M47" s="1655" t="s">
        <v>423</v>
      </c>
      <c r="N47" s="1655" t="s">
        <v>734</v>
      </c>
      <c r="O47" s="1655" t="s">
        <v>2366</v>
      </c>
      <c r="P47" s="1655" t="s">
        <v>42</v>
      </c>
      <c r="Q47" s="1655" t="s">
        <v>569</v>
      </c>
      <c r="S47" s="1655" t="s">
        <v>423</v>
      </c>
      <c r="T47" s="1655" t="s">
        <v>734</v>
      </c>
      <c r="U47" s="1655" t="s">
        <v>570</v>
      </c>
      <c r="V47" s="1655" t="s">
        <v>43</v>
      </c>
      <c r="W47" s="1655" t="s">
        <v>569</v>
      </c>
    </row>
    <row r="48" spans="1:23">
      <c r="A48" s="1655" t="s">
        <v>423</v>
      </c>
      <c r="B48" s="1655" t="s">
        <v>735</v>
      </c>
      <c r="C48" s="1655" t="s">
        <v>570</v>
      </c>
      <c r="D48" s="1655" t="s">
        <v>43</v>
      </c>
      <c r="E48" s="1655" t="s">
        <v>569</v>
      </c>
      <c r="G48" s="1655" t="s">
        <v>423</v>
      </c>
      <c r="H48" s="1655" t="s">
        <v>735</v>
      </c>
      <c r="I48" s="1655" t="s">
        <v>570</v>
      </c>
      <c r="J48" s="1655" t="s">
        <v>43</v>
      </c>
      <c r="K48" s="1655" t="s">
        <v>569</v>
      </c>
      <c r="M48" s="1655" t="s">
        <v>423</v>
      </c>
      <c r="N48" s="1655" t="s">
        <v>735</v>
      </c>
      <c r="O48" s="1655" t="s">
        <v>570</v>
      </c>
      <c r="P48" s="1655" t="s">
        <v>43</v>
      </c>
      <c r="Q48" s="1655" t="s">
        <v>569</v>
      </c>
      <c r="S48" s="1655" t="s">
        <v>423</v>
      </c>
      <c r="T48" s="1655" t="s">
        <v>735</v>
      </c>
      <c r="U48" s="1655" t="s">
        <v>570</v>
      </c>
      <c r="V48" s="1655" t="s">
        <v>43</v>
      </c>
      <c r="W48" s="1655" t="s">
        <v>569</v>
      </c>
    </row>
    <row r="49" spans="1:23">
      <c r="A49" s="1655" t="s">
        <v>423</v>
      </c>
      <c r="B49" s="1655" t="s">
        <v>1168</v>
      </c>
      <c r="C49" s="1655">
        <v>4000</v>
      </c>
      <c r="D49" s="1655" t="s">
        <v>42</v>
      </c>
      <c r="E49" s="1655" t="s">
        <v>571</v>
      </c>
      <c r="G49" s="1655" t="s">
        <v>423</v>
      </c>
      <c r="H49" s="1655" t="s">
        <v>1168</v>
      </c>
      <c r="I49" s="1655">
        <v>800</v>
      </c>
      <c r="J49" s="1655" t="s">
        <v>42</v>
      </c>
      <c r="K49" s="1655" t="s">
        <v>571</v>
      </c>
      <c r="M49" s="1655" t="s">
        <v>423</v>
      </c>
      <c r="N49" s="1655" t="s">
        <v>1168</v>
      </c>
      <c r="O49" s="1655">
        <v>6521</v>
      </c>
      <c r="P49" s="1655" t="s">
        <v>42</v>
      </c>
      <c r="Q49" s="1655" t="s">
        <v>571</v>
      </c>
      <c r="S49" s="1655" t="s">
        <v>423</v>
      </c>
      <c r="T49" s="1655" t="s">
        <v>1168</v>
      </c>
      <c r="U49" s="1655">
        <v>450</v>
      </c>
      <c r="V49" s="1655" t="s">
        <v>42</v>
      </c>
      <c r="W49" s="1655" t="s">
        <v>571</v>
      </c>
    </row>
    <row r="50" spans="1:23">
      <c r="A50" s="1655" t="s">
        <v>423</v>
      </c>
      <c r="B50" s="1655" t="s">
        <v>1169</v>
      </c>
      <c r="C50" s="1655">
        <v>8000</v>
      </c>
      <c r="D50" s="1655" t="s">
        <v>42</v>
      </c>
      <c r="E50" s="1655" t="s">
        <v>571</v>
      </c>
      <c r="G50" s="1655" t="s">
        <v>423</v>
      </c>
      <c r="H50" s="1655" t="s">
        <v>1169</v>
      </c>
      <c r="I50" s="1655">
        <v>0</v>
      </c>
      <c r="J50" s="1655" t="s">
        <v>42</v>
      </c>
      <c r="K50" s="1655" t="s">
        <v>571</v>
      </c>
      <c r="M50" s="1655" t="s">
        <v>423</v>
      </c>
      <c r="N50" s="1655" t="s">
        <v>1169</v>
      </c>
      <c r="O50" s="1655">
        <v>5037</v>
      </c>
      <c r="P50" s="1655" t="s">
        <v>42</v>
      </c>
      <c r="Q50" s="1655" t="s">
        <v>571</v>
      </c>
      <c r="S50" s="1655" t="s">
        <v>423</v>
      </c>
      <c r="T50" s="1655" t="s">
        <v>1169</v>
      </c>
      <c r="U50" s="1655">
        <v>0</v>
      </c>
      <c r="V50" s="1655" t="s">
        <v>42</v>
      </c>
      <c r="W50" s="1655" t="s">
        <v>571</v>
      </c>
    </row>
    <row r="51" spans="1:23">
      <c r="A51" s="1655" t="s">
        <v>423</v>
      </c>
      <c r="B51" s="1655" t="s">
        <v>589</v>
      </c>
      <c r="C51" s="1655">
        <v>0</v>
      </c>
      <c r="D51" s="1655" t="s">
        <v>42</v>
      </c>
      <c r="E51" s="1655" t="s">
        <v>571</v>
      </c>
      <c r="G51" s="1655" t="s">
        <v>423</v>
      </c>
      <c r="H51" s="1655" t="s">
        <v>589</v>
      </c>
      <c r="I51" s="1655">
        <v>0</v>
      </c>
      <c r="J51" s="1655" t="s">
        <v>42</v>
      </c>
      <c r="K51" s="1655" t="s">
        <v>571</v>
      </c>
      <c r="M51" s="1655" t="s">
        <v>423</v>
      </c>
      <c r="N51" s="1655" t="s">
        <v>589</v>
      </c>
      <c r="O51" s="1655">
        <v>0</v>
      </c>
      <c r="P51" s="1655" t="s">
        <v>42</v>
      </c>
      <c r="Q51" s="1655" t="s">
        <v>571</v>
      </c>
      <c r="S51" s="1655" t="s">
        <v>423</v>
      </c>
      <c r="T51" s="1655" t="s">
        <v>589</v>
      </c>
      <c r="U51" s="1655">
        <v>0</v>
      </c>
      <c r="V51" s="1655" t="s">
        <v>42</v>
      </c>
      <c r="W51" s="1655" t="s">
        <v>571</v>
      </c>
    </row>
    <row r="52" spans="1:23">
      <c r="A52" s="1655" t="s">
        <v>423</v>
      </c>
      <c r="B52" s="1655" t="s">
        <v>1170</v>
      </c>
      <c r="C52" s="1655">
        <v>0</v>
      </c>
      <c r="D52" s="1655" t="s">
        <v>42</v>
      </c>
      <c r="E52" s="1655" t="s">
        <v>571</v>
      </c>
      <c r="G52" s="1655" t="s">
        <v>423</v>
      </c>
      <c r="H52" s="1655" t="s">
        <v>1170</v>
      </c>
      <c r="I52" s="1655">
        <v>0</v>
      </c>
      <c r="J52" s="1655" t="s">
        <v>42</v>
      </c>
      <c r="K52" s="1655" t="s">
        <v>571</v>
      </c>
      <c r="M52" s="1655" t="s">
        <v>423</v>
      </c>
      <c r="N52" s="1655" t="s">
        <v>1170</v>
      </c>
      <c r="O52" s="1655">
        <v>0</v>
      </c>
      <c r="P52" s="1655" t="s">
        <v>42</v>
      </c>
      <c r="Q52" s="1655" t="s">
        <v>571</v>
      </c>
      <c r="S52" s="1655" t="s">
        <v>423</v>
      </c>
      <c r="T52" s="1655" t="s">
        <v>1170</v>
      </c>
      <c r="U52" s="1655">
        <v>0</v>
      </c>
      <c r="V52" s="1655" t="s">
        <v>42</v>
      </c>
      <c r="W52" s="1655" t="s">
        <v>571</v>
      </c>
    </row>
    <row r="53" spans="1:23">
      <c r="A53" s="1655" t="s">
        <v>423</v>
      </c>
      <c r="B53" s="1655" t="s">
        <v>1171</v>
      </c>
      <c r="C53" s="1655">
        <v>0</v>
      </c>
      <c r="D53" s="1655" t="s">
        <v>42</v>
      </c>
      <c r="E53" s="1655" t="s">
        <v>571</v>
      </c>
      <c r="G53" s="1655" t="s">
        <v>423</v>
      </c>
      <c r="H53" s="1655" t="s">
        <v>1171</v>
      </c>
      <c r="I53" s="1655">
        <v>0</v>
      </c>
      <c r="J53" s="1655" t="s">
        <v>42</v>
      </c>
      <c r="K53" s="1655" t="s">
        <v>571</v>
      </c>
      <c r="M53" s="1655" t="s">
        <v>423</v>
      </c>
      <c r="N53" s="1655" t="s">
        <v>1171</v>
      </c>
      <c r="O53" s="1655">
        <v>0</v>
      </c>
      <c r="P53" s="1655" t="s">
        <v>42</v>
      </c>
      <c r="Q53" s="1655" t="s">
        <v>571</v>
      </c>
      <c r="S53" s="1655" t="s">
        <v>423</v>
      </c>
      <c r="T53" s="1655" t="s">
        <v>1171</v>
      </c>
      <c r="U53" s="1655">
        <v>0</v>
      </c>
      <c r="V53" s="1655" t="s">
        <v>42</v>
      </c>
      <c r="W53" s="1655" t="s">
        <v>571</v>
      </c>
    </row>
    <row r="54" spans="1:23">
      <c r="A54" s="1655" t="s">
        <v>423</v>
      </c>
      <c r="B54" s="1655" t="s">
        <v>1271</v>
      </c>
      <c r="C54" s="1655">
        <v>450000</v>
      </c>
      <c r="D54" s="1655" t="s">
        <v>42</v>
      </c>
      <c r="E54" s="1655" t="s">
        <v>571</v>
      </c>
      <c r="G54" s="1655" t="s">
        <v>423</v>
      </c>
      <c r="H54" s="1655" t="s">
        <v>1271</v>
      </c>
      <c r="I54" s="1655">
        <v>0</v>
      </c>
      <c r="J54" s="1655" t="s">
        <v>42</v>
      </c>
      <c r="K54" s="1655" t="s">
        <v>571</v>
      </c>
      <c r="M54" s="1655" t="s">
        <v>423</v>
      </c>
      <c r="N54" s="1655" t="s">
        <v>1271</v>
      </c>
      <c r="O54" s="1655">
        <v>825000</v>
      </c>
      <c r="P54" s="1655" t="s">
        <v>42</v>
      </c>
      <c r="Q54" s="1655" t="s">
        <v>571</v>
      </c>
      <c r="S54" s="1655" t="s">
        <v>423</v>
      </c>
      <c r="T54" s="1655" t="s">
        <v>1271</v>
      </c>
      <c r="U54" s="1655">
        <v>0</v>
      </c>
      <c r="V54" s="1655" t="s">
        <v>42</v>
      </c>
      <c r="W54" s="1655" t="s">
        <v>571</v>
      </c>
    </row>
    <row r="55" spans="1:23">
      <c r="A55" s="1655" t="s">
        <v>423</v>
      </c>
      <c r="B55" s="1655" t="s">
        <v>594</v>
      </c>
      <c r="C55" s="1655">
        <v>35000</v>
      </c>
      <c r="D55" s="1655" t="s">
        <v>42</v>
      </c>
      <c r="E55" s="1655" t="s">
        <v>571</v>
      </c>
      <c r="G55" s="1655" t="s">
        <v>423</v>
      </c>
      <c r="H55" s="1655" t="s">
        <v>594</v>
      </c>
      <c r="I55" s="1655">
        <v>12000</v>
      </c>
      <c r="J55" s="1655" t="s">
        <v>42</v>
      </c>
      <c r="K55" s="1655" t="s">
        <v>571</v>
      </c>
      <c r="M55" s="1655" t="s">
        <v>423</v>
      </c>
      <c r="N55" s="1655" t="s">
        <v>594</v>
      </c>
      <c r="O55" s="1655">
        <v>40000</v>
      </c>
      <c r="P55" s="1655" t="s">
        <v>42</v>
      </c>
      <c r="Q55" s="1655" t="s">
        <v>571</v>
      </c>
      <c r="S55" s="1655" t="s">
        <v>423</v>
      </c>
      <c r="T55" s="1655" t="s">
        <v>594</v>
      </c>
      <c r="U55" s="1655">
        <v>1100</v>
      </c>
      <c r="V55" s="1655" t="s">
        <v>42</v>
      </c>
      <c r="W55" s="1655" t="s">
        <v>571</v>
      </c>
    </row>
    <row r="56" spans="1:23">
      <c r="A56" s="1655" t="s">
        <v>423</v>
      </c>
      <c r="B56" s="1655" t="s">
        <v>595</v>
      </c>
      <c r="C56" s="1655">
        <v>41000</v>
      </c>
      <c r="D56" s="1655" t="s">
        <v>42</v>
      </c>
      <c r="E56" s="1655" t="s">
        <v>571</v>
      </c>
      <c r="G56" s="1655" t="s">
        <v>423</v>
      </c>
      <c r="H56" s="1655" t="s">
        <v>595</v>
      </c>
      <c r="I56" s="1655">
        <v>0</v>
      </c>
      <c r="J56" s="1655" t="s">
        <v>42</v>
      </c>
      <c r="K56" s="1655" t="s">
        <v>571</v>
      </c>
      <c r="M56" s="1655" t="s">
        <v>423</v>
      </c>
      <c r="N56" s="1655" t="s">
        <v>595</v>
      </c>
      <c r="O56" s="1655">
        <v>27000</v>
      </c>
      <c r="P56" s="1655" t="s">
        <v>42</v>
      </c>
      <c r="Q56" s="1655" t="s">
        <v>571</v>
      </c>
      <c r="S56" s="1655" t="s">
        <v>423</v>
      </c>
      <c r="T56" s="1655" t="s">
        <v>595</v>
      </c>
      <c r="U56" s="1655">
        <v>0</v>
      </c>
      <c r="V56" s="1655" t="s">
        <v>42</v>
      </c>
      <c r="W56" s="1655" t="s">
        <v>571</v>
      </c>
    </row>
    <row r="57" spans="1:23">
      <c r="A57" s="1655" t="s">
        <v>423</v>
      </c>
      <c r="B57" s="1655" t="s">
        <v>596</v>
      </c>
      <c r="C57" s="1655">
        <v>0</v>
      </c>
      <c r="D57" s="1655" t="s">
        <v>42</v>
      </c>
      <c r="E57" s="1655" t="s">
        <v>571</v>
      </c>
      <c r="G57" s="1655" t="s">
        <v>423</v>
      </c>
      <c r="H57" s="1655" t="s">
        <v>596</v>
      </c>
      <c r="I57" s="1655">
        <v>0</v>
      </c>
      <c r="J57" s="1655" t="s">
        <v>42</v>
      </c>
      <c r="K57" s="1655" t="s">
        <v>571</v>
      </c>
      <c r="M57" s="1655" t="s">
        <v>423</v>
      </c>
      <c r="N57" s="1655" t="s">
        <v>596</v>
      </c>
      <c r="O57" s="1655">
        <v>0</v>
      </c>
      <c r="P57" s="1655" t="s">
        <v>42</v>
      </c>
      <c r="Q57" s="1655" t="s">
        <v>571</v>
      </c>
      <c r="S57" s="1655" t="s">
        <v>423</v>
      </c>
      <c r="T57" s="1655" t="s">
        <v>596</v>
      </c>
      <c r="U57" s="1655">
        <v>0</v>
      </c>
      <c r="V57" s="1655" t="s">
        <v>42</v>
      </c>
      <c r="W57" s="1655" t="s">
        <v>571</v>
      </c>
    </row>
    <row r="58" spans="1:23">
      <c r="A58" s="1655" t="s">
        <v>423</v>
      </c>
      <c r="B58" s="1655" t="s">
        <v>597</v>
      </c>
      <c r="C58" s="1655">
        <v>0</v>
      </c>
      <c r="D58" s="1655" t="s">
        <v>42</v>
      </c>
      <c r="E58" s="1655" t="s">
        <v>571</v>
      </c>
      <c r="G58" s="1655" t="s">
        <v>423</v>
      </c>
      <c r="H58" s="1655" t="s">
        <v>597</v>
      </c>
      <c r="I58" s="1655">
        <v>0</v>
      </c>
      <c r="J58" s="1655" t="s">
        <v>42</v>
      </c>
      <c r="K58" s="1655" t="s">
        <v>571</v>
      </c>
      <c r="M58" s="1655" t="s">
        <v>423</v>
      </c>
      <c r="N58" s="1655" t="s">
        <v>597</v>
      </c>
      <c r="O58" s="1655">
        <v>0</v>
      </c>
      <c r="P58" s="1655" t="s">
        <v>42</v>
      </c>
      <c r="Q58" s="1655" t="s">
        <v>571</v>
      </c>
      <c r="S58" s="1655" t="s">
        <v>423</v>
      </c>
      <c r="T58" s="1655" t="s">
        <v>597</v>
      </c>
      <c r="U58" s="1655">
        <v>0</v>
      </c>
      <c r="V58" s="1655" t="s">
        <v>42</v>
      </c>
      <c r="W58" s="1655" t="s">
        <v>571</v>
      </c>
    </row>
    <row r="59" spans="1:23">
      <c r="A59" s="1655" t="s">
        <v>423</v>
      </c>
      <c r="B59" s="1655" t="s">
        <v>1517</v>
      </c>
      <c r="C59" s="1655">
        <v>250000</v>
      </c>
      <c r="D59" s="1655" t="s">
        <v>42</v>
      </c>
      <c r="E59" s="1655" t="s">
        <v>571</v>
      </c>
      <c r="G59" s="1655" t="s">
        <v>423</v>
      </c>
      <c r="H59" s="1655" t="s">
        <v>1517</v>
      </c>
      <c r="I59" s="1655">
        <v>15000</v>
      </c>
      <c r="J59" s="1655" t="s">
        <v>42</v>
      </c>
      <c r="K59" s="1655" t="s">
        <v>571</v>
      </c>
      <c r="M59" s="1655" t="s">
        <v>423</v>
      </c>
      <c r="N59" s="1655" t="s">
        <v>1517</v>
      </c>
      <c r="O59" s="1655">
        <v>1712678</v>
      </c>
      <c r="P59" s="1655" t="s">
        <v>42</v>
      </c>
      <c r="Q59" s="1655" t="s">
        <v>571</v>
      </c>
      <c r="S59" s="1655" t="s">
        <v>423</v>
      </c>
      <c r="T59" s="1655" t="s">
        <v>1517</v>
      </c>
      <c r="U59" s="1655">
        <v>65000</v>
      </c>
      <c r="V59" s="1655" t="s">
        <v>42</v>
      </c>
      <c r="W59" s="1655" t="s">
        <v>571</v>
      </c>
    </row>
    <row r="60" spans="1:23">
      <c r="A60" s="1655" t="s">
        <v>423</v>
      </c>
      <c r="B60" s="1655" t="s">
        <v>1518</v>
      </c>
      <c r="C60" s="1655">
        <v>225000</v>
      </c>
      <c r="D60" s="1655" t="s">
        <v>42</v>
      </c>
      <c r="E60" s="1655" t="s">
        <v>571</v>
      </c>
      <c r="G60" s="1655" t="s">
        <v>423</v>
      </c>
      <c r="H60" s="1655" t="s">
        <v>1518</v>
      </c>
      <c r="I60" s="1655">
        <v>0</v>
      </c>
      <c r="J60" s="1655" t="s">
        <v>42</v>
      </c>
      <c r="K60" s="1655" t="s">
        <v>571</v>
      </c>
      <c r="M60" s="1655" t="s">
        <v>423</v>
      </c>
      <c r="N60" s="1655" t="s">
        <v>1518</v>
      </c>
      <c r="O60" s="1655">
        <v>825834</v>
      </c>
      <c r="P60" s="1655" t="s">
        <v>42</v>
      </c>
      <c r="Q60" s="1655" t="s">
        <v>571</v>
      </c>
      <c r="S60" s="1655" t="s">
        <v>423</v>
      </c>
      <c r="T60" s="1655" t="s">
        <v>1518</v>
      </c>
      <c r="U60" s="1655">
        <v>0</v>
      </c>
      <c r="V60" s="1655" t="s">
        <v>42</v>
      </c>
      <c r="W60" s="1655" t="s">
        <v>571</v>
      </c>
    </row>
    <row r="61" spans="1:23">
      <c r="A61" s="1655" t="s">
        <v>423</v>
      </c>
      <c r="B61" s="1655" t="s">
        <v>1519</v>
      </c>
      <c r="C61" s="1655">
        <v>75000</v>
      </c>
      <c r="D61" s="1655" t="s">
        <v>42</v>
      </c>
      <c r="E61" s="1655" t="s">
        <v>571</v>
      </c>
      <c r="G61" s="1655" t="s">
        <v>423</v>
      </c>
      <c r="H61" s="1655" t="s">
        <v>1519</v>
      </c>
      <c r="I61" s="1655">
        <v>0</v>
      </c>
      <c r="J61" s="1655" t="s">
        <v>42</v>
      </c>
      <c r="K61" s="1655" t="s">
        <v>571</v>
      </c>
      <c r="M61" s="1655" t="s">
        <v>423</v>
      </c>
      <c r="N61" s="1655" t="s">
        <v>1519</v>
      </c>
      <c r="O61" s="1655">
        <v>286942</v>
      </c>
      <c r="P61" s="1655" t="s">
        <v>42</v>
      </c>
      <c r="Q61" s="1655" t="s">
        <v>571</v>
      </c>
      <c r="S61" s="1655" t="s">
        <v>423</v>
      </c>
      <c r="T61" s="1655" t="s">
        <v>1519</v>
      </c>
      <c r="U61" s="1655">
        <v>0</v>
      </c>
      <c r="V61" s="1655" t="s">
        <v>42</v>
      </c>
      <c r="W61" s="1655" t="s">
        <v>571</v>
      </c>
    </row>
    <row r="62" spans="1:23">
      <c r="A62" s="1655" t="s">
        <v>423</v>
      </c>
      <c r="B62" s="1655" t="s">
        <v>598</v>
      </c>
      <c r="C62" s="1655">
        <v>0</v>
      </c>
      <c r="D62" s="1655" t="s">
        <v>42</v>
      </c>
      <c r="E62" s="1655" t="s">
        <v>571</v>
      </c>
      <c r="G62" s="1655" t="s">
        <v>423</v>
      </c>
      <c r="H62" s="1655" t="s">
        <v>598</v>
      </c>
      <c r="I62" s="1655">
        <v>0</v>
      </c>
      <c r="J62" s="1655" t="s">
        <v>42</v>
      </c>
      <c r="K62" s="1655" t="s">
        <v>571</v>
      </c>
      <c r="M62" s="1655" t="s">
        <v>423</v>
      </c>
      <c r="N62" s="1655" t="s">
        <v>598</v>
      </c>
      <c r="O62" s="1655">
        <v>321042</v>
      </c>
      <c r="P62" s="1655" t="s">
        <v>42</v>
      </c>
      <c r="Q62" s="1655" t="s">
        <v>571</v>
      </c>
      <c r="S62" s="1655" t="s">
        <v>423</v>
      </c>
      <c r="T62" s="1655" t="s">
        <v>598</v>
      </c>
      <c r="U62" s="1655">
        <v>0</v>
      </c>
      <c r="V62" s="1655" t="s">
        <v>42</v>
      </c>
      <c r="W62" s="1655" t="s">
        <v>571</v>
      </c>
    </row>
    <row r="63" spans="1:23">
      <c r="A63" s="1655" t="s">
        <v>423</v>
      </c>
      <c r="B63" s="1655" t="s">
        <v>599</v>
      </c>
      <c r="C63" s="1655">
        <v>0</v>
      </c>
      <c r="D63" s="1655" t="s">
        <v>42</v>
      </c>
      <c r="E63" s="1655" t="s">
        <v>571</v>
      </c>
      <c r="G63" s="1655" t="s">
        <v>423</v>
      </c>
      <c r="H63" s="1655" t="s">
        <v>599</v>
      </c>
      <c r="I63" s="1655">
        <v>0</v>
      </c>
      <c r="J63" s="1655" t="s">
        <v>42</v>
      </c>
      <c r="K63" s="1655" t="s">
        <v>571</v>
      </c>
      <c r="M63" s="1655" t="s">
        <v>423</v>
      </c>
      <c r="N63" s="1655" t="s">
        <v>599</v>
      </c>
      <c r="O63" s="1655">
        <v>0</v>
      </c>
      <c r="P63" s="1655" t="s">
        <v>42</v>
      </c>
      <c r="Q63" s="1655" t="s">
        <v>571</v>
      </c>
      <c r="S63" s="1655" t="s">
        <v>423</v>
      </c>
      <c r="T63" s="1655" t="s">
        <v>599</v>
      </c>
      <c r="U63" s="1655">
        <v>0</v>
      </c>
      <c r="V63" s="1655" t="s">
        <v>42</v>
      </c>
      <c r="W63" s="1655" t="s">
        <v>571</v>
      </c>
    </row>
    <row r="64" spans="1:23">
      <c r="A64" s="1655" t="s">
        <v>423</v>
      </c>
      <c r="B64" s="1655" t="s">
        <v>600</v>
      </c>
      <c r="C64" s="1655">
        <v>0</v>
      </c>
      <c r="D64" s="1655" t="s">
        <v>42</v>
      </c>
      <c r="E64" s="1655" t="s">
        <v>571</v>
      </c>
      <c r="G64" s="1655" t="s">
        <v>423</v>
      </c>
      <c r="H64" s="1655" t="s">
        <v>600</v>
      </c>
      <c r="I64" s="1655">
        <v>0</v>
      </c>
      <c r="J64" s="1655" t="s">
        <v>42</v>
      </c>
      <c r="K64" s="1655" t="s">
        <v>571</v>
      </c>
      <c r="M64" s="1655" t="s">
        <v>423</v>
      </c>
      <c r="N64" s="1655" t="s">
        <v>600</v>
      </c>
      <c r="O64" s="1655">
        <v>0</v>
      </c>
      <c r="P64" s="1655" t="s">
        <v>42</v>
      </c>
      <c r="Q64" s="1655" t="s">
        <v>571</v>
      </c>
      <c r="S64" s="1655" t="s">
        <v>423</v>
      </c>
      <c r="T64" s="1655" t="s">
        <v>600</v>
      </c>
      <c r="U64" s="1655">
        <v>0</v>
      </c>
      <c r="V64" s="1655" t="s">
        <v>42</v>
      </c>
      <c r="W64" s="1655" t="s">
        <v>571</v>
      </c>
    </row>
    <row r="65" spans="1:23">
      <c r="A65" s="1655" t="s">
        <v>423</v>
      </c>
      <c r="B65" s="1655" t="s">
        <v>1520</v>
      </c>
      <c r="C65" s="1655">
        <v>0</v>
      </c>
      <c r="D65" s="1655" t="s">
        <v>42</v>
      </c>
      <c r="E65" s="1655" t="s">
        <v>571</v>
      </c>
      <c r="G65" s="1655" t="s">
        <v>423</v>
      </c>
      <c r="H65" s="1655" t="s">
        <v>1520</v>
      </c>
      <c r="I65" s="1655">
        <v>0</v>
      </c>
      <c r="J65" s="1655" t="s">
        <v>42</v>
      </c>
      <c r="K65" s="1655" t="s">
        <v>571</v>
      </c>
      <c r="M65" s="1655" t="s">
        <v>423</v>
      </c>
      <c r="N65" s="1655" t="s">
        <v>1520</v>
      </c>
      <c r="O65" s="1655">
        <v>0</v>
      </c>
      <c r="P65" s="1655" t="s">
        <v>42</v>
      </c>
      <c r="Q65" s="1655" t="s">
        <v>571</v>
      </c>
      <c r="S65" s="1655" t="s">
        <v>423</v>
      </c>
      <c r="T65" s="1655" t="s">
        <v>1520</v>
      </c>
      <c r="U65" s="1655">
        <v>0</v>
      </c>
      <c r="V65" s="1655" t="s">
        <v>42</v>
      </c>
      <c r="W65" s="1655" t="s">
        <v>571</v>
      </c>
    </row>
    <row r="66" spans="1:23">
      <c r="A66" s="1655" t="s">
        <v>423</v>
      </c>
      <c r="B66" s="1655" t="s">
        <v>1521</v>
      </c>
      <c r="C66" s="1655">
        <v>0</v>
      </c>
      <c r="D66" s="1655" t="s">
        <v>42</v>
      </c>
      <c r="E66" s="1655" t="s">
        <v>571</v>
      </c>
      <c r="G66" s="1655" t="s">
        <v>423</v>
      </c>
      <c r="H66" s="1655" t="s">
        <v>1521</v>
      </c>
      <c r="I66" s="1655">
        <v>0</v>
      </c>
      <c r="J66" s="1655" t="s">
        <v>42</v>
      </c>
      <c r="K66" s="1655" t="s">
        <v>571</v>
      </c>
      <c r="M66" s="1655" t="s">
        <v>423</v>
      </c>
      <c r="N66" s="1655" t="s">
        <v>1521</v>
      </c>
      <c r="O66" s="1655">
        <v>0</v>
      </c>
      <c r="P66" s="1655" t="s">
        <v>42</v>
      </c>
      <c r="Q66" s="1655" t="s">
        <v>571</v>
      </c>
      <c r="S66" s="1655" t="s">
        <v>423</v>
      </c>
      <c r="T66" s="1655" t="s">
        <v>1521</v>
      </c>
      <c r="U66" s="1655">
        <v>0</v>
      </c>
      <c r="V66" s="1655" t="s">
        <v>42</v>
      </c>
      <c r="W66" s="1655" t="s">
        <v>571</v>
      </c>
    </row>
    <row r="67" spans="1:23">
      <c r="A67" s="1655" t="s">
        <v>423</v>
      </c>
      <c r="B67" s="1655" t="s">
        <v>1522</v>
      </c>
      <c r="C67" s="1655">
        <v>0</v>
      </c>
      <c r="D67" s="1655" t="s">
        <v>42</v>
      </c>
      <c r="E67" s="1655" t="s">
        <v>571</v>
      </c>
      <c r="G67" s="1655" t="s">
        <v>423</v>
      </c>
      <c r="H67" s="1655" t="s">
        <v>1522</v>
      </c>
      <c r="I67" s="1656">
        <v>0</v>
      </c>
      <c r="J67" s="1655" t="s">
        <v>42</v>
      </c>
      <c r="K67" s="1655" t="s">
        <v>571</v>
      </c>
      <c r="M67" s="1655" t="s">
        <v>423</v>
      </c>
      <c r="N67" s="1655" t="s">
        <v>1522</v>
      </c>
      <c r="O67" s="1656">
        <v>0</v>
      </c>
      <c r="P67" s="1655" t="s">
        <v>42</v>
      </c>
      <c r="Q67" s="1655" t="s">
        <v>571</v>
      </c>
      <c r="S67" s="1655" t="s">
        <v>423</v>
      </c>
      <c r="T67" s="1655" t="s">
        <v>1522</v>
      </c>
      <c r="U67" s="1656">
        <v>0</v>
      </c>
      <c r="V67" s="1655" t="s">
        <v>42</v>
      </c>
      <c r="W67" s="1655" t="s">
        <v>571</v>
      </c>
    </row>
    <row r="68" spans="1:23">
      <c r="A68" s="1655" t="s">
        <v>423</v>
      </c>
      <c r="B68" s="1655" t="s">
        <v>1523</v>
      </c>
      <c r="C68" s="1655">
        <v>0</v>
      </c>
      <c r="D68" s="1655" t="s">
        <v>42</v>
      </c>
      <c r="E68" s="1655" t="s">
        <v>571</v>
      </c>
      <c r="G68" s="1655" t="s">
        <v>423</v>
      </c>
      <c r="H68" s="1655" t="s">
        <v>1523</v>
      </c>
      <c r="I68" s="1656">
        <v>0</v>
      </c>
      <c r="J68" s="1655" t="s">
        <v>42</v>
      </c>
      <c r="K68" s="1655" t="s">
        <v>571</v>
      </c>
      <c r="M68" s="1655" t="s">
        <v>423</v>
      </c>
      <c r="N68" s="1655" t="s">
        <v>1523</v>
      </c>
      <c r="O68" s="1656">
        <v>0</v>
      </c>
      <c r="P68" s="1655" t="s">
        <v>42</v>
      </c>
      <c r="Q68" s="1655" t="s">
        <v>571</v>
      </c>
      <c r="S68" s="1655" t="s">
        <v>423</v>
      </c>
      <c r="T68" s="1655" t="s">
        <v>1523</v>
      </c>
      <c r="U68" s="1656">
        <v>0</v>
      </c>
      <c r="V68" s="1655" t="s">
        <v>42</v>
      </c>
      <c r="W68" s="1655" t="s">
        <v>571</v>
      </c>
    </row>
    <row r="69" spans="1:23">
      <c r="A69" s="1655" t="s">
        <v>423</v>
      </c>
      <c r="B69" s="1655" t="s">
        <v>776</v>
      </c>
      <c r="C69" s="1655">
        <v>0</v>
      </c>
      <c r="D69" s="1655" t="s">
        <v>42</v>
      </c>
      <c r="E69" s="1655" t="s">
        <v>571</v>
      </c>
      <c r="G69" s="1655" t="s">
        <v>423</v>
      </c>
      <c r="H69" s="1655" t="s">
        <v>776</v>
      </c>
      <c r="I69" s="1655">
        <v>0</v>
      </c>
      <c r="J69" s="1655" t="s">
        <v>42</v>
      </c>
      <c r="K69" s="1655" t="s">
        <v>571</v>
      </c>
      <c r="M69" s="1655" t="s">
        <v>423</v>
      </c>
      <c r="N69" s="1655" t="s">
        <v>776</v>
      </c>
      <c r="O69" s="1655">
        <v>0</v>
      </c>
      <c r="P69" s="1655" t="s">
        <v>42</v>
      </c>
      <c r="Q69" s="1655" t="s">
        <v>571</v>
      </c>
      <c r="S69" s="1655" t="s">
        <v>423</v>
      </c>
      <c r="T69" s="1655" t="s">
        <v>776</v>
      </c>
      <c r="U69" s="1655">
        <v>0</v>
      </c>
      <c r="V69" s="1655" t="s">
        <v>42</v>
      </c>
      <c r="W69" s="1655" t="s">
        <v>571</v>
      </c>
    </row>
    <row r="70" spans="1:23">
      <c r="A70" s="1655" t="s">
        <v>423</v>
      </c>
      <c r="B70" s="1655" t="s">
        <v>777</v>
      </c>
      <c r="C70" s="1655">
        <v>0</v>
      </c>
      <c r="D70" s="1655" t="s">
        <v>42</v>
      </c>
      <c r="E70" s="1655" t="s">
        <v>571</v>
      </c>
      <c r="G70" s="1655" t="s">
        <v>423</v>
      </c>
      <c r="H70" s="1655" t="s">
        <v>777</v>
      </c>
      <c r="I70" s="1655">
        <v>0</v>
      </c>
      <c r="J70" s="1655" t="s">
        <v>42</v>
      </c>
      <c r="K70" s="1655" t="s">
        <v>571</v>
      </c>
      <c r="M70" s="1655" t="s">
        <v>423</v>
      </c>
      <c r="N70" s="1655" t="s">
        <v>777</v>
      </c>
      <c r="O70" s="1655">
        <v>0</v>
      </c>
      <c r="P70" s="1655" t="s">
        <v>42</v>
      </c>
      <c r="Q70" s="1655" t="s">
        <v>571</v>
      </c>
      <c r="S70" s="1655" t="s">
        <v>423</v>
      </c>
      <c r="T70" s="1655" t="s">
        <v>777</v>
      </c>
      <c r="U70" s="1655">
        <v>0</v>
      </c>
      <c r="V70" s="1655" t="s">
        <v>42</v>
      </c>
      <c r="W70" s="1655" t="s">
        <v>571</v>
      </c>
    </row>
    <row r="71" spans="1:23">
      <c r="A71" s="1655" t="s">
        <v>423</v>
      </c>
      <c r="B71" s="1655" t="s">
        <v>785</v>
      </c>
      <c r="C71" s="1656">
        <v>0</v>
      </c>
      <c r="D71" s="1655" t="s">
        <v>42</v>
      </c>
      <c r="E71" s="1655" t="s">
        <v>571</v>
      </c>
      <c r="G71" s="1655" t="s">
        <v>423</v>
      </c>
      <c r="H71" s="1655" t="s">
        <v>785</v>
      </c>
      <c r="I71" s="1656">
        <v>0</v>
      </c>
      <c r="J71" s="1655" t="s">
        <v>42</v>
      </c>
      <c r="K71" s="1655" t="s">
        <v>571</v>
      </c>
      <c r="M71" s="1655" t="s">
        <v>423</v>
      </c>
      <c r="N71" s="1655" t="s">
        <v>785</v>
      </c>
      <c r="O71" s="1656">
        <v>237000</v>
      </c>
      <c r="P71" s="1655" t="s">
        <v>42</v>
      </c>
      <c r="Q71" s="1655" t="s">
        <v>571</v>
      </c>
      <c r="S71" s="1655" t="s">
        <v>423</v>
      </c>
      <c r="T71" s="1655" t="s">
        <v>785</v>
      </c>
      <c r="U71" s="1656">
        <v>0</v>
      </c>
      <c r="V71" s="1655" t="s">
        <v>42</v>
      </c>
      <c r="W71" s="1655" t="s">
        <v>571</v>
      </c>
    </row>
    <row r="72" spans="1:23">
      <c r="A72" s="1655" t="s">
        <v>423</v>
      </c>
      <c r="B72" s="1655" t="s">
        <v>786</v>
      </c>
      <c r="C72" s="1656">
        <v>0</v>
      </c>
      <c r="D72" s="1655" t="s">
        <v>42</v>
      </c>
      <c r="E72" s="1655" t="s">
        <v>571</v>
      </c>
      <c r="G72" s="1655" t="s">
        <v>423</v>
      </c>
      <c r="H72" s="1655" t="s">
        <v>786</v>
      </c>
      <c r="I72" s="1656">
        <v>0</v>
      </c>
      <c r="J72" s="1655" t="s">
        <v>42</v>
      </c>
      <c r="K72" s="1655" t="s">
        <v>571</v>
      </c>
      <c r="M72" s="1655" t="s">
        <v>423</v>
      </c>
      <c r="N72" s="1655" t="s">
        <v>786</v>
      </c>
      <c r="O72" s="1656">
        <v>0</v>
      </c>
      <c r="P72" s="1655" t="s">
        <v>42</v>
      </c>
      <c r="Q72" s="1655" t="s">
        <v>571</v>
      </c>
      <c r="S72" s="1655" t="s">
        <v>423</v>
      </c>
      <c r="T72" s="1655" t="s">
        <v>786</v>
      </c>
      <c r="U72" s="1656">
        <v>0</v>
      </c>
      <c r="V72" s="1655" t="s">
        <v>42</v>
      </c>
      <c r="W72" s="1655" t="s">
        <v>571</v>
      </c>
    </row>
    <row r="73" spans="1:23">
      <c r="A73" s="1655" t="s">
        <v>423</v>
      </c>
      <c r="B73" s="1655" t="s">
        <v>1175</v>
      </c>
      <c r="C73" s="1655" t="s">
        <v>570</v>
      </c>
      <c r="D73" s="1655" t="s">
        <v>43</v>
      </c>
      <c r="E73" s="1655" t="s">
        <v>569</v>
      </c>
      <c r="G73" s="1655" t="s">
        <v>423</v>
      </c>
      <c r="H73" s="1655" t="s">
        <v>1175</v>
      </c>
      <c r="I73" s="1655" t="s">
        <v>570</v>
      </c>
      <c r="J73" s="1655" t="s">
        <v>43</v>
      </c>
      <c r="K73" s="1655" t="s">
        <v>569</v>
      </c>
      <c r="M73" s="1655" t="s">
        <v>423</v>
      </c>
      <c r="N73" s="1655" t="s">
        <v>1175</v>
      </c>
      <c r="O73" s="1655" t="s">
        <v>570</v>
      </c>
      <c r="P73" s="1655" t="s">
        <v>43</v>
      </c>
      <c r="Q73" s="1655" t="s">
        <v>569</v>
      </c>
      <c r="S73" s="1655" t="s">
        <v>423</v>
      </c>
      <c r="T73" s="1655" t="s">
        <v>1175</v>
      </c>
      <c r="U73" s="1655" t="s">
        <v>570</v>
      </c>
      <c r="V73" s="1655" t="s">
        <v>43</v>
      </c>
      <c r="W73" s="1655" t="s">
        <v>569</v>
      </c>
    </row>
    <row r="74" spans="1:23">
      <c r="A74" s="1655" t="s">
        <v>423</v>
      </c>
      <c r="B74" s="1655" t="s">
        <v>1176</v>
      </c>
      <c r="C74" s="1655" t="s">
        <v>570</v>
      </c>
      <c r="D74" s="1655" t="s">
        <v>43</v>
      </c>
      <c r="E74" s="1655" t="s">
        <v>569</v>
      </c>
      <c r="G74" s="1655" t="s">
        <v>423</v>
      </c>
      <c r="H74" s="1655" t="s">
        <v>1176</v>
      </c>
      <c r="I74" s="1655" t="s">
        <v>570</v>
      </c>
      <c r="J74" s="1655" t="s">
        <v>43</v>
      </c>
      <c r="K74" s="1655" t="s">
        <v>569</v>
      </c>
      <c r="M74" s="1655" t="s">
        <v>423</v>
      </c>
      <c r="N74" s="1655" t="s">
        <v>1176</v>
      </c>
      <c r="O74" s="1655" t="s">
        <v>570</v>
      </c>
      <c r="P74" s="1655" t="s">
        <v>43</v>
      </c>
      <c r="Q74" s="1655" t="s">
        <v>569</v>
      </c>
      <c r="S74" s="1655" t="s">
        <v>423</v>
      </c>
      <c r="T74" s="1655" t="s">
        <v>1176</v>
      </c>
      <c r="U74" s="1655" t="s">
        <v>570</v>
      </c>
      <c r="V74" s="1655" t="s">
        <v>43</v>
      </c>
      <c r="W74" s="1655" t="s">
        <v>569</v>
      </c>
    </row>
    <row r="75" spans="1:23">
      <c r="A75" s="1655" t="s">
        <v>423</v>
      </c>
      <c r="B75" s="1655" t="s">
        <v>1177</v>
      </c>
      <c r="C75" s="1655" t="s">
        <v>570</v>
      </c>
      <c r="D75" s="1655" t="s">
        <v>43</v>
      </c>
      <c r="E75" s="1655" t="s">
        <v>569</v>
      </c>
      <c r="G75" s="1655" t="s">
        <v>423</v>
      </c>
      <c r="H75" s="1655" t="s">
        <v>1177</v>
      </c>
      <c r="I75" s="1655" t="s">
        <v>570</v>
      </c>
      <c r="J75" s="1655" t="s">
        <v>43</v>
      </c>
      <c r="K75" s="1655" t="s">
        <v>569</v>
      </c>
      <c r="M75" s="1655" t="s">
        <v>423</v>
      </c>
      <c r="N75" s="1655" t="s">
        <v>1177</v>
      </c>
      <c r="O75" s="1655" t="s">
        <v>570</v>
      </c>
      <c r="P75" s="1655" t="s">
        <v>43</v>
      </c>
      <c r="Q75" s="1655" t="s">
        <v>569</v>
      </c>
      <c r="S75" s="1655" t="s">
        <v>423</v>
      </c>
      <c r="T75" s="1655" t="s">
        <v>1177</v>
      </c>
      <c r="U75" s="1655" t="s">
        <v>570</v>
      </c>
      <c r="V75" s="1655" t="s">
        <v>43</v>
      </c>
      <c r="W75" s="1655" t="s">
        <v>569</v>
      </c>
    </row>
    <row r="76" spans="1:23">
      <c r="A76" s="1655" t="s">
        <v>423</v>
      </c>
      <c r="B76" s="1655" t="s">
        <v>1178</v>
      </c>
      <c r="C76" s="1655" t="s">
        <v>570</v>
      </c>
      <c r="D76" s="1655" t="s">
        <v>43</v>
      </c>
      <c r="E76" s="1655" t="s">
        <v>569</v>
      </c>
      <c r="G76" s="1655" t="s">
        <v>423</v>
      </c>
      <c r="H76" s="1655" t="s">
        <v>1178</v>
      </c>
      <c r="I76" s="1655" t="s">
        <v>570</v>
      </c>
      <c r="J76" s="1655" t="s">
        <v>43</v>
      </c>
      <c r="K76" s="1655" t="s">
        <v>569</v>
      </c>
      <c r="M76" s="1655" t="s">
        <v>423</v>
      </c>
      <c r="N76" s="1655" t="s">
        <v>1178</v>
      </c>
      <c r="O76" s="1655" t="s">
        <v>570</v>
      </c>
      <c r="P76" s="1655" t="s">
        <v>43</v>
      </c>
      <c r="Q76" s="1655" t="s">
        <v>569</v>
      </c>
      <c r="S76" s="1655" t="s">
        <v>423</v>
      </c>
      <c r="T76" s="1655" t="s">
        <v>1178</v>
      </c>
      <c r="U76" s="1655" t="s">
        <v>570</v>
      </c>
      <c r="V76" s="1655" t="s">
        <v>43</v>
      </c>
      <c r="W76" s="1655" t="s">
        <v>569</v>
      </c>
    </row>
    <row r="77" spans="1:23">
      <c r="A77" s="1655" t="s">
        <v>423</v>
      </c>
      <c r="B77" s="1655" t="s">
        <v>1179</v>
      </c>
      <c r="C77" s="1655" t="s">
        <v>570</v>
      </c>
      <c r="D77" s="1655" t="s">
        <v>43</v>
      </c>
      <c r="E77" s="1655" t="s">
        <v>569</v>
      </c>
      <c r="G77" s="1655" t="s">
        <v>423</v>
      </c>
      <c r="H77" s="1655" t="s">
        <v>1179</v>
      </c>
      <c r="I77" s="1655" t="s">
        <v>570</v>
      </c>
      <c r="J77" s="1655" t="s">
        <v>43</v>
      </c>
      <c r="K77" s="1655" t="s">
        <v>569</v>
      </c>
      <c r="M77" s="1655" t="s">
        <v>423</v>
      </c>
      <c r="N77" s="1655" t="s">
        <v>1179</v>
      </c>
      <c r="O77" s="1655" t="s">
        <v>570</v>
      </c>
      <c r="P77" s="1655" t="s">
        <v>43</v>
      </c>
      <c r="Q77" s="1655" t="s">
        <v>569</v>
      </c>
      <c r="S77" s="1655" t="s">
        <v>423</v>
      </c>
      <c r="T77" s="1655" t="s">
        <v>1179</v>
      </c>
      <c r="U77" s="1655" t="s">
        <v>570</v>
      </c>
      <c r="V77" s="1655" t="s">
        <v>43</v>
      </c>
      <c r="W77" s="1655" t="s">
        <v>569</v>
      </c>
    </row>
    <row r="78" spans="1:23">
      <c r="A78" s="1655" t="s">
        <v>423</v>
      </c>
      <c r="B78" s="1655" t="s">
        <v>1186</v>
      </c>
      <c r="C78" s="1655">
        <v>1300</v>
      </c>
      <c r="D78" s="1655" t="s">
        <v>42</v>
      </c>
      <c r="E78" s="1655" t="s">
        <v>571</v>
      </c>
      <c r="G78" s="1655" t="s">
        <v>423</v>
      </c>
      <c r="H78" s="1655" t="s">
        <v>1186</v>
      </c>
      <c r="I78" s="1655">
        <v>0</v>
      </c>
      <c r="J78" s="1655" t="s">
        <v>42</v>
      </c>
      <c r="K78" s="1655" t="s">
        <v>571</v>
      </c>
      <c r="M78" s="1655" t="s">
        <v>423</v>
      </c>
      <c r="N78" s="1655" t="s">
        <v>1186</v>
      </c>
      <c r="O78" s="1655">
        <v>0</v>
      </c>
      <c r="P78" s="1655" t="s">
        <v>42</v>
      </c>
      <c r="Q78" s="1655" t="s">
        <v>571</v>
      </c>
      <c r="S78" s="1655" t="s">
        <v>423</v>
      </c>
      <c r="T78" s="1655" t="s">
        <v>1186</v>
      </c>
      <c r="U78" s="1655">
        <v>0</v>
      </c>
      <c r="V78" s="1655" t="s">
        <v>42</v>
      </c>
      <c r="W78" s="1655" t="s">
        <v>571</v>
      </c>
    </row>
    <row r="79" spans="1:23">
      <c r="A79" s="1655" t="s">
        <v>423</v>
      </c>
      <c r="B79" s="1655" t="s">
        <v>605</v>
      </c>
      <c r="C79" s="1655">
        <v>350</v>
      </c>
      <c r="D79" s="1655" t="s">
        <v>42</v>
      </c>
      <c r="E79" s="1655" t="s">
        <v>571</v>
      </c>
      <c r="G79" s="1655" t="s">
        <v>423</v>
      </c>
      <c r="H79" s="1655" t="s">
        <v>605</v>
      </c>
      <c r="I79" s="1655">
        <v>350</v>
      </c>
      <c r="J79" s="1655" t="s">
        <v>42</v>
      </c>
      <c r="K79" s="1655" t="s">
        <v>571</v>
      </c>
      <c r="M79" s="1655" t="s">
        <v>423</v>
      </c>
      <c r="N79" s="1655" t="s">
        <v>605</v>
      </c>
      <c r="O79" s="1655">
        <v>0</v>
      </c>
      <c r="P79" s="1655" t="s">
        <v>42</v>
      </c>
      <c r="Q79" s="1655" t="s">
        <v>571</v>
      </c>
      <c r="S79" s="1655" t="s">
        <v>423</v>
      </c>
      <c r="T79" s="1655" t="s">
        <v>605</v>
      </c>
      <c r="U79" s="1655">
        <v>0</v>
      </c>
      <c r="V79" s="1655" t="s">
        <v>42</v>
      </c>
      <c r="W79" s="1655" t="s">
        <v>571</v>
      </c>
    </row>
    <row r="80" spans="1:23">
      <c r="A80" s="1655" t="s">
        <v>423</v>
      </c>
      <c r="B80" s="1655" t="s">
        <v>606</v>
      </c>
      <c r="C80" s="1655">
        <v>450</v>
      </c>
      <c r="D80" s="1655" t="s">
        <v>42</v>
      </c>
      <c r="E80" s="1655" t="s">
        <v>571</v>
      </c>
      <c r="G80" s="1655" t="s">
        <v>423</v>
      </c>
      <c r="H80" s="1655" t="s">
        <v>606</v>
      </c>
      <c r="I80" s="1655">
        <v>0</v>
      </c>
      <c r="J80" s="1655" t="s">
        <v>42</v>
      </c>
      <c r="K80" s="1655" t="s">
        <v>571</v>
      </c>
      <c r="M80" s="1655" t="s">
        <v>423</v>
      </c>
      <c r="N80" s="1655" t="s">
        <v>606</v>
      </c>
      <c r="O80" s="1655">
        <v>0</v>
      </c>
      <c r="P80" s="1655" t="s">
        <v>42</v>
      </c>
      <c r="Q80" s="1655" t="s">
        <v>571</v>
      </c>
      <c r="S80" s="1655" t="s">
        <v>423</v>
      </c>
      <c r="T80" s="1655" t="s">
        <v>606</v>
      </c>
      <c r="U80" s="1655">
        <v>0</v>
      </c>
      <c r="V80" s="1655" t="s">
        <v>42</v>
      </c>
      <c r="W80" s="1655" t="s">
        <v>571</v>
      </c>
    </row>
    <row r="81" spans="1:23">
      <c r="A81" s="1655" t="s">
        <v>423</v>
      </c>
      <c r="B81" s="1655" t="s">
        <v>607</v>
      </c>
      <c r="C81" s="1655">
        <v>0</v>
      </c>
      <c r="D81" s="1655" t="s">
        <v>42</v>
      </c>
      <c r="E81" s="1655" t="s">
        <v>571</v>
      </c>
      <c r="G81" s="1655" t="s">
        <v>423</v>
      </c>
      <c r="H81" s="1655" t="s">
        <v>607</v>
      </c>
      <c r="I81" s="1655">
        <v>0</v>
      </c>
      <c r="J81" s="1655" t="s">
        <v>42</v>
      </c>
      <c r="K81" s="1655" t="s">
        <v>571</v>
      </c>
      <c r="M81" s="1655" t="s">
        <v>423</v>
      </c>
      <c r="N81" s="1655" t="s">
        <v>607</v>
      </c>
      <c r="O81" s="1655">
        <v>0</v>
      </c>
      <c r="P81" s="1655" t="s">
        <v>42</v>
      </c>
      <c r="Q81" s="1655" t="s">
        <v>571</v>
      </c>
      <c r="S81" s="1655" t="s">
        <v>423</v>
      </c>
      <c r="T81" s="1655" t="s">
        <v>607</v>
      </c>
      <c r="U81" s="1655">
        <v>0</v>
      </c>
      <c r="V81" s="1655" t="s">
        <v>42</v>
      </c>
      <c r="W81" s="1655" t="s">
        <v>571</v>
      </c>
    </row>
    <row r="82" spans="1:23">
      <c r="A82" s="1655" t="s">
        <v>423</v>
      </c>
      <c r="B82" s="1655" t="s">
        <v>608</v>
      </c>
      <c r="C82" s="1655">
        <v>0</v>
      </c>
      <c r="D82" s="1655" t="s">
        <v>42</v>
      </c>
      <c r="E82" s="1655" t="s">
        <v>571</v>
      </c>
      <c r="G82" s="1655" t="s">
        <v>423</v>
      </c>
      <c r="H82" s="1655" t="s">
        <v>608</v>
      </c>
      <c r="I82" s="1655">
        <v>0</v>
      </c>
      <c r="J82" s="1655" t="s">
        <v>42</v>
      </c>
      <c r="K82" s="1655" t="s">
        <v>571</v>
      </c>
      <c r="M82" s="1655" t="s">
        <v>423</v>
      </c>
      <c r="N82" s="1655" t="s">
        <v>608</v>
      </c>
      <c r="O82" s="1655">
        <v>0</v>
      </c>
      <c r="P82" s="1655" t="s">
        <v>42</v>
      </c>
      <c r="Q82" s="1655" t="s">
        <v>571</v>
      </c>
      <c r="S82" s="1655" t="s">
        <v>423</v>
      </c>
      <c r="T82" s="1655" t="s">
        <v>608</v>
      </c>
      <c r="U82" s="1655">
        <v>0</v>
      </c>
      <c r="V82" s="1655" t="s">
        <v>42</v>
      </c>
      <c r="W82" s="1655" t="s">
        <v>571</v>
      </c>
    </row>
    <row r="83" spans="1:23">
      <c r="A83" s="1655" t="s">
        <v>423</v>
      </c>
      <c r="B83" s="1655" t="s">
        <v>1188</v>
      </c>
      <c r="C83" s="1655">
        <v>2000</v>
      </c>
      <c r="D83" s="1655" t="s">
        <v>42</v>
      </c>
      <c r="E83" s="1655" t="s">
        <v>571</v>
      </c>
      <c r="G83" s="1655" t="s">
        <v>423</v>
      </c>
      <c r="H83" s="1655" t="s">
        <v>1188</v>
      </c>
      <c r="I83" s="1655">
        <v>1600</v>
      </c>
      <c r="J83" s="1655" t="s">
        <v>42</v>
      </c>
      <c r="K83" s="1655" t="s">
        <v>571</v>
      </c>
      <c r="M83" s="1655" t="s">
        <v>423</v>
      </c>
      <c r="N83" s="1655" t="s">
        <v>1188</v>
      </c>
      <c r="O83" s="1655">
        <v>0</v>
      </c>
      <c r="P83" s="1655" t="s">
        <v>42</v>
      </c>
      <c r="Q83" s="1655" t="s">
        <v>571</v>
      </c>
      <c r="S83" s="1655" t="s">
        <v>423</v>
      </c>
      <c r="T83" s="1655" t="s">
        <v>1188</v>
      </c>
      <c r="U83" s="1655">
        <v>0</v>
      </c>
      <c r="V83" s="1655" t="s">
        <v>42</v>
      </c>
      <c r="W83" s="1655" t="s">
        <v>571</v>
      </c>
    </row>
    <row r="84" spans="1:23">
      <c r="A84" s="1655" t="s">
        <v>423</v>
      </c>
      <c r="B84" s="1655" t="s">
        <v>1189</v>
      </c>
      <c r="C84" s="1655">
        <v>1500</v>
      </c>
      <c r="D84" s="1655" t="s">
        <v>42</v>
      </c>
      <c r="E84" s="1655" t="s">
        <v>571</v>
      </c>
      <c r="G84" s="1655" t="s">
        <v>423</v>
      </c>
      <c r="H84" s="1655" t="s">
        <v>1189</v>
      </c>
      <c r="I84" s="1655">
        <v>0</v>
      </c>
      <c r="J84" s="1655" t="s">
        <v>42</v>
      </c>
      <c r="K84" s="1655" t="s">
        <v>571</v>
      </c>
      <c r="M84" s="1655" t="s">
        <v>423</v>
      </c>
      <c r="N84" s="1655" t="s">
        <v>1189</v>
      </c>
      <c r="O84" s="1655">
        <v>0</v>
      </c>
      <c r="P84" s="1655" t="s">
        <v>42</v>
      </c>
      <c r="Q84" s="1655" t="s">
        <v>571</v>
      </c>
      <c r="S84" s="1655" t="s">
        <v>423</v>
      </c>
      <c r="T84" s="1655" t="s">
        <v>1189</v>
      </c>
      <c r="U84" s="1655">
        <v>0</v>
      </c>
      <c r="V84" s="1655" t="s">
        <v>42</v>
      </c>
      <c r="W84" s="1655" t="s">
        <v>571</v>
      </c>
    </row>
    <row r="85" spans="1:23">
      <c r="A85" s="1655" t="s">
        <v>423</v>
      </c>
      <c r="B85" s="1655" t="s">
        <v>1190</v>
      </c>
      <c r="C85" s="1655">
        <v>250</v>
      </c>
      <c r="D85" s="1655" t="s">
        <v>42</v>
      </c>
      <c r="E85" s="1655" t="s">
        <v>571</v>
      </c>
      <c r="G85" s="1655" t="s">
        <v>423</v>
      </c>
      <c r="H85" s="1655" t="s">
        <v>1190</v>
      </c>
      <c r="I85" s="1655">
        <v>0</v>
      </c>
      <c r="J85" s="1655" t="s">
        <v>42</v>
      </c>
      <c r="K85" s="1655" t="s">
        <v>571</v>
      </c>
      <c r="M85" s="1655" t="s">
        <v>423</v>
      </c>
      <c r="N85" s="1655" t="s">
        <v>1190</v>
      </c>
      <c r="O85" s="1655">
        <v>0</v>
      </c>
      <c r="P85" s="1655" t="s">
        <v>42</v>
      </c>
      <c r="Q85" s="1655" t="s">
        <v>571</v>
      </c>
      <c r="S85" s="1655" t="s">
        <v>423</v>
      </c>
      <c r="T85" s="1655" t="s">
        <v>1190</v>
      </c>
      <c r="U85" s="1655">
        <v>0</v>
      </c>
      <c r="V85" s="1655" t="s">
        <v>42</v>
      </c>
      <c r="W85" s="1655" t="s">
        <v>571</v>
      </c>
    </row>
    <row r="86" spans="1:23">
      <c r="A86" s="1655" t="s">
        <v>423</v>
      </c>
      <c r="B86" s="1655" t="s">
        <v>609</v>
      </c>
      <c r="C86" s="1655">
        <v>0</v>
      </c>
      <c r="D86" s="1655" t="s">
        <v>42</v>
      </c>
      <c r="E86" s="1655" t="s">
        <v>571</v>
      </c>
      <c r="G86" s="1655" t="s">
        <v>423</v>
      </c>
      <c r="H86" s="1655" t="s">
        <v>609</v>
      </c>
      <c r="I86" s="1655">
        <v>0</v>
      </c>
      <c r="J86" s="1655" t="s">
        <v>42</v>
      </c>
      <c r="K86" s="1655" t="s">
        <v>571</v>
      </c>
      <c r="M86" s="1655" t="s">
        <v>423</v>
      </c>
      <c r="N86" s="1655" t="s">
        <v>609</v>
      </c>
      <c r="O86" s="1655">
        <v>0</v>
      </c>
      <c r="P86" s="1655" t="s">
        <v>42</v>
      </c>
      <c r="Q86" s="1655" t="s">
        <v>571</v>
      </c>
      <c r="S86" s="1655" t="s">
        <v>423</v>
      </c>
      <c r="T86" s="1655" t="s">
        <v>609</v>
      </c>
      <c r="U86" s="1655">
        <v>0</v>
      </c>
      <c r="V86" s="1655" t="s">
        <v>42</v>
      </c>
      <c r="W86" s="1655" t="s">
        <v>571</v>
      </c>
    </row>
    <row r="87" spans="1:23">
      <c r="A87" s="1655" t="s">
        <v>423</v>
      </c>
      <c r="B87" s="1655" t="s">
        <v>610</v>
      </c>
      <c r="C87" s="1655">
        <v>0</v>
      </c>
      <c r="D87" s="1655" t="s">
        <v>42</v>
      </c>
      <c r="E87" s="1655" t="s">
        <v>571</v>
      </c>
      <c r="G87" s="1655" t="s">
        <v>423</v>
      </c>
      <c r="H87" s="1655" t="s">
        <v>610</v>
      </c>
      <c r="I87" s="1655">
        <v>0</v>
      </c>
      <c r="J87" s="1655" t="s">
        <v>42</v>
      </c>
      <c r="K87" s="1655" t="s">
        <v>571</v>
      </c>
      <c r="M87" s="1655" t="s">
        <v>423</v>
      </c>
      <c r="N87" s="1655" t="s">
        <v>610</v>
      </c>
      <c r="O87" s="1655">
        <v>0</v>
      </c>
      <c r="P87" s="1655" t="s">
        <v>42</v>
      </c>
      <c r="Q87" s="1655" t="s">
        <v>571</v>
      </c>
      <c r="S87" s="1655" t="s">
        <v>423</v>
      </c>
      <c r="T87" s="1655" t="s">
        <v>610</v>
      </c>
      <c r="U87" s="1655">
        <v>0</v>
      </c>
      <c r="V87" s="1655" t="s">
        <v>42</v>
      </c>
      <c r="W87" s="1655" t="s">
        <v>571</v>
      </c>
    </row>
    <row r="88" spans="1:23">
      <c r="A88" s="1655" t="s">
        <v>423</v>
      </c>
      <c r="B88" s="1655" t="s">
        <v>611</v>
      </c>
      <c r="C88" s="1655">
        <v>0</v>
      </c>
      <c r="D88" s="1655" t="s">
        <v>42</v>
      </c>
      <c r="E88" s="1655" t="s">
        <v>571</v>
      </c>
      <c r="G88" s="1655" t="s">
        <v>423</v>
      </c>
      <c r="H88" s="1655" t="s">
        <v>611</v>
      </c>
      <c r="I88" s="1655">
        <v>0</v>
      </c>
      <c r="J88" s="1655" t="s">
        <v>42</v>
      </c>
      <c r="K88" s="1655" t="s">
        <v>571</v>
      </c>
      <c r="M88" s="1655" t="s">
        <v>423</v>
      </c>
      <c r="N88" s="1655" t="s">
        <v>611</v>
      </c>
      <c r="O88" s="1655">
        <v>0</v>
      </c>
      <c r="P88" s="1655" t="s">
        <v>42</v>
      </c>
      <c r="Q88" s="1655" t="s">
        <v>571</v>
      </c>
      <c r="S88" s="1655" t="s">
        <v>423</v>
      </c>
      <c r="T88" s="1655" t="s">
        <v>611</v>
      </c>
      <c r="U88" s="1655">
        <v>0</v>
      </c>
      <c r="V88" s="1655" t="s">
        <v>42</v>
      </c>
      <c r="W88" s="1655" t="s">
        <v>571</v>
      </c>
    </row>
    <row r="89" spans="1:23">
      <c r="A89" s="1655" t="s">
        <v>423</v>
      </c>
      <c r="B89" s="1655" t="s">
        <v>1191</v>
      </c>
      <c r="C89" s="1655">
        <v>0</v>
      </c>
      <c r="D89" s="1655" t="s">
        <v>42</v>
      </c>
      <c r="E89" s="1655" t="s">
        <v>571</v>
      </c>
      <c r="G89" s="1655" t="s">
        <v>423</v>
      </c>
      <c r="H89" s="1655" t="s">
        <v>1191</v>
      </c>
      <c r="I89" s="1655">
        <v>0</v>
      </c>
      <c r="J89" s="1655" t="s">
        <v>42</v>
      </c>
      <c r="K89" s="1655" t="s">
        <v>571</v>
      </c>
      <c r="M89" s="1655" t="s">
        <v>423</v>
      </c>
      <c r="N89" s="1655" t="s">
        <v>1191</v>
      </c>
      <c r="O89" s="1655">
        <v>0</v>
      </c>
      <c r="P89" s="1655" t="s">
        <v>42</v>
      </c>
      <c r="Q89" s="1655" t="s">
        <v>571</v>
      </c>
      <c r="S89" s="1655" t="s">
        <v>423</v>
      </c>
      <c r="T89" s="1655" t="s">
        <v>1191</v>
      </c>
      <c r="U89" s="1655">
        <v>0</v>
      </c>
      <c r="V89" s="1655" t="s">
        <v>42</v>
      </c>
      <c r="W89" s="1655" t="s">
        <v>571</v>
      </c>
    </row>
    <row r="90" spans="1:23">
      <c r="A90" s="1655" t="s">
        <v>423</v>
      </c>
      <c r="B90" s="1655" t="s">
        <v>1192</v>
      </c>
      <c r="C90" s="1655">
        <v>0</v>
      </c>
      <c r="D90" s="1655" t="s">
        <v>42</v>
      </c>
      <c r="E90" s="1655" t="s">
        <v>571</v>
      </c>
      <c r="G90" s="1655" t="s">
        <v>423</v>
      </c>
      <c r="H90" s="1655" t="s">
        <v>1192</v>
      </c>
      <c r="I90" s="1655">
        <v>0</v>
      </c>
      <c r="J90" s="1655" t="s">
        <v>42</v>
      </c>
      <c r="K90" s="1655" t="s">
        <v>571</v>
      </c>
      <c r="M90" s="1655" t="s">
        <v>423</v>
      </c>
      <c r="N90" s="1655" t="s">
        <v>1192</v>
      </c>
      <c r="O90" s="1655">
        <v>0</v>
      </c>
      <c r="P90" s="1655" t="s">
        <v>42</v>
      </c>
      <c r="Q90" s="1655" t="s">
        <v>571</v>
      </c>
      <c r="S90" s="1655" t="s">
        <v>423</v>
      </c>
      <c r="T90" s="1655" t="s">
        <v>1192</v>
      </c>
      <c r="U90" s="1655">
        <v>0</v>
      </c>
      <c r="V90" s="1655" t="s">
        <v>42</v>
      </c>
      <c r="W90" s="1655" t="s">
        <v>571</v>
      </c>
    </row>
    <row r="91" spans="1:23">
      <c r="A91" s="1655" t="s">
        <v>423</v>
      </c>
      <c r="B91" s="1655" t="s">
        <v>1193</v>
      </c>
      <c r="C91" s="1655">
        <v>0</v>
      </c>
      <c r="D91" s="1655" t="s">
        <v>42</v>
      </c>
      <c r="E91" s="1655" t="s">
        <v>571</v>
      </c>
      <c r="G91" s="1655" t="s">
        <v>423</v>
      </c>
      <c r="H91" s="1655" t="s">
        <v>1193</v>
      </c>
      <c r="I91" s="1655">
        <v>0</v>
      </c>
      <c r="J91" s="1655" t="s">
        <v>42</v>
      </c>
      <c r="K91" s="1655" t="s">
        <v>571</v>
      </c>
      <c r="M91" s="1655" t="s">
        <v>423</v>
      </c>
      <c r="N91" s="1655" t="s">
        <v>1193</v>
      </c>
      <c r="O91" s="1655">
        <v>0</v>
      </c>
      <c r="P91" s="1655" t="s">
        <v>42</v>
      </c>
      <c r="Q91" s="1655" t="s">
        <v>571</v>
      </c>
      <c r="S91" s="1655" t="s">
        <v>423</v>
      </c>
      <c r="T91" s="1655" t="s">
        <v>1193</v>
      </c>
      <c r="U91" s="1655">
        <v>0</v>
      </c>
      <c r="V91" s="1655" t="s">
        <v>42</v>
      </c>
      <c r="W91" s="1655" t="s">
        <v>571</v>
      </c>
    </row>
    <row r="92" spans="1:23">
      <c r="A92" s="1655" t="s">
        <v>423</v>
      </c>
      <c r="B92" s="1655" t="s">
        <v>1194</v>
      </c>
      <c r="C92" s="1655">
        <v>0</v>
      </c>
      <c r="D92" s="1655" t="s">
        <v>42</v>
      </c>
      <c r="E92" s="1655" t="s">
        <v>571</v>
      </c>
      <c r="G92" s="1655" t="s">
        <v>423</v>
      </c>
      <c r="H92" s="1655" t="s">
        <v>1194</v>
      </c>
      <c r="I92" s="1655">
        <v>0</v>
      </c>
      <c r="J92" s="1655" t="s">
        <v>42</v>
      </c>
      <c r="K92" s="1655" t="s">
        <v>571</v>
      </c>
      <c r="M92" s="1655" t="s">
        <v>423</v>
      </c>
      <c r="N92" s="1655" t="s">
        <v>1194</v>
      </c>
      <c r="O92" s="1655">
        <v>0</v>
      </c>
      <c r="P92" s="1655" t="s">
        <v>42</v>
      </c>
      <c r="Q92" s="1655" t="s">
        <v>571</v>
      </c>
      <c r="S92" s="1655" t="s">
        <v>423</v>
      </c>
      <c r="T92" s="1655" t="s">
        <v>1194</v>
      </c>
      <c r="U92" s="1655">
        <v>0</v>
      </c>
      <c r="V92" s="1655" t="s">
        <v>42</v>
      </c>
      <c r="W92" s="1655" t="s">
        <v>571</v>
      </c>
    </row>
    <row r="93" spans="1:23">
      <c r="A93" s="1655" t="s">
        <v>423</v>
      </c>
      <c r="B93" s="1655" t="s">
        <v>827</v>
      </c>
      <c r="C93" s="1655">
        <v>0</v>
      </c>
      <c r="D93" s="1655" t="s">
        <v>42</v>
      </c>
      <c r="E93" s="1655" t="s">
        <v>571</v>
      </c>
      <c r="G93" s="1655" t="s">
        <v>423</v>
      </c>
      <c r="H93" s="1655" t="s">
        <v>827</v>
      </c>
      <c r="I93" s="1655">
        <v>0</v>
      </c>
      <c r="J93" s="1655" t="s">
        <v>42</v>
      </c>
      <c r="K93" s="1655" t="s">
        <v>571</v>
      </c>
      <c r="M93" s="1655" t="s">
        <v>423</v>
      </c>
      <c r="N93" s="1655" t="s">
        <v>827</v>
      </c>
      <c r="O93" s="1655">
        <v>0</v>
      </c>
      <c r="P93" s="1655" t="s">
        <v>42</v>
      </c>
      <c r="Q93" s="1655" t="s">
        <v>571</v>
      </c>
      <c r="S93" s="1655" t="s">
        <v>423</v>
      </c>
      <c r="T93" s="1655" t="s">
        <v>827</v>
      </c>
      <c r="U93" s="1655">
        <v>0</v>
      </c>
      <c r="V93" s="1655" t="s">
        <v>42</v>
      </c>
      <c r="W93" s="1655" t="s">
        <v>571</v>
      </c>
    </row>
    <row r="94" spans="1:23">
      <c r="A94" s="1655" t="s">
        <v>423</v>
      </c>
      <c r="B94" s="1655" t="s">
        <v>828</v>
      </c>
      <c r="C94" s="1655">
        <v>0</v>
      </c>
      <c r="D94" s="1655" t="s">
        <v>42</v>
      </c>
      <c r="E94" s="1655" t="s">
        <v>571</v>
      </c>
      <c r="G94" s="1655" t="s">
        <v>423</v>
      </c>
      <c r="H94" s="1655" t="s">
        <v>828</v>
      </c>
      <c r="I94" s="1655">
        <v>0</v>
      </c>
      <c r="J94" s="1655" t="s">
        <v>42</v>
      </c>
      <c r="K94" s="1655" t="s">
        <v>571</v>
      </c>
      <c r="M94" s="1655" t="s">
        <v>423</v>
      </c>
      <c r="N94" s="1655" t="s">
        <v>828</v>
      </c>
      <c r="O94" s="1655">
        <v>0</v>
      </c>
      <c r="P94" s="1655" t="s">
        <v>42</v>
      </c>
      <c r="Q94" s="1655" t="s">
        <v>571</v>
      </c>
      <c r="S94" s="1655" t="s">
        <v>423</v>
      </c>
      <c r="T94" s="1655" t="s">
        <v>828</v>
      </c>
      <c r="U94" s="1655">
        <v>0</v>
      </c>
      <c r="V94" s="1655" t="s">
        <v>42</v>
      </c>
      <c r="W94" s="1655" t="s">
        <v>571</v>
      </c>
    </row>
    <row r="95" spans="1:23">
      <c r="A95" s="1655" t="s">
        <v>423</v>
      </c>
      <c r="B95" s="1655" t="s">
        <v>836</v>
      </c>
      <c r="C95" s="1655" t="s">
        <v>570</v>
      </c>
      <c r="D95" s="1655" t="s">
        <v>43</v>
      </c>
      <c r="E95" s="1655" t="s">
        <v>569</v>
      </c>
      <c r="G95" s="1655" t="s">
        <v>423</v>
      </c>
      <c r="H95" s="1655" t="s">
        <v>836</v>
      </c>
      <c r="I95" s="1655" t="s">
        <v>570</v>
      </c>
      <c r="J95" s="1655" t="s">
        <v>43</v>
      </c>
      <c r="K95" s="1655" t="s">
        <v>569</v>
      </c>
      <c r="M95" s="1655" t="s">
        <v>423</v>
      </c>
      <c r="N95" s="1655" t="s">
        <v>836</v>
      </c>
      <c r="O95" s="1655" t="s">
        <v>570</v>
      </c>
      <c r="P95" s="1655" t="s">
        <v>43</v>
      </c>
      <c r="Q95" s="1655" t="s">
        <v>569</v>
      </c>
      <c r="S95" s="1655" t="s">
        <v>423</v>
      </c>
      <c r="T95" s="1655" t="s">
        <v>836</v>
      </c>
      <c r="U95" s="1655" t="s">
        <v>570</v>
      </c>
      <c r="V95" s="1655" t="s">
        <v>43</v>
      </c>
      <c r="W95" s="1655" t="s">
        <v>569</v>
      </c>
    </row>
    <row r="96" spans="1:23">
      <c r="A96" s="1655" t="s">
        <v>423</v>
      </c>
      <c r="B96" s="1655" t="s">
        <v>837</v>
      </c>
      <c r="C96" s="1655" t="s">
        <v>570</v>
      </c>
      <c r="D96" s="1655" t="s">
        <v>43</v>
      </c>
      <c r="E96" s="1655" t="s">
        <v>569</v>
      </c>
      <c r="G96" s="1655" t="s">
        <v>423</v>
      </c>
      <c r="H96" s="1655" t="s">
        <v>837</v>
      </c>
      <c r="I96" s="1655" t="s">
        <v>570</v>
      </c>
      <c r="J96" s="1655" t="s">
        <v>43</v>
      </c>
      <c r="K96" s="1655" t="s">
        <v>569</v>
      </c>
      <c r="M96" s="1655" t="s">
        <v>423</v>
      </c>
      <c r="N96" s="1655" t="s">
        <v>837</v>
      </c>
      <c r="O96" s="1655" t="s">
        <v>570</v>
      </c>
      <c r="P96" s="1655" t="s">
        <v>43</v>
      </c>
      <c r="Q96" s="1655" t="s">
        <v>569</v>
      </c>
      <c r="S96" s="1655" t="s">
        <v>423</v>
      </c>
      <c r="T96" s="1655" t="s">
        <v>837</v>
      </c>
      <c r="U96" s="1655" t="s">
        <v>570</v>
      </c>
      <c r="V96" s="1655" t="s">
        <v>43</v>
      </c>
      <c r="W96" s="1655" t="s">
        <v>569</v>
      </c>
    </row>
    <row r="97" spans="1:23">
      <c r="A97" s="1655" t="s">
        <v>423</v>
      </c>
      <c r="B97" s="1655" t="s">
        <v>1207</v>
      </c>
      <c r="C97" s="1655">
        <v>12</v>
      </c>
      <c r="D97" s="1655" t="s">
        <v>42</v>
      </c>
      <c r="E97" s="1655" t="s">
        <v>572</v>
      </c>
      <c r="G97" s="1655" t="s">
        <v>423</v>
      </c>
      <c r="H97" s="1655" t="s">
        <v>1207</v>
      </c>
      <c r="I97" s="1655">
        <v>0</v>
      </c>
      <c r="J97" s="1655" t="s">
        <v>42</v>
      </c>
      <c r="K97" s="1655" t="s">
        <v>572</v>
      </c>
      <c r="M97" s="1655" t="s">
        <v>423</v>
      </c>
      <c r="N97" s="1655" t="s">
        <v>1207</v>
      </c>
      <c r="O97" s="1655">
        <v>0</v>
      </c>
      <c r="P97" s="1655" t="s">
        <v>42</v>
      </c>
      <c r="Q97" s="1655" t="s">
        <v>572</v>
      </c>
      <c r="S97" s="1655" t="s">
        <v>423</v>
      </c>
      <c r="T97" s="1655" t="s">
        <v>1207</v>
      </c>
      <c r="U97" s="1655">
        <v>0</v>
      </c>
      <c r="V97" s="1655" t="s">
        <v>42</v>
      </c>
      <c r="W97" s="1655" t="s">
        <v>572</v>
      </c>
    </row>
    <row r="98" spans="1:23">
      <c r="A98" s="1655" t="s">
        <v>423</v>
      </c>
      <c r="B98" s="1655" t="s">
        <v>1213</v>
      </c>
      <c r="C98" s="1655" t="s">
        <v>570</v>
      </c>
      <c r="D98" s="1655" t="s">
        <v>43</v>
      </c>
      <c r="E98" s="1655" t="s">
        <v>569</v>
      </c>
      <c r="G98" s="1655" t="s">
        <v>423</v>
      </c>
      <c r="H98" s="1655" t="s">
        <v>1213</v>
      </c>
      <c r="I98" s="1655" t="s">
        <v>570</v>
      </c>
      <c r="J98" s="1655" t="s">
        <v>43</v>
      </c>
      <c r="K98" s="1655" t="s">
        <v>569</v>
      </c>
      <c r="M98" s="1655" t="s">
        <v>423</v>
      </c>
      <c r="N98" s="1655" t="s">
        <v>1213</v>
      </c>
      <c r="O98" s="1655" t="s">
        <v>570</v>
      </c>
      <c r="P98" s="1655" t="s">
        <v>43</v>
      </c>
      <c r="Q98" s="1655" t="s">
        <v>569</v>
      </c>
      <c r="S98" s="1655" t="s">
        <v>423</v>
      </c>
      <c r="T98" s="1655" t="s">
        <v>1213</v>
      </c>
      <c r="U98" s="1655" t="s">
        <v>570</v>
      </c>
      <c r="V98" s="1655" t="s">
        <v>43</v>
      </c>
      <c r="W98" s="1655" t="s">
        <v>569</v>
      </c>
    </row>
    <row r="99" spans="1:23">
      <c r="A99" s="1655" t="s">
        <v>423</v>
      </c>
      <c r="B99" s="1655" t="s">
        <v>1214</v>
      </c>
      <c r="C99" s="1655" t="s">
        <v>570</v>
      </c>
      <c r="D99" s="1655" t="s">
        <v>43</v>
      </c>
      <c r="E99" s="1655" t="s">
        <v>569</v>
      </c>
      <c r="G99" s="1655" t="s">
        <v>423</v>
      </c>
      <c r="H99" s="1655" t="s">
        <v>1214</v>
      </c>
      <c r="I99" s="1655" t="s">
        <v>570</v>
      </c>
      <c r="J99" s="1655" t="s">
        <v>43</v>
      </c>
      <c r="K99" s="1655" t="s">
        <v>569</v>
      </c>
      <c r="M99" s="1655" t="s">
        <v>423</v>
      </c>
      <c r="N99" s="1655" t="s">
        <v>1214</v>
      </c>
      <c r="O99" s="1655" t="s">
        <v>570</v>
      </c>
      <c r="P99" s="1655" t="s">
        <v>43</v>
      </c>
      <c r="Q99" s="1655" t="s">
        <v>569</v>
      </c>
      <c r="S99" s="1655" t="s">
        <v>423</v>
      </c>
      <c r="T99" s="1655" t="s">
        <v>1214</v>
      </c>
      <c r="U99" s="1655" t="s">
        <v>570</v>
      </c>
      <c r="V99" s="1655" t="s">
        <v>43</v>
      </c>
      <c r="W99" s="1655" t="s">
        <v>569</v>
      </c>
    </row>
    <row r="100" spans="1:23">
      <c r="A100" s="1655" t="s">
        <v>423</v>
      </c>
      <c r="B100" s="1655" t="s">
        <v>1215</v>
      </c>
      <c r="C100" s="1655" t="s">
        <v>570</v>
      </c>
      <c r="D100" s="1655" t="s">
        <v>43</v>
      </c>
      <c r="E100" s="1655" t="s">
        <v>569</v>
      </c>
      <c r="G100" s="1655" t="s">
        <v>423</v>
      </c>
      <c r="H100" s="1655" t="s">
        <v>1215</v>
      </c>
      <c r="I100" s="1655" t="s">
        <v>570</v>
      </c>
      <c r="J100" s="1655" t="s">
        <v>43</v>
      </c>
      <c r="K100" s="1655" t="s">
        <v>569</v>
      </c>
      <c r="M100" s="1655" t="s">
        <v>423</v>
      </c>
      <c r="N100" s="1655" t="s">
        <v>1215</v>
      </c>
      <c r="O100" s="1655" t="s">
        <v>570</v>
      </c>
      <c r="P100" s="1655" t="s">
        <v>43</v>
      </c>
      <c r="Q100" s="1655" t="s">
        <v>569</v>
      </c>
      <c r="S100" s="1655" t="s">
        <v>423</v>
      </c>
      <c r="T100" s="1655" t="s">
        <v>1215</v>
      </c>
      <c r="U100" s="1655" t="s">
        <v>570</v>
      </c>
      <c r="V100" s="1655" t="s">
        <v>43</v>
      </c>
      <c r="W100" s="1655" t="s">
        <v>569</v>
      </c>
    </row>
    <row r="101" spans="1:23">
      <c r="A101" s="1655" t="s">
        <v>423</v>
      </c>
      <c r="B101" s="1655" t="s">
        <v>1216</v>
      </c>
      <c r="C101" s="1655" t="s">
        <v>570</v>
      </c>
      <c r="D101" s="1655" t="s">
        <v>43</v>
      </c>
      <c r="E101" s="1655" t="s">
        <v>569</v>
      </c>
      <c r="G101" s="1655" t="s">
        <v>423</v>
      </c>
      <c r="H101" s="1655" t="s">
        <v>1216</v>
      </c>
      <c r="I101" s="1655" t="s">
        <v>570</v>
      </c>
      <c r="J101" s="1655" t="s">
        <v>43</v>
      </c>
      <c r="K101" s="1655" t="s">
        <v>569</v>
      </c>
      <c r="M101" s="1655" t="s">
        <v>423</v>
      </c>
      <c r="N101" s="1655" t="s">
        <v>1216</v>
      </c>
      <c r="O101" s="1655" t="s">
        <v>570</v>
      </c>
      <c r="P101" s="1655" t="s">
        <v>43</v>
      </c>
      <c r="Q101" s="1655" t="s">
        <v>569</v>
      </c>
      <c r="S101" s="1655" t="s">
        <v>423</v>
      </c>
      <c r="T101" s="1655" t="s">
        <v>1216</v>
      </c>
      <c r="U101" s="1655" t="s">
        <v>570</v>
      </c>
      <c r="V101" s="1655" t="s">
        <v>43</v>
      </c>
      <c r="W101" s="1655" t="s">
        <v>569</v>
      </c>
    </row>
    <row r="102" spans="1:23">
      <c r="A102" s="1655" t="s">
        <v>423</v>
      </c>
      <c r="B102" s="1655" t="s">
        <v>1217</v>
      </c>
      <c r="C102" s="1655">
        <v>5.5E-2</v>
      </c>
      <c r="D102" s="1655" t="s">
        <v>42</v>
      </c>
      <c r="E102" s="1655" t="s">
        <v>80</v>
      </c>
      <c r="G102" s="1655" t="s">
        <v>423</v>
      </c>
      <c r="H102" s="1655" t="s">
        <v>1217</v>
      </c>
      <c r="I102" s="1655">
        <v>7.0000000000000007E-2</v>
      </c>
      <c r="J102" s="1655" t="s">
        <v>42</v>
      </c>
      <c r="K102" s="1655" t="s">
        <v>80</v>
      </c>
      <c r="M102" s="1655" t="s">
        <v>423</v>
      </c>
      <c r="N102" s="1655" t="s">
        <v>1217</v>
      </c>
      <c r="O102" s="1655">
        <v>3.5000000000000003E-2</v>
      </c>
      <c r="P102" s="1655" t="s">
        <v>42</v>
      </c>
      <c r="Q102" s="1655" t="s">
        <v>80</v>
      </c>
      <c r="S102" s="1655" t="s">
        <v>423</v>
      </c>
      <c r="T102" s="1655" t="s">
        <v>1217</v>
      </c>
      <c r="U102" s="1655">
        <v>2.5000000000000001E-2</v>
      </c>
      <c r="V102" s="1655" t="s">
        <v>42</v>
      </c>
      <c r="W102" s="1655" t="s">
        <v>80</v>
      </c>
    </row>
    <row r="103" spans="1:23">
      <c r="A103" s="1655" t="s">
        <v>423</v>
      </c>
      <c r="B103" s="1655" t="s">
        <v>1218</v>
      </c>
      <c r="C103" s="1655">
        <v>0.05</v>
      </c>
      <c r="D103" s="1655" t="s">
        <v>42</v>
      </c>
      <c r="E103" s="1655" t="s">
        <v>80</v>
      </c>
      <c r="G103" s="1655" t="s">
        <v>423</v>
      </c>
      <c r="H103" s="1655" t="s">
        <v>1218</v>
      </c>
      <c r="I103" s="1655">
        <v>0</v>
      </c>
      <c r="J103" s="1655" t="s">
        <v>42</v>
      </c>
      <c r="K103" s="1655" t="s">
        <v>80</v>
      </c>
      <c r="M103" s="1655" t="s">
        <v>423</v>
      </c>
      <c r="N103" s="1655" t="s">
        <v>1218</v>
      </c>
      <c r="O103" s="1655">
        <v>3.5000000000000003E-2</v>
      </c>
      <c r="P103" s="1655" t="s">
        <v>42</v>
      </c>
      <c r="Q103" s="1655" t="s">
        <v>80</v>
      </c>
      <c r="S103" s="1655" t="s">
        <v>423</v>
      </c>
      <c r="T103" s="1655" t="s">
        <v>1218</v>
      </c>
      <c r="U103" s="1655">
        <v>0</v>
      </c>
      <c r="V103" s="1655" t="s">
        <v>42</v>
      </c>
      <c r="W103" s="1655" t="s">
        <v>80</v>
      </c>
    </row>
    <row r="104" spans="1:23">
      <c r="A104" s="1655" t="s">
        <v>423</v>
      </c>
      <c r="B104" s="1655" t="s">
        <v>1219</v>
      </c>
      <c r="C104" s="1655">
        <v>0.06</v>
      </c>
      <c r="D104" s="1655" t="s">
        <v>42</v>
      </c>
      <c r="E104" s="1655" t="s">
        <v>80</v>
      </c>
      <c r="G104" s="1655" t="s">
        <v>423</v>
      </c>
      <c r="H104" s="1655" t="s">
        <v>1219</v>
      </c>
      <c r="I104" s="1655">
        <v>0</v>
      </c>
      <c r="J104" s="1655" t="s">
        <v>42</v>
      </c>
      <c r="K104" s="1655" t="s">
        <v>80</v>
      </c>
      <c r="M104" s="1655" t="s">
        <v>423</v>
      </c>
      <c r="N104" s="1655" t="s">
        <v>1219</v>
      </c>
      <c r="O104" s="1655">
        <v>4.1000000000000002E-2</v>
      </c>
      <c r="P104" s="1655" t="s">
        <v>42</v>
      </c>
      <c r="Q104" s="1655" t="s">
        <v>80</v>
      </c>
      <c r="S104" s="1655" t="s">
        <v>423</v>
      </c>
      <c r="T104" s="1655" t="s">
        <v>1219</v>
      </c>
      <c r="U104" s="1655">
        <v>0</v>
      </c>
      <c r="V104" s="1655" t="s">
        <v>42</v>
      </c>
      <c r="W104" s="1655" t="s">
        <v>80</v>
      </c>
    </row>
    <row r="105" spans="1:23">
      <c r="A105" s="1655" t="s">
        <v>423</v>
      </c>
      <c r="B105" s="1655" t="s">
        <v>1220</v>
      </c>
      <c r="C105" s="1655">
        <v>0</v>
      </c>
      <c r="D105" s="1655" t="s">
        <v>42</v>
      </c>
      <c r="E105" s="1655" t="s">
        <v>80</v>
      </c>
      <c r="G105" s="1655" t="s">
        <v>423</v>
      </c>
      <c r="H105" s="1655" t="s">
        <v>1220</v>
      </c>
      <c r="I105" s="1655">
        <v>0</v>
      </c>
      <c r="J105" s="1655" t="s">
        <v>42</v>
      </c>
      <c r="K105" s="1655" t="s">
        <v>80</v>
      </c>
      <c r="M105" s="1655" t="s">
        <v>423</v>
      </c>
      <c r="N105" s="1655" t="s">
        <v>1220</v>
      </c>
      <c r="O105" s="1655">
        <v>4.2999999999999997E-2</v>
      </c>
      <c r="P105" s="1655" t="s">
        <v>42</v>
      </c>
      <c r="Q105" s="1655" t="s">
        <v>80</v>
      </c>
      <c r="S105" s="1655" t="s">
        <v>423</v>
      </c>
      <c r="T105" s="1655" t="s">
        <v>1220</v>
      </c>
      <c r="U105" s="1655">
        <v>0</v>
      </c>
      <c r="V105" s="1655" t="s">
        <v>42</v>
      </c>
      <c r="W105" s="1655" t="s">
        <v>80</v>
      </c>
    </row>
    <row r="106" spans="1:23">
      <c r="A106" s="1655" t="s">
        <v>423</v>
      </c>
      <c r="B106" s="1655" t="s">
        <v>1221</v>
      </c>
      <c r="C106" s="1655">
        <v>0</v>
      </c>
      <c r="D106" s="1655" t="s">
        <v>42</v>
      </c>
      <c r="E106" s="1655" t="s">
        <v>80</v>
      </c>
      <c r="G106" s="1655" t="s">
        <v>423</v>
      </c>
      <c r="H106" s="1655" t="s">
        <v>1221</v>
      </c>
      <c r="I106" s="1655">
        <v>0</v>
      </c>
      <c r="J106" s="1655" t="s">
        <v>42</v>
      </c>
      <c r="K106" s="1655" t="s">
        <v>80</v>
      </c>
      <c r="M106" s="1655" t="s">
        <v>423</v>
      </c>
      <c r="N106" s="1655" t="s">
        <v>1221</v>
      </c>
      <c r="O106" s="1655">
        <v>0</v>
      </c>
      <c r="P106" s="1655" t="s">
        <v>42</v>
      </c>
      <c r="Q106" s="1655" t="s">
        <v>80</v>
      </c>
      <c r="S106" s="1655" t="s">
        <v>423</v>
      </c>
      <c r="T106" s="1655" t="s">
        <v>1221</v>
      </c>
      <c r="U106" s="1655">
        <v>0</v>
      </c>
      <c r="V106" s="1655" t="s">
        <v>42</v>
      </c>
      <c r="W106" s="1655" t="s">
        <v>80</v>
      </c>
    </row>
    <row r="107" spans="1:23">
      <c r="A107" s="1655" t="s">
        <v>423</v>
      </c>
      <c r="B107" s="1655" t="s">
        <v>1222</v>
      </c>
      <c r="C107" s="1655">
        <v>0</v>
      </c>
      <c r="D107" s="1655" t="s">
        <v>42</v>
      </c>
      <c r="E107" s="1655" t="s">
        <v>80</v>
      </c>
      <c r="G107" s="1655" t="s">
        <v>423</v>
      </c>
      <c r="H107" s="1655" t="s">
        <v>1222</v>
      </c>
      <c r="I107" s="1655">
        <v>0</v>
      </c>
      <c r="J107" s="1655" t="s">
        <v>42</v>
      </c>
      <c r="K107" s="1655" t="s">
        <v>80</v>
      </c>
      <c r="M107" s="1655" t="s">
        <v>423</v>
      </c>
      <c r="N107" s="1655" t="s">
        <v>1222</v>
      </c>
      <c r="O107" s="1655">
        <v>0</v>
      </c>
      <c r="P107" s="1655" t="s">
        <v>42</v>
      </c>
      <c r="Q107" s="1655" t="s">
        <v>80</v>
      </c>
      <c r="S107" s="1655" t="s">
        <v>423</v>
      </c>
      <c r="T107" s="1655" t="s">
        <v>1222</v>
      </c>
      <c r="U107" s="1655">
        <v>0</v>
      </c>
      <c r="V107" s="1655" t="s">
        <v>42</v>
      </c>
      <c r="W107" s="1655" t="s">
        <v>80</v>
      </c>
    </row>
    <row r="108" spans="1:23">
      <c r="A108" s="1655" t="s">
        <v>423</v>
      </c>
      <c r="B108" s="1655" t="s">
        <v>1223</v>
      </c>
      <c r="C108" s="1655">
        <v>0</v>
      </c>
      <c r="D108" s="1655" t="s">
        <v>42</v>
      </c>
      <c r="E108" s="1655" t="s">
        <v>80</v>
      </c>
      <c r="G108" s="1655" t="s">
        <v>423</v>
      </c>
      <c r="H108" s="1655" t="s">
        <v>1223</v>
      </c>
      <c r="I108" s="1655">
        <v>0</v>
      </c>
      <c r="J108" s="1655" t="s">
        <v>42</v>
      </c>
      <c r="K108" s="1655" t="s">
        <v>80</v>
      </c>
      <c r="M108" s="1655" t="s">
        <v>423</v>
      </c>
      <c r="N108" s="1655" t="s">
        <v>1223</v>
      </c>
      <c r="O108" s="1655">
        <v>0</v>
      </c>
      <c r="P108" s="1655" t="s">
        <v>42</v>
      </c>
      <c r="Q108" s="1655" t="s">
        <v>80</v>
      </c>
      <c r="S108" s="1655" t="s">
        <v>423</v>
      </c>
      <c r="T108" s="1655" t="s">
        <v>1223</v>
      </c>
      <c r="U108" s="1655">
        <v>0</v>
      </c>
      <c r="V108" s="1655" t="s">
        <v>42</v>
      </c>
      <c r="W108" s="1655" t="s">
        <v>80</v>
      </c>
    </row>
    <row r="109" spans="1:23">
      <c r="A109" s="1655" t="s">
        <v>423</v>
      </c>
      <c r="B109" s="1655" t="s">
        <v>1224</v>
      </c>
      <c r="C109" s="1655">
        <v>0</v>
      </c>
      <c r="D109" s="1655" t="s">
        <v>42</v>
      </c>
      <c r="E109" s="1655" t="s">
        <v>80</v>
      </c>
      <c r="G109" s="1655" t="s">
        <v>423</v>
      </c>
      <c r="H109" s="1655" t="s">
        <v>1224</v>
      </c>
      <c r="I109" s="1655">
        <v>0</v>
      </c>
      <c r="J109" s="1655" t="s">
        <v>42</v>
      </c>
      <c r="K109" s="1655" t="s">
        <v>80</v>
      </c>
      <c r="M109" s="1655" t="s">
        <v>423</v>
      </c>
      <c r="N109" s="1655" t="s">
        <v>1224</v>
      </c>
      <c r="O109" s="1655">
        <v>0</v>
      </c>
      <c r="P109" s="1655" t="s">
        <v>42</v>
      </c>
      <c r="Q109" s="1655" t="s">
        <v>80</v>
      </c>
      <c r="S109" s="1655" t="s">
        <v>423</v>
      </c>
      <c r="T109" s="1655" t="s">
        <v>1224</v>
      </c>
      <c r="U109" s="1655">
        <v>0</v>
      </c>
      <c r="V109" s="1655" t="s">
        <v>42</v>
      </c>
      <c r="W109" s="1655" t="s">
        <v>80</v>
      </c>
    </row>
    <row r="110" spans="1:23">
      <c r="A110" s="1655" t="s">
        <v>423</v>
      </c>
      <c r="B110" s="1655" t="s">
        <v>1225</v>
      </c>
      <c r="C110" s="1655">
        <v>0</v>
      </c>
      <c r="D110" s="1655" t="s">
        <v>42</v>
      </c>
      <c r="E110" s="1655" t="s">
        <v>80</v>
      </c>
      <c r="G110" s="1655" t="s">
        <v>423</v>
      </c>
      <c r="H110" s="1655" t="s">
        <v>1225</v>
      </c>
      <c r="I110" s="1655">
        <v>0</v>
      </c>
      <c r="J110" s="1655" t="s">
        <v>42</v>
      </c>
      <c r="K110" s="1655" t="s">
        <v>80</v>
      </c>
      <c r="M110" s="1655" t="s">
        <v>423</v>
      </c>
      <c r="N110" s="1655" t="s">
        <v>1225</v>
      </c>
      <c r="O110" s="1655">
        <v>0</v>
      </c>
      <c r="P110" s="1655" t="s">
        <v>42</v>
      </c>
      <c r="Q110" s="1655" t="s">
        <v>80</v>
      </c>
      <c r="S110" s="1655" t="s">
        <v>423</v>
      </c>
      <c r="T110" s="1655" t="s">
        <v>1225</v>
      </c>
      <c r="U110" s="1655">
        <v>0</v>
      </c>
      <c r="V110" s="1655" t="s">
        <v>42</v>
      </c>
      <c r="W110" s="1655" t="s">
        <v>80</v>
      </c>
    </row>
    <row r="111" spans="1:23">
      <c r="A111" s="1655" t="s">
        <v>423</v>
      </c>
      <c r="B111" s="1655" t="s">
        <v>612</v>
      </c>
      <c r="C111" s="1655">
        <v>0</v>
      </c>
      <c r="D111" s="1655" t="s">
        <v>42</v>
      </c>
      <c r="E111" s="1655" t="s">
        <v>80</v>
      </c>
      <c r="G111" s="1655" t="s">
        <v>423</v>
      </c>
      <c r="H111" s="1655" t="s">
        <v>612</v>
      </c>
      <c r="I111" s="1655">
        <v>0</v>
      </c>
      <c r="J111" s="1655" t="s">
        <v>42</v>
      </c>
      <c r="K111" s="1655" t="s">
        <v>80</v>
      </c>
      <c r="M111" s="1655" t="s">
        <v>423</v>
      </c>
      <c r="N111" s="1655" t="s">
        <v>612</v>
      </c>
      <c r="O111" s="1655">
        <v>0</v>
      </c>
      <c r="P111" s="1655" t="s">
        <v>42</v>
      </c>
      <c r="Q111" s="1655" t="s">
        <v>80</v>
      </c>
      <c r="S111" s="1655" t="s">
        <v>423</v>
      </c>
      <c r="T111" s="1655" t="s">
        <v>612</v>
      </c>
      <c r="U111" s="1655">
        <v>0</v>
      </c>
      <c r="V111" s="1655" t="s">
        <v>42</v>
      </c>
      <c r="W111" s="1655" t="s">
        <v>80</v>
      </c>
    </row>
    <row r="112" spans="1:23">
      <c r="A112" s="1655" t="s">
        <v>423</v>
      </c>
      <c r="B112" s="1655" t="s">
        <v>613</v>
      </c>
      <c r="C112" s="1655">
        <v>0</v>
      </c>
      <c r="D112" s="1655" t="s">
        <v>42</v>
      </c>
      <c r="E112" s="1655" t="s">
        <v>80</v>
      </c>
      <c r="G112" s="1655" t="s">
        <v>423</v>
      </c>
      <c r="H112" s="1655" t="s">
        <v>613</v>
      </c>
      <c r="I112" s="1655">
        <v>0</v>
      </c>
      <c r="J112" s="1655" t="s">
        <v>42</v>
      </c>
      <c r="K112" s="1655" t="s">
        <v>80</v>
      </c>
      <c r="M112" s="1655" t="s">
        <v>423</v>
      </c>
      <c r="N112" s="1655" t="s">
        <v>613</v>
      </c>
      <c r="O112" s="1655">
        <v>0</v>
      </c>
      <c r="P112" s="1655" t="s">
        <v>42</v>
      </c>
      <c r="Q112" s="1655" t="s">
        <v>80</v>
      </c>
      <c r="S112" s="1655" t="s">
        <v>423</v>
      </c>
      <c r="T112" s="1655" t="s">
        <v>613</v>
      </c>
      <c r="U112" s="1655">
        <v>0</v>
      </c>
      <c r="V112" s="1655" t="s">
        <v>42</v>
      </c>
      <c r="W112" s="1655" t="s">
        <v>80</v>
      </c>
    </row>
    <row r="113" spans="1:23">
      <c r="A113" s="1655" t="s">
        <v>423</v>
      </c>
      <c r="B113" s="1655" t="s">
        <v>1226</v>
      </c>
      <c r="C113" s="1655">
        <v>0</v>
      </c>
      <c r="D113" s="1655" t="s">
        <v>42</v>
      </c>
      <c r="E113" s="1655" t="s">
        <v>80</v>
      </c>
      <c r="G113" s="1655" t="s">
        <v>423</v>
      </c>
      <c r="H113" s="1655" t="s">
        <v>1226</v>
      </c>
      <c r="I113" s="1655">
        <v>0</v>
      </c>
      <c r="J113" s="1655" t="s">
        <v>42</v>
      </c>
      <c r="K113" s="1655" t="s">
        <v>80</v>
      </c>
      <c r="M113" s="1655" t="s">
        <v>423</v>
      </c>
      <c r="N113" s="1655" t="s">
        <v>1226</v>
      </c>
      <c r="O113" s="1655">
        <v>0</v>
      </c>
      <c r="P113" s="1655" t="s">
        <v>42</v>
      </c>
      <c r="Q113" s="1655" t="s">
        <v>80</v>
      </c>
      <c r="S113" s="1655" t="s">
        <v>423</v>
      </c>
      <c r="T113" s="1655" t="s">
        <v>1226</v>
      </c>
      <c r="U113" s="1655">
        <v>0</v>
      </c>
      <c r="V113" s="1655" t="s">
        <v>42</v>
      </c>
      <c r="W113" s="1655" t="s">
        <v>80</v>
      </c>
    </row>
    <row r="114" spans="1:23">
      <c r="A114" s="1655" t="s">
        <v>423</v>
      </c>
      <c r="B114" s="1655" t="s">
        <v>1235</v>
      </c>
      <c r="C114" s="1655">
        <v>1.8499999999999999E-2</v>
      </c>
      <c r="D114" s="1655" t="s">
        <v>42</v>
      </c>
      <c r="E114" s="1655" t="s">
        <v>569</v>
      </c>
      <c r="G114" s="1655" t="s">
        <v>423</v>
      </c>
      <c r="H114" s="1655" t="s">
        <v>1235</v>
      </c>
      <c r="I114" s="1655">
        <v>0</v>
      </c>
      <c r="J114" s="1655" t="s">
        <v>42</v>
      </c>
      <c r="K114" s="1655" t="s">
        <v>569</v>
      </c>
      <c r="M114" s="1655" t="s">
        <v>423</v>
      </c>
      <c r="N114" s="1655" t="s">
        <v>1235</v>
      </c>
      <c r="O114" s="1655">
        <v>2.7E-2</v>
      </c>
      <c r="P114" s="1655" t="s">
        <v>42</v>
      </c>
      <c r="Q114" s="1655" t="s">
        <v>569</v>
      </c>
      <c r="S114" s="1655" t="s">
        <v>423</v>
      </c>
      <c r="T114" s="1655" t="s">
        <v>1235</v>
      </c>
      <c r="U114" s="1655">
        <v>0</v>
      </c>
      <c r="V114" s="1655" t="s">
        <v>42</v>
      </c>
      <c r="W114" s="1655" t="s">
        <v>569</v>
      </c>
    </row>
    <row r="115" spans="1:23">
      <c r="A115" s="1655" t="s">
        <v>423</v>
      </c>
      <c r="B115" s="1655" t="s">
        <v>1236</v>
      </c>
      <c r="C115" s="1655" t="s">
        <v>452</v>
      </c>
      <c r="D115" s="1655" t="s">
        <v>42</v>
      </c>
      <c r="E115" s="1655" t="s">
        <v>569</v>
      </c>
      <c r="G115" s="1655" t="s">
        <v>423</v>
      </c>
      <c r="H115" s="1655" t="s">
        <v>1236</v>
      </c>
      <c r="I115" s="1655" t="s">
        <v>452</v>
      </c>
      <c r="J115" s="1655" t="s">
        <v>42</v>
      </c>
      <c r="K115" s="1655" t="s">
        <v>569</v>
      </c>
      <c r="M115" s="1655" t="s">
        <v>423</v>
      </c>
      <c r="N115" s="1655" t="s">
        <v>1236</v>
      </c>
      <c r="O115" s="1655" t="s">
        <v>452</v>
      </c>
      <c r="P115" s="1655" t="s">
        <v>42</v>
      </c>
      <c r="Q115" s="1655" t="s">
        <v>569</v>
      </c>
      <c r="S115" s="1655" t="s">
        <v>423</v>
      </c>
      <c r="T115" s="1655" t="s">
        <v>1236</v>
      </c>
      <c r="U115" s="1655" t="s">
        <v>1491</v>
      </c>
      <c r="V115" s="1655" t="s">
        <v>42</v>
      </c>
      <c r="W115" s="1655" t="s">
        <v>569</v>
      </c>
    </row>
    <row r="116" spans="1:23">
      <c r="A116" s="1655" t="s">
        <v>423</v>
      </c>
      <c r="B116" s="1655" t="s">
        <v>1237</v>
      </c>
      <c r="C116" s="1655" t="s">
        <v>452</v>
      </c>
      <c r="D116" s="1655" t="s">
        <v>42</v>
      </c>
      <c r="E116" s="1655" t="s">
        <v>569</v>
      </c>
      <c r="G116" s="1655" t="s">
        <v>423</v>
      </c>
      <c r="H116" s="1655" t="s">
        <v>1237</v>
      </c>
      <c r="I116" s="1655" t="s">
        <v>570</v>
      </c>
      <c r="J116" s="1655" t="s">
        <v>43</v>
      </c>
      <c r="K116" s="1655" t="s">
        <v>569</v>
      </c>
      <c r="M116" s="1655" t="s">
        <v>423</v>
      </c>
      <c r="N116" s="1655" t="s">
        <v>1237</v>
      </c>
      <c r="O116" s="1655" t="s">
        <v>452</v>
      </c>
      <c r="P116" s="1655" t="s">
        <v>42</v>
      </c>
      <c r="Q116" s="1655" t="s">
        <v>569</v>
      </c>
      <c r="S116" s="1655" t="s">
        <v>423</v>
      </c>
      <c r="T116" s="1655" t="s">
        <v>1237</v>
      </c>
      <c r="U116" s="1655" t="s">
        <v>570</v>
      </c>
      <c r="V116" s="1655" t="s">
        <v>43</v>
      </c>
      <c r="W116" s="1655" t="s">
        <v>569</v>
      </c>
    </row>
    <row r="117" spans="1:23">
      <c r="A117" s="1655" t="s">
        <v>423</v>
      </c>
      <c r="B117" s="1655" t="s">
        <v>1238</v>
      </c>
      <c r="C117" s="1655" t="s">
        <v>1491</v>
      </c>
      <c r="D117" s="1655" t="s">
        <v>42</v>
      </c>
      <c r="E117" s="1655" t="s">
        <v>569</v>
      </c>
      <c r="G117" s="1655" t="s">
        <v>423</v>
      </c>
      <c r="H117" s="1655" t="s">
        <v>1238</v>
      </c>
      <c r="I117" s="1655" t="s">
        <v>570</v>
      </c>
      <c r="J117" s="1655" t="s">
        <v>43</v>
      </c>
      <c r="K117" s="1655" t="s">
        <v>569</v>
      </c>
      <c r="M117" s="1655" t="s">
        <v>423</v>
      </c>
      <c r="N117" s="1655" t="s">
        <v>1238</v>
      </c>
      <c r="O117" s="1655" t="s">
        <v>1491</v>
      </c>
      <c r="P117" s="1655" t="s">
        <v>42</v>
      </c>
      <c r="Q117" s="1655" t="s">
        <v>569</v>
      </c>
      <c r="S117" s="1655" t="s">
        <v>423</v>
      </c>
      <c r="T117" s="1655" t="s">
        <v>1238</v>
      </c>
      <c r="U117" s="1655" t="s">
        <v>570</v>
      </c>
      <c r="V117" s="1655" t="s">
        <v>43</v>
      </c>
      <c r="W117" s="1655" t="s">
        <v>569</v>
      </c>
    </row>
    <row r="118" spans="1:23">
      <c r="A118" s="1655" t="s">
        <v>423</v>
      </c>
      <c r="B118" s="1655" t="s">
        <v>1239</v>
      </c>
      <c r="C118" s="1655" t="s">
        <v>570</v>
      </c>
      <c r="D118" s="1655" t="s">
        <v>43</v>
      </c>
      <c r="E118" s="1655" t="s">
        <v>569</v>
      </c>
      <c r="G118" s="1655" t="s">
        <v>423</v>
      </c>
      <c r="H118" s="1655" t="s">
        <v>1239</v>
      </c>
      <c r="I118" s="1655" t="s">
        <v>570</v>
      </c>
      <c r="J118" s="1655" t="s">
        <v>43</v>
      </c>
      <c r="K118" s="1655" t="s">
        <v>569</v>
      </c>
      <c r="M118" s="1655" t="s">
        <v>423</v>
      </c>
      <c r="N118" s="1655" t="s">
        <v>1239</v>
      </c>
      <c r="O118" s="1655" t="s">
        <v>1491</v>
      </c>
      <c r="P118" s="1655" t="s">
        <v>42</v>
      </c>
      <c r="Q118" s="1655" t="s">
        <v>569</v>
      </c>
      <c r="S118" s="1655" t="s">
        <v>423</v>
      </c>
      <c r="T118" s="1655" t="s">
        <v>1239</v>
      </c>
      <c r="U118" s="1655" t="s">
        <v>570</v>
      </c>
      <c r="V118" s="1655" t="s">
        <v>43</v>
      </c>
      <c r="W118" s="1655" t="s">
        <v>569</v>
      </c>
    </row>
    <row r="119" spans="1:23">
      <c r="A119" s="1655" t="s">
        <v>423</v>
      </c>
      <c r="B119" s="1655" t="s">
        <v>1240</v>
      </c>
      <c r="C119" s="1655" t="s">
        <v>570</v>
      </c>
      <c r="D119" s="1655" t="s">
        <v>43</v>
      </c>
      <c r="E119" s="1655" t="s">
        <v>569</v>
      </c>
      <c r="G119" s="1655" t="s">
        <v>423</v>
      </c>
      <c r="H119" s="1655" t="s">
        <v>1240</v>
      </c>
      <c r="I119" s="1655" t="s">
        <v>570</v>
      </c>
      <c r="J119" s="1655" t="s">
        <v>43</v>
      </c>
      <c r="K119" s="1655" t="s">
        <v>569</v>
      </c>
      <c r="M119" s="1655" t="s">
        <v>423</v>
      </c>
      <c r="N119" s="1655" t="s">
        <v>1240</v>
      </c>
      <c r="O119" s="1655" t="s">
        <v>570</v>
      </c>
      <c r="P119" s="1655" t="s">
        <v>43</v>
      </c>
      <c r="Q119" s="1655" t="s">
        <v>569</v>
      </c>
      <c r="S119" s="1655" t="s">
        <v>423</v>
      </c>
      <c r="T119" s="1655" t="s">
        <v>1240</v>
      </c>
      <c r="U119" s="1655" t="s">
        <v>570</v>
      </c>
      <c r="V119" s="1655" t="s">
        <v>43</v>
      </c>
      <c r="W119" s="1655" t="s">
        <v>569</v>
      </c>
    </row>
    <row r="120" spans="1:23">
      <c r="A120" s="1655" t="s">
        <v>423</v>
      </c>
      <c r="B120" s="1655" t="s">
        <v>1241</v>
      </c>
      <c r="C120" s="1655" t="s">
        <v>570</v>
      </c>
      <c r="D120" s="1655" t="s">
        <v>43</v>
      </c>
      <c r="E120" s="1655" t="s">
        <v>569</v>
      </c>
      <c r="G120" s="1655" t="s">
        <v>423</v>
      </c>
      <c r="H120" s="1655" t="s">
        <v>1241</v>
      </c>
      <c r="I120" s="1655" t="s">
        <v>570</v>
      </c>
      <c r="J120" s="1655" t="s">
        <v>43</v>
      </c>
      <c r="K120" s="1655" t="s">
        <v>569</v>
      </c>
      <c r="M120" s="1655" t="s">
        <v>423</v>
      </c>
      <c r="N120" s="1655" t="s">
        <v>1241</v>
      </c>
      <c r="O120" s="1655" t="s">
        <v>570</v>
      </c>
      <c r="P120" s="1655" t="s">
        <v>43</v>
      </c>
      <c r="Q120" s="1655" t="s">
        <v>569</v>
      </c>
      <c r="S120" s="1655" t="s">
        <v>423</v>
      </c>
      <c r="T120" s="1655" t="s">
        <v>1241</v>
      </c>
      <c r="U120" s="1655" t="s">
        <v>570</v>
      </c>
      <c r="V120" s="1655" t="s">
        <v>43</v>
      </c>
      <c r="W120" s="1655" t="s">
        <v>569</v>
      </c>
    </row>
    <row r="121" spans="1:23">
      <c r="A121" s="1655" t="s">
        <v>423</v>
      </c>
      <c r="B121" s="1655" t="s">
        <v>1242</v>
      </c>
      <c r="C121" s="1655" t="s">
        <v>570</v>
      </c>
      <c r="D121" s="1655" t="s">
        <v>43</v>
      </c>
      <c r="E121" s="1655" t="s">
        <v>569</v>
      </c>
      <c r="G121" s="1655" t="s">
        <v>423</v>
      </c>
      <c r="H121" s="1655" t="s">
        <v>1242</v>
      </c>
      <c r="I121" s="1655" t="s">
        <v>570</v>
      </c>
      <c r="J121" s="1655" t="s">
        <v>43</v>
      </c>
      <c r="K121" s="1655" t="s">
        <v>569</v>
      </c>
      <c r="M121" s="1655" t="s">
        <v>423</v>
      </c>
      <c r="N121" s="1655" t="s">
        <v>1242</v>
      </c>
      <c r="O121" s="1655" t="s">
        <v>570</v>
      </c>
      <c r="P121" s="1655" t="s">
        <v>43</v>
      </c>
      <c r="Q121" s="1655" t="s">
        <v>569</v>
      </c>
      <c r="S121" s="1655" t="s">
        <v>423</v>
      </c>
      <c r="T121" s="1655" t="s">
        <v>1242</v>
      </c>
      <c r="U121" s="1655" t="s">
        <v>570</v>
      </c>
      <c r="V121" s="1655" t="s">
        <v>43</v>
      </c>
      <c r="W121" s="1655" t="s">
        <v>569</v>
      </c>
    </row>
    <row r="122" spans="1:23">
      <c r="A122" s="1655" t="s">
        <v>423</v>
      </c>
      <c r="B122" s="1655" t="s">
        <v>1243</v>
      </c>
      <c r="C122" s="1655" t="s">
        <v>570</v>
      </c>
      <c r="D122" s="1655" t="s">
        <v>43</v>
      </c>
      <c r="E122" s="1655" t="s">
        <v>569</v>
      </c>
      <c r="G122" s="1655" t="s">
        <v>423</v>
      </c>
      <c r="H122" s="1655" t="s">
        <v>1243</v>
      </c>
      <c r="I122" s="1655" t="s">
        <v>570</v>
      </c>
      <c r="J122" s="1655" t="s">
        <v>43</v>
      </c>
      <c r="K122" s="1655" t="s">
        <v>569</v>
      </c>
      <c r="M122" s="1655" t="s">
        <v>423</v>
      </c>
      <c r="N122" s="1655" t="s">
        <v>1243</v>
      </c>
      <c r="O122" s="1655" t="s">
        <v>570</v>
      </c>
      <c r="P122" s="1655" t="s">
        <v>43</v>
      </c>
      <c r="Q122" s="1655" t="s">
        <v>569</v>
      </c>
      <c r="S122" s="1655" t="s">
        <v>423</v>
      </c>
      <c r="T122" s="1655" t="s">
        <v>1243</v>
      </c>
      <c r="U122" s="1655" t="s">
        <v>570</v>
      </c>
      <c r="V122" s="1655" t="s">
        <v>43</v>
      </c>
      <c r="W122" s="1655" t="s">
        <v>569</v>
      </c>
    </row>
    <row r="123" spans="1:23">
      <c r="A123" s="1655" t="s">
        <v>423</v>
      </c>
      <c r="B123" s="1655" t="s">
        <v>1244</v>
      </c>
      <c r="C123" s="1655" t="s">
        <v>570</v>
      </c>
      <c r="D123" s="1655" t="s">
        <v>43</v>
      </c>
      <c r="E123" s="1655" t="s">
        <v>569</v>
      </c>
      <c r="G123" s="1655" t="s">
        <v>423</v>
      </c>
      <c r="H123" s="1655" t="s">
        <v>1244</v>
      </c>
      <c r="I123" s="1655" t="s">
        <v>570</v>
      </c>
      <c r="J123" s="1655" t="s">
        <v>43</v>
      </c>
      <c r="K123" s="1655" t="s">
        <v>569</v>
      </c>
      <c r="M123" s="1655" t="s">
        <v>423</v>
      </c>
      <c r="N123" s="1655" t="s">
        <v>1244</v>
      </c>
      <c r="O123" s="1655" t="s">
        <v>570</v>
      </c>
      <c r="P123" s="1655" t="s">
        <v>43</v>
      </c>
      <c r="Q123" s="1655" t="s">
        <v>569</v>
      </c>
      <c r="S123" s="1655" t="s">
        <v>423</v>
      </c>
      <c r="T123" s="1655" t="s">
        <v>1244</v>
      </c>
      <c r="U123" s="1655" t="s">
        <v>570</v>
      </c>
      <c r="V123" s="1655" t="s">
        <v>43</v>
      </c>
      <c r="W123" s="1655" t="s">
        <v>569</v>
      </c>
    </row>
    <row r="124" spans="1:23">
      <c r="A124" s="1655" t="s">
        <v>423</v>
      </c>
      <c r="B124" s="1655" t="s">
        <v>1245</v>
      </c>
      <c r="C124" s="1655" t="s">
        <v>570</v>
      </c>
      <c r="D124" s="1655" t="s">
        <v>43</v>
      </c>
      <c r="E124" s="1655" t="s">
        <v>569</v>
      </c>
      <c r="G124" s="1655" t="s">
        <v>423</v>
      </c>
      <c r="H124" s="1655" t="s">
        <v>1245</v>
      </c>
      <c r="I124" s="1655" t="s">
        <v>570</v>
      </c>
      <c r="J124" s="1655" t="s">
        <v>43</v>
      </c>
      <c r="K124" s="1655" t="s">
        <v>569</v>
      </c>
      <c r="M124" s="1655" t="s">
        <v>423</v>
      </c>
      <c r="N124" s="1655" t="s">
        <v>1245</v>
      </c>
      <c r="O124" s="1655" t="s">
        <v>570</v>
      </c>
      <c r="P124" s="1655" t="s">
        <v>43</v>
      </c>
      <c r="Q124" s="1655" t="s">
        <v>569</v>
      </c>
      <c r="S124" s="1655" t="s">
        <v>423</v>
      </c>
      <c r="T124" s="1655" t="s">
        <v>1245</v>
      </c>
      <c r="U124" s="1655" t="s">
        <v>570</v>
      </c>
      <c r="V124" s="1655" t="s">
        <v>43</v>
      </c>
      <c r="W124" s="1655" t="s">
        <v>569</v>
      </c>
    </row>
    <row r="125" spans="1:23">
      <c r="A125" s="1655" t="s">
        <v>423</v>
      </c>
      <c r="B125" s="1655" t="s">
        <v>1246</v>
      </c>
      <c r="C125" s="1655" t="s">
        <v>570</v>
      </c>
      <c r="D125" s="1655" t="s">
        <v>43</v>
      </c>
      <c r="E125" s="1655" t="s">
        <v>569</v>
      </c>
      <c r="G125" s="1655" t="s">
        <v>423</v>
      </c>
      <c r="H125" s="1655" t="s">
        <v>1246</v>
      </c>
      <c r="I125" s="1655" t="s">
        <v>570</v>
      </c>
      <c r="J125" s="1655" t="s">
        <v>43</v>
      </c>
      <c r="K125" s="1655" t="s">
        <v>569</v>
      </c>
      <c r="M125" s="1655" t="s">
        <v>423</v>
      </c>
      <c r="N125" s="1655" t="s">
        <v>1246</v>
      </c>
      <c r="O125" s="1655" t="s">
        <v>570</v>
      </c>
      <c r="P125" s="1655" t="s">
        <v>43</v>
      </c>
      <c r="Q125" s="1655" t="s">
        <v>569</v>
      </c>
      <c r="S125" s="1655" t="s">
        <v>423</v>
      </c>
      <c r="T125" s="1655" t="s">
        <v>1246</v>
      </c>
      <c r="U125" s="1655" t="s">
        <v>570</v>
      </c>
      <c r="V125" s="1655" t="s">
        <v>43</v>
      </c>
      <c r="W125" s="1655" t="s">
        <v>569</v>
      </c>
    </row>
    <row r="126" spans="1:23">
      <c r="A126" s="1655" t="s">
        <v>423</v>
      </c>
      <c r="B126" s="1655" t="s">
        <v>1247</v>
      </c>
      <c r="C126" s="1655" t="s">
        <v>570</v>
      </c>
      <c r="D126" s="1655" t="s">
        <v>43</v>
      </c>
      <c r="E126" s="1655" t="s">
        <v>569</v>
      </c>
      <c r="G126" s="1655" t="s">
        <v>423</v>
      </c>
      <c r="H126" s="1655" t="s">
        <v>1247</v>
      </c>
      <c r="I126" s="1655" t="s">
        <v>570</v>
      </c>
      <c r="J126" s="1655" t="s">
        <v>43</v>
      </c>
      <c r="K126" s="1655" t="s">
        <v>569</v>
      </c>
      <c r="M126" s="1655" t="s">
        <v>423</v>
      </c>
      <c r="N126" s="1655" t="s">
        <v>1247</v>
      </c>
      <c r="O126" s="1655" t="s">
        <v>570</v>
      </c>
      <c r="P126" s="1655" t="s">
        <v>43</v>
      </c>
      <c r="Q126" s="1655" t="s">
        <v>569</v>
      </c>
      <c r="S126" s="1655" t="s">
        <v>423</v>
      </c>
      <c r="T126" s="1655" t="s">
        <v>1247</v>
      </c>
      <c r="U126" s="1655" t="s">
        <v>570</v>
      </c>
      <c r="V126" s="1655" t="s">
        <v>43</v>
      </c>
      <c r="W126" s="1655" t="s">
        <v>569</v>
      </c>
    </row>
    <row r="127" spans="1:23">
      <c r="A127" s="1655" t="s">
        <v>423</v>
      </c>
      <c r="B127" s="1655" t="s">
        <v>883</v>
      </c>
      <c r="C127" s="1655" t="s">
        <v>200</v>
      </c>
      <c r="D127" s="1655" t="s">
        <v>42</v>
      </c>
      <c r="E127" s="1655" t="s">
        <v>569</v>
      </c>
      <c r="G127" s="1655" t="s">
        <v>423</v>
      </c>
      <c r="H127" s="1655" t="s">
        <v>883</v>
      </c>
      <c r="I127" s="1655" t="s">
        <v>200</v>
      </c>
      <c r="J127" s="1655" t="s">
        <v>42</v>
      </c>
      <c r="K127" s="1655" t="s">
        <v>569</v>
      </c>
      <c r="M127" s="1655" t="s">
        <v>423</v>
      </c>
      <c r="N127" s="1655" t="s">
        <v>883</v>
      </c>
      <c r="O127" s="1655" t="s">
        <v>200</v>
      </c>
      <c r="P127" s="1655" t="s">
        <v>42</v>
      </c>
      <c r="Q127" s="1655" t="s">
        <v>569</v>
      </c>
      <c r="S127" s="1655" t="s">
        <v>423</v>
      </c>
      <c r="T127" s="1655" t="s">
        <v>883</v>
      </c>
      <c r="U127" s="1655" t="s">
        <v>200</v>
      </c>
      <c r="V127" s="1655" t="s">
        <v>42</v>
      </c>
      <c r="W127" s="1655" t="s">
        <v>569</v>
      </c>
    </row>
    <row r="128" spans="1:23">
      <c r="A128" s="1655" t="s">
        <v>423</v>
      </c>
      <c r="B128" s="1655" t="s">
        <v>884</v>
      </c>
      <c r="C128" s="1655" t="s">
        <v>201</v>
      </c>
      <c r="D128" s="1655" t="s">
        <v>42</v>
      </c>
      <c r="E128" s="1655" t="s">
        <v>569</v>
      </c>
      <c r="G128" s="1655" t="s">
        <v>423</v>
      </c>
      <c r="H128" s="1655" t="s">
        <v>884</v>
      </c>
      <c r="I128" s="1655" t="s">
        <v>570</v>
      </c>
      <c r="J128" s="1655" t="s">
        <v>43</v>
      </c>
      <c r="K128" s="1655" t="s">
        <v>569</v>
      </c>
      <c r="M128" s="1655" t="s">
        <v>423</v>
      </c>
      <c r="N128" s="1655" t="s">
        <v>884</v>
      </c>
      <c r="O128" s="1655" t="s">
        <v>201</v>
      </c>
      <c r="P128" s="1655" t="s">
        <v>42</v>
      </c>
      <c r="Q128" s="1655" t="s">
        <v>569</v>
      </c>
      <c r="S128" s="1655" t="s">
        <v>423</v>
      </c>
      <c r="T128" s="1655" t="s">
        <v>884</v>
      </c>
      <c r="U128" s="1655" t="s">
        <v>570</v>
      </c>
      <c r="V128" s="1655" t="s">
        <v>43</v>
      </c>
      <c r="W128" s="1655" t="s">
        <v>569</v>
      </c>
    </row>
    <row r="129" spans="1:23">
      <c r="A129" s="1655" t="s">
        <v>423</v>
      </c>
      <c r="B129" s="1655" t="s">
        <v>885</v>
      </c>
      <c r="C129" s="1655" t="s">
        <v>201</v>
      </c>
      <c r="D129" s="1655" t="s">
        <v>42</v>
      </c>
      <c r="E129" s="1655" t="s">
        <v>569</v>
      </c>
      <c r="G129" s="1655" t="s">
        <v>423</v>
      </c>
      <c r="H129" s="1655" t="s">
        <v>885</v>
      </c>
      <c r="I129" s="1655" t="s">
        <v>570</v>
      </c>
      <c r="J129" s="1655" t="s">
        <v>43</v>
      </c>
      <c r="K129" s="1655" t="s">
        <v>569</v>
      </c>
      <c r="M129" s="1655" t="s">
        <v>423</v>
      </c>
      <c r="N129" s="1655" t="s">
        <v>885</v>
      </c>
      <c r="O129" s="1655" t="s">
        <v>200</v>
      </c>
      <c r="P129" s="1655" t="s">
        <v>42</v>
      </c>
      <c r="Q129" s="1655" t="s">
        <v>569</v>
      </c>
      <c r="S129" s="1655" t="s">
        <v>423</v>
      </c>
      <c r="T129" s="1655" t="s">
        <v>885</v>
      </c>
      <c r="U129" s="1655" t="s">
        <v>570</v>
      </c>
      <c r="V129" s="1655" t="s">
        <v>43</v>
      </c>
      <c r="W129" s="1655" t="s">
        <v>569</v>
      </c>
    </row>
    <row r="130" spans="1:23">
      <c r="A130" s="1655" t="s">
        <v>423</v>
      </c>
      <c r="B130" s="1655" t="s">
        <v>886</v>
      </c>
      <c r="C130" s="1655" t="s">
        <v>570</v>
      </c>
      <c r="D130" s="1655" t="s">
        <v>43</v>
      </c>
      <c r="E130" s="1655" t="s">
        <v>569</v>
      </c>
      <c r="G130" s="1655" t="s">
        <v>423</v>
      </c>
      <c r="H130" s="1655" t="s">
        <v>886</v>
      </c>
      <c r="I130" s="1655" t="s">
        <v>570</v>
      </c>
      <c r="J130" s="1655" t="s">
        <v>43</v>
      </c>
      <c r="K130" s="1655" t="s">
        <v>569</v>
      </c>
      <c r="M130" s="1655" t="s">
        <v>423</v>
      </c>
      <c r="N130" s="1655" t="s">
        <v>886</v>
      </c>
      <c r="O130" s="1655" t="s">
        <v>201</v>
      </c>
      <c r="P130" s="1655" t="s">
        <v>42</v>
      </c>
      <c r="Q130" s="1655" t="s">
        <v>569</v>
      </c>
      <c r="S130" s="1655" t="s">
        <v>423</v>
      </c>
      <c r="T130" s="1655" t="s">
        <v>886</v>
      </c>
      <c r="U130" s="1655" t="s">
        <v>570</v>
      </c>
      <c r="V130" s="1655" t="s">
        <v>43</v>
      </c>
      <c r="W130" s="1655" t="s">
        <v>569</v>
      </c>
    </row>
    <row r="131" spans="1:23">
      <c r="A131" s="1655" t="s">
        <v>423</v>
      </c>
      <c r="B131" s="1655" t="s">
        <v>887</v>
      </c>
      <c r="C131" s="1655" t="s">
        <v>570</v>
      </c>
      <c r="D131" s="1655" t="s">
        <v>43</v>
      </c>
      <c r="E131" s="1655" t="s">
        <v>569</v>
      </c>
      <c r="G131" s="1655" t="s">
        <v>423</v>
      </c>
      <c r="H131" s="1655" t="s">
        <v>887</v>
      </c>
      <c r="I131" s="1655" t="s">
        <v>570</v>
      </c>
      <c r="J131" s="1655" t="s">
        <v>43</v>
      </c>
      <c r="K131" s="1655" t="s">
        <v>569</v>
      </c>
      <c r="M131" s="1655" t="s">
        <v>423</v>
      </c>
      <c r="N131" s="1655" t="s">
        <v>887</v>
      </c>
      <c r="O131" s="1655" t="s">
        <v>570</v>
      </c>
      <c r="P131" s="1655" t="s">
        <v>43</v>
      </c>
      <c r="Q131" s="1655" t="s">
        <v>569</v>
      </c>
      <c r="S131" s="1655" t="s">
        <v>423</v>
      </c>
      <c r="T131" s="1655" t="s">
        <v>887</v>
      </c>
      <c r="U131" s="1655" t="s">
        <v>570</v>
      </c>
      <c r="V131" s="1655" t="s">
        <v>43</v>
      </c>
      <c r="W131" s="1655" t="s">
        <v>569</v>
      </c>
    </row>
    <row r="132" spans="1:23">
      <c r="A132" s="1655" t="s">
        <v>423</v>
      </c>
      <c r="B132" s="1655" t="s">
        <v>888</v>
      </c>
      <c r="C132" s="1655" t="s">
        <v>570</v>
      </c>
      <c r="D132" s="1655" t="s">
        <v>43</v>
      </c>
      <c r="E132" s="1655" t="s">
        <v>569</v>
      </c>
      <c r="G132" s="1655" t="s">
        <v>423</v>
      </c>
      <c r="H132" s="1655" t="s">
        <v>888</v>
      </c>
      <c r="I132" s="1655" t="s">
        <v>570</v>
      </c>
      <c r="J132" s="1655" t="s">
        <v>43</v>
      </c>
      <c r="K132" s="1655" t="s">
        <v>569</v>
      </c>
      <c r="M132" s="1655" t="s">
        <v>423</v>
      </c>
      <c r="N132" s="1655" t="s">
        <v>888</v>
      </c>
      <c r="O132" s="1655" t="s">
        <v>570</v>
      </c>
      <c r="P132" s="1655" t="s">
        <v>43</v>
      </c>
      <c r="Q132" s="1655" t="s">
        <v>569</v>
      </c>
      <c r="S132" s="1655" t="s">
        <v>423</v>
      </c>
      <c r="T132" s="1655" t="s">
        <v>888</v>
      </c>
      <c r="U132" s="1655" t="s">
        <v>570</v>
      </c>
      <c r="V132" s="1655" t="s">
        <v>43</v>
      </c>
      <c r="W132" s="1655" t="s">
        <v>569</v>
      </c>
    </row>
    <row r="133" spans="1:23">
      <c r="A133" s="1655" t="s">
        <v>423</v>
      </c>
      <c r="B133" s="1655" t="s">
        <v>889</v>
      </c>
      <c r="C133" s="1655" t="s">
        <v>570</v>
      </c>
      <c r="D133" s="1655" t="s">
        <v>43</v>
      </c>
      <c r="E133" s="1655" t="s">
        <v>569</v>
      </c>
      <c r="G133" s="1655" t="s">
        <v>423</v>
      </c>
      <c r="H133" s="1655" t="s">
        <v>889</v>
      </c>
      <c r="I133" s="1655" t="s">
        <v>570</v>
      </c>
      <c r="J133" s="1655" t="s">
        <v>43</v>
      </c>
      <c r="K133" s="1655" t="s">
        <v>569</v>
      </c>
      <c r="M133" s="1655" t="s">
        <v>423</v>
      </c>
      <c r="N133" s="1655" t="s">
        <v>889</v>
      </c>
      <c r="O133" s="1655" t="s">
        <v>570</v>
      </c>
      <c r="P133" s="1655" t="s">
        <v>43</v>
      </c>
      <c r="Q133" s="1655" t="s">
        <v>569</v>
      </c>
      <c r="S133" s="1655" t="s">
        <v>423</v>
      </c>
      <c r="T133" s="1655" t="s">
        <v>889</v>
      </c>
      <c r="U133" s="1655" t="s">
        <v>570</v>
      </c>
      <c r="V133" s="1655" t="s">
        <v>43</v>
      </c>
      <c r="W133" s="1655" t="s">
        <v>569</v>
      </c>
    </row>
    <row r="134" spans="1:23">
      <c r="A134" s="1655" t="s">
        <v>423</v>
      </c>
      <c r="B134" s="1655" t="s">
        <v>890</v>
      </c>
      <c r="C134" s="1655" t="s">
        <v>570</v>
      </c>
      <c r="D134" s="1655" t="s">
        <v>43</v>
      </c>
      <c r="E134" s="1655" t="s">
        <v>569</v>
      </c>
      <c r="G134" s="1655" t="s">
        <v>423</v>
      </c>
      <c r="H134" s="1655" t="s">
        <v>890</v>
      </c>
      <c r="I134" s="1655" t="s">
        <v>570</v>
      </c>
      <c r="J134" s="1655" t="s">
        <v>43</v>
      </c>
      <c r="K134" s="1655" t="s">
        <v>569</v>
      </c>
      <c r="M134" s="1655" t="s">
        <v>423</v>
      </c>
      <c r="N134" s="1655" t="s">
        <v>890</v>
      </c>
      <c r="O134" s="1655" t="s">
        <v>570</v>
      </c>
      <c r="P134" s="1655" t="s">
        <v>43</v>
      </c>
      <c r="Q134" s="1655" t="s">
        <v>569</v>
      </c>
      <c r="S134" s="1655" t="s">
        <v>423</v>
      </c>
      <c r="T134" s="1655" t="s">
        <v>890</v>
      </c>
      <c r="U134" s="1655" t="s">
        <v>570</v>
      </c>
      <c r="V134" s="1655" t="s">
        <v>43</v>
      </c>
      <c r="W134" s="1655" t="s">
        <v>569</v>
      </c>
    </row>
    <row r="135" spans="1:23">
      <c r="A135" s="1655" t="s">
        <v>423</v>
      </c>
      <c r="B135" s="1655" t="s">
        <v>1135</v>
      </c>
      <c r="C135" s="1655" t="s">
        <v>570</v>
      </c>
      <c r="D135" s="1655" t="s">
        <v>43</v>
      </c>
      <c r="E135" s="1655" t="s">
        <v>569</v>
      </c>
      <c r="G135" s="1655" t="s">
        <v>423</v>
      </c>
      <c r="H135" s="1655" t="s">
        <v>1135</v>
      </c>
      <c r="I135" s="1655" t="s">
        <v>570</v>
      </c>
      <c r="J135" s="1655" t="s">
        <v>43</v>
      </c>
      <c r="K135" s="1655" t="s">
        <v>569</v>
      </c>
      <c r="M135" s="1655" t="s">
        <v>423</v>
      </c>
      <c r="N135" s="1655" t="s">
        <v>1135</v>
      </c>
      <c r="O135" s="1655" t="s">
        <v>570</v>
      </c>
      <c r="P135" s="1655" t="s">
        <v>43</v>
      </c>
      <c r="Q135" s="1655" t="s">
        <v>569</v>
      </c>
      <c r="S135" s="1655" t="s">
        <v>423</v>
      </c>
      <c r="T135" s="1655" t="s">
        <v>1135</v>
      </c>
      <c r="U135" s="1655" t="s">
        <v>570</v>
      </c>
      <c r="V135" s="1655" t="s">
        <v>43</v>
      </c>
      <c r="W135" s="1655" t="s">
        <v>569</v>
      </c>
    </row>
    <row r="136" spans="1:23">
      <c r="A136" s="1655" t="s">
        <v>423</v>
      </c>
      <c r="B136" s="1655" t="s">
        <v>614</v>
      </c>
      <c r="C136" s="1655" t="s">
        <v>570</v>
      </c>
      <c r="D136" s="1655" t="s">
        <v>43</v>
      </c>
      <c r="E136" s="1655" t="s">
        <v>569</v>
      </c>
      <c r="G136" s="1655" t="s">
        <v>423</v>
      </c>
      <c r="H136" s="1655" t="s">
        <v>614</v>
      </c>
      <c r="I136" s="1655" t="s">
        <v>570</v>
      </c>
      <c r="J136" s="1655" t="s">
        <v>43</v>
      </c>
      <c r="K136" s="1655" t="s">
        <v>569</v>
      </c>
      <c r="M136" s="1655" t="s">
        <v>423</v>
      </c>
      <c r="N136" s="1655" t="s">
        <v>614</v>
      </c>
      <c r="O136" s="1655" t="s">
        <v>570</v>
      </c>
      <c r="P136" s="1655" t="s">
        <v>43</v>
      </c>
      <c r="Q136" s="1655" t="s">
        <v>569</v>
      </c>
      <c r="S136" s="1655" t="s">
        <v>423</v>
      </c>
      <c r="T136" s="1655" t="s">
        <v>614</v>
      </c>
      <c r="U136" s="1655" t="s">
        <v>570</v>
      </c>
      <c r="V136" s="1655" t="s">
        <v>43</v>
      </c>
      <c r="W136" s="1655" t="s">
        <v>569</v>
      </c>
    </row>
    <row r="137" spans="1:23">
      <c r="A137" s="1655" t="s">
        <v>423</v>
      </c>
      <c r="B137" s="1655" t="s">
        <v>615</v>
      </c>
      <c r="C137" s="1655" t="s">
        <v>570</v>
      </c>
      <c r="D137" s="1655" t="s">
        <v>43</v>
      </c>
      <c r="E137" s="1655" t="s">
        <v>569</v>
      </c>
      <c r="G137" s="1655" t="s">
        <v>423</v>
      </c>
      <c r="H137" s="1655" t="s">
        <v>615</v>
      </c>
      <c r="I137" s="1655" t="s">
        <v>570</v>
      </c>
      <c r="J137" s="1655" t="s">
        <v>43</v>
      </c>
      <c r="K137" s="1655" t="s">
        <v>569</v>
      </c>
      <c r="M137" s="1655" t="s">
        <v>423</v>
      </c>
      <c r="N137" s="1655" t="s">
        <v>615</v>
      </c>
      <c r="O137" s="1655" t="s">
        <v>570</v>
      </c>
      <c r="P137" s="1655" t="s">
        <v>43</v>
      </c>
      <c r="Q137" s="1655" t="s">
        <v>569</v>
      </c>
      <c r="S137" s="1655" t="s">
        <v>423</v>
      </c>
      <c r="T137" s="1655" t="s">
        <v>615</v>
      </c>
      <c r="U137" s="1655" t="s">
        <v>570</v>
      </c>
      <c r="V137" s="1655" t="s">
        <v>43</v>
      </c>
      <c r="W137" s="1655" t="s">
        <v>569</v>
      </c>
    </row>
    <row r="138" spans="1:23">
      <c r="A138" s="1655" t="s">
        <v>423</v>
      </c>
      <c r="B138" s="1655" t="s">
        <v>891</v>
      </c>
      <c r="C138" s="1655" t="s">
        <v>570</v>
      </c>
      <c r="D138" s="1655" t="s">
        <v>43</v>
      </c>
      <c r="E138" s="1655" t="s">
        <v>569</v>
      </c>
      <c r="G138" s="1655" t="s">
        <v>423</v>
      </c>
      <c r="H138" s="1655" t="s">
        <v>891</v>
      </c>
      <c r="I138" s="1655" t="s">
        <v>570</v>
      </c>
      <c r="J138" s="1655" t="s">
        <v>43</v>
      </c>
      <c r="K138" s="1655" t="s">
        <v>569</v>
      </c>
      <c r="M138" s="1655" t="s">
        <v>423</v>
      </c>
      <c r="N138" s="1655" t="s">
        <v>891</v>
      </c>
      <c r="O138" s="1655" t="s">
        <v>570</v>
      </c>
      <c r="P138" s="1655" t="s">
        <v>43</v>
      </c>
      <c r="Q138" s="1655" t="s">
        <v>569</v>
      </c>
      <c r="S138" s="1655" t="s">
        <v>423</v>
      </c>
      <c r="T138" s="1655" t="s">
        <v>891</v>
      </c>
      <c r="U138" s="1655" t="s">
        <v>570</v>
      </c>
      <c r="V138" s="1655" t="s">
        <v>43</v>
      </c>
      <c r="W138" s="1655" t="s">
        <v>569</v>
      </c>
    </row>
    <row r="139" spans="1:23">
      <c r="A139" s="1655" t="s">
        <v>423</v>
      </c>
      <c r="B139" s="1655" t="s">
        <v>916</v>
      </c>
      <c r="C139" s="1655" t="s">
        <v>570</v>
      </c>
      <c r="D139" s="1655" t="s">
        <v>43</v>
      </c>
      <c r="E139" s="1655" t="s">
        <v>569</v>
      </c>
      <c r="G139" s="1655" t="s">
        <v>423</v>
      </c>
      <c r="H139" s="1655" t="s">
        <v>916</v>
      </c>
      <c r="I139" s="1655" t="s">
        <v>570</v>
      </c>
      <c r="J139" s="1655" t="s">
        <v>43</v>
      </c>
      <c r="K139" s="1655" t="s">
        <v>569</v>
      </c>
      <c r="M139" s="1655" t="s">
        <v>423</v>
      </c>
      <c r="N139" s="1655" t="s">
        <v>916</v>
      </c>
      <c r="O139" s="1655" t="s">
        <v>570</v>
      </c>
      <c r="P139" s="1655" t="s">
        <v>43</v>
      </c>
      <c r="Q139" s="1655" t="s">
        <v>569</v>
      </c>
      <c r="S139" s="1655" t="s">
        <v>423</v>
      </c>
      <c r="T139" s="1655" t="s">
        <v>916</v>
      </c>
      <c r="U139" s="1655" t="s">
        <v>570</v>
      </c>
      <c r="V139" s="1655" t="s">
        <v>43</v>
      </c>
      <c r="W139" s="1655" t="s">
        <v>569</v>
      </c>
    </row>
    <row r="140" spans="1:23">
      <c r="A140" s="1655" t="s">
        <v>423</v>
      </c>
      <c r="B140" s="1655" t="s">
        <v>917</v>
      </c>
      <c r="C140" s="1655" t="s">
        <v>570</v>
      </c>
      <c r="D140" s="1655" t="s">
        <v>43</v>
      </c>
      <c r="E140" s="1655" t="s">
        <v>569</v>
      </c>
      <c r="G140" s="1655" t="s">
        <v>423</v>
      </c>
      <c r="H140" s="1655" t="s">
        <v>917</v>
      </c>
      <c r="I140" s="1655" t="s">
        <v>570</v>
      </c>
      <c r="J140" s="1655" t="s">
        <v>43</v>
      </c>
      <c r="K140" s="1655" t="s">
        <v>569</v>
      </c>
      <c r="M140" s="1655" t="s">
        <v>423</v>
      </c>
      <c r="N140" s="1655" t="s">
        <v>917</v>
      </c>
      <c r="O140" s="1655" t="s">
        <v>570</v>
      </c>
      <c r="P140" s="1655" t="s">
        <v>43</v>
      </c>
      <c r="Q140" s="1655" t="s">
        <v>569</v>
      </c>
      <c r="S140" s="1655" t="s">
        <v>423</v>
      </c>
      <c r="T140" s="1655" t="s">
        <v>917</v>
      </c>
      <c r="U140" s="1655" t="s">
        <v>570</v>
      </c>
      <c r="V140" s="1655" t="s">
        <v>43</v>
      </c>
      <c r="W140" s="1655" t="s">
        <v>569</v>
      </c>
    </row>
    <row r="141" spans="1:23">
      <c r="A141" s="1655" t="s">
        <v>423</v>
      </c>
      <c r="B141" s="1655" t="s">
        <v>918</v>
      </c>
      <c r="C141" s="1655" t="s">
        <v>570</v>
      </c>
      <c r="D141" s="1655" t="s">
        <v>43</v>
      </c>
      <c r="E141" s="1655" t="s">
        <v>569</v>
      </c>
      <c r="G141" s="1655" t="s">
        <v>423</v>
      </c>
      <c r="H141" s="1655" t="s">
        <v>918</v>
      </c>
      <c r="I141" s="1655" t="s">
        <v>570</v>
      </c>
      <c r="J141" s="1655" t="s">
        <v>43</v>
      </c>
      <c r="K141" s="1655" t="s">
        <v>569</v>
      </c>
      <c r="M141" s="1655" t="s">
        <v>423</v>
      </c>
      <c r="N141" s="1655" t="s">
        <v>918</v>
      </c>
      <c r="O141" s="1655" t="s">
        <v>570</v>
      </c>
      <c r="P141" s="1655" t="s">
        <v>43</v>
      </c>
      <c r="Q141" s="1655" t="s">
        <v>569</v>
      </c>
      <c r="S141" s="1655" t="s">
        <v>423</v>
      </c>
      <c r="T141" s="1655" t="s">
        <v>918</v>
      </c>
      <c r="U141" s="1655" t="s">
        <v>570</v>
      </c>
      <c r="V141" s="1655" t="s">
        <v>43</v>
      </c>
      <c r="W141" s="1655" t="s">
        <v>569</v>
      </c>
    </row>
    <row r="142" spans="1:23">
      <c r="A142" s="1655" t="s">
        <v>423</v>
      </c>
      <c r="B142" s="1655" t="s">
        <v>919</v>
      </c>
      <c r="C142" s="1655" t="s">
        <v>570</v>
      </c>
      <c r="D142" s="1655" t="s">
        <v>43</v>
      </c>
      <c r="E142" s="1655" t="s">
        <v>569</v>
      </c>
      <c r="G142" s="1655" t="s">
        <v>423</v>
      </c>
      <c r="H142" s="1655" t="s">
        <v>919</v>
      </c>
      <c r="I142" s="1655" t="s">
        <v>570</v>
      </c>
      <c r="J142" s="1655" t="s">
        <v>43</v>
      </c>
      <c r="K142" s="1655" t="s">
        <v>569</v>
      </c>
      <c r="M142" s="1655" t="s">
        <v>423</v>
      </c>
      <c r="N142" s="1655" t="s">
        <v>919</v>
      </c>
      <c r="O142" s="1655" t="s">
        <v>570</v>
      </c>
      <c r="P142" s="1655" t="s">
        <v>43</v>
      </c>
      <c r="Q142" s="1655" t="s">
        <v>569</v>
      </c>
      <c r="S142" s="1655" t="s">
        <v>423</v>
      </c>
      <c r="T142" s="1655" t="s">
        <v>919</v>
      </c>
      <c r="U142" s="1655" t="s">
        <v>570</v>
      </c>
      <c r="V142" s="1655" t="s">
        <v>43</v>
      </c>
      <c r="W142" s="1655" t="s">
        <v>569</v>
      </c>
    </row>
    <row r="143" spans="1:23">
      <c r="A143" s="1655" t="s">
        <v>423</v>
      </c>
      <c r="B143" s="1655" t="s">
        <v>920</v>
      </c>
      <c r="C143" s="1655" t="s">
        <v>570</v>
      </c>
      <c r="D143" s="1655" t="s">
        <v>43</v>
      </c>
      <c r="E143" s="1655" t="s">
        <v>569</v>
      </c>
      <c r="G143" s="1655" t="s">
        <v>423</v>
      </c>
      <c r="H143" s="1655" t="s">
        <v>920</v>
      </c>
      <c r="I143" s="1655" t="s">
        <v>570</v>
      </c>
      <c r="J143" s="1655" t="s">
        <v>43</v>
      </c>
      <c r="K143" s="1655" t="s">
        <v>569</v>
      </c>
      <c r="M143" s="1655" t="s">
        <v>423</v>
      </c>
      <c r="N143" s="1655" t="s">
        <v>920</v>
      </c>
      <c r="O143" s="1655" t="s">
        <v>570</v>
      </c>
      <c r="P143" s="1655" t="s">
        <v>43</v>
      </c>
      <c r="Q143" s="1655" t="s">
        <v>569</v>
      </c>
      <c r="S143" s="1655" t="s">
        <v>423</v>
      </c>
      <c r="T143" s="1655" t="s">
        <v>920</v>
      </c>
      <c r="U143" s="1655" t="s">
        <v>570</v>
      </c>
      <c r="V143" s="1655" t="s">
        <v>43</v>
      </c>
      <c r="W143" s="1655" t="s">
        <v>569</v>
      </c>
    </row>
    <row r="144" spans="1:23">
      <c r="A144" s="1655" t="s">
        <v>423</v>
      </c>
      <c r="B144" s="1655" t="s">
        <v>921</v>
      </c>
      <c r="C144" s="1655" t="s">
        <v>570</v>
      </c>
      <c r="D144" s="1655" t="s">
        <v>43</v>
      </c>
      <c r="E144" s="1655" t="s">
        <v>569</v>
      </c>
      <c r="G144" s="1655" t="s">
        <v>423</v>
      </c>
      <c r="H144" s="1655" t="s">
        <v>921</v>
      </c>
      <c r="I144" s="1655" t="s">
        <v>570</v>
      </c>
      <c r="J144" s="1655" t="s">
        <v>43</v>
      </c>
      <c r="K144" s="1655" t="s">
        <v>569</v>
      </c>
      <c r="M144" s="1655" t="s">
        <v>423</v>
      </c>
      <c r="N144" s="1655" t="s">
        <v>921</v>
      </c>
      <c r="O144" s="1655" t="s">
        <v>570</v>
      </c>
      <c r="P144" s="1655" t="s">
        <v>43</v>
      </c>
      <c r="Q144" s="1655" t="s">
        <v>569</v>
      </c>
      <c r="S144" s="1655" t="s">
        <v>423</v>
      </c>
      <c r="T144" s="1655" t="s">
        <v>921</v>
      </c>
      <c r="U144" s="1655" t="s">
        <v>570</v>
      </c>
      <c r="V144" s="1655" t="s">
        <v>43</v>
      </c>
      <c r="W144" s="1655" t="s">
        <v>569</v>
      </c>
    </row>
    <row r="145" spans="1:23">
      <c r="A145" s="1655" t="s">
        <v>423</v>
      </c>
      <c r="B145" s="1655" t="s">
        <v>922</v>
      </c>
      <c r="C145" s="1655" t="s">
        <v>570</v>
      </c>
      <c r="D145" s="1655" t="s">
        <v>43</v>
      </c>
      <c r="E145" s="1655" t="s">
        <v>569</v>
      </c>
      <c r="G145" s="1655" t="s">
        <v>423</v>
      </c>
      <c r="H145" s="1655" t="s">
        <v>922</v>
      </c>
      <c r="I145" s="1655" t="s">
        <v>570</v>
      </c>
      <c r="J145" s="1655" t="s">
        <v>43</v>
      </c>
      <c r="K145" s="1655" t="s">
        <v>569</v>
      </c>
      <c r="M145" s="1655" t="s">
        <v>423</v>
      </c>
      <c r="N145" s="1655" t="s">
        <v>922</v>
      </c>
      <c r="O145" s="1655" t="s">
        <v>570</v>
      </c>
      <c r="P145" s="1655" t="s">
        <v>43</v>
      </c>
      <c r="Q145" s="1655" t="s">
        <v>569</v>
      </c>
      <c r="S145" s="1655" t="s">
        <v>423</v>
      </c>
      <c r="T145" s="1655" t="s">
        <v>922</v>
      </c>
      <c r="U145" s="1655" t="s">
        <v>570</v>
      </c>
      <c r="V145" s="1655" t="s">
        <v>43</v>
      </c>
      <c r="W145" s="1655" t="s">
        <v>569</v>
      </c>
    </row>
    <row r="146" spans="1:23">
      <c r="A146" s="1655" t="s">
        <v>423</v>
      </c>
      <c r="B146" s="1655" t="s">
        <v>923</v>
      </c>
      <c r="C146" s="1655" t="s">
        <v>570</v>
      </c>
      <c r="D146" s="1655" t="s">
        <v>43</v>
      </c>
      <c r="E146" s="1655" t="s">
        <v>569</v>
      </c>
      <c r="G146" s="1655" t="s">
        <v>423</v>
      </c>
      <c r="H146" s="1655" t="s">
        <v>923</v>
      </c>
      <c r="I146" s="1655" t="s">
        <v>570</v>
      </c>
      <c r="J146" s="1655" t="s">
        <v>43</v>
      </c>
      <c r="K146" s="1655" t="s">
        <v>569</v>
      </c>
      <c r="M146" s="1655" t="s">
        <v>423</v>
      </c>
      <c r="N146" s="1655" t="s">
        <v>923</v>
      </c>
      <c r="O146" s="1655" t="s">
        <v>570</v>
      </c>
      <c r="P146" s="1655" t="s">
        <v>43</v>
      </c>
      <c r="Q146" s="1655" t="s">
        <v>569</v>
      </c>
      <c r="S146" s="1655" t="s">
        <v>423</v>
      </c>
      <c r="T146" s="1655" t="s">
        <v>923</v>
      </c>
      <c r="U146" s="1655" t="s">
        <v>570</v>
      </c>
      <c r="V146" s="1655" t="s">
        <v>43</v>
      </c>
      <c r="W146" s="1655" t="s">
        <v>569</v>
      </c>
    </row>
    <row r="147" spans="1:23">
      <c r="A147" s="1655" t="s">
        <v>423</v>
      </c>
      <c r="B147" s="1655" t="s">
        <v>1138</v>
      </c>
      <c r="C147" s="1655" t="s">
        <v>570</v>
      </c>
      <c r="D147" s="1655" t="s">
        <v>43</v>
      </c>
      <c r="E147" s="1655" t="s">
        <v>569</v>
      </c>
      <c r="G147" s="1655" t="s">
        <v>423</v>
      </c>
      <c r="H147" s="1655" t="s">
        <v>1138</v>
      </c>
      <c r="I147" s="1655" t="s">
        <v>570</v>
      </c>
      <c r="J147" s="1655" t="s">
        <v>43</v>
      </c>
      <c r="K147" s="1655" t="s">
        <v>569</v>
      </c>
      <c r="M147" s="1655" t="s">
        <v>423</v>
      </c>
      <c r="N147" s="1655" t="s">
        <v>1138</v>
      </c>
      <c r="O147" s="1655" t="s">
        <v>570</v>
      </c>
      <c r="P147" s="1655" t="s">
        <v>43</v>
      </c>
      <c r="Q147" s="1655" t="s">
        <v>569</v>
      </c>
      <c r="S147" s="1655" t="s">
        <v>423</v>
      </c>
      <c r="T147" s="1655" t="s">
        <v>1138</v>
      </c>
      <c r="U147" s="1655" t="s">
        <v>570</v>
      </c>
      <c r="V147" s="1655" t="s">
        <v>43</v>
      </c>
      <c r="W147" s="1655" t="s">
        <v>569</v>
      </c>
    </row>
    <row r="148" spans="1:23">
      <c r="A148" s="1655" t="s">
        <v>423</v>
      </c>
      <c r="B148" s="1655" t="s">
        <v>1139</v>
      </c>
      <c r="C148" s="1655" t="s">
        <v>570</v>
      </c>
      <c r="D148" s="1655" t="s">
        <v>43</v>
      </c>
      <c r="E148" s="1655" t="s">
        <v>569</v>
      </c>
      <c r="G148" s="1655" t="s">
        <v>423</v>
      </c>
      <c r="H148" s="1655" t="s">
        <v>1139</v>
      </c>
      <c r="I148" s="1655" t="s">
        <v>570</v>
      </c>
      <c r="J148" s="1655" t="s">
        <v>43</v>
      </c>
      <c r="K148" s="1655" t="s">
        <v>569</v>
      </c>
      <c r="M148" s="1655" t="s">
        <v>423</v>
      </c>
      <c r="N148" s="1655" t="s">
        <v>1139</v>
      </c>
      <c r="O148" s="1655" t="s">
        <v>570</v>
      </c>
      <c r="P148" s="1655" t="s">
        <v>43</v>
      </c>
      <c r="Q148" s="1655" t="s">
        <v>569</v>
      </c>
      <c r="S148" s="1655" t="s">
        <v>423</v>
      </c>
      <c r="T148" s="1655" t="s">
        <v>1139</v>
      </c>
      <c r="U148" s="1655" t="s">
        <v>570</v>
      </c>
      <c r="V148" s="1655" t="s">
        <v>43</v>
      </c>
      <c r="W148" s="1655" t="s">
        <v>569</v>
      </c>
    </row>
    <row r="149" spans="1:23">
      <c r="A149" s="1655" t="s">
        <v>423</v>
      </c>
      <c r="B149" s="1655" t="s">
        <v>924</v>
      </c>
      <c r="C149" s="1655" t="s">
        <v>570</v>
      </c>
      <c r="D149" s="1655" t="s">
        <v>43</v>
      </c>
      <c r="E149" s="1655" t="s">
        <v>569</v>
      </c>
      <c r="G149" s="1655" t="s">
        <v>423</v>
      </c>
      <c r="H149" s="1655" t="s">
        <v>924</v>
      </c>
      <c r="I149" s="1655" t="s">
        <v>570</v>
      </c>
      <c r="J149" s="1655" t="s">
        <v>43</v>
      </c>
      <c r="K149" s="1655" t="s">
        <v>569</v>
      </c>
      <c r="M149" s="1655" t="s">
        <v>423</v>
      </c>
      <c r="N149" s="1655" t="s">
        <v>924</v>
      </c>
      <c r="O149" s="1655" t="s">
        <v>570</v>
      </c>
      <c r="P149" s="1655" t="s">
        <v>43</v>
      </c>
      <c r="Q149" s="1655" t="s">
        <v>569</v>
      </c>
      <c r="S149" s="1655" t="s">
        <v>423</v>
      </c>
      <c r="T149" s="1655" t="s">
        <v>924</v>
      </c>
      <c r="U149" s="1655" t="s">
        <v>570</v>
      </c>
      <c r="V149" s="1655" t="s">
        <v>43</v>
      </c>
      <c r="W149" s="1655" t="s">
        <v>569</v>
      </c>
    </row>
    <row r="150" spans="1:23">
      <c r="A150" s="1655" t="s">
        <v>423</v>
      </c>
      <c r="B150" s="1655" t="s">
        <v>925</v>
      </c>
      <c r="C150" s="1655" t="s">
        <v>570</v>
      </c>
      <c r="D150" s="1655" t="s">
        <v>43</v>
      </c>
      <c r="E150" s="1655" t="s">
        <v>569</v>
      </c>
      <c r="G150" s="1655" t="s">
        <v>423</v>
      </c>
      <c r="H150" s="1655" t="s">
        <v>925</v>
      </c>
      <c r="I150" s="1655" t="s">
        <v>570</v>
      </c>
      <c r="J150" s="1655" t="s">
        <v>43</v>
      </c>
      <c r="K150" s="1655" t="s">
        <v>569</v>
      </c>
      <c r="M150" s="1655" t="s">
        <v>423</v>
      </c>
      <c r="N150" s="1655" t="s">
        <v>925</v>
      </c>
      <c r="O150" s="1655" t="s">
        <v>570</v>
      </c>
      <c r="P150" s="1655" t="s">
        <v>43</v>
      </c>
      <c r="Q150" s="1655" t="s">
        <v>569</v>
      </c>
      <c r="S150" s="1655" t="s">
        <v>423</v>
      </c>
      <c r="T150" s="1655" t="s">
        <v>925</v>
      </c>
      <c r="U150" s="1655" t="s">
        <v>570</v>
      </c>
      <c r="V150" s="1655" t="s">
        <v>43</v>
      </c>
      <c r="W150" s="1655" t="s">
        <v>569</v>
      </c>
    </row>
    <row r="151" spans="1:23">
      <c r="A151" s="1655" t="s">
        <v>423</v>
      </c>
      <c r="B151" s="1655" t="s">
        <v>976</v>
      </c>
      <c r="C151" s="1655" t="s">
        <v>570</v>
      </c>
      <c r="D151" s="1655" t="s">
        <v>43</v>
      </c>
      <c r="E151" s="1655" t="s">
        <v>196</v>
      </c>
      <c r="G151" s="1655" t="s">
        <v>423</v>
      </c>
      <c r="H151" s="1655" t="s">
        <v>976</v>
      </c>
      <c r="I151" s="1657">
        <v>44566</v>
      </c>
      <c r="J151" s="1655" t="s">
        <v>42</v>
      </c>
      <c r="K151" s="1655" t="s">
        <v>196</v>
      </c>
      <c r="M151" s="1655" t="s">
        <v>423</v>
      </c>
      <c r="N151" s="1655" t="s">
        <v>976</v>
      </c>
      <c r="O151" s="1657">
        <v>44566</v>
      </c>
      <c r="P151" s="1655" t="s">
        <v>42</v>
      </c>
      <c r="Q151" s="1655" t="s">
        <v>196</v>
      </c>
      <c r="S151" s="1655" t="s">
        <v>423</v>
      </c>
      <c r="T151" s="1655" t="s">
        <v>976</v>
      </c>
      <c r="U151" s="1657">
        <v>44566</v>
      </c>
      <c r="V151" s="1655" t="s">
        <v>42</v>
      </c>
      <c r="W151" s="1655" t="s">
        <v>196</v>
      </c>
    </row>
    <row r="152" spans="1:23">
      <c r="A152" s="1655" t="s">
        <v>423</v>
      </c>
      <c r="B152" s="1655" t="s">
        <v>977</v>
      </c>
      <c r="C152" s="1655" t="s">
        <v>570</v>
      </c>
      <c r="D152" s="1655" t="s">
        <v>43</v>
      </c>
      <c r="E152" s="1655" t="s">
        <v>196</v>
      </c>
      <c r="G152" s="1655" t="s">
        <v>423</v>
      </c>
      <c r="H152" s="1655" t="s">
        <v>977</v>
      </c>
      <c r="I152" s="1657" t="s">
        <v>570</v>
      </c>
      <c r="J152" s="1655" t="s">
        <v>43</v>
      </c>
      <c r="K152" s="1655" t="s">
        <v>196</v>
      </c>
      <c r="M152" s="1655" t="s">
        <v>423</v>
      </c>
      <c r="N152" s="1655" t="s">
        <v>977</v>
      </c>
      <c r="O152" s="1657">
        <v>44566</v>
      </c>
      <c r="P152" s="1655" t="s">
        <v>42</v>
      </c>
      <c r="Q152" s="1655" t="s">
        <v>196</v>
      </c>
      <c r="S152" s="1655" t="s">
        <v>423</v>
      </c>
      <c r="T152" s="1655" t="s">
        <v>977</v>
      </c>
      <c r="U152" s="1657" t="s">
        <v>570</v>
      </c>
      <c r="V152" s="1655" t="s">
        <v>43</v>
      </c>
      <c r="W152" s="1655" t="s">
        <v>196</v>
      </c>
    </row>
    <row r="153" spans="1:23">
      <c r="A153" s="1655" t="s">
        <v>423</v>
      </c>
      <c r="B153" s="1655" t="s">
        <v>624</v>
      </c>
      <c r="C153" s="1655" t="s">
        <v>570</v>
      </c>
      <c r="D153" s="1655" t="s">
        <v>43</v>
      </c>
      <c r="E153" s="1655" t="s">
        <v>196</v>
      </c>
      <c r="G153" s="1655" t="s">
        <v>423</v>
      </c>
      <c r="H153" s="1655" t="s">
        <v>624</v>
      </c>
      <c r="I153" s="1655" t="s">
        <v>570</v>
      </c>
      <c r="J153" s="1655" t="s">
        <v>43</v>
      </c>
      <c r="K153" s="1655" t="s">
        <v>196</v>
      </c>
      <c r="M153" s="1655" t="s">
        <v>423</v>
      </c>
      <c r="N153" s="1655" t="s">
        <v>624</v>
      </c>
      <c r="O153" s="1655" t="s">
        <v>570</v>
      </c>
      <c r="P153" s="1655" t="s">
        <v>43</v>
      </c>
      <c r="Q153" s="1655" t="s">
        <v>196</v>
      </c>
      <c r="S153" s="1655" t="s">
        <v>423</v>
      </c>
      <c r="T153" s="1655" t="s">
        <v>624</v>
      </c>
      <c r="U153" s="1655" t="s">
        <v>570</v>
      </c>
      <c r="V153" s="1655" t="s">
        <v>43</v>
      </c>
      <c r="W153" s="1655" t="s">
        <v>196</v>
      </c>
    </row>
    <row r="154" spans="1:23">
      <c r="A154" s="1655" t="s">
        <v>423</v>
      </c>
      <c r="B154" s="1655" t="s">
        <v>978</v>
      </c>
      <c r="C154" s="1655" t="s">
        <v>570</v>
      </c>
      <c r="D154" s="1655" t="s">
        <v>43</v>
      </c>
      <c r="E154" s="1655" t="s">
        <v>196</v>
      </c>
      <c r="G154" s="1655" t="s">
        <v>423</v>
      </c>
      <c r="H154" s="1655" t="s">
        <v>978</v>
      </c>
      <c r="I154" s="1655" t="s">
        <v>570</v>
      </c>
      <c r="J154" s="1655" t="s">
        <v>43</v>
      </c>
      <c r="K154" s="1655" t="s">
        <v>196</v>
      </c>
      <c r="M154" s="1655" t="s">
        <v>423</v>
      </c>
      <c r="N154" s="1655" t="s">
        <v>978</v>
      </c>
      <c r="O154" s="1655" t="s">
        <v>570</v>
      </c>
      <c r="P154" s="1655" t="s">
        <v>43</v>
      </c>
      <c r="Q154" s="1655" t="s">
        <v>196</v>
      </c>
      <c r="S154" s="1655" t="s">
        <v>423</v>
      </c>
      <c r="T154" s="1655" t="s">
        <v>978</v>
      </c>
      <c r="U154" s="1655" t="s">
        <v>570</v>
      </c>
      <c r="V154" s="1655" t="s">
        <v>43</v>
      </c>
      <c r="W154" s="1655" t="s">
        <v>196</v>
      </c>
    </row>
    <row r="155" spans="1:23">
      <c r="A155" s="1655" t="s">
        <v>423</v>
      </c>
      <c r="B155" s="1655" t="s">
        <v>979</v>
      </c>
      <c r="C155" s="1655" t="s">
        <v>570</v>
      </c>
      <c r="D155" s="1655" t="s">
        <v>43</v>
      </c>
      <c r="E155" s="1655" t="s">
        <v>196</v>
      </c>
      <c r="G155" s="1655" t="s">
        <v>423</v>
      </c>
      <c r="H155" s="1655" t="s">
        <v>979</v>
      </c>
      <c r="I155" s="1655" t="s">
        <v>570</v>
      </c>
      <c r="J155" s="1655" t="s">
        <v>43</v>
      </c>
      <c r="K155" s="1655" t="s">
        <v>196</v>
      </c>
      <c r="M155" s="1655" t="s">
        <v>423</v>
      </c>
      <c r="N155" s="1655" t="s">
        <v>979</v>
      </c>
      <c r="O155" s="1655" t="s">
        <v>570</v>
      </c>
      <c r="P155" s="1655" t="s">
        <v>43</v>
      </c>
      <c r="Q155" s="1655" t="s">
        <v>196</v>
      </c>
      <c r="S155" s="1655" t="s">
        <v>423</v>
      </c>
      <c r="T155" s="1655" t="s">
        <v>979</v>
      </c>
      <c r="U155" s="1655" t="s">
        <v>570</v>
      </c>
      <c r="V155" s="1655" t="s">
        <v>43</v>
      </c>
      <c r="W155" s="1655" t="s">
        <v>196</v>
      </c>
    </row>
    <row r="156" spans="1:23">
      <c r="A156" s="1655" t="s">
        <v>423</v>
      </c>
      <c r="B156" s="1655" t="s">
        <v>981</v>
      </c>
      <c r="C156" s="1655" t="s">
        <v>570</v>
      </c>
      <c r="D156" s="1655" t="s">
        <v>43</v>
      </c>
      <c r="E156" s="1655" t="s">
        <v>196</v>
      </c>
      <c r="G156" s="1655" t="s">
        <v>423</v>
      </c>
      <c r="H156" s="1655" t="s">
        <v>981</v>
      </c>
      <c r="I156" s="1657" t="s">
        <v>570</v>
      </c>
      <c r="J156" s="1655" t="s">
        <v>43</v>
      </c>
      <c r="K156" s="1655" t="s">
        <v>196</v>
      </c>
      <c r="M156" s="1655" t="s">
        <v>423</v>
      </c>
      <c r="N156" s="1655" t="s">
        <v>981</v>
      </c>
      <c r="O156" s="1657">
        <v>44566</v>
      </c>
      <c r="P156" s="1655" t="s">
        <v>42</v>
      </c>
      <c r="Q156" s="1655" t="s">
        <v>196</v>
      </c>
      <c r="S156" s="1655" t="s">
        <v>423</v>
      </c>
      <c r="T156" s="1655" t="s">
        <v>981</v>
      </c>
      <c r="U156" s="1657" t="s">
        <v>570</v>
      </c>
      <c r="V156" s="1655" t="s">
        <v>43</v>
      </c>
      <c r="W156" s="1655" t="s">
        <v>196</v>
      </c>
    </row>
    <row r="157" spans="1:23">
      <c r="A157" s="1655" t="s">
        <v>423</v>
      </c>
      <c r="B157" s="1655" t="s">
        <v>633</v>
      </c>
      <c r="C157" s="1655" t="s">
        <v>570</v>
      </c>
      <c r="D157" s="1655" t="s">
        <v>43</v>
      </c>
      <c r="E157" s="1655" t="s">
        <v>196</v>
      </c>
      <c r="G157" s="1655" t="s">
        <v>423</v>
      </c>
      <c r="H157" s="1655" t="s">
        <v>633</v>
      </c>
      <c r="I157" s="1657" t="s">
        <v>570</v>
      </c>
      <c r="J157" s="1655" t="s">
        <v>43</v>
      </c>
      <c r="K157" s="1655" t="s">
        <v>196</v>
      </c>
      <c r="M157" s="1655" t="s">
        <v>423</v>
      </c>
      <c r="N157" s="1655" t="s">
        <v>633</v>
      </c>
      <c r="O157" s="1657" t="s">
        <v>570</v>
      </c>
      <c r="P157" s="1655" t="s">
        <v>43</v>
      </c>
      <c r="Q157" s="1655" t="s">
        <v>196</v>
      </c>
      <c r="S157" s="1655" t="s">
        <v>423</v>
      </c>
      <c r="T157" s="1655" t="s">
        <v>633</v>
      </c>
      <c r="U157" s="1657" t="s">
        <v>570</v>
      </c>
      <c r="V157" s="1655" t="s">
        <v>43</v>
      </c>
      <c r="W157" s="1655" t="s">
        <v>196</v>
      </c>
    </row>
    <row r="158" spans="1:23">
      <c r="A158" s="1655" t="s">
        <v>423</v>
      </c>
      <c r="B158" s="1655" t="s">
        <v>634</v>
      </c>
      <c r="C158" s="1655" t="s">
        <v>570</v>
      </c>
      <c r="D158" s="1655" t="s">
        <v>43</v>
      </c>
      <c r="E158" s="1655" t="s">
        <v>196</v>
      </c>
      <c r="G158" s="1655" t="s">
        <v>423</v>
      </c>
      <c r="H158" s="1655" t="s">
        <v>634</v>
      </c>
      <c r="I158" s="1657" t="s">
        <v>570</v>
      </c>
      <c r="J158" s="1655" t="s">
        <v>43</v>
      </c>
      <c r="K158" s="1655" t="s">
        <v>196</v>
      </c>
      <c r="M158" s="1655" t="s">
        <v>423</v>
      </c>
      <c r="N158" s="1655" t="s">
        <v>634</v>
      </c>
      <c r="O158" s="1657" t="s">
        <v>570</v>
      </c>
      <c r="P158" s="1655" t="s">
        <v>43</v>
      </c>
      <c r="Q158" s="1655" t="s">
        <v>196</v>
      </c>
      <c r="S158" s="1655" t="s">
        <v>423</v>
      </c>
      <c r="T158" s="1655" t="s">
        <v>634</v>
      </c>
      <c r="U158" s="1657" t="s">
        <v>570</v>
      </c>
      <c r="V158" s="1655" t="s">
        <v>43</v>
      </c>
      <c r="W158" s="1655" t="s">
        <v>196</v>
      </c>
    </row>
    <row r="159" spans="1:23">
      <c r="A159" s="1655" t="s">
        <v>423</v>
      </c>
      <c r="B159" s="1655" t="s">
        <v>635</v>
      </c>
      <c r="C159" s="1655" t="s">
        <v>570</v>
      </c>
      <c r="D159" s="1655" t="s">
        <v>43</v>
      </c>
      <c r="E159" s="1655" t="s">
        <v>196</v>
      </c>
      <c r="G159" s="1655" t="s">
        <v>423</v>
      </c>
      <c r="H159" s="1655" t="s">
        <v>635</v>
      </c>
      <c r="I159" s="1657" t="s">
        <v>570</v>
      </c>
      <c r="J159" s="1655" t="s">
        <v>43</v>
      </c>
      <c r="K159" s="1655" t="s">
        <v>196</v>
      </c>
      <c r="M159" s="1655" t="s">
        <v>423</v>
      </c>
      <c r="N159" s="1655" t="s">
        <v>635</v>
      </c>
      <c r="O159" s="1657" t="s">
        <v>570</v>
      </c>
      <c r="P159" s="1655" t="s">
        <v>43</v>
      </c>
      <c r="Q159" s="1655" t="s">
        <v>196</v>
      </c>
      <c r="S159" s="1655" t="s">
        <v>423</v>
      </c>
      <c r="T159" s="1655" t="s">
        <v>635</v>
      </c>
      <c r="U159" s="1657" t="s">
        <v>570</v>
      </c>
      <c r="V159" s="1655" t="s">
        <v>43</v>
      </c>
      <c r="W159" s="1655" t="s">
        <v>196</v>
      </c>
    </row>
    <row r="160" spans="1:23">
      <c r="A160" s="1655" t="s">
        <v>423</v>
      </c>
      <c r="B160" s="1655" t="s">
        <v>636</v>
      </c>
      <c r="C160" s="1655" t="s">
        <v>570</v>
      </c>
      <c r="D160" s="1655" t="s">
        <v>43</v>
      </c>
      <c r="E160" s="1655" t="s">
        <v>196</v>
      </c>
      <c r="G160" s="1655" t="s">
        <v>423</v>
      </c>
      <c r="H160" s="1655" t="s">
        <v>636</v>
      </c>
      <c r="I160" s="1655" t="s">
        <v>570</v>
      </c>
      <c r="J160" s="1655" t="s">
        <v>43</v>
      </c>
      <c r="K160" s="1655" t="s">
        <v>196</v>
      </c>
      <c r="M160" s="1655" t="s">
        <v>423</v>
      </c>
      <c r="N160" s="1655" t="s">
        <v>636</v>
      </c>
      <c r="O160" s="1655" t="s">
        <v>570</v>
      </c>
      <c r="P160" s="1655" t="s">
        <v>43</v>
      </c>
      <c r="Q160" s="1655" t="s">
        <v>196</v>
      </c>
      <c r="S160" s="1655" t="s">
        <v>423</v>
      </c>
      <c r="T160" s="1655" t="s">
        <v>636</v>
      </c>
      <c r="U160" s="1655" t="s">
        <v>570</v>
      </c>
      <c r="V160" s="1655" t="s">
        <v>43</v>
      </c>
      <c r="W160" s="1655" t="s">
        <v>196</v>
      </c>
    </row>
    <row r="161" spans="1:23">
      <c r="A161" s="1655" t="s">
        <v>423</v>
      </c>
      <c r="B161" s="1655" t="s">
        <v>984</v>
      </c>
      <c r="C161" s="1657">
        <v>44566</v>
      </c>
      <c r="D161" s="1655" t="s">
        <v>42</v>
      </c>
      <c r="E161" s="1655" t="s">
        <v>196</v>
      </c>
      <c r="G161" s="1655" t="s">
        <v>423</v>
      </c>
      <c r="H161" s="1655" t="s">
        <v>984</v>
      </c>
      <c r="I161" s="1657">
        <v>44566</v>
      </c>
      <c r="J161" s="1655" t="s">
        <v>42</v>
      </c>
      <c r="K161" s="1655" t="s">
        <v>196</v>
      </c>
      <c r="M161" s="1655" t="s">
        <v>423</v>
      </c>
      <c r="N161" s="1655" t="s">
        <v>984</v>
      </c>
      <c r="O161" s="1657">
        <v>44566</v>
      </c>
      <c r="P161" s="1655" t="s">
        <v>42</v>
      </c>
      <c r="Q161" s="1655" t="s">
        <v>196</v>
      </c>
      <c r="S161" s="1655" t="s">
        <v>423</v>
      </c>
      <c r="T161" s="1655" t="s">
        <v>984</v>
      </c>
      <c r="U161" s="1657">
        <v>44566</v>
      </c>
      <c r="V161" s="1655" t="s">
        <v>42</v>
      </c>
      <c r="W161" s="1655" t="s">
        <v>196</v>
      </c>
    </row>
    <row r="162" spans="1:23">
      <c r="A162" s="1655" t="s">
        <v>423</v>
      </c>
      <c r="B162" s="1655" t="s">
        <v>985</v>
      </c>
      <c r="C162" s="1657">
        <v>44566</v>
      </c>
      <c r="D162" s="1655" t="s">
        <v>42</v>
      </c>
      <c r="E162" s="1655" t="s">
        <v>196</v>
      </c>
      <c r="G162" s="1655" t="s">
        <v>423</v>
      </c>
      <c r="H162" s="1655" t="s">
        <v>985</v>
      </c>
      <c r="I162" s="1657" t="s">
        <v>570</v>
      </c>
      <c r="J162" s="1655" t="s">
        <v>43</v>
      </c>
      <c r="K162" s="1655" t="s">
        <v>196</v>
      </c>
      <c r="M162" s="1655" t="s">
        <v>423</v>
      </c>
      <c r="N162" s="1655" t="s">
        <v>985</v>
      </c>
      <c r="O162" s="1657">
        <v>44566</v>
      </c>
      <c r="P162" s="1655" t="s">
        <v>42</v>
      </c>
      <c r="Q162" s="1655" t="s">
        <v>196</v>
      </c>
      <c r="S162" s="1655" t="s">
        <v>423</v>
      </c>
      <c r="T162" s="1655" t="s">
        <v>985</v>
      </c>
      <c r="U162" s="1657" t="s">
        <v>570</v>
      </c>
      <c r="V162" s="1655" t="s">
        <v>43</v>
      </c>
      <c r="W162" s="1655" t="s">
        <v>196</v>
      </c>
    </row>
    <row r="163" spans="1:23">
      <c r="A163" s="1655" t="s">
        <v>423</v>
      </c>
      <c r="B163" s="1655" t="s">
        <v>986</v>
      </c>
      <c r="C163" s="1657">
        <v>44566</v>
      </c>
      <c r="D163" s="1655" t="s">
        <v>42</v>
      </c>
      <c r="E163" s="1655" t="s">
        <v>196</v>
      </c>
      <c r="G163" s="1655" t="s">
        <v>423</v>
      </c>
      <c r="H163" s="1655" t="s">
        <v>986</v>
      </c>
      <c r="I163" s="1657" t="s">
        <v>570</v>
      </c>
      <c r="J163" s="1655" t="s">
        <v>43</v>
      </c>
      <c r="K163" s="1655" t="s">
        <v>196</v>
      </c>
      <c r="M163" s="1655" t="s">
        <v>423</v>
      </c>
      <c r="N163" s="1655" t="s">
        <v>986</v>
      </c>
      <c r="O163" s="1657">
        <v>44566</v>
      </c>
      <c r="P163" s="1655" t="s">
        <v>42</v>
      </c>
      <c r="Q163" s="1655" t="s">
        <v>196</v>
      </c>
      <c r="S163" s="1655" t="s">
        <v>423</v>
      </c>
      <c r="T163" s="1655" t="s">
        <v>986</v>
      </c>
      <c r="U163" s="1657" t="s">
        <v>570</v>
      </c>
      <c r="V163" s="1655" t="s">
        <v>43</v>
      </c>
      <c r="W163" s="1655" t="s">
        <v>196</v>
      </c>
    </row>
    <row r="164" spans="1:23">
      <c r="A164" s="1655" t="s">
        <v>423</v>
      </c>
      <c r="B164" s="1655" t="s">
        <v>640</v>
      </c>
      <c r="C164" s="1655" t="s">
        <v>570</v>
      </c>
      <c r="D164" s="1655" t="s">
        <v>43</v>
      </c>
      <c r="E164" s="1655" t="s">
        <v>196</v>
      </c>
      <c r="G164" s="1655" t="s">
        <v>423</v>
      </c>
      <c r="H164" s="1655" t="s">
        <v>640</v>
      </c>
      <c r="I164" s="1657" t="s">
        <v>570</v>
      </c>
      <c r="J164" s="1655" t="s">
        <v>43</v>
      </c>
      <c r="K164" s="1655" t="s">
        <v>196</v>
      </c>
      <c r="M164" s="1655" t="s">
        <v>423</v>
      </c>
      <c r="N164" s="1655" t="s">
        <v>640</v>
      </c>
      <c r="O164" s="1657">
        <v>44566</v>
      </c>
      <c r="P164" s="1655" t="s">
        <v>42</v>
      </c>
      <c r="Q164" s="1655" t="s">
        <v>196</v>
      </c>
      <c r="S164" s="1655" t="s">
        <v>423</v>
      </c>
      <c r="T164" s="1655" t="s">
        <v>640</v>
      </c>
      <c r="U164" s="1657" t="s">
        <v>570</v>
      </c>
      <c r="V164" s="1655" t="s">
        <v>43</v>
      </c>
      <c r="W164" s="1655" t="s">
        <v>196</v>
      </c>
    </row>
    <row r="165" spans="1:23">
      <c r="A165" s="1655" t="s">
        <v>423</v>
      </c>
      <c r="B165" s="1655" t="s">
        <v>641</v>
      </c>
      <c r="C165" s="1655" t="s">
        <v>570</v>
      </c>
      <c r="D165" s="1655" t="s">
        <v>43</v>
      </c>
      <c r="E165" s="1655" t="s">
        <v>196</v>
      </c>
      <c r="G165" s="1655" t="s">
        <v>423</v>
      </c>
      <c r="H165" s="1655" t="s">
        <v>641</v>
      </c>
      <c r="I165" s="1655" t="s">
        <v>570</v>
      </c>
      <c r="J165" s="1655" t="s">
        <v>43</v>
      </c>
      <c r="K165" s="1655" t="s">
        <v>196</v>
      </c>
      <c r="M165" s="1655" t="s">
        <v>423</v>
      </c>
      <c r="N165" s="1655" t="s">
        <v>641</v>
      </c>
      <c r="O165" s="1655" t="s">
        <v>570</v>
      </c>
      <c r="P165" s="1655" t="s">
        <v>43</v>
      </c>
      <c r="Q165" s="1655" t="s">
        <v>196</v>
      </c>
      <c r="S165" s="1655" t="s">
        <v>423</v>
      </c>
      <c r="T165" s="1655" t="s">
        <v>641</v>
      </c>
      <c r="U165" s="1655" t="s">
        <v>570</v>
      </c>
      <c r="V165" s="1655" t="s">
        <v>43</v>
      </c>
      <c r="W165" s="1655" t="s">
        <v>196</v>
      </c>
    </row>
    <row r="166" spans="1:23">
      <c r="A166" s="1655" t="s">
        <v>423</v>
      </c>
      <c r="B166" s="1655" t="s">
        <v>642</v>
      </c>
      <c r="C166" s="1655" t="s">
        <v>570</v>
      </c>
      <c r="D166" s="1655" t="s">
        <v>43</v>
      </c>
      <c r="E166" s="1655" t="s">
        <v>196</v>
      </c>
      <c r="G166" s="1655" t="s">
        <v>423</v>
      </c>
      <c r="H166" s="1655" t="s">
        <v>642</v>
      </c>
      <c r="I166" s="1655" t="s">
        <v>570</v>
      </c>
      <c r="J166" s="1655" t="s">
        <v>43</v>
      </c>
      <c r="K166" s="1655" t="s">
        <v>196</v>
      </c>
      <c r="M166" s="1655" t="s">
        <v>423</v>
      </c>
      <c r="N166" s="1655" t="s">
        <v>642</v>
      </c>
      <c r="O166" s="1655" t="s">
        <v>570</v>
      </c>
      <c r="P166" s="1655" t="s">
        <v>43</v>
      </c>
      <c r="Q166" s="1655" t="s">
        <v>196</v>
      </c>
      <c r="S166" s="1655" t="s">
        <v>423</v>
      </c>
      <c r="T166" s="1655" t="s">
        <v>642</v>
      </c>
      <c r="U166" s="1655" t="s">
        <v>570</v>
      </c>
      <c r="V166" s="1655" t="s">
        <v>43</v>
      </c>
      <c r="W166" s="1655" t="s">
        <v>196</v>
      </c>
    </row>
    <row r="167" spans="1:23">
      <c r="A167" s="1655" t="s">
        <v>423</v>
      </c>
      <c r="B167" s="1655" t="s">
        <v>987</v>
      </c>
      <c r="C167" s="1655" t="s">
        <v>0</v>
      </c>
      <c r="D167" s="1655" t="s">
        <v>42</v>
      </c>
      <c r="E167" s="1655" t="s">
        <v>196</v>
      </c>
      <c r="G167" s="1655" t="s">
        <v>423</v>
      </c>
      <c r="H167" s="1655" t="s">
        <v>987</v>
      </c>
      <c r="I167" s="1655" t="s">
        <v>0</v>
      </c>
      <c r="J167" s="1655" t="s">
        <v>42</v>
      </c>
      <c r="K167" s="1655" t="s">
        <v>196</v>
      </c>
      <c r="M167" s="1655" t="s">
        <v>423</v>
      </c>
      <c r="N167" s="1655" t="s">
        <v>987</v>
      </c>
      <c r="O167" s="1655" t="s">
        <v>0</v>
      </c>
      <c r="P167" s="1655" t="s">
        <v>42</v>
      </c>
      <c r="Q167" s="1655" t="s">
        <v>196</v>
      </c>
      <c r="S167" s="1655" t="s">
        <v>423</v>
      </c>
      <c r="T167" s="1655" t="s">
        <v>987</v>
      </c>
      <c r="U167" s="1655" t="s">
        <v>0</v>
      </c>
      <c r="V167" s="1655" t="s">
        <v>42</v>
      </c>
      <c r="W167" s="1655" t="s">
        <v>196</v>
      </c>
    </row>
    <row r="168" spans="1:23">
      <c r="A168" s="1655" t="s">
        <v>423</v>
      </c>
      <c r="B168" s="1655" t="s">
        <v>988</v>
      </c>
      <c r="C168" s="1655" t="s">
        <v>0</v>
      </c>
      <c r="D168" s="1655" t="s">
        <v>42</v>
      </c>
      <c r="E168" s="1655" t="s">
        <v>196</v>
      </c>
      <c r="G168" s="1655" t="s">
        <v>423</v>
      </c>
      <c r="H168" s="1655" t="s">
        <v>988</v>
      </c>
      <c r="I168" s="1655" t="s">
        <v>0</v>
      </c>
      <c r="J168" s="1655" t="s">
        <v>42</v>
      </c>
      <c r="K168" s="1655" t="s">
        <v>196</v>
      </c>
      <c r="M168" s="1655" t="s">
        <v>423</v>
      </c>
      <c r="N168" s="1655" t="s">
        <v>988</v>
      </c>
      <c r="O168" s="1655" t="s">
        <v>0</v>
      </c>
      <c r="P168" s="1655" t="s">
        <v>42</v>
      </c>
      <c r="Q168" s="1655" t="s">
        <v>196</v>
      </c>
      <c r="S168" s="1655" t="s">
        <v>423</v>
      </c>
      <c r="T168" s="1655" t="s">
        <v>988</v>
      </c>
      <c r="U168" s="1655" t="s">
        <v>0</v>
      </c>
      <c r="V168" s="1655" t="s">
        <v>42</v>
      </c>
      <c r="W168" s="1655" t="s">
        <v>196</v>
      </c>
    </row>
    <row r="169" spans="1:23">
      <c r="A169" s="1655" t="s">
        <v>423</v>
      </c>
      <c r="B169" s="1655" t="s">
        <v>1090</v>
      </c>
      <c r="C169" s="1655" t="s">
        <v>0</v>
      </c>
      <c r="D169" s="1655" t="s">
        <v>42</v>
      </c>
      <c r="E169" s="1655" t="s">
        <v>196</v>
      </c>
      <c r="G169" s="1655" t="s">
        <v>423</v>
      </c>
      <c r="H169" s="1655" t="s">
        <v>1090</v>
      </c>
      <c r="I169" s="1655" t="s">
        <v>0</v>
      </c>
      <c r="J169" s="1655" t="s">
        <v>42</v>
      </c>
      <c r="K169" s="1655" t="s">
        <v>196</v>
      </c>
      <c r="M169" s="1655" t="s">
        <v>423</v>
      </c>
      <c r="N169" s="1655" t="s">
        <v>1090</v>
      </c>
      <c r="O169" s="1655" t="s">
        <v>0</v>
      </c>
      <c r="P169" s="1655" t="s">
        <v>42</v>
      </c>
      <c r="Q169" s="1655" t="s">
        <v>196</v>
      </c>
      <c r="S169" s="1655" t="s">
        <v>423</v>
      </c>
      <c r="T169" s="1655" t="s">
        <v>1090</v>
      </c>
      <c r="U169" s="1655" t="s">
        <v>0</v>
      </c>
      <c r="V169" s="1655" t="s">
        <v>42</v>
      </c>
      <c r="W169" s="1655" t="s">
        <v>196</v>
      </c>
    </row>
    <row r="170" spans="1:23">
      <c r="A170" s="1655" t="s">
        <v>423</v>
      </c>
      <c r="B170" s="1655" t="s">
        <v>643</v>
      </c>
      <c r="C170" s="1655" t="s">
        <v>0</v>
      </c>
      <c r="D170" s="1655" t="s">
        <v>42</v>
      </c>
      <c r="E170" s="1655" t="s">
        <v>196</v>
      </c>
      <c r="G170" s="1655" t="s">
        <v>423</v>
      </c>
      <c r="H170" s="1655" t="s">
        <v>643</v>
      </c>
      <c r="I170" s="1655" t="s">
        <v>0</v>
      </c>
      <c r="J170" s="1655" t="s">
        <v>42</v>
      </c>
      <c r="K170" s="1655" t="s">
        <v>196</v>
      </c>
      <c r="M170" s="1655" t="s">
        <v>423</v>
      </c>
      <c r="N170" s="1655" t="s">
        <v>643</v>
      </c>
      <c r="O170" s="1655" t="s">
        <v>0</v>
      </c>
      <c r="P170" s="1655" t="s">
        <v>42</v>
      </c>
      <c r="Q170" s="1655" t="s">
        <v>196</v>
      </c>
      <c r="S170" s="1655" t="s">
        <v>423</v>
      </c>
      <c r="T170" s="1655" t="s">
        <v>643</v>
      </c>
      <c r="U170" s="1655" t="s">
        <v>0</v>
      </c>
      <c r="V170" s="1655" t="s">
        <v>42</v>
      </c>
      <c r="W170" s="1655" t="s">
        <v>196</v>
      </c>
    </row>
    <row r="171" spans="1:23">
      <c r="A171" s="1655" t="s">
        <v>423</v>
      </c>
      <c r="B171" s="1655" t="s">
        <v>644</v>
      </c>
      <c r="C171" s="1655" t="s">
        <v>0</v>
      </c>
      <c r="D171" s="1655" t="s">
        <v>42</v>
      </c>
      <c r="E171" s="1655" t="s">
        <v>196</v>
      </c>
      <c r="G171" s="1655" t="s">
        <v>423</v>
      </c>
      <c r="H171" s="1655" t="s">
        <v>644</v>
      </c>
      <c r="I171" s="1655" t="s">
        <v>0</v>
      </c>
      <c r="J171" s="1655" t="s">
        <v>42</v>
      </c>
      <c r="K171" s="1655" t="s">
        <v>196</v>
      </c>
      <c r="M171" s="1655" t="s">
        <v>423</v>
      </c>
      <c r="N171" s="1655" t="s">
        <v>644</v>
      </c>
      <c r="O171" s="1655" t="s">
        <v>0</v>
      </c>
      <c r="P171" s="1655" t="s">
        <v>42</v>
      </c>
      <c r="Q171" s="1655" t="s">
        <v>196</v>
      </c>
      <c r="S171" s="1655" t="s">
        <v>423</v>
      </c>
      <c r="T171" s="1655" t="s">
        <v>644</v>
      </c>
      <c r="U171" s="1655" t="s">
        <v>0</v>
      </c>
      <c r="V171" s="1655" t="s">
        <v>42</v>
      </c>
      <c r="W171" s="1655" t="s">
        <v>196</v>
      </c>
    </row>
    <row r="172" spans="1:23">
      <c r="A172" s="1655" t="s">
        <v>423</v>
      </c>
      <c r="B172" s="1655" t="s">
        <v>989</v>
      </c>
      <c r="C172" s="1655" t="s">
        <v>0</v>
      </c>
      <c r="D172" s="1655" t="s">
        <v>42</v>
      </c>
      <c r="E172" s="1655" t="s">
        <v>196</v>
      </c>
      <c r="G172" s="1655" t="s">
        <v>423</v>
      </c>
      <c r="H172" s="1655" t="s">
        <v>989</v>
      </c>
      <c r="I172" s="1655" t="s">
        <v>0</v>
      </c>
      <c r="J172" s="1655" t="s">
        <v>42</v>
      </c>
      <c r="K172" s="1655" t="s">
        <v>196</v>
      </c>
      <c r="M172" s="1655" t="s">
        <v>423</v>
      </c>
      <c r="N172" s="1655" t="s">
        <v>989</v>
      </c>
      <c r="O172" s="1655" t="s">
        <v>0</v>
      </c>
      <c r="P172" s="1655" t="s">
        <v>42</v>
      </c>
      <c r="Q172" s="1655" t="s">
        <v>196</v>
      </c>
      <c r="S172" s="1655" t="s">
        <v>423</v>
      </c>
      <c r="T172" s="1655" t="s">
        <v>989</v>
      </c>
      <c r="U172" s="1655" t="s">
        <v>0</v>
      </c>
      <c r="V172" s="1655" t="s">
        <v>42</v>
      </c>
      <c r="W172" s="1655" t="s">
        <v>196</v>
      </c>
    </row>
    <row r="173" spans="1:23">
      <c r="A173" s="1655" t="s">
        <v>423</v>
      </c>
      <c r="B173" s="1655" t="s">
        <v>997</v>
      </c>
      <c r="C173" s="1655" t="s">
        <v>570</v>
      </c>
      <c r="D173" s="1655" t="s">
        <v>43</v>
      </c>
      <c r="E173" s="1655" t="s">
        <v>196</v>
      </c>
      <c r="G173" s="1655" t="s">
        <v>423</v>
      </c>
      <c r="H173" s="1655" t="s">
        <v>997</v>
      </c>
      <c r="I173" s="1657" t="s">
        <v>570</v>
      </c>
      <c r="J173" s="1655" t="s">
        <v>43</v>
      </c>
      <c r="K173" s="1655" t="s">
        <v>196</v>
      </c>
      <c r="M173" s="1655" t="s">
        <v>423</v>
      </c>
      <c r="N173" s="1655" t="s">
        <v>997</v>
      </c>
      <c r="O173" s="1657">
        <v>44566</v>
      </c>
      <c r="P173" s="1655" t="s">
        <v>42</v>
      </c>
      <c r="Q173" s="1655" t="s">
        <v>196</v>
      </c>
      <c r="S173" s="1655" t="s">
        <v>423</v>
      </c>
      <c r="T173" s="1655" t="s">
        <v>997</v>
      </c>
      <c r="U173" s="1657" t="s">
        <v>570</v>
      </c>
      <c r="V173" s="1655" t="s">
        <v>43</v>
      </c>
      <c r="W173" s="1655" t="s">
        <v>196</v>
      </c>
    </row>
    <row r="174" spans="1:23">
      <c r="A174" s="1655" t="s">
        <v>423</v>
      </c>
      <c r="B174" s="1655" t="s">
        <v>998</v>
      </c>
      <c r="C174" s="1655" t="s">
        <v>570</v>
      </c>
      <c r="D174" s="1655" t="s">
        <v>43</v>
      </c>
      <c r="E174" s="1655" t="s">
        <v>196</v>
      </c>
      <c r="G174" s="1655" t="s">
        <v>423</v>
      </c>
      <c r="H174" s="1655" t="s">
        <v>998</v>
      </c>
      <c r="I174" s="1655" t="s">
        <v>570</v>
      </c>
      <c r="J174" s="1655" t="s">
        <v>43</v>
      </c>
      <c r="K174" s="1655" t="s">
        <v>196</v>
      </c>
      <c r="M174" s="1655" t="s">
        <v>423</v>
      </c>
      <c r="N174" s="1655" t="s">
        <v>998</v>
      </c>
      <c r="O174" s="1655" t="s">
        <v>570</v>
      </c>
      <c r="P174" s="1655" t="s">
        <v>43</v>
      </c>
      <c r="Q174" s="1655" t="s">
        <v>196</v>
      </c>
      <c r="S174" s="1655" t="s">
        <v>423</v>
      </c>
      <c r="T174" s="1655" t="s">
        <v>998</v>
      </c>
      <c r="U174" s="1655" t="s">
        <v>570</v>
      </c>
      <c r="V174" s="1655" t="s">
        <v>43</v>
      </c>
      <c r="W174" s="1655" t="s">
        <v>196</v>
      </c>
    </row>
    <row r="175" spans="1:23">
      <c r="A175" s="1655" t="s">
        <v>70</v>
      </c>
      <c r="B175" s="1655" t="s">
        <v>2621</v>
      </c>
      <c r="C175" s="1655" t="s">
        <v>2638</v>
      </c>
      <c r="D175" s="1655" t="s">
        <v>42</v>
      </c>
      <c r="E175" s="1655" t="s">
        <v>569</v>
      </c>
      <c r="G175" s="1655" t="s">
        <v>70</v>
      </c>
      <c r="H175" s="1655" t="s">
        <v>2621</v>
      </c>
      <c r="I175" s="1655" t="s">
        <v>2662</v>
      </c>
      <c r="J175" s="1655" t="s">
        <v>42</v>
      </c>
      <c r="K175" s="1655" t="s">
        <v>569</v>
      </c>
      <c r="M175" s="1655" t="s">
        <v>70</v>
      </c>
      <c r="N175" s="1655" t="s">
        <v>2621</v>
      </c>
      <c r="O175" s="1655" t="s">
        <v>2662</v>
      </c>
      <c r="P175" s="1655" t="s">
        <v>42</v>
      </c>
      <c r="Q175" s="1655" t="s">
        <v>569</v>
      </c>
      <c r="S175" s="1655" t="s">
        <v>70</v>
      </c>
      <c r="T175" s="1655" t="s">
        <v>2621</v>
      </c>
      <c r="U175" s="1655" t="s">
        <v>2683</v>
      </c>
      <c r="V175" s="1655" t="s">
        <v>42</v>
      </c>
      <c r="W175" s="1655" t="s">
        <v>569</v>
      </c>
    </row>
    <row r="176" spans="1:23">
      <c r="A176" s="1655" t="s">
        <v>70</v>
      </c>
      <c r="B176" s="1655" t="s">
        <v>2622</v>
      </c>
      <c r="C176" s="1655" t="s">
        <v>418</v>
      </c>
      <c r="D176" s="1655" t="s">
        <v>42</v>
      </c>
      <c r="E176" s="1655" t="s">
        <v>569</v>
      </c>
      <c r="G176" s="1655" t="s">
        <v>70</v>
      </c>
      <c r="H176" s="1655" t="s">
        <v>2622</v>
      </c>
      <c r="I176" s="1655" t="s">
        <v>418</v>
      </c>
      <c r="J176" s="1655" t="s">
        <v>42</v>
      </c>
      <c r="K176" s="1655" t="s">
        <v>569</v>
      </c>
      <c r="M176" s="1655" t="s">
        <v>70</v>
      </c>
      <c r="N176" s="1655" t="s">
        <v>2622</v>
      </c>
      <c r="O176" s="1655" t="s">
        <v>418</v>
      </c>
      <c r="P176" s="1655" t="s">
        <v>42</v>
      </c>
      <c r="Q176" s="1655" t="s">
        <v>569</v>
      </c>
      <c r="S176" s="1655" t="s">
        <v>70</v>
      </c>
      <c r="T176" s="1655" t="s">
        <v>2622</v>
      </c>
      <c r="U176" s="1655" t="s">
        <v>51</v>
      </c>
      <c r="V176" s="1655" t="s">
        <v>42</v>
      </c>
      <c r="W176" s="1655" t="s">
        <v>569</v>
      </c>
    </row>
    <row r="177" spans="1:23">
      <c r="A177" s="1655" t="s">
        <v>70</v>
      </c>
      <c r="B177" s="1655" t="s">
        <v>2623</v>
      </c>
      <c r="C177" s="1655" t="s">
        <v>2587</v>
      </c>
      <c r="D177" s="1655" t="s">
        <v>42</v>
      </c>
      <c r="E177" s="1655" t="s">
        <v>569</v>
      </c>
      <c r="G177" s="1655" t="s">
        <v>70</v>
      </c>
      <c r="H177" s="1655" t="s">
        <v>2623</v>
      </c>
      <c r="I177" s="1655" t="s">
        <v>419</v>
      </c>
      <c r="J177" s="1655" t="s">
        <v>42</v>
      </c>
      <c r="K177" s="1655" t="s">
        <v>569</v>
      </c>
      <c r="M177" s="1655" t="s">
        <v>70</v>
      </c>
      <c r="N177" s="1655" t="s">
        <v>2623</v>
      </c>
      <c r="O177" s="1655" t="s">
        <v>419</v>
      </c>
      <c r="P177" s="1655" t="s">
        <v>42</v>
      </c>
      <c r="Q177" s="1655" t="s">
        <v>569</v>
      </c>
      <c r="S177" s="1655" t="s">
        <v>70</v>
      </c>
      <c r="T177" s="1655" t="s">
        <v>2623</v>
      </c>
      <c r="U177" s="1655" t="s">
        <v>51</v>
      </c>
      <c r="V177" s="1655" t="s">
        <v>42</v>
      </c>
      <c r="W177" s="1655" t="s">
        <v>569</v>
      </c>
    </row>
    <row r="178" spans="1:23">
      <c r="A178" s="1655" t="s">
        <v>70</v>
      </c>
      <c r="B178" s="1655" t="s">
        <v>2624</v>
      </c>
      <c r="C178" s="1655" t="s">
        <v>2637</v>
      </c>
      <c r="D178" s="1655" t="s">
        <v>42</v>
      </c>
      <c r="E178" s="1655" t="s">
        <v>569</v>
      </c>
      <c r="G178" s="1655" t="s">
        <v>70</v>
      </c>
      <c r="H178" s="1655" t="s">
        <v>2624</v>
      </c>
      <c r="I178" s="1655" t="s">
        <v>2637</v>
      </c>
      <c r="J178" s="1655" t="s">
        <v>42</v>
      </c>
      <c r="K178" s="1655" t="s">
        <v>569</v>
      </c>
      <c r="M178" s="1655" t="s">
        <v>70</v>
      </c>
      <c r="N178" s="1655" t="s">
        <v>2624</v>
      </c>
      <c r="O178" s="1655" t="s">
        <v>2637</v>
      </c>
      <c r="P178" s="1655" t="s">
        <v>42</v>
      </c>
      <c r="Q178" s="1655" t="s">
        <v>569</v>
      </c>
      <c r="S178" s="1655" t="s">
        <v>70</v>
      </c>
      <c r="T178" s="1655" t="s">
        <v>2624</v>
      </c>
      <c r="U178" s="1655" t="s">
        <v>51</v>
      </c>
      <c r="V178" s="1655" t="s">
        <v>42</v>
      </c>
      <c r="W178" s="1655" t="s">
        <v>569</v>
      </c>
    </row>
    <row r="179" spans="1:23">
      <c r="A179" s="1655" t="s">
        <v>70</v>
      </c>
      <c r="B179" s="1655" t="s">
        <v>2625</v>
      </c>
      <c r="C179" s="1655" t="s">
        <v>2634</v>
      </c>
      <c r="D179" s="1655" t="s">
        <v>42</v>
      </c>
      <c r="E179" s="1655" t="s">
        <v>569</v>
      </c>
      <c r="G179" s="1655" t="s">
        <v>70</v>
      </c>
      <c r="H179" s="1655" t="s">
        <v>2625</v>
      </c>
      <c r="I179" s="1655" t="s">
        <v>2634</v>
      </c>
      <c r="J179" s="1655" t="s">
        <v>42</v>
      </c>
      <c r="K179" s="1655" t="s">
        <v>569</v>
      </c>
      <c r="M179" s="1655" t="s">
        <v>70</v>
      </c>
      <c r="N179" s="1655" t="s">
        <v>2625</v>
      </c>
      <c r="O179" s="1655" t="s">
        <v>2634</v>
      </c>
      <c r="P179" s="1655" t="s">
        <v>42</v>
      </c>
      <c r="Q179" s="1655" t="s">
        <v>569</v>
      </c>
      <c r="S179" s="1655" t="s">
        <v>70</v>
      </c>
      <c r="T179" s="1655" t="s">
        <v>2625</v>
      </c>
      <c r="U179" s="1655" t="s">
        <v>51</v>
      </c>
      <c r="V179" s="1655" t="s">
        <v>42</v>
      </c>
      <c r="W179" s="1655" t="s">
        <v>569</v>
      </c>
    </row>
    <row r="180" spans="1:23">
      <c r="A180" s="1655" t="s">
        <v>70</v>
      </c>
      <c r="B180" s="1655" t="s">
        <v>2626</v>
      </c>
      <c r="C180" s="1655" t="s">
        <v>419</v>
      </c>
      <c r="D180" s="1655" t="s">
        <v>42</v>
      </c>
      <c r="E180" s="1655" t="s">
        <v>569</v>
      </c>
      <c r="G180" s="1655" t="s">
        <v>70</v>
      </c>
      <c r="H180" s="1655" t="s">
        <v>2626</v>
      </c>
      <c r="I180" s="1655" t="s">
        <v>51</v>
      </c>
      <c r="J180" s="1655" t="s">
        <v>42</v>
      </c>
      <c r="K180" s="1655" t="s">
        <v>569</v>
      </c>
      <c r="M180" s="1655" t="s">
        <v>70</v>
      </c>
      <c r="N180" s="1655" t="s">
        <v>2626</v>
      </c>
      <c r="O180" s="1655" t="s">
        <v>2587</v>
      </c>
      <c r="P180" s="1655" t="s">
        <v>42</v>
      </c>
      <c r="Q180" s="1655" t="s">
        <v>569</v>
      </c>
      <c r="S180" s="1655" t="s">
        <v>70</v>
      </c>
      <c r="T180" s="1655" t="s">
        <v>2626</v>
      </c>
      <c r="U180" s="1655" t="s">
        <v>51</v>
      </c>
      <c r="V180" s="1655" t="s">
        <v>42</v>
      </c>
      <c r="W180" s="1655" t="s">
        <v>569</v>
      </c>
    </row>
    <row r="181" spans="1:23">
      <c r="A181" s="1655" t="s">
        <v>70</v>
      </c>
      <c r="B181" s="1655" t="s">
        <v>2627</v>
      </c>
      <c r="C181" s="1655" t="s">
        <v>51</v>
      </c>
      <c r="D181" s="1655" t="s">
        <v>42</v>
      </c>
      <c r="E181" s="1655" t="s">
        <v>569</v>
      </c>
      <c r="G181" s="1655" t="s">
        <v>70</v>
      </c>
      <c r="H181" s="1655" t="s">
        <v>2627</v>
      </c>
      <c r="I181" s="1655" t="s">
        <v>51</v>
      </c>
      <c r="J181" s="1655" t="s">
        <v>42</v>
      </c>
      <c r="K181" s="1655" t="s">
        <v>569</v>
      </c>
      <c r="M181" s="1655" t="s">
        <v>70</v>
      </c>
      <c r="N181" s="1655" t="s">
        <v>2627</v>
      </c>
      <c r="O181" s="1655" t="s">
        <v>51</v>
      </c>
      <c r="P181" s="1655" t="s">
        <v>42</v>
      </c>
      <c r="Q181" s="1655" t="s">
        <v>569</v>
      </c>
      <c r="S181" s="1655" t="s">
        <v>70</v>
      </c>
      <c r="T181" s="1655" t="s">
        <v>2627</v>
      </c>
      <c r="U181" s="1655" t="s">
        <v>51</v>
      </c>
      <c r="V181" s="1655" t="s">
        <v>42</v>
      </c>
      <c r="W181" s="1655" t="s">
        <v>569</v>
      </c>
    </row>
    <row r="182" spans="1:23">
      <c r="A182" s="1655" t="s">
        <v>70</v>
      </c>
      <c r="B182" s="1655" t="s">
        <v>2628</v>
      </c>
      <c r="C182" s="1655" t="s">
        <v>51</v>
      </c>
      <c r="D182" s="1655" t="s">
        <v>42</v>
      </c>
      <c r="E182" s="1655" t="s">
        <v>569</v>
      </c>
      <c r="G182" s="1655" t="s">
        <v>70</v>
      </c>
      <c r="H182" s="1655" t="s">
        <v>2628</v>
      </c>
      <c r="I182" s="1655" t="s">
        <v>51</v>
      </c>
      <c r="J182" s="1655" t="s">
        <v>42</v>
      </c>
      <c r="K182" s="1655" t="s">
        <v>569</v>
      </c>
      <c r="M182" s="1655" t="s">
        <v>70</v>
      </c>
      <c r="N182" s="1655" t="s">
        <v>2628</v>
      </c>
      <c r="O182" s="1655" t="s">
        <v>51</v>
      </c>
      <c r="P182" s="1655" t="s">
        <v>42</v>
      </c>
      <c r="Q182" s="1655" t="s">
        <v>569</v>
      </c>
      <c r="S182" s="1655" t="s">
        <v>70</v>
      </c>
      <c r="T182" s="1655" t="s">
        <v>2628</v>
      </c>
      <c r="U182" s="1655" t="s">
        <v>51</v>
      </c>
      <c r="V182" s="1655" t="s">
        <v>42</v>
      </c>
      <c r="W182" s="1655" t="s">
        <v>569</v>
      </c>
    </row>
    <row r="183" spans="1:23">
      <c r="A183" s="1655" t="s">
        <v>70</v>
      </c>
      <c r="B183" s="1655" t="s">
        <v>2629</v>
      </c>
      <c r="C183" s="1655" t="s">
        <v>51</v>
      </c>
      <c r="D183" s="1655" t="s">
        <v>42</v>
      </c>
      <c r="E183" s="1655" t="s">
        <v>569</v>
      </c>
      <c r="G183" s="1655" t="s">
        <v>70</v>
      </c>
      <c r="H183" s="1655" t="s">
        <v>2629</v>
      </c>
      <c r="I183" s="1655" t="s">
        <v>51</v>
      </c>
      <c r="J183" s="1655" t="s">
        <v>42</v>
      </c>
      <c r="K183" s="1655" t="s">
        <v>569</v>
      </c>
      <c r="M183" s="1655" t="s">
        <v>70</v>
      </c>
      <c r="N183" s="1655" t="s">
        <v>2629</v>
      </c>
      <c r="O183" s="1655" t="s">
        <v>51</v>
      </c>
      <c r="P183" s="1655" t="s">
        <v>42</v>
      </c>
      <c r="Q183" s="1655" t="s">
        <v>569</v>
      </c>
      <c r="S183" s="1655" t="s">
        <v>70</v>
      </c>
      <c r="T183" s="1655" t="s">
        <v>2629</v>
      </c>
      <c r="U183" s="1655" t="s">
        <v>51</v>
      </c>
      <c r="V183" s="1655" t="s">
        <v>42</v>
      </c>
      <c r="W183" s="1655" t="s">
        <v>569</v>
      </c>
    </row>
    <row r="184" spans="1:23">
      <c r="A184" s="1655" t="s">
        <v>70</v>
      </c>
      <c r="B184" s="1655" t="s">
        <v>676</v>
      </c>
      <c r="C184" s="1655" t="s">
        <v>2641</v>
      </c>
      <c r="D184" s="1655" t="s">
        <v>42</v>
      </c>
      <c r="E184" s="1655" t="s">
        <v>569</v>
      </c>
      <c r="G184" s="1655" t="s">
        <v>70</v>
      </c>
      <c r="H184" s="1655" t="s">
        <v>676</v>
      </c>
      <c r="I184" s="1655" t="s">
        <v>2663</v>
      </c>
      <c r="J184" s="1655" t="s">
        <v>42</v>
      </c>
      <c r="K184" s="1655" t="s">
        <v>569</v>
      </c>
      <c r="M184" s="1655" t="s">
        <v>70</v>
      </c>
      <c r="N184" s="1655" t="s">
        <v>676</v>
      </c>
      <c r="O184" s="1655" t="s">
        <v>23</v>
      </c>
      <c r="P184" s="1655" t="s">
        <v>42</v>
      </c>
      <c r="Q184" s="1655" t="s">
        <v>569</v>
      </c>
      <c r="S184" s="1655" t="s">
        <v>70</v>
      </c>
      <c r="T184" s="1655" t="s">
        <v>676</v>
      </c>
      <c r="U184" s="1655" t="s">
        <v>2684</v>
      </c>
      <c r="V184" s="1655" t="s">
        <v>42</v>
      </c>
      <c r="W184" s="1655" t="s">
        <v>569</v>
      </c>
    </row>
    <row r="185" spans="1:23">
      <c r="A185" s="1655" t="s">
        <v>70</v>
      </c>
      <c r="B185" s="1655" t="s">
        <v>1524</v>
      </c>
      <c r="C185" s="1655" t="s">
        <v>2642</v>
      </c>
      <c r="D185" s="1655" t="s">
        <v>42</v>
      </c>
      <c r="E185" s="1655" t="s">
        <v>569</v>
      </c>
      <c r="G185" s="1655" t="s">
        <v>70</v>
      </c>
      <c r="H185" s="1655" t="s">
        <v>1524</v>
      </c>
      <c r="I185" s="1655" t="s">
        <v>2641</v>
      </c>
      <c r="J185" s="1655" t="s">
        <v>42</v>
      </c>
      <c r="K185" s="1655" t="s">
        <v>569</v>
      </c>
      <c r="M185" s="1655" t="s">
        <v>70</v>
      </c>
      <c r="N185" s="1655" t="s">
        <v>1524</v>
      </c>
      <c r="O185" s="1655" t="s">
        <v>38</v>
      </c>
      <c r="P185" s="1655" t="s">
        <v>42</v>
      </c>
      <c r="Q185" s="1655" t="s">
        <v>569</v>
      </c>
      <c r="S185" s="1655" t="s">
        <v>70</v>
      </c>
      <c r="T185" s="1655" t="s">
        <v>1524</v>
      </c>
      <c r="U185" s="1655" t="s">
        <v>12</v>
      </c>
      <c r="V185" s="1655" t="s">
        <v>42</v>
      </c>
      <c r="W185" s="1655" t="s">
        <v>569</v>
      </c>
    </row>
    <row r="186" spans="1:23">
      <c r="A186" s="1655" t="s">
        <v>70</v>
      </c>
      <c r="B186" s="1655" t="s">
        <v>1525</v>
      </c>
      <c r="C186" s="1655" t="s">
        <v>2639</v>
      </c>
      <c r="D186" s="1655" t="s">
        <v>42</v>
      </c>
      <c r="E186" s="1655" t="s">
        <v>569</v>
      </c>
      <c r="G186" s="1655" t="s">
        <v>70</v>
      </c>
      <c r="H186" s="1655" t="s">
        <v>1525</v>
      </c>
      <c r="I186" s="1655" t="s">
        <v>2642</v>
      </c>
      <c r="J186" s="1655" t="s">
        <v>42</v>
      </c>
      <c r="K186" s="1655" t="s">
        <v>569</v>
      </c>
      <c r="M186" s="1655" t="s">
        <v>70</v>
      </c>
      <c r="N186" s="1655" t="s">
        <v>1525</v>
      </c>
      <c r="O186" s="1655" t="s">
        <v>39</v>
      </c>
      <c r="P186" s="1655" t="s">
        <v>42</v>
      </c>
      <c r="Q186" s="1655" t="s">
        <v>569</v>
      </c>
      <c r="S186" s="1655" t="s">
        <v>70</v>
      </c>
      <c r="T186" s="1655" t="s">
        <v>1525</v>
      </c>
      <c r="U186" s="1655" t="s">
        <v>275</v>
      </c>
      <c r="V186" s="1655" t="s">
        <v>42</v>
      </c>
      <c r="W186" s="1655" t="s">
        <v>569</v>
      </c>
    </row>
    <row r="187" spans="1:23">
      <c r="A187" s="1655" t="s">
        <v>70</v>
      </c>
      <c r="B187" s="1655" t="s">
        <v>677</v>
      </c>
      <c r="C187" s="1655" t="s">
        <v>2640</v>
      </c>
      <c r="D187" s="1655" t="s">
        <v>42</v>
      </c>
      <c r="E187" s="1655" t="s">
        <v>569</v>
      </c>
      <c r="G187" s="1655" t="s">
        <v>70</v>
      </c>
      <c r="H187" s="1655" t="s">
        <v>677</v>
      </c>
      <c r="I187" s="1655" t="s">
        <v>275</v>
      </c>
      <c r="J187" s="1655" t="s">
        <v>42</v>
      </c>
      <c r="K187" s="1655" t="s">
        <v>569</v>
      </c>
      <c r="M187" s="1655" t="s">
        <v>70</v>
      </c>
      <c r="N187" s="1655" t="s">
        <v>677</v>
      </c>
      <c r="O187" s="1655" t="s">
        <v>2669</v>
      </c>
      <c r="P187" s="1655" t="s">
        <v>42</v>
      </c>
      <c r="Q187" s="1655" t="s">
        <v>569</v>
      </c>
      <c r="S187" s="1655" t="s">
        <v>70</v>
      </c>
      <c r="T187" s="1655" t="s">
        <v>677</v>
      </c>
      <c r="U187" s="1655" t="s">
        <v>275</v>
      </c>
      <c r="V187" s="1655" t="s">
        <v>42</v>
      </c>
      <c r="W187" s="1655" t="s">
        <v>569</v>
      </c>
    </row>
    <row r="188" spans="1:23">
      <c r="A188" s="1655" t="s">
        <v>70</v>
      </c>
      <c r="B188" s="1655" t="s">
        <v>678</v>
      </c>
      <c r="C188" s="1655" t="s">
        <v>23</v>
      </c>
      <c r="D188" s="1655" t="s">
        <v>42</v>
      </c>
      <c r="E188" s="1655" t="s">
        <v>569</v>
      </c>
      <c r="G188" s="1655" t="s">
        <v>70</v>
      </c>
      <c r="H188" s="1655" t="s">
        <v>678</v>
      </c>
      <c r="I188" s="1655" t="s">
        <v>275</v>
      </c>
      <c r="J188" s="1655" t="s">
        <v>42</v>
      </c>
      <c r="K188" s="1655" t="s">
        <v>569</v>
      </c>
      <c r="M188" s="1655" t="s">
        <v>70</v>
      </c>
      <c r="N188" s="1655" t="s">
        <v>678</v>
      </c>
      <c r="O188" s="1655" t="s">
        <v>2640</v>
      </c>
      <c r="P188" s="1655" t="s">
        <v>42</v>
      </c>
      <c r="Q188" s="1655" t="s">
        <v>569</v>
      </c>
      <c r="S188" s="1655" t="s">
        <v>70</v>
      </c>
      <c r="T188" s="1655" t="s">
        <v>678</v>
      </c>
      <c r="U188" s="1655" t="s">
        <v>275</v>
      </c>
      <c r="V188" s="1655" t="s">
        <v>42</v>
      </c>
      <c r="W188" s="1655" t="s">
        <v>569</v>
      </c>
    </row>
    <row r="189" spans="1:23">
      <c r="A189" s="1655" t="s">
        <v>70</v>
      </c>
      <c r="B189" s="1655" t="s">
        <v>679</v>
      </c>
      <c r="C189" s="1655" t="s">
        <v>12</v>
      </c>
      <c r="D189" s="1655" t="s">
        <v>42</v>
      </c>
      <c r="E189" s="1655" t="s">
        <v>569</v>
      </c>
      <c r="G189" s="1655" t="s">
        <v>70</v>
      </c>
      <c r="H189" s="1655" t="s">
        <v>679</v>
      </c>
      <c r="I189" s="1655" t="s">
        <v>275</v>
      </c>
      <c r="J189" s="1655" t="s">
        <v>42</v>
      </c>
      <c r="K189" s="1655" t="s">
        <v>569</v>
      </c>
      <c r="M189" s="1655" t="s">
        <v>70</v>
      </c>
      <c r="N189" s="1655" t="s">
        <v>679</v>
      </c>
      <c r="O189" s="1655" t="s">
        <v>2668</v>
      </c>
      <c r="P189" s="1655" t="s">
        <v>42</v>
      </c>
      <c r="Q189" s="1655" t="s">
        <v>569</v>
      </c>
      <c r="S189" s="1655" t="s">
        <v>70</v>
      </c>
      <c r="T189" s="1655" t="s">
        <v>679</v>
      </c>
      <c r="U189" s="1655" t="s">
        <v>275</v>
      </c>
      <c r="V189" s="1655" t="s">
        <v>42</v>
      </c>
      <c r="W189" s="1655" t="s">
        <v>569</v>
      </c>
    </row>
    <row r="190" spans="1:23">
      <c r="A190" s="1655" t="s">
        <v>70</v>
      </c>
      <c r="B190" s="1655" t="s">
        <v>680</v>
      </c>
      <c r="C190" s="1655" t="s">
        <v>12</v>
      </c>
      <c r="D190" s="1655" t="s">
        <v>42</v>
      </c>
      <c r="E190" s="1655" t="s">
        <v>569</v>
      </c>
      <c r="G190" s="1655" t="s">
        <v>70</v>
      </c>
      <c r="H190" s="1655" t="s">
        <v>680</v>
      </c>
      <c r="I190" s="1655" t="s">
        <v>275</v>
      </c>
      <c r="J190" s="1655" t="s">
        <v>42</v>
      </c>
      <c r="K190" s="1655" t="s">
        <v>569</v>
      </c>
      <c r="M190" s="1655" t="s">
        <v>70</v>
      </c>
      <c r="N190" s="1655" t="s">
        <v>680</v>
      </c>
      <c r="O190" s="1655" t="s">
        <v>275</v>
      </c>
      <c r="P190" s="1655" t="s">
        <v>42</v>
      </c>
      <c r="Q190" s="1655" t="s">
        <v>569</v>
      </c>
      <c r="S190" s="1655" t="s">
        <v>70</v>
      </c>
      <c r="T190" s="1655" t="s">
        <v>680</v>
      </c>
      <c r="U190" s="1655" t="s">
        <v>275</v>
      </c>
      <c r="V190" s="1655" t="s">
        <v>42</v>
      </c>
      <c r="W190" s="1655" t="s">
        <v>569</v>
      </c>
    </row>
    <row r="191" spans="1:23">
      <c r="A191" s="1655" t="s">
        <v>70</v>
      </c>
      <c r="B191" s="1655" t="s">
        <v>681</v>
      </c>
      <c r="C191" s="1655" t="s">
        <v>38</v>
      </c>
      <c r="D191" s="1655" t="s">
        <v>42</v>
      </c>
      <c r="E191" s="1655" t="s">
        <v>569</v>
      </c>
      <c r="G191" s="1655" t="s">
        <v>70</v>
      </c>
      <c r="H191" s="1655" t="s">
        <v>681</v>
      </c>
      <c r="I191" s="1655" t="s">
        <v>12</v>
      </c>
      <c r="J191" s="1655" t="s">
        <v>42</v>
      </c>
      <c r="K191" s="1655" t="s">
        <v>569</v>
      </c>
      <c r="M191" s="1655" t="s">
        <v>70</v>
      </c>
      <c r="N191" s="1655" t="s">
        <v>681</v>
      </c>
      <c r="O191" s="1655" t="s">
        <v>12</v>
      </c>
      <c r="P191" s="1655" t="s">
        <v>42</v>
      </c>
      <c r="Q191" s="1655" t="s">
        <v>569</v>
      </c>
      <c r="S191" s="1655" t="s">
        <v>70</v>
      </c>
      <c r="T191" s="1655" t="s">
        <v>681</v>
      </c>
      <c r="U191" s="1655" t="s">
        <v>12</v>
      </c>
      <c r="V191" s="1655" t="s">
        <v>42</v>
      </c>
      <c r="W191" s="1655" t="s">
        <v>569</v>
      </c>
    </row>
    <row r="192" spans="1:23">
      <c r="A192" s="1655" t="s">
        <v>70</v>
      </c>
      <c r="B192" s="1655" t="s">
        <v>682</v>
      </c>
      <c r="C192" s="1655" t="s">
        <v>39</v>
      </c>
      <c r="D192" s="1655" t="s">
        <v>42</v>
      </c>
      <c r="E192" s="1655" t="s">
        <v>569</v>
      </c>
      <c r="G192" s="1655" t="s">
        <v>70</v>
      </c>
      <c r="H192" s="1655" t="s">
        <v>682</v>
      </c>
      <c r="I192" s="1655" t="s">
        <v>275</v>
      </c>
      <c r="J192" s="1655" t="s">
        <v>42</v>
      </c>
      <c r="K192" s="1655" t="s">
        <v>569</v>
      </c>
      <c r="M192" s="1655" t="s">
        <v>70</v>
      </c>
      <c r="N192" s="1655" t="s">
        <v>682</v>
      </c>
      <c r="O192" s="1655" t="s">
        <v>275</v>
      </c>
      <c r="P192" s="1655" t="s">
        <v>42</v>
      </c>
      <c r="Q192" s="1655" t="s">
        <v>569</v>
      </c>
      <c r="S192" s="1655" t="s">
        <v>70</v>
      </c>
      <c r="T192" s="1655" t="s">
        <v>682</v>
      </c>
      <c r="U192" s="1655" t="s">
        <v>275</v>
      </c>
      <c r="V192" s="1655" t="s">
        <v>42</v>
      </c>
      <c r="W192" s="1655" t="s">
        <v>569</v>
      </c>
    </row>
    <row r="193" spans="1:23">
      <c r="A193" s="1655" t="s">
        <v>70</v>
      </c>
      <c r="B193" s="1655" t="s">
        <v>683</v>
      </c>
      <c r="C193" s="1655" t="s">
        <v>12</v>
      </c>
      <c r="D193" s="1655" t="s">
        <v>42</v>
      </c>
      <c r="E193" s="1655" t="s">
        <v>569</v>
      </c>
      <c r="G193" s="1655" t="s">
        <v>70</v>
      </c>
      <c r="H193" s="1655" t="s">
        <v>683</v>
      </c>
      <c r="I193" s="1655" t="s">
        <v>12</v>
      </c>
      <c r="J193" s="1655" t="s">
        <v>42</v>
      </c>
      <c r="K193" s="1655" t="s">
        <v>569</v>
      </c>
      <c r="M193" s="1655" t="s">
        <v>70</v>
      </c>
      <c r="N193" s="1655" t="s">
        <v>683</v>
      </c>
      <c r="O193" s="1655" t="s">
        <v>12</v>
      </c>
      <c r="P193" s="1655" t="s">
        <v>42</v>
      </c>
      <c r="Q193" s="1655" t="s">
        <v>569</v>
      </c>
      <c r="S193" s="1655" t="s">
        <v>70</v>
      </c>
      <c r="T193" s="1655" t="s">
        <v>683</v>
      </c>
      <c r="U193" s="1655" t="s">
        <v>12</v>
      </c>
      <c r="V193" s="1655" t="s">
        <v>42</v>
      </c>
      <c r="W193" s="1655" t="s">
        <v>569</v>
      </c>
    </row>
    <row r="194" spans="1:23">
      <c r="A194" s="1655" t="s">
        <v>70</v>
      </c>
      <c r="B194" s="1655" t="s">
        <v>684</v>
      </c>
      <c r="C194" s="1655" t="s">
        <v>12</v>
      </c>
      <c r="D194" s="1655" t="s">
        <v>42</v>
      </c>
      <c r="E194" s="1655" t="s">
        <v>569</v>
      </c>
      <c r="G194" s="1655" t="s">
        <v>70</v>
      </c>
      <c r="H194" s="1655" t="s">
        <v>684</v>
      </c>
      <c r="I194" s="1655" t="s">
        <v>12</v>
      </c>
      <c r="J194" s="1655" t="s">
        <v>42</v>
      </c>
      <c r="K194" s="1655" t="s">
        <v>569</v>
      </c>
      <c r="M194" s="1655" t="s">
        <v>70</v>
      </c>
      <c r="N194" s="1655" t="s">
        <v>684</v>
      </c>
      <c r="O194" s="1655" t="s">
        <v>12</v>
      </c>
      <c r="P194" s="1655" t="s">
        <v>42</v>
      </c>
      <c r="Q194" s="1655" t="s">
        <v>569</v>
      </c>
      <c r="S194" s="1655" t="s">
        <v>70</v>
      </c>
      <c r="T194" s="1655" t="s">
        <v>684</v>
      </c>
      <c r="U194" s="1655" t="s">
        <v>12</v>
      </c>
      <c r="V194" s="1655" t="s">
        <v>42</v>
      </c>
      <c r="W194" s="1655" t="s">
        <v>569</v>
      </c>
    </row>
    <row r="195" spans="1:23">
      <c r="A195" s="1655" t="s">
        <v>70</v>
      </c>
      <c r="B195" s="1655" t="s">
        <v>1526</v>
      </c>
      <c r="C195" s="1655" t="s">
        <v>13</v>
      </c>
      <c r="D195" s="1655" t="s">
        <v>42</v>
      </c>
      <c r="E195" s="1655" t="s">
        <v>569</v>
      </c>
      <c r="G195" s="1655" t="s">
        <v>70</v>
      </c>
      <c r="H195" s="1655" t="s">
        <v>1526</v>
      </c>
      <c r="I195" s="1655" t="s">
        <v>2389</v>
      </c>
      <c r="J195" s="1655" t="s">
        <v>42</v>
      </c>
      <c r="K195" s="1655" t="s">
        <v>569</v>
      </c>
      <c r="M195" s="1655" t="s">
        <v>70</v>
      </c>
      <c r="N195" s="1655" t="s">
        <v>1526</v>
      </c>
      <c r="O195" s="1655" t="s">
        <v>2290</v>
      </c>
      <c r="P195" s="1655" t="s">
        <v>42</v>
      </c>
      <c r="Q195" s="1655" t="s">
        <v>569</v>
      </c>
      <c r="S195" s="1655" t="s">
        <v>70</v>
      </c>
      <c r="T195" s="1655" t="s">
        <v>1526</v>
      </c>
      <c r="U195" s="1655" t="s">
        <v>12</v>
      </c>
      <c r="V195" s="1655" t="s">
        <v>42</v>
      </c>
      <c r="W195" s="1655" t="s">
        <v>569</v>
      </c>
    </row>
    <row r="196" spans="1:23">
      <c r="A196" s="1655" t="s">
        <v>70</v>
      </c>
      <c r="B196" s="1655" t="s">
        <v>1527</v>
      </c>
      <c r="C196" s="1655" t="s">
        <v>2290</v>
      </c>
      <c r="D196" s="1655" t="s">
        <v>42</v>
      </c>
      <c r="E196" s="1655" t="s">
        <v>569</v>
      </c>
      <c r="G196" s="1655" t="s">
        <v>70</v>
      </c>
      <c r="H196" s="1655" t="s">
        <v>1527</v>
      </c>
      <c r="I196" s="1655" t="s">
        <v>12</v>
      </c>
      <c r="J196" s="1655" t="s">
        <v>42</v>
      </c>
      <c r="K196" s="1655" t="s">
        <v>569</v>
      </c>
      <c r="M196" s="1655" t="s">
        <v>70</v>
      </c>
      <c r="N196" s="1655" t="s">
        <v>1527</v>
      </c>
      <c r="O196" s="1655" t="s">
        <v>2671</v>
      </c>
      <c r="P196" s="1655" t="s">
        <v>42</v>
      </c>
      <c r="Q196" s="1655" t="s">
        <v>569</v>
      </c>
      <c r="S196" s="1655" t="s">
        <v>70</v>
      </c>
      <c r="T196" s="1655" t="s">
        <v>1527</v>
      </c>
      <c r="U196" s="1655" t="s">
        <v>12</v>
      </c>
      <c r="V196" s="1655" t="s">
        <v>42</v>
      </c>
      <c r="W196" s="1655" t="s">
        <v>569</v>
      </c>
    </row>
    <row r="197" spans="1:23">
      <c r="A197" s="1655" t="s">
        <v>70</v>
      </c>
      <c r="B197" s="1655" t="s">
        <v>685</v>
      </c>
      <c r="C197" s="1655" t="s">
        <v>14</v>
      </c>
      <c r="D197" s="1655" t="s">
        <v>42</v>
      </c>
      <c r="E197" s="1655" t="s">
        <v>569</v>
      </c>
      <c r="G197" s="1655" t="s">
        <v>70</v>
      </c>
      <c r="H197" s="1655" t="s">
        <v>685</v>
      </c>
      <c r="I197" s="1655" t="s">
        <v>12</v>
      </c>
      <c r="J197" s="1655" t="s">
        <v>42</v>
      </c>
      <c r="K197" s="1655" t="s">
        <v>569</v>
      </c>
      <c r="M197" s="1655" t="s">
        <v>70</v>
      </c>
      <c r="N197" s="1655" t="s">
        <v>685</v>
      </c>
      <c r="O197" s="1655" t="s">
        <v>12</v>
      </c>
      <c r="P197" s="1655" t="s">
        <v>42</v>
      </c>
      <c r="Q197" s="1655" t="s">
        <v>569</v>
      </c>
      <c r="S197" s="1655" t="s">
        <v>70</v>
      </c>
      <c r="T197" s="1655" t="s">
        <v>685</v>
      </c>
      <c r="U197" s="1655" t="s">
        <v>275</v>
      </c>
      <c r="V197" s="1655" t="s">
        <v>42</v>
      </c>
      <c r="W197" s="1655" t="s">
        <v>569</v>
      </c>
    </row>
    <row r="198" spans="1:23">
      <c r="A198" s="1655" t="s">
        <v>70</v>
      </c>
      <c r="B198" s="1655" t="s">
        <v>686</v>
      </c>
      <c r="C198" s="1655" t="s">
        <v>12</v>
      </c>
      <c r="D198" s="1655" t="s">
        <v>42</v>
      </c>
      <c r="E198" s="1655" t="s">
        <v>569</v>
      </c>
      <c r="G198" s="1655" t="s">
        <v>70</v>
      </c>
      <c r="H198" s="1655" t="s">
        <v>686</v>
      </c>
      <c r="I198" s="1655" t="s">
        <v>12</v>
      </c>
      <c r="J198" s="1655" t="s">
        <v>42</v>
      </c>
      <c r="K198" s="1655" t="s">
        <v>569</v>
      </c>
      <c r="M198" s="1655" t="s">
        <v>70</v>
      </c>
      <c r="N198" s="1655" t="s">
        <v>686</v>
      </c>
      <c r="O198" s="1655" t="s">
        <v>12</v>
      </c>
      <c r="P198" s="1655" t="s">
        <v>42</v>
      </c>
      <c r="Q198" s="1655" t="s">
        <v>569</v>
      </c>
      <c r="S198" s="1655" t="s">
        <v>70</v>
      </c>
      <c r="T198" s="1655" t="s">
        <v>686</v>
      </c>
      <c r="U198" s="1655" t="s">
        <v>275</v>
      </c>
      <c r="V198" s="1655" t="s">
        <v>42</v>
      </c>
      <c r="W198" s="1655" t="s">
        <v>569</v>
      </c>
    </row>
    <row r="199" spans="1:23">
      <c r="A199" s="1655" t="s">
        <v>70</v>
      </c>
      <c r="B199" s="1655" t="s">
        <v>687</v>
      </c>
      <c r="C199" s="1655" t="s">
        <v>2291</v>
      </c>
      <c r="D199" s="1655" t="s">
        <v>42</v>
      </c>
      <c r="E199" s="1655" t="s">
        <v>569</v>
      </c>
      <c r="G199" s="1655" t="s">
        <v>70</v>
      </c>
      <c r="H199" s="1655" t="s">
        <v>687</v>
      </c>
      <c r="I199" s="1655" t="s">
        <v>2291</v>
      </c>
      <c r="J199" s="1655" t="s">
        <v>42</v>
      </c>
      <c r="K199" s="1655" t="s">
        <v>569</v>
      </c>
      <c r="M199" s="1655" t="s">
        <v>70</v>
      </c>
      <c r="N199" s="1655" t="s">
        <v>687</v>
      </c>
      <c r="O199" s="1655" t="s">
        <v>2291</v>
      </c>
      <c r="P199" s="1655" t="s">
        <v>42</v>
      </c>
      <c r="Q199" s="1655" t="s">
        <v>569</v>
      </c>
      <c r="S199" s="1655" t="s">
        <v>70</v>
      </c>
      <c r="T199" s="1655" t="s">
        <v>687</v>
      </c>
      <c r="U199" s="1655" t="s">
        <v>275</v>
      </c>
      <c r="V199" s="1655" t="s">
        <v>42</v>
      </c>
      <c r="W199" s="1655" t="s">
        <v>569</v>
      </c>
    </row>
    <row r="200" spans="1:23">
      <c r="A200" s="1655" t="s">
        <v>70</v>
      </c>
      <c r="B200" s="1655" t="s">
        <v>1528</v>
      </c>
      <c r="C200" s="1655" t="s">
        <v>15</v>
      </c>
      <c r="D200" s="1655" t="s">
        <v>42</v>
      </c>
      <c r="E200" s="1655" t="s">
        <v>569</v>
      </c>
      <c r="G200" s="1655" t="s">
        <v>70</v>
      </c>
      <c r="H200" s="1655" t="s">
        <v>1528</v>
      </c>
      <c r="I200" s="1655" t="s">
        <v>15</v>
      </c>
      <c r="J200" s="1655" t="s">
        <v>42</v>
      </c>
      <c r="K200" s="1655" t="s">
        <v>569</v>
      </c>
      <c r="M200" s="1655" t="s">
        <v>70</v>
      </c>
      <c r="N200" s="1655" t="s">
        <v>1528</v>
      </c>
      <c r="O200" s="1655" t="s">
        <v>15</v>
      </c>
      <c r="P200" s="1655" t="s">
        <v>42</v>
      </c>
      <c r="Q200" s="1655" t="s">
        <v>569</v>
      </c>
      <c r="S200" s="1655" t="s">
        <v>70</v>
      </c>
      <c r="T200" s="1655" t="s">
        <v>1528</v>
      </c>
      <c r="U200" s="1655" t="s">
        <v>275</v>
      </c>
      <c r="V200" s="1655" t="s">
        <v>42</v>
      </c>
      <c r="W200" s="1655" t="s">
        <v>569</v>
      </c>
    </row>
    <row r="201" spans="1:23">
      <c r="A201" s="1655" t="s">
        <v>70</v>
      </c>
      <c r="B201" s="1655" t="s">
        <v>1529</v>
      </c>
      <c r="C201" s="1655" t="s">
        <v>16</v>
      </c>
      <c r="D201" s="1655" t="s">
        <v>42</v>
      </c>
      <c r="E201" s="1655" t="s">
        <v>569</v>
      </c>
      <c r="G201" s="1655" t="s">
        <v>70</v>
      </c>
      <c r="H201" s="1655" t="s">
        <v>1529</v>
      </c>
      <c r="I201" s="1655" t="s">
        <v>16</v>
      </c>
      <c r="J201" s="1655" t="s">
        <v>42</v>
      </c>
      <c r="K201" s="1655" t="s">
        <v>569</v>
      </c>
      <c r="M201" s="1655" t="s">
        <v>70</v>
      </c>
      <c r="N201" s="1655" t="s">
        <v>1529</v>
      </c>
      <c r="O201" s="1655" t="s">
        <v>16</v>
      </c>
      <c r="P201" s="1655" t="s">
        <v>42</v>
      </c>
      <c r="Q201" s="1655" t="s">
        <v>569</v>
      </c>
      <c r="S201" s="1655" t="s">
        <v>70</v>
      </c>
      <c r="T201" s="1655" t="s">
        <v>1529</v>
      </c>
      <c r="U201" s="1655" t="s">
        <v>275</v>
      </c>
      <c r="V201" s="1655" t="s">
        <v>42</v>
      </c>
      <c r="W201" s="1655" t="s">
        <v>569</v>
      </c>
    </row>
    <row r="202" spans="1:23">
      <c r="A202" s="1655" t="s">
        <v>70</v>
      </c>
      <c r="B202" s="1655" t="s">
        <v>688</v>
      </c>
      <c r="C202" s="1655" t="s">
        <v>17</v>
      </c>
      <c r="D202" s="1655" t="s">
        <v>42</v>
      </c>
      <c r="E202" s="1655" t="s">
        <v>569</v>
      </c>
      <c r="G202" s="1655" t="s">
        <v>70</v>
      </c>
      <c r="H202" s="1655" t="s">
        <v>688</v>
      </c>
      <c r="I202" s="1655" t="s">
        <v>17</v>
      </c>
      <c r="J202" s="1655" t="s">
        <v>42</v>
      </c>
      <c r="K202" s="1655" t="s">
        <v>569</v>
      </c>
      <c r="M202" s="1655" t="s">
        <v>70</v>
      </c>
      <c r="N202" s="1655" t="s">
        <v>688</v>
      </c>
      <c r="O202" s="1655" t="s">
        <v>17</v>
      </c>
      <c r="P202" s="1655" t="s">
        <v>42</v>
      </c>
      <c r="Q202" s="1655" t="s">
        <v>569</v>
      </c>
      <c r="S202" s="1655" t="s">
        <v>70</v>
      </c>
      <c r="T202" s="1655" t="s">
        <v>688</v>
      </c>
      <c r="U202" s="1655" t="s">
        <v>12</v>
      </c>
      <c r="V202" s="1655" t="s">
        <v>42</v>
      </c>
      <c r="W202" s="1655" t="s">
        <v>569</v>
      </c>
    </row>
    <row r="203" spans="1:23">
      <c r="A203" s="1655" t="s">
        <v>70</v>
      </c>
      <c r="B203" s="1655" t="s">
        <v>689</v>
      </c>
      <c r="C203" s="1655" t="s">
        <v>34</v>
      </c>
      <c r="D203" s="1655" t="s">
        <v>42</v>
      </c>
      <c r="E203" s="1655" t="s">
        <v>569</v>
      </c>
      <c r="G203" s="1655" t="s">
        <v>70</v>
      </c>
      <c r="H203" s="1655" t="s">
        <v>689</v>
      </c>
      <c r="I203" s="1655" t="s">
        <v>34</v>
      </c>
      <c r="J203" s="1655" t="s">
        <v>42</v>
      </c>
      <c r="K203" s="1655" t="s">
        <v>569</v>
      </c>
      <c r="M203" s="1655" t="s">
        <v>70</v>
      </c>
      <c r="N203" s="1655" t="s">
        <v>689</v>
      </c>
      <c r="O203" s="1655" t="s">
        <v>34</v>
      </c>
      <c r="P203" s="1655" t="s">
        <v>42</v>
      </c>
      <c r="Q203" s="1655" t="s">
        <v>569</v>
      </c>
      <c r="S203" s="1655" t="s">
        <v>70</v>
      </c>
      <c r="T203" s="1655" t="s">
        <v>689</v>
      </c>
      <c r="U203" s="1655" t="s">
        <v>275</v>
      </c>
      <c r="V203" s="1655" t="s">
        <v>42</v>
      </c>
      <c r="W203" s="1655" t="s">
        <v>569</v>
      </c>
    </row>
    <row r="204" spans="1:23">
      <c r="A204" s="1655" t="s">
        <v>70</v>
      </c>
      <c r="B204" s="1655" t="s">
        <v>690</v>
      </c>
      <c r="C204" s="1655" t="s">
        <v>12</v>
      </c>
      <c r="D204" s="1655" t="s">
        <v>42</v>
      </c>
      <c r="E204" s="1655" t="s">
        <v>569</v>
      </c>
      <c r="G204" s="1655" t="s">
        <v>70</v>
      </c>
      <c r="H204" s="1655" t="s">
        <v>690</v>
      </c>
      <c r="I204" s="1655" t="s">
        <v>2292</v>
      </c>
      <c r="J204" s="1655" t="s">
        <v>42</v>
      </c>
      <c r="K204" s="1655" t="s">
        <v>569</v>
      </c>
      <c r="M204" s="1655" t="s">
        <v>70</v>
      </c>
      <c r="N204" s="1655" t="s">
        <v>690</v>
      </c>
      <c r="O204" s="1655" t="s">
        <v>2292</v>
      </c>
      <c r="P204" s="1655" t="s">
        <v>42</v>
      </c>
      <c r="Q204" s="1655" t="s">
        <v>569</v>
      </c>
      <c r="S204" s="1655" t="s">
        <v>70</v>
      </c>
      <c r="T204" s="1655" t="s">
        <v>690</v>
      </c>
      <c r="U204" s="1655" t="s">
        <v>12</v>
      </c>
      <c r="V204" s="1655" t="s">
        <v>42</v>
      </c>
      <c r="W204" s="1655" t="s">
        <v>569</v>
      </c>
    </row>
    <row r="205" spans="1:23">
      <c r="A205" s="1655" t="s">
        <v>70</v>
      </c>
      <c r="B205" s="1655" t="s">
        <v>1530</v>
      </c>
      <c r="C205" s="1655" t="s">
        <v>5</v>
      </c>
      <c r="D205" s="1655" t="s">
        <v>42</v>
      </c>
      <c r="E205" s="1655" t="s">
        <v>569</v>
      </c>
      <c r="G205" s="1655" t="s">
        <v>70</v>
      </c>
      <c r="H205" s="1655" t="s">
        <v>1530</v>
      </c>
      <c r="I205" s="1655" t="s">
        <v>5</v>
      </c>
      <c r="J205" s="1655" t="s">
        <v>42</v>
      </c>
      <c r="K205" s="1655" t="s">
        <v>569</v>
      </c>
      <c r="M205" s="1655" t="s">
        <v>70</v>
      </c>
      <c r="N205" s="1655" t="s">
        <v>1530</v>
      </c>
      <c r="O205" s="1655" t="s">
        <v>25</v>
      </c>
      <c r="P205" s="1655" t="s">
        <v>42</v>
      </c>
      <c r="Q205" s="1655" t="s">
        <v>569</v>
      </c>
      <c r="S205" s="1655" t="s">
        <v>70</v>
      </c>
      <c r="T205" s="1655" t="s">
        <v>1530</v>
      </c>
      <c r="U205" s="1655" t="s">
        <v>12</v>
      </c>
      <c r="V205" s="1655" t="s">
        <v>42</v>
      </c>
      <c r="W205" s="1655" t="s">
        <v>569</v>
      </c>
    </row>
    <row r="206" spans="1:23">
      <c r="A206" s="1655" t="s">
        <v>70</v>
      </c>
      <c r="B206" s="1655" t="s">
        <v>691</v>
      </c>
      <c r="C206" s="1655" t="s">
        <v>22</v>
      </c>
      <c r="D206" s="1655" t="s">
        <v>42</v>
      </c>
      <c r="E206" s="1655" t="s">
        <v>569</v>
      </c>
      <c r="G206" s="1655" t="s">
        <v>70</v>
      </c>
      <c r="H206" s="1655" t="s">
        <v>691</v>
      </c>
      <c r="I206" s="1655" t="s">
        <v>21</v>
      </c>
      <c r="J206" s="1655" t="s">
        <v>42</v>
      </c>
      <c r="K206" s="1655" t="s">
        <v>569</v>
      </c>
      <c r="M206" s="1655" t="s">
        <v>70</v>
      </c>
      <c r="N206" s="1655" t="s">
        <v>691</v>
      </c>
      <c r="O206" s="1655" t="s">
        <v>1322</v>
      </c>
      <c r="P206" s="1655" t="s">
        <v>42</v>
      </c>
      <c r="Q206" s="1655" t="s">
        <v>569</v>
      </c>
      <c r="S206" s="1655" t="s">
        <v>70</v>
      </c>
      <c r="T206" s="1655" t="s">
        <v>691</v>
      </c>
      <c r="U206" s="1655" t="s">
        <v>12</v>
      </c>
      <c r="V206" s="1655" t="s">
        <v>42</v>
      </c>
      <c r="W206" s="1655" t="s">
        <v>569</v>
      </c>
    </row>
    <row r="207" spans="1:23">
      <c r="A207" s="1655" t="s">
        <v>70</v>
      </c>
      <c r="B207" s="1655" t="s">
        <v>692</v>
      </c>
      <c r="C207" s="1655" t="s">
        <v>22</v>
      </c>
      <c r="D207" s="1655" t="s">
        <v>42</v>
      </c>
      <c r="E207" s="1655" t="s">
        <v>569</v>
      </c>
      <c r="G207" s="1655" t="s">
        <v>70</v>
      </c>
      <c r="H207" s="1655" t="s">
        <v>692</v>
      </c>
      <c r="I207" s="1655" t="s">
        <v>22</v>
      </c>
      <c r="J207" s="1655" t="s">
        <v>42</v>
      </c>
      <c r="K207" s="1655" t="s">
        <v>569</v>
      </c>
      <c r="M207" s="1655" t="s">
        <v>70</v>
      </c>
      <c r="N207" s="1655" t="s">
        <v>692</v>
      </c>
      <c r="O207" s="1655" t="s">
        <v>29</v>
      </c>
      <c r="P207" s="1655" t="s">
        <v>42</v>
      </c>
      <c r="Q207" s="1655" t="s">
        <v>569</v>
      </c>
      <c r="S207" s="1655" t="s">
        <v>70</v>
      </c>
      <c r="T207" s="1655" t="s">
        <v>692</v>
      </c>
      <c r="U207" s="1655" t="s">
        <v>275</v>
      </c>
      <c r="V207" s="1655" t="s">
        <v>42</v>
      </c>
      <c r="W207" s="1655" t="s">
        <v>569</v>
      </c>
    </row>
    <row r="208" spans="1:23">
      <c r="A208" s="1655" t="s">
        <v>70</v>
      </c>
      <c r="B208" s="1655" t="s">
        <v>693</v>
      </c>
      <c r="C208" s="1655" t="s">
        <v>52</v>
      </c>
      <c r="D208" s="1655" t="s">
        <v>42</v>
      </c>
      <c r="E208" s="1655" t="s">
        <v>569</v>
      </c>
      <c r="G208" s="1655" t="s">
        <v>70</v>
      </c>
      <c r="H208" s="1655" t="s">
        <v>693</v>
      </c>
      <c r="I208" s="1655" t="s">
        <v>12</v>
      </c>
      <c r="J208" s="1655" t="s">
        <v>42</v>
      </c>
      <c r="K208" s="1655" t="s">
        <v>569</v>
      </c>
      <c r="M208" s="1655" t="s">
        <v>70</v>
      </c>
      <c r="N208" s="1655" t="s">
        <v>693</v>
      </c>
      <c r="O208" s="1655" t="s">
        <v>30</v>
      </c>
      <c r="P208" s="1655" t="s">
        <v>42</v>
      </c>
      <c r="Q208" s="1655" t="s">
        <v>569</v>
      </c>
      <c r="S208" s="1655" t="s">
        <v>70</v>
      </c>
      <c r="T208" s="1655" t="s">
        <v>693</v>
      </c>
      <c r="U208" s="1655" t="s">
        <v>275</v>
      </c>
      <c r="V208" s="1655" t="s">
        <v>42</v>
      </c>
      <c r="W208" s="1655" t="s">
        <v>569</v>
      </c>
    </row>
    <row r="209" spans="1:23">
      <c r="A209" s="1655" t="s">
        <v>70</v>
      </c>
      <c r="B209" s="1655" t="s">
        <v>694</v>
      </c>
      <c r="C209" s="1655" t="s">
        <v>274</v>
      </c>
      <c r="D209" s="1655" t="s">
        <v>42</v>
      </c>
      <c r="E209" s="1655" t="s">
        <v>569</v>
      </c>
      <c r="G209" s="1655" t="s">
        <v>70</v>
      </c>
      <c r="H209" s="1655" t="s">
        <v>694</v>
      </c>
      <c r="I209" s="1655" t="s">
        <v>12</v>
      </c>
      <c r="J209" s="1655" t="s">
        <v>42</v>
      </c>
      <c r="K209" s="1655" t="s">
        <v>569</v>
      </c>
      <c r="M209" s="1655" t="s">
        <v>70</v>
      </c>
      <c r="N209" s="1655" t="s">
        <v>694</v>
      </c>
      <c r="O209" s="1655" t="s">
        <v>71</v>
      </c>
      <c r="P209" s="1655" t="s">
        <v>42</v>
      </c>
      <c r="Q209" s="1655" t="s">
        <v>569</v>
      </c>
      <c r="S209" s="1655" t="s">
        <v>70</v>
      </c>
      <c r="T209" s="1655" t="s">
        <v>694</v>
      </c>
      <c r="U209" s="1655" t="s">
        <v>275</v>
      </c>
      <c r="V209" s="1655" t="s">
        <v>42</v>
      </c>
      <c r="W209" s="1655" t="s">
        <v>569</v>
      </c>
    </row>
    <row r="210" spans="1:23">
      <c r="A210" s="1655" t="s">
        <v>70</v>
      </c>
      <c r="B210" s="1655" t="s">
        <v>1531</v>
      </c>
      <c r="C210" s="1655" t="s">
        <v>12</v>
      </c>
      <c r="D210" s="1655" t="s">
        <v>42</v>
      </c>
      <c r="E210" s="1655" t="s">
        <v>569</v>
      </c>
      <c r="G210" s="1655" t="s">
        <v>70</v>
      </c>
      <c r="H210" s="1655" t="s">
        <v>1531</v>
      </c>
      <c r="I210" s="1655" t="s">
        <v>12</v>
      </c>
      <c r="J210" s="1655" t="s">
        <v>42</v>
      </c>
      <c r="K210" s="1655" t="s">
        <v>569</v>
      </c>
      <c r="M210" s="1655" t="s">
        <v>70</v>
      </c>
      <c r="N210" s="1655" t="s">
        <v>1531</v>
      </c>
      <c r="O210" s="1655" t="s">
        <v>2670</v>
      </c>
      <c r="P210" s="1655" t="s">
        <v>42</v>
      </c>
      <c r="Q210" s="1655" t="s">
        <v>569</v>
      </c>
      <c r="S210" s="1655" t="s">
        <v>70</v>
      </c>
      <c r="T210" s="1655" t="s">
        <v>1531</v>
      </c>
      <c r="U210" s="1655" t="s">
        <v>275</v>
      </c>
      <c r="V210" s="1655" t="s">
        <v>42</v>
      </c>
      <c r="W210" s="1655" t="s">
        <v>569</v>
      </c>
    </row>
    <row r="211" spans="1:23">
      <c r="A211" s="1655" t="s">
        <v>70</v>
      </c>
      <c r="B211" s="1655" t="s">
        <v>1532</v>
      </c>
      <c r="C211" s="1655" t="s">
        <v>12</v>
      </c>
      <c r="D211" s="1655" t="s">
        <v>42</v>
      </c>
      <c r="E211" s="1655" t="s">
        <v>569</v>
      </c>
      <c r="G211" s="1655" t="s">
        <v>70</v>
      </c>
      <c r="H211" s="1655" t="s">
        <v>1532</v>
      </c>
      <c r="I211" s="1655" t="s">
        <v>12</v>
      </c>
      <c r="J211" s="1655" t="s">
        <v>42</v>
      </c>
      <c r="K211" s="1655" t="s">
        <v>569</v>
      </c>
      <c r="M211" s="1655" t="s">
        <v>70</v>
      </c>
      <c r="N211" s="1655" t="s">
        <v>1532</v>
      </c>
      <c r="O211" s="1655" t="s">
        <v>72</v>
      </c>
      <c r="P211" s="1655" t="s">
        <v>42</v>
      </c>
      <c r="Q211" s="1655" t="s">
        <v>569</v>
      </c>
      <c r="S211" s="1655" t="s">
        <v>70</v>
      </c>
      <c r="T211" s="1655" t="s">
        <v>1532</v>
      </c>
      <c r="U211" s="1655" t="s">
        <v>275</v>
      </c>
      <c r="V211" s="1655" t="s">
        <v>42</v>
      </c>
      <c r="W211" s="1655" t="s">
        <v>569</v>
      </c>
    </row>
    <row r="212" spans="1:23">
      <c r="A212" s="1655" t="s">
        <v>70</v>
      </c>
      <c r="B212" s="1655" t="s">
        <v>695</v>
      </c>
      <c r="C212" s="1655" t="s">
        <v>12</v>
      </c>
      <c r="D212" s="1655" t="s">
        <v>42</v>
      </c>
      <c r="E212" s="1655" t="s">
        <v>569</v>
      </c>
      <c r="G212" s="1655" t="s">
        <v>70</v>
      </c>
      <c r="H212" s="1655" t="s">
        <v>695</v>
      </c>
      <c r="I212" s="1655" t="s">
        <v>12</v>
      </c>
      <c r="J212" s="1655" t="s">
        <v>42</v>
      </c>
      <c r="K212" s="1655" t="s">
        <v>569</v>
      </c>
      <c r="M212" s="1655" t="s">
        <v>70</v>
      </c>
      <c r="N212" s="1655" t="s">
        <v>695</v>
      </c>
      <c r="O212" s="1655" t="s">
        <v>2421</v>
      </c>
      <c r="P212" s="1655" t="s">
        <v>42</v>
      </c>
      <c r="Q212" s="1655" t="s">
        <v>569</v>
      </c>
      <c r="S212" s="1655" t="s">
        <v>70</v>
      </c>
      <c r="T212" s="1655" t="s">
        <v>695</v>
      </c>
      <c r="U212" s="1655" t="s">
        <v>12</v>
      </c>
      <c r="V212" s="1655" t="s">
        <v>42</v>
      </c>
      <c r="W212" s="1655" t="s">
        <v>569</v>
      </c>
    </row>
    <row r="213" spans="1:23">
      <c r="A213" s="1655" t="s">
        <v>70</v>
      </c>
      <c r="B213" s="1655" t="s">
        <v>696</v>
      </c>
      <c r="C213" s="1655" t="s">
        <v>12</v>
      </c>
      <c r="D213" s="1655" t="s">
        <v>42</v>
      </c>
      <c r="E213" s="1655" t="s">
        <v>569</v>
      </c>
      <c r="G213" s="1655" t="s">
        <v>70</v>
      </c>
      <c r="H213" s="1655" t="s">
        <v>696</v>
      </c>
      <c r="I213" s="1655" t="s">
        <v>12</v>
      </c>
      <c r="J213" s="1655" t="s">
        <v>42</v>
      </c>
      <c r="K213" s="1655" t="s">
        <v>569</v>
      </c>
      <c r="M213" s="1655" t="s">
        <v>70</v>
      </c>
      <c r="N213" s="1655" t="s">
        <v>696</v>
      </c>
      <c r="O213" s="1655" t="s">
        <v>12</v>
      </c>
      <c r="P213" s="1655" t="s">
        <v>42</v>
      </c>
      <c r="Q213" s="1655" t="s">
        <v>569</v>
      </c>
      <c r="S213" s="1655" t="s">
        <v>70</v>
      </c>
      <c r="T213" s="1655" t="s">
        <v>696</v>
      </c>
      <c r="U213" s="1655" t="s">
        <v>275</v>
      </c>
      <c r="V213" s="1655" t="s">
        <v>42</v>
      </c>
      <c r="W213" s="1655" t="s">
        <v>569</v>
      </c>
    </row>
    <row r="214" spans="1:23">
      <c r="A214" s="1655" t="s">
        <v>70</v>
      </c>
      <c r="B214" s="1655" t="s">
        <v>697</v>
      </c>
      <c r="C214" s="1655" t="s">
        <v>12</v>
      </c>
      <c r="D214" s="1655" t="s">
        <v>42</v>
      </c>
      <c r="E214" s="1655" t="s">
        <v>569</v>
      </c>
      <c r="G214" s="1655" t="s">
        <v>70</v>
      </c>
      <c r="H214" s="1655" t="s">
        <v>697</v>
      </c>
      <c r="I214" s="1655" t="s">
        <v>12</v>
      </c>
      <c r="J214" s="1655" t="s">
        <v>42</v>
      </c>
      <c r="K214" s="1655" t="s">
        <v>569</v>
      </c>
      <c r="M214" s="1655" t="s">
        <v>70</v>
      </c>
      <c r="N214" s="1655" t="s">
        <v>697</v>
      </c>
      <c r="O214" s="1655" t="s">
        <v>12</v>
      </c>
      <c r="P214" s="1655" t="s">
        <v>42</v>
      </c>
      <c r="Q214" s="1655" t="s">
        <v>569</v>
      </c>
      <c r="S214" s="1655" t="s">
        <v>70</v>
      </c>
      <c r="T214" s="1655" t="s">
        <v>697</v>
      </c>
      <c r="U214" s="1655" t="s">
        <v>12</v>
      </c>
      <c r="V214" s="1655" t="s">
        <v>42</v>
      </c>
      <c r="W214" s="1655" t="s">
        <v>569</v>
      </c>
    </row>
    <row r="215" spans="1:23">
      <c r="A215" s="1655" t="s">
        <v>70</v>
      </c>
      <c r="B215" s="1655" t="s">
        <v>698</v>
      </c>
      <c r="C215" s="1655" t="s">
        <v>12</v>
      </c>
      <c r="D215" s="1655" t="s">
        <v>42</v>
      </c>
      <c r="E215" s="1655" t="s">
        <v>569</v>
      </c>
      <c r="G215" s="1655" t="s">
        <v>70</v>
      </c>
      <c r="H215" s="1655" t="s">
        <v>698</v>
      </c>
      <c r="I215" s="1655" t="s">
        <v>12</v>
      </c>
      <c r="J215" s="1655" t="s">
        <v>42</v>
      </c>
      <c r="K215" s="1655" t="s">
        <v>569</v>
      </c>
      <c r="M215" s="1655" t="s">
        <v>70</v>
      </c>
      <c r="N215" s="1655" t="s">
        <v>698</v>
      </c>
      <c r="O215" s="1655" t="s">
        <v>12</v>
      </c>
      <c r="P215" s="1655" t="s">
        <v>42</v>
      </c>
      <c r="Q215" s="1655" t="s">
        <v>569</v>
      </c>
      <c r="S215" s="1655" t="s">
        <v>70</v>
      </c>
      <c r="T215" s="1655" t="s">
        <v>698</v>
      </c>
      <c r="U215" s="1655" t="s">
        <v>12</v>
      </c>
      <c r="V215" s="1655" t="s">
        <v>42</v>
      </c>
      <c r="W215" s="1655" t="s">
        <v>569</v>
      </c>
    </row>
    <row r="216" spans="1:23">
      <c r="A216" s="1655" t="s">
        <v>70</v>
      </c>
      <c r="B216" s="1655" t="s">
        <v>699</v>
      </c>
      <c r="C216" s="1655" t="s">
        <v>18</v>
      </c>
      <c r="D216" s="1655" t="s">
        <v>42</v>
      </c>
      <c r="E216" s="1655" t="s">
        <v>569</v>
      </c>
      <c r="G216" s="1655" t="s">
        <v>70</v>
      </c>
      <c r="H216" s="1655" t="s">
        <v>699</v>
      </c>
      <c r="I216" s="1655" t="s">
        <v>18</v>
      </c>
      <c r="J216" s="1655" t="s">
        <v>42</v>
      </c>
      <c r="K216" s="1655" t="s">
        <v>569</v>
      </c>
      <c r="M216" s="1655" t="s">
        <v>70</v>
      </c>
      <c r="N216" s="1655" t="s">
        <v>699</v>
      </c>
      <c r="O216" s="1655" t="s">
        <v>18</v>
      </c>
      <c r="P216" s="1655" t="s">
        <v>42</v>
      </c>
      <c r="Q216" s="1655" t="s">
        <v>569</v>
      </c>
      <c r="S216" s="1655" t="s">
        <v>70</v>
      </c>
      <c r="T216" s="1655" t="s">
        <v>699</v>
      </c>
      <c r="U216" s="1655" t="s">
        <v>12</v>
      </c>
      <c r="V216" s="1655" t="s">
        <v>42</v>
      </c>
      <c r="W216" s="1655" t="s">
        <v>569</v>
      </c>
    </row>
    <row r="217" spans="1:23">
      <c r="A217" s="1655" t="s">
        <v>70</v>
      </c>
      <c r="B217" s="1655" t="s">
        <v>700</v>
      </c>
      <c r="C217" s="1655" t="s">
        <v>19</v>
      </c>
      <c r="D217" s="1655" t="s">
        <v>42</v>
      </c>
      <c r="E217" s="1655" t="s">
        <v>569</v>
      </c>
      <c r="G217" s="1655" t="s">
        <v>70</v>
      </c>
      <c r="H217" s="1655" t="s">
        <v>700</v>
      </c>
      <c r="I217" s="1655" t="s">
        <v>19</v>
      </c>
      <c r="J217" s="1655" t="s">
        <v>42</v>
      </c>
      <c r="K217" s="1655" t="s">
        <v>569</v>
      </c>
      <c r="M217" s="1655" t="s">
        <v>70</v>
      </c>
      <c r="N217" s="1655" t="s">
        <v>700</v>
      </c>
      <c r="O217" s="1655" t="s">
        <v>19</v>
      </c>
      <c r="P217" s="1655" t="s">
        <v>42</v>
      </c>
      <c r="Q217" s="1655" t="s">
        <v>569</v>
      </c>
      <c r="S217" s="1655" t="s">
        <v>70</v>
      </c>
      <c r="T217" s="1655" t="s">
        <v>700</v>
      </c>
      <c r="U217" s="1655" t="s">
        <v>275</v>
      </c>
      <c r="V217" s="1655" t="s">
        <v>42</v>
      </c>
      <c r="W217" s="1655" t="s">
        <v>569</v>
      </c>
    </row>
    <row r="218" spans="1:23">
      <c r="A218" s="1655" t="s">
        <v>70</v>
      </c>
      <c r="B218" s="1655" t="s">
        <v>701</v>
      </c>
      <c r="C218" s="1655" t="s">
        <v>20</v>
      </c>
      <c r="D218" s="1655" t="s">
        <v>42</v>
      </c>
      <c r="E218" s="1655" t="s">
        <v>569</v>
      </c>
      <c r="G218" s="1655" t="s">
        <v>70</v>
      </c>
      <c r="H218" s="1655" t="s">
        <v>701</v>
      </c>
      <c r="I218" s="1655" t="s">
        <v>12</v>
      </c>
      <c r="J218" s="1655" t="s">
        <v>42</v>
      </c>
      <c r="K218" s="1655" t="s">
        <v>569</v>
      </c>
      <c r="M218" s="1655" t="s">
        <v>70</v>
      </c>
      <c r="N218" s="1655" t="s">
        <v>701</v>
      </c>
      <c r="O218" s="1655" t="s">
        <v>20</v>
      </c>
      <c r="P218" s="1655" t="s">
        <v>42</v>
      </c>
      <c r="Q218" s="1655" t="s">
        <v>569</v>
      </c>
      <c r="S218" s="1655" t="s">
        <v>70</v>
      </c>
      <c r="T218" s="1655" t="s">
        <v>701</v>
      </c>
      <c r="U218" s="1655" t="s">
        <v>275</v>
      </c>
      <c r="V218" s="1655" t="s">
        <v>42</v>
      </c>
      <c r="W218" s="1655" t="s">
        <v>569</v>
      </c>
    </row>
    <row r="219" spans="1:23">
      <c r="A219" s="1655" t="s">
        <v>70</v>
      </c>
      <c r="B219" s="1655" t="s">
        <v>702</v>
      </c>
      <c r="C219" s="1655" t="s">
        <v>12</v>
      </c>
      <c r="D219" s="1655" t="s">
        <v>42</v>
      </c>
      <c r="E219" s="1655" t="s">
        <v>569</v>
      </c>
      <c r="G219" s="1655" t="s">
        <v>70</v>
      </c>
      <c r="H219" s="1655" t="s">
        <v>702</v>
      </c>
      <c r="I219" s="1655" t="s">
        <v>12</v>
      </c>
      <c r="J219" s="1655" t="s">
        <v>42</v>
      </c>
      <c r="K219" s="1655" t="s">
        <v>569</v>
      </c>
      <c r="M219" s="1655" t="s">
        <v>70</v>
      </c>
      <c r="N219" s="1655" t="s">
        <v>702</v>
      </c>
      <c r="O219" s="1655" t="s">
        <v>2379</v>
      </c>
      <c r="P219" s="1655" t="s">
        <v>42</v>
      </c>
      <c r="Q219" s="1655" t="s">
        <v>569</v>
      </c>
      <c r="S219" s="1655" t="s">
        <v>70</v>
      </c>
      <c r="T219" s="1655" t="s">
        <v>702</v>
      </c>
      <c r="U219" s="1655" t="s">
        <v>12</v>
      </c>
      <c r="V219" s="1655" t="s">
        <v>42</v>
      </c>
      <c r="W219" s="1655" t="s">
        <v>569</v>
      </c>
    </row>
    <row r="220" spans="1:23">
      <c r="A220" s="1655" t="s">
        <v>70</v>
      </c>
      <c r="B220" s="1655" t="s">
        <v>703</v>
      </c>
      <c r="C220" s="1655" t="s">
        <v>12</v>
      </c>
      <c r="D220" s="1655" t="s">
        <v>42</v>
      </c>
      <c r="E220" s="1655" t="s">
        <v>569</v>
      </c>
      <c r="G220" s="1655" t="s">
        <v>70</v>
      </c>
      <c r="H220" s="1655" t="s">
        <v>703</v>
      </c>
      <c r="I220" s="1655" t="s">
        <v>12</v>
      </c>
      <c r="J220" s="1655" t="s">
        <v>42</v>
      </c>
      <c r="K220" s="1655" t="s">
        <v>569</v>
      </c>
      <c r="M220" s="1655" t="s">
        <v>70</v>
      </c>
      <c r="N220" s="1655" t="s">
        <v>703</v>
      </c>
      <c r="O220" s="1655" t="s">
        <v>12</v>
      </c>
      <c r="P220" s="1655" t="s">
        <v>42</v>
      </c>
      <c r="Q220" s="1655" t="s">
        <v>569</v>
      </c>
      <c r="S220" s="1655" t="s">
        <v>70</v>
      </c>
      <c r="T220" s="1655" t="s">
        <v>703</v>
      </c>
      <c r="U220" s="1655" t="s">
        <v>12</v>
      </c>
      <c r="V220" s="1655" t="s">
        <v>42</v>
      </c>
      <c r="W220" s="1655" t="s">
        <v>569</v>
      </c>
    </row>
    <row r="221" spans="1:23">
      <c r="A221" s="1655" t="s">
        <v>70</v>
      </c>
      <c r="B221" s="1655" t="s">
        <v>704</v>
      </c>
      <c r="C221" s="1655" t="s">
        <v>12</v>
      </c>
      <c r="D221" s="1655" t="s">
        <v>42</v>
      </c>
      <c r="E221" s="1655" t="s">
        <v>569</v>
      </c>
      <c r="G221" s="1655" t="s">
        <v>70</v>
      </c>
      <c r="H221" s="1655" t="s">
        <v>704</v>
      </c>
      <c r="I221" s="1655" t="s">
        <v>12</v>
      </c>
      <c r="J221" s="1655" t="s">
        <v>42</v>
      </c>
      <c r="K221" s="1655" t="s">
        <v>569</v>
      </c>
      <c r="M221" s="1655" t="s">
        <v>70</v>
      </c>
      <c r="N221" s="1655" t="s">
        <v>704</v>
      </c>
      <c r="O221" s="1655" t="s">
        <v>12</v>
      </c>
      <c r="P221" s="1655" t="s">
        <v>42</v>
      </c>
      <c r="Q221" s="1655" t="s">
        <v>569</v>
      </c>
      <c r="S221" s="1655" t="s">
        <v>70</v>
      </c>
      <c r="T221" s="1655" t="s">
        <v>704</v>
      </c>
      <c r="U221" s="1655" t="s">
        <v>12</v>
      </c>
      <c r="V221" s="1655" t="s">
        <v>42</v>
      </c>
      <c r="W221" s="1655" t="s">
        <v>569</v>
      </c>
    </row>
    <row r="222" spans="1:23">
      <c r="A222" s="1655" t="s">
        <v>70</v>
      </c>
      <c r="B222" s="1655" t="s">
        <v>1533</v>
      </c>
      <c r="C222" s="1655" t="s">
        <v>12</v>
      </c>
      <c r="D222" s="1655" t="s">
        <v>42</v>
      </c>
      <c r="E222" s="1655" t="s">
        <v>569</v>
      </c>
      <c r="G222" s="1655" t="s">
        <v>70</v>
      </c>
      <c r="H222" s="1655" t="s">
        <v>1533</v>
      </c>
      <c r="I222" s="1655" t="s">
        <v>12</v>
      </c>
      <c r="J222" s="1655" t="s">
        <v>42</v>
      </c>
      <c r="K222" s="1655" t="s">
        <v>569</v>
      </c>
      <c r="M222" s="1655" t="s">
        <v>70</v>
      </c>
      <c r="N222" s="1655" t="s">
        <v>1533</v>
      </c>
      <c r="O222" s="1655" t="s">
        <v>12</v>
      </c>
      <c r="P222" s="1655" t="s">
        <v>42</v>
      </c>
      <c r="Q222" s="1655" t="s">
        <v>569</v>
      </c>
      <c r="S222" s="1655" t="s">
        <v>70</v>
      </c>
      <c r="T222" s="1655" t="s">
        <v>1533</v>
      </c>
      <c r="U222" s="1655" t="s">
        <v>12</v>
      </c>
      <c r="V222" s="1655" t="s">
        <v>42</v>
      </c>
      <c r="W222" s="1655" t="s">
        <v>569</v>
      </c>
    </row>
    <row r="223" spans="1:23">
      <c r="A223" s="1655" t="s">
        <v>70</v>
      </c>
      <c r="B223" s="1655" t="s">
        <v>1534</v>
      </c>
      <c r="C223" s="1655" t="s">
        <v>12</v>
      </c>
      <c r="D223" s="1655" t="s">
        <v>42</v>
      </c>
      <c r="E223" s="1655" t="s">
        <v>569</v>
      </c>
      <c r="G223" s="1655" t="s">
        <v>70</v>
      </c>
      <c r="H223" s="1655" t="s">
        <v>1534</v>
      </c>
      <c r="I223" s="1655" t="s">
        <v>12</v>
      </c>
      <c r="J223" s="1655" t="s">
        <v>42</v>
      </c>
      <c r="K223" s="1655" t="s">
        <v>569</v>
      </c>
      <c r="M223" s="1655" t="s">
        <v>70</v>
      </c>
      <c r="N223" s="1655" t="s">
        <v>1534</v>
      </c>
      <c r="O223" s="1655" t="s">
        <v>12</v>
      </c>
      <c r="P223" s="1655" t="s">
        <v>42</v>
      </c>
      <c r="Q223" s="1655" t="s">
        <v>569</v>
      </c>
      <c r="S223" s="1655" t="s">
        <v>70</v>
      </c>
      <c r="T223" s="1655" t="s">
        <v>1534</v>
      </c>
      <c r="U223" s="1655" t="s">
        <v>12</v>
      </c>
      <c r="V223" s="1655" t="s">
        <v>42</v>
      </c>
      <c r="W223" s="1655" t="s">
        <v>569</v>
      </c>
    </row>
    <row r="224" spans="1:23">
      <c r="A224" s="1655" t="s">
        <v>70</v>
      </c>
      <c r="B224" s="1655" t="s">
        <v>705</v>
      </c>
      <c r="C224" s="1655" t="s">
        <v>12</v>
      </c>
      <c r="D224" s="1655" t="s">
        <v>42</v>
      </c>
      <c r="E224" s="1655" t="s">
        <v>569</v>
      </c>
      <c r="G224" s="1655" t="s">
        <v>70</v>
      </c>
      <c r="H224" s="1655" t="s">
        <v>705</v>
      </c>
      <c r="I224" s="1655" t="s">
        <v>12</v>
      </c>
      <c r="J224" s="1655" t="s">
        <v>42</v>
      </c>
      <c r="K224" s="1655" t="s">
        <v>569</v>
      </c>
      <c r="M224" s="1655" t="s">
        <v>70</v>
      </c>
      <c r="N224" s="1655" t="s">
        <v>705</v>
      </c>
      <c r="O224" s="1655" t="s">
        <v>12</v>
      </c>
      <c r="P224" s="1655" t="s">
        <v>42</v>
      </c>
      <c r="Q224" s="1655" t="s">
        <v>569</v>
      </c>
      <c r="S224" s="1655" t="s">
        <v>70</v>
      </c>
      <c r="T224" s="1655" t="s">
        <v>705</v>
      </c>
      <c r="U224" s="1655" t="s">
        <v>12</v>
      </c>
      <c r="V224" s="1655" t="s">
        <v>42</v>
      </c>
      <c r="W224" s="1655" t="s">
        <v>569</v>
      </c>
    </row>
    <row r="225" spans="1:23">
      <c r="A225" s="1655" t="s">
        <v>70</v>
      </c>
      <c r="B225" s="1655" t="s">
        <v>706</v>
      </c>
      <c r="C225" s="1655" t="s">
        <v>12</v>
      </c>
      <c r="D225" s="1655" t="s">
        <v>42</v>
      </c>
      <c r="E225" s="1655" t="s">
        <v>569</v>
      </c>
      <c r="G225" s="1655" t="s">
        <v>70</v>
      </c>
      <c r="H225" s="1655" t="s">
        <v>706</v>
      </c>
      <c r="I225" s="1655" t="s">
        <v>12</v>
      </c>
      <c r="J225" s="1655" t="s">
        <v>42</v>
      </c>
      <c r="K225" s="1655" t="s">
        <v>569</v>
      </c>
      <c r="M225" s="1655" t="s">
        <v>70</v>
      </c>
      <c r="N225" s="1655" t="s">
        <v>706</v>
      </c>
      <c r="O225" s="1655" t="s">
        <v>12</v>
      </c>
      <c r="P225" s="1655" t="s">
        <v>42</v>
      </c>
      <c r="Q225" s="1655" t="s">
        <v>569</v>
      </c>
      <c r="S225" s="1655" t="s">
        <v>70</v>
      </c>
      <c r="T225" s="1655" t="s">
        <v>706</v>
      </c>
      <c r="U225" s="1655" t="s">
        <v>12</v>
      </c>
      <c r="V225" s="1655" t="s">
        <v>42</v>
      </c>
      <c r="W225" s="1655" t="s">
        <v>569</v>
      </c>
    </row>
    <row r="226" spans="1:23">
      <c r="A226" s="1655" t="s">
        <v>70</v>
      </c>
      <c r="B226" s="1655" t="s">
        <v>707</v>
      </c>
      <c r="C226" s="1655" t="s">
        <v>12</v>
      </c>
      <c r="D226" s="1655" t="s">
        <v>42</v>
      </c>
      <c r="E226" s="1655" t="s">
        <v>569</v>
      </c>
      <c r="G226" s="1655" t="s">
        <v>70</v>
      </c>
      <c r="H226" s="1655" t="s">
        <v>707</v>
      </c>
      <c r="I226" s="1655" t="s">
        <v>12</v>
      </c>
      <c r="J226" s="1655" t="s">
        <v>42</v>
      </c>
      <c r="K226" s="1655" t="s">
        <v>569</v>
      </c>
      <c r="M226" s="1655" t="s">
        <v>70</v>
      </c>
      <c r="N226" s="1655" t="s">
        <v>707</v>
      </c>
      <c r="O226" s="1655" t="s">
        <v>12</v>
      </c>
      <c r="P226" s="1655" t="s">
        <v>42</v>
      </c>
      <c r="Q226" s="1655" t="s">
        <v>569</v>
      </c>
      <c r="S226" s="1655" t="s">
        <v>70</v>
      </c>
      <c r="T226" s="1655" t="s">
        <v>707</v>
      </c>
      <c r="U226" s="1655" t="s">
        <v>12</v>
      </c>
      <c r="V226" s="1655" t="s">
        <v>42</v>
      </c>
      <c r="W226" s="1655" t="s">
        <v>569</v>
      </c>
    </row>
    <row r="227" spans="1:23">
      <c r="A227" s="1655" t="s">
        <v>70</v>
      </c>
      <c r="B227" s="1655" t="s">
        <v>1535</v>
      </c>
      <c r="C227" s="1655" t="s">
        <v>2294</v>
      </c>
      <c r="D227" s="1655" t="s">
        <v>42</v>
      </c>
      <c r="E227" s="1655" t="s">
        <v>569</v>
      </c>
      <c r="G227" s="1655" t="s">
        <v>70</v>
      </c>
      <c r="H227" s="1655" t="s">
        <v>1535</v>
      </c>
      <c r="I227" s="1655" t="s">
        <v>2388</v>
      </c>
      <c r="J227" s="1655" t="s">
        <v>42</v>
      </c>
      <c r="K227" s="1655" t="s">
        <v>569</v>
      </c>
      <c r="M227" s="1655" t="s">
        <v>70</v>
      </c>
      <c r="N227" s="1655" t="s">
        <v>1535</v>
      </c>
      <c r="O227" s="1655" t="s">
        <v>2294</v>
      </c>
      <c r="P227" s="1655" t="s">
        <v>42</v>
      </c>
      <c r="Q227" s="1655" t="s">
        <v>569</v>
      </c>
      <c r="S227" s="1655" t="s">
        <v>70</v>
      </c>
      <c r="T227" s="1655" t="s">
        <v>1535</v>
      </c>
      <c r="U227" s="1655" t="s">
        <v>12</v>
      </c>
      <c r="V227" s="1655" t="s">
        <v>42</v>
      </c>
      <c r="W227" s="1655" t="s">
        <v>569</v>
      </c>
    </row>
    <row r="228" spans="1:23">
      <c r="A228" s="1655" t="s">
        <v>70</v>
      </c>
      <c r="B228" s="1655" t="s">
        <v>708</v>
      </c>
      <c r="C228" s="1655" t="s">
        <v>31</v>
      </c>
      <c r="D228" s="1655" t="s">
        <v>42</v>
      </c>
      <c r="E228" s="1655" t="s">
        <v>569</v>
      </c>
      <c r="G228" s="1655" t="s">
        <v>70</v>
      </c>
      <c r="H228" s="1655" t="s">
        <v>708</v>
      </c>
      <c r="I228" s="1655" t="s">
        <v>2293</v>
      </c>
      <c r="J228" s="1655" t="s">
        <v>42</v>
      </c>
      <c r="K228" s="1655" t="s">
        <v>569</v>
      </c>
      <c r="M228" s="1655" t="s">
        <v>70</v>
      </c>
      <c r="N228" s="1655" t="s">
        <v>708</v>
      </c>
      <c r="O228" s="1655" t="s">
        <v>31</v>
      </c>
      <c r="P228" s="1655" t="s">
        <v>42</v>
      </c>
      <c r="Q228" s="1655" t="s">
        <v>569</v>
      </c>
      <c r="S228" s="1655" t="s">
        <v>70</v>
      </c>
      <c r="T228" s="1655" t="s">
        <v>708</v>
      </c>
      <c r="U228" s="1655" t="s">
        <v>275</v>
      </c>
      <c r="V228" s="1655" t="s">
        <v>42</v>
      </c>
      <c r="W228" s="1655" t="s">
        <v>569</v>
      </c>
    </row>
    <row r="229" spans="1:23">
      <c r="A229" s="1655" t="s">
        <v>70</v>
      </c>
      <c r="B229" s="1655" t="s">
        <v>709</v>
      </c>
      <c r="C229" s="1655" t="s">
        <v>2293</v>
      </c>
      <c r="D229" s="1655" t="s">
        <v>42</v>
      </c>
      <c r="E229" s="1655" t="s">
        <v>569</v>
      </c>
      <c r="G229" s="1655" t="s">
        <v>70</v>
      </c>
      <c r="H229" s="1655" t="s">
        <v>709</v>
      </c>
      <c r="I229" s="1655" t="s">
        <v>2659</v>
      </c>
      <c r="J229" s="1655" t="s">
        <v>42</v>
      </c>
      <c r="K229" s="1655" t="s">
        <v>569</v>
      </c>
      <c r="M229" s="1655" t="s">
        <v>70</v>
      </c>
      <c r="N229" s="1655" t="s">
        <v>709</v>
      </c>
      <c r="O229" s="1655" t="s">
        <v>2293</v>
      </c>
      <c r="P229" s="1655" t="s">
        <v>42</v>
      </c>
      <c r="Q229" s="1655" t="s">
        <v>569</v>
      </c>
      <c r="S229" s="1655" t="s">
        <v>70</v>
      </c>
      <c r="T229" s="1655" t="s">
        <v>709</v>
      </c>
      <c r="U229" s="1655" t="s">
        <v>275</v>
      </c>
      <c r="V229" s="1655" t="s">
        <v>42</v>
      </c>
      <c r="W229" s="1655" t="s">
        <v>569</v>
      </c>
    </row>
    <row r="230" spans="1:23">
      <c r="A230" s="1655" t="s">
        <v>70</v>
      </c>
      <c r="B230" s="1655" t="s">
        <v>710</v>
      </c>
      <c r="C230" s="1655" t="s">
        <v>35</v>
      </c>
      <c r="D230" s="1655" t="s">
        <v>42</v>
      </c>
      <c r="E230" s="1655" t="s">
        <v>569</v>
      </c>
      <c r="G230" s="1655" t="s">
        <v>70</v>
      </c>
      <c r="H230" s="1655" t="s">
        <v>710</v>
      </c>
      <c r="I230" s="1655" t="s">
        <v>2660</v>
      </c>
      <c r="J230" s="1655" t="s">
        <v>42</v>
      </c>
      <c r="K230" s="1655" t="s">
        <v>569</v>
      </c>
      <c r="M230" s="1655" t="s">
        <v>70</v>
      </c>
      <c r="N230" s="1655" t="s">
        <v>710</v>
      </c>
      <c r="O230" s="1655" t="s">
        <v>35</v>
      </c>
      <c r="P230" s="1655" t="s">
        <v>42</v>
      </c>
      <c r="Q230" s="1655" t="s">
        <v>569</v>
      </c>
      <c r="S230" s="1655" t="s">
        <v>70</v>
      </c>
      <c r="T230" s="1655" t="s">
        <v>710</v>
      </c>
      <c r="U230" s="1655" t="s">
        <v>12</v>
      </c>
      <c r="V230" s="1655" t="s">
        <v>42</v>
      </c>
      <c r="W230" s="1655" t="s">
        <v>569</v>
      </c>
    </row>
    <row r="231" spans="1:23">
      <c r="A231" s="1655" t="s">
        <v>70</v>
      </c>
      <c r="B231" s="1655" t="s">
        <v>711</v>
      </c>
      <c r="C231" s="1655" t="s">
        <v>205</v>
      </c>
      <c r="D231" s="1655" t="s">
        <v>42</v>
      </c>
      <c r="E231" s="1655" t="s">
        <v>569</v>
      </c>
      <c r="G231" s="1655" t="s">
        <v>70</v>
      </c>
      <c r="H231" s="1655" t="s">
        <v>711</v>
      </c>
      <c r="I231" s="1655" t="s">
        <v>2661</v>
      </c>
      <c r="J231" s="1655" t="s">
        <v>42</v>
      </c>
      <c r="K231" s="1655" t="s">
        <v>569</v>
      </c>
      <c r="M231" s="1655" t="s">
        <v>70</v>
      </c>
      <c r="N231" s="1655" t="s">
        <v>711</v>
      </c>
      <c r="O231" s="1655" t="s">
        <v>205</v>
      </c>
      <c r="P231" s="1655" t="s">
        <v>42</v>
      </c>
      <c r="Q231" s="1655" t="s">
        <v>569</v>
      </c>
      <c r="S231" s="1655" t="s">
        <v>70</v>
      </c>
      <c r="T231" s="1655" t="s">
        <v>711</v>
      </c>
      <c r="U231" s="1655" t="s">
        <v>12</v>
      </c>
      <c r="V231" s="1655" t="s">
        <v>42</v>
      </c>
      <c r="W231" s="1655" t="s">
        <v>569</v>
      </c>
    </row>
    <row r="232" spans="1:23">
      <c r="A232" s="1655" t="s">
        <v>70</v>
      </c>
      <c r="B232" s="1655" t="s">
        <v>712</v>
      </c>
      <c r="C232" s="1655" t="s">
        <v>2420</v>
      </c>
      <c r="D232" s="1655" t="s">
        <v>42</v>
      </c>
      <c r="E232" s="1655" t="s">
        <v>569</v>
      </c>
      <c r="G232" s="1655" t="s">
        <v>70</v>
      </c>
      <c r="H232" s="1655" t="s">
        <v>712</v>
      </c>
      <c r="I232" s="1655" t="s">
        <v>12</v>
      </c>
      <c r="J232" s="1655" t="s">
        <v>42</v>
      </c>
      <c r="K232" s="1655" t="s">
        <v>569</v>
      </c>
      <c r="M232" s="1655" t="s">
        <v>70</v>
      </c>
      <c r="N232" s="1655" t="s">
        <v>712</v>
      </c>
      <c r="O232" s="1655" t="s">
        <v>2420</v>
      </c>
      <c r="P232" s="1655" t="s">
        <v>42</v>
      </c>
      <c r="Q232" s="1655" t="s">
        <v>569</v>
      </c>
      <c r="S232" s="1655" t="s">
        <v>70</v>
      </c>
      <c r="T232" s="1655" t="s">
        <v>712</v>
      </c>
      <c r="U232" s="1655" t="s">
        <v>12</v>
      </c>
      <c r="V232" s="1655" t="s">
        <v>42</v>
      </c>
      <c r="W232" s="1655" t="s">
        <v>569</v>
      </c>
    </row>
    <row r="233" spans="1:23">
      <c r="A233" s="1655" t="s">
        <v>70</v>
      </c>
      <c r="B233" s="1655" t="s">
        <v>713</v>
      </c>
      <c r="C233" s="1655" t="s">
        <v>2636</v>
      </c>
      <c r="D233" s="1655" t="s">
        <v>42</v>
      </c>
      <c r="E233" s="1655" t="s">
        <v>569</v>
      </c>
      <c r="G233" s="1655" t="s">
        <v>70</v>
      </c>
      <c r="H233" s="1655" t="s">
        <v>713</v>
      </c>
      <c r="I233" s="1655" t="s">
        <v>12</v>
      </c>
      <c r="J233" s="1655" t="s">
        <v>42</v>
      </c>
      <c r="K233" s="1655" t="s">
        <v>569</v>
      </c>
      <c r="M233" s="1655" t="s">
        <v>70</v>
      </c>
      <c r="N233" s="1655" t="s">
        <v>713</v>
      </c>
      <c r="O233" s="1655" t="s">
        <v>24</v>
      </c>
      <c r="P233" s="1655" t="s">
        <v>42</v>
      </c>
      <c r="Q233" s="1655" t="s">
        <v>569</v>
      </c>
      <c r="S233" s="1655" t="s">
        <v>70</v>
      </c>
      <c r="T233" s="1655" t="s">
        <v>713</v>
      </c>
      <c r="U233" s="1655" t="s">
        <v>12</v>
      </c>
      <c r="V233" s="1655" t="s">
        <v>42</v>
      </c>
      <c r="W233" s="1655" t="s">
        <v>569</v>
      </c>
    </row>
    <row r="234" spans="1:23">
      <c r="A234" s="1655" t="s">
        <v>70</v>
      </c>
      <c r="B234" s="1655" t="s">
        <v>714</v>
      </c>
      <c r="C234" s="1655" t="s">
        <v>2635</v>
      </c>
      <c r="D234" s="1655" t="s">
        <v>42</v>
      </c>
      <c r="E234" s="1655" t="s">
        <v>569</v>
      </c>
      <c r="G234" s="1655" t="s">
        <v>70</v>
      </c>
      <c r="H234" s="1655" t="s">
        <v>714</v>
      </c>
      <c r="I234" s="1655" t="s">
        <v>12</v>
      </c>
      <c r="J234" s="1655" t="s">
        <v>42</v>
      </c>
      <c r="K234" s="1655" t="s">
        <v>569</v>
      </c>
      <c r="M234" s="1655" t="s">
        <v>70</v>
      </c>
      <c r="N234" s="1655" t="s">
        <v>714</v>
      </c>
      <c r="O234" s="1655" t="s">
        <v>2421</v>
      </c>
      <c r="P234" s="1655" t="s">
        <v>42</v>
      </c>
      <c r="Q234" s="1655" t="s">
        <v>569</v>
      </c>
      <c r="S234" s="1655" t="s">
        <v>70</v>
      </c>
      <c r="T234" s="1655" t="s">
        <v>714</v>
      </c>
      <c r="U234" s="1655" t="s">
        <v>12</v>
      </c>
      <c r="V234" s="1655" t="s">
        <v>42</v>
      </c>
      <c r="W234" s="1655" t="s">
        <v>569</v>
      </c>
    </row>
    <row r="235" spans="1:23">
      <c r="A235" s="1655" t="s">
        <v>70</v>
      </c>
      <c r="B235" s="1655" t="s">
        <v>715</v>
      </c>
      <c r="C235" s="1655" t="s">
        <v>2643</v>
      </c>
      <c r="D235" s="1655" t="s">
        <v>42</v>
      </c>
      <c r="E235" s="1655" t="s">
        <v>569</v>
      </c>
      <c r="G235" s="1655" t="s">
        <v>70</v>
      </c>
      <c r="H235" s="1655" t="s">
        <v>715</v>
      </c>
      <c r="I235" s="1655" t="s">
        <v>12</v>
      </c>
      <c r="J235" s="1655" t="s">
        <v>42</v>
      </c>
      <c r="K235" s="1655" t="s">
        <v>569</v>
      </c>
      <c r="M235" s="1655" t="s">
        <v>70</v>
      </c>
      <c r="N235" s="1655" t="s">
        <v>715</v>
      </c>
      <c r="O235" s="1655" t="s">
        <v>2452</v>
      </c>
      <c r="P235" s="1655" t="s">
        <v>42</v>
      </c>
      <c r="Q235" s="1655" t="s">
        <v>569</v>
      </c>
      <c r="S235" s="1655" t="s">
        <v>70</v>
      </c>
      <c r="T235" s="1655" t="s">
        <v>715</v>
      </c>
      <c r="U235" s="1655" t="s">
        <v>12</v>
      </c>
      <c r="V235" s="1655" t="s">
        <v>42</v>
      </c>
      <c r="W235" s="1655" t="s">
        <v>569</v>
      </c>
    </row>
    <row r="236" spans="1:23">
      <c r="A236" s="1655" t="s">
        <v>70</v>
      </c>
      <c r="B236" s="1655" t="s">
        <v>716</v>
      </c>
      <c r="C236" s="1655" t="s">
        <v>12</v>
      </c>
      <c r="D236" s="1655" t="s">
        <v>42</v>
      </c>
      <c r="E236" s="1655" t="s">
        <v>569</v>
      </c>
      <c r="G236" s="1655" t="s">
        <v>70</v>
      </c>
      <c r="H236" s="1655" t="s">
        <v>716</v>
      </c>
      <c r="I236" s="1655" t="s">
        <v>12</v>
      </c>
      <c r="J236" s="1655" t="s">
        <v>42</v>
      </c>
      <c r="K236" s="1655" t="s">
        <v>569</v>
      </c>
      <c r="M236" s="1655" t="s">
        <v>70</v>
      </c>
      <c r="N236" s="1655" t="s">
        <v>716</v>
      </c>
      <c r="O236" s="1655" t="s">
        <v>12</v>
      </c>
      <c r="P236" s="1655" t="s">
        <v>42</v>
      </c>
      <c r="Q236" s="1655" t="s">
        <v>569</v>
      </c>
      <c r="S236" s="1655" t="s">
        <v>70</v>
      </c>
      <c r="T236" s="1655" t="s">
        <v>716</v>
      </c>
      <c r="U236" s="1655" t="s">
        <v>12</v>
      </c>
      <c r="V236" s="1655" t="s">
        <v>42</v>
      </c>
      <c r="W236" s="1655" t="s">
        <v>569</v>
      </c>
    </row>
    <row r="237" spans="1:23">
      <c r="A237" s="1655" t="s">
        <v>70</v>
      </c>
      <c r="B237" s="1655" t="s">
        <v>1536</v>
      </c>
      <c r="C237" s="1655" t="s">
        <v>12</v>
      </c>
      <c r="D237" s="1655" t="s">
        <v>42</v>
      </c>
      <c r="E237" s="1655" t="s">
        <v>569</v>
      </c>
      <c r="G237" s="1655" t="s">
        <v>70</v>
      </c>
      <c r="H237" s="1655" t="s">
        <v>1536</v>
      </c>
      <c r="I237" s="1655" t="s">
        <v>12</v>
      </c>
      <c r="J237" s="1655" t="s">
        <v>42</v>
      </c>
      <c r="K237" s="1655" t="s">
        <v>569</v>
      </c>
      <c r="M237" s="1655" t="s">
        <v>70</v>
      </c>
      <c r="N237" s="1655" t="s">
        <v>1536</v>
      </c>
      <c r="O237" s="1655" t="s">
        <v>12</v>
      </c>
      <c r="P237" s="1655" t="s">
        <v>42</v>
      </c>
      <c r="Q237" s="1655" t="s">
        <v>569</v>
      </c>
      <c r="S237" s="1655" t="s">
        <v>70</v>
      </c>
      <c r="T237" s="1655" t="s">
        <v>1536</v>
      </c>
      <c r="U237" s="1655" t="s">
        <v>12</v>
      </c>
      <c r="V237" s="1655" t="s">
        <v>42</v>
      </c>
      <c r="W237" s="1655" t="s">
        <v>569</v>
      </c>
    </row>
    <row r="238" spans="1:23">
      <c r="A238" s="1655" t="s">
        <v>70</v>
      </c>
      <c r="B238" s="1655" t="s">
        <v>1537</v>
      </c>
      <c r="C238" s="1655" t="s">
        <v>12</v>
      </c>
      <c r="D238" s="1655" t="s">
        <v>42</v>
      </c>
      <c r="E238" s="1655" t="s">
        <v>569</v>
      </c>
      <c r="G238" s="1655" t="s">
        <v>70</v>
      </c>
      <c r="H238" s="1655" t="s">
        <v>1537</v>
      </c>
      <c r="I238" s="1655" t="s">
        <v>12</v>
      </c>
      <c r="J238" s="1655" t="s">
        <v>42</v>
      </c>
      <c r="K238" s="1655" t="s">
        <v>569</v>
      </c>
      <c r="M238" s="1655" t="s">
        <v>70</v>
      </c>
      <c r="N238" s="1655" t="s">
        <v>1537</v>
      </c>
      <c r="O238" s="1655" t="s">
        <v>12</v>
      </c>
      <c r="P238" s="1655" t="s">
        <v>42</v>
      </c>
      <c r="Q238" s="1655" t="s">
        <v>569</v>
      </c>
      <c r="S238" s="1655" t="s">
        <v>70</v>
      </c>
      <c r="T238" s="1655" t="s">
        <v>1537</v>
      </c>
      <c r="U238" s="1655" t="s">
        <v>12</v>
      </c>
      <c r="V238" s="1655" t="s">
        <v>42</v>
      </c>
      <c r="W238" s="1655" t="s">
        <v>569</v>
      </c>
    </row>
    <row r="239" spans="1:23">
      <c r="A239" s="1655" t="s">
        <v>70</v>
      </c>
      <c r="B239" s="1655" t="s">
        <v>717</v>
      </c>
      <c r="C239" s="1655" t="s">
        <v>25</v>
      </c>
      <c r="D239" s="1655" t="s">
        <v>42</v>
      </c>
      <c r="E239" s="1655" t="s">
        <v>569</v>
      </c>
      <c r="G239" s="1655" t="s">
        <v>70</v>
      </c>
      <c r="H239" s="1655" t="s">
        <v>717</v>
      </c>
      <c r="I239" s="1655" t="s">
        <v>12</v>
      </c>
      <c r="J239" s="1655" t="s">
        <v>42</v>
      </c>
      <c r="K239" s="1655" t="s">
        <v>569</v>
      </c>
      <c r="M239" s="1655" t="s">
        <v>70</v>
      </c>
      <c r="N239" s="1655" t="s">
        <v>717</v>
      </c>
      <c r="O239" s="1655" t="s">
        <v>5</v>
      </c>
      <c r="P239" s="1655" t="s">
        <v>42</v>
      </c>
      <c r="Q239" s="1655" t="s">
        <v>569</v>
      </c>
      <c r="S239" s="1655" t="s">
        <v>70</v>
      </c>
      <c r="T239" s="1655" t="s">
        <v>717</v>
      </c>
      <c r="U239" s="1655" t="s">
        <v>12</v>
      </c>
      <c r="V239" s="1655" t="s">
        <v>42</v>
      </c>
      <c r="W239" s="1655" t="s">
        <v>569</v>
      </c>
    </row>
    <row r="240" spans="1:23">
      <c r="A240" s="1655" t="s">
        <v>70</v>
      </c>
      <c r="B240" s="1655" t="s">
        <v>718</v>
      </c>
      <c r="C240" s="1655" t="s">
        <v>2633</v>
      </c>
      <c r="D240" s="1655" t="s">
        <v>42</v>
      </c>
      <c r="E240" s="1655" t="s">
        <v>569</v>
      </c>
      <c r="G240" s="1655" t="s">
        <v>70</v>
      </c>
      <c r="H240" s="1655" t="s">
        <v>718</v>
      </c>
      <c r="I240" s="1655" t="s">
        <v>12</v>
      </c>
      <c r="J240" s="1655" t="s">
        <v>42</v>
      </c>
      <c r="K240" s="1655" t="s">
        <v>569</v>
      </c>
      <c r="M240" s="1655" t="s">
        <v>70</v>
      </c>
      <c r="N240" s="1655" t="s">
        <v>718</v>
      </c>
      <c r="O240" s="1655" t="s">
        <v>21</v>
      </c>
      <c r="P240" s="1655" t="s">
        <v>42</v>
      </c>
      <c r="Q240" s="1655" t="s">
        <v>569</v>
      </c>
      <c r="S240" s="1655" t="s">
        <v>70</v>
      </c>
      <c r="T240" s="1655" t="s">
        <v>718</v>
      </c>
      <c r="U240" s="1655" t="s">
        <v>12</v>
      </c>
      <c r="V240" s="1655" t="s">
        <v>42</v>
      </c>
      <c r="W240" s="1655" t="s">
        <v>569</v>
      </c>
    </row>
    <row r="241" spans="1:23">
      <c r="A241" s="1655" t="s">
        <v>70</v>
      </c>
      <c r="B241" s="1655" t="s">
        <v>719</v>
      </c>
      <c r="C241" s="1655" t="s">
        <v>29</v>
      </c>
      <c r="D241" s="1655" t="s">
        <v>42</v>
      </c>
      <c r="E241" s="1655" t="s">
        <v>569</v>
      </c>
      <c r="G241" s="1655" t="s">
        <v>70</v>
      </c>
      <c r="H241" s="1655" t="s">
        <v>719</v>
      </c>
      <c r="I241" s="1655" t="s">
        <v>12</v>
      </c>
      <c r="J241" s="1655" t="s">
        <v>42</v>
      </c>
      <c r="K241" s="1655" t="s">
        <v>569</v>
      </c>
      <c r="M241" s="1655" t="s">
        <v>70</v>
      </c>
      <c r="N241" s="1655" t="s">
        <v>719</v>
      </c>
      <c r="O241" s="1655" t="s">
        <v>22</v>
      </c>
      <c r="P241" s="1655" t="s">
        <v>42</v>
      </c>
      <c r="Q241" s="1655" t="s">
        <v>569</v>
      </c>
      <c r="S241" s="1655" t="s">
        <v>70</v>
      </c>
      <c r="T241" s="1655" t="s">
        <v>719</v>
      </c>
      <c r="U241" s="1655" t="s">
        <v>275</v>
      </c>
      <c r="V241" s="1655" t="s">
        <v>42</v>
      </c>
      <c r="W241" s="1655" t="s">
        <v>569</v>
      </c>
    </row>
    <row r="242" spans="1:23">
      <c r="A242" s="1655" t="s">
        <v>70</v>
      </c>
      <c r="B242" s="1655" t="s">
        <v>720</v>
      </c>
      <c r="C242" s="1655" t="s">
        <v>30</v>
      </c>
      <c r="D242" s="1655" t="s">
        <v>42</v>
      </c>
      <c r="E242" s="1655" t="s">
        <v>569</v>
      </c>
      <c r="G242" s="1655" t="s">
        <v>70</v>
      </c>
      <c r="H242" s="1655" t="s">
        <v>720</v>
      </c>
      <c r="I242" s="1655" t="s">
        <v>12</v>
      </c>
      <c r="J242" s="1655" t="s">
        <v>42</v>
      </c>
      <c r="K242" s="1655" t="s">
        <v>569</v>
      </c>
      <c r="M242" s="1655" t="s">
        <v>70</v>
      </c>
      <c r="N242" s="1655" t="s">
        <v>720</v>
      </c>
      <c r="O242" s="1655" t="s">
        <v>52</v>
      </c>
      <c r="P242" s="1655" t="s">
        <v>42</v>
      </c>
      <c r="Q242" s="1655" t="s">
        <v>569</v>
      </c>
      <c r="S242" s="1655" t="s">
        <v>70</v>
      </c>
      <c r="T242" s="1655" t="s">
        <v>720</v>
      </c>
      <c r="U242" s="1655" t="s">
        <v>12</v>
      </c>
      <c r="V242" s="1655" t="s">
        <v>42</v>
      </c>
      <c r="W242" s="1655" t="s">
        <v>569</v>
      </c>
    </row>
    <row r="243" spans="1:23">
      <c r="A243" s="1655" t="s">
        <v>70</v>
      </c>
      <c r="B243" s="1655" t="s">
        <v>721</v>
      </c>
      <c r="C243" s="1655" t="s">
        <v>12</v>
      </c>
      <c r="D243" s="1655" t="s">
        <v>42</v>
      </c>
      <c r="E243" s="1655" t="s">
        <v>569</v>
      </c>
      <c r="G243" s="1655" t="s">
        <v>70</v>
      </c>
      <c r="H243" s="1655" t="s">
        <v>721</v>
      </c>
      <c r="I243" s="1655" t="s">
        <v>12</v>
      </c>
      <c r="J243" s="1655" t="s">
        <v>42</v>
      </c>
      <c r="K243" s="1655" t="s">
        <v>569</v>
      </c>
      <c r="M243" s="1655" t="s">
        <v>70</v>
      </c>
      <c r="N243" s="1655" t="s">
        <v>721</v>
      </c>
      <c r="O243" s="1655" t="s">
        <v>274</v>
      </c>
      <c r="P243" s="1655" t="s">
        <v>42</v>
      </c>
      <c r="Q243" s="1655" t="s">
        <v>569</v>
      </c>
      <c r="S243" s="1655" t="s">
        <v>70</v>
      </c>
      <c r="T243" s="1655" t="s">
        <v>721</v>
      </c>
      <c r="U243" s="1655" t="s">
        <v>12</v>
      </c>
      <c r="V243" s="1655" t="s">
        <v>42</v>
      </c>
      <c r="W243" s="1655" t="s">
        <v>569</v>
      </c>
    </row>
    <row r="244" spans="1:23">
      <c r="A244" s="1655" t="s">
        <v>70</v>
      </c>
      <c r="B244" s="1655" t="s">
        <v>722</v>
      </c>
      <c r="C244" s="1655" t="s">
        <v>12</v>
      </c>
      <c r="D244" s="1655" t="s">
        <v>42</v>
      </c>
      <c r="E244" s="1655" t="s">
        <v>569</v>
      </c>
      <c r="G244" s="1655" t="s">
        <v>70</v>
      </c>
      <c r="H244" s="1655" t="s">
        <v>722</v>
      </c>
      <c r="I244" s="1655" t="s">
        <v>275</v>
      </c>
      <c r="J244" s="1655" t="s">
        <v>42</v>
      </c>
      <c r="K244" s="1655" t="s">
        <v>569</v>
      </c>
      <c r="M244" s="1655" t="s">
        <v>70</v>
      </c>
      <c r="N244" s="1655" t="s">
        <v>722</v>
      </c>
      <c r="O244" s="1655" t="s">
        <v>275</v>
      </c>
      <c r="P244" s="1655" t="s">
        <v>42</v>
      </c>
      <c r="Q244" s="1655" t="s">
        <v>569</v>
      </c>
      <c r="S244" s="1655" t="s">
        <v>70</v>
      </c>
      <c r="T244" s="1655" t="s">
        <v>722</v>
      </c>
      <c r="U244" s="1655" t="s">
        <v>12</v>
      </c>
      <c r="V244" s="1655" t="s">
        <v>42</v>
      </c>
      <c r="W244" s="1655" t="s">
        <v>569</v>
      </c>
    </row>
    <row r="245" spans="1:23">
      <c r="A245" s="1655" t="s">
        <v>70</v>
      </c>
      <c r="B245" s="1655" t="s">
        <v>723</v>
      </c>
      <c r="C245" s="1655" t="s">
        <v>12</v>
      </c>
      <c r="D245" s="1655" t="s">
        <v>42</v>
      </c>
      <c r="E245" s="1655" t="s">
        <v>569</v>
      </c>
      <c r="G245" s="1655" t="s">
        <v>70</v>
      </c>
      <c r="H245" s="1655" t="s">
        <v>723</v>
      </c>
      <c r="I245" s="1655" t="s">
        <v>12</v>
      </c>
      <c r="J245" s="1655" t="s">
        <v>42</v>
      </c>
      <c r="K245" s="1655" t="s">
        <v>569</v>
      </c>
      <c r="M245" s="1655" t="s">
        <v>70</v>
      </c>
      <c r="N245" s="1655" t="s">
        <v>723</v>
      </c>
      <c r="O245" s="1655" t="s">
        <v>12</v>
      </c>
      <c r="P245" s="1655" t="s">
        <v>42</v>
      </c>
      <c r="Q245" s="1655" t="s">
        <v>569</v>
      </c>
      <c r="S245" s="1655" t="s">
        <v>70</v>
      </c>
      <c r="T245" s="1655" t="s">
        <v>723</v>
      </c>
      <c r="U245" s="1655" t="s">
        <v>12</v>
      </c>
      <c r="V245" s="1655" t="s">
        <v>42</v>
      </c>
      <c r="W245" s="1655" t="s">
        <v>569</v>
      </c>
    </row>
    <row r="246" spans="1:23">
      <c r="A246" s="1655" t="s">
        <v>70</v>
      </c>
      <c r="B246" s="1655" t="s">
        <v>724</v>
      </c>
      <c r="C246" s="1655" t="s">
        <v>12</v>
      </c>
      <c r="D246" s="1655" t="s">
        <v>42</v>
      </c>
      <c r="E246" s="1655" t="s">
        <v>569</v>
      </c>
      <c r="G246" s="1655" t="s">
        <v>70</v>
      </c>
      <c r="H246" s="1655" t="s">
        <v>724</v>
      </c>
      <c r="I246" s="1655" t="s">
        <v>12</v>
      </c>
      <c r="J246" s="1655" t="s">
        <v>42</v>
      </c>
      <c r="K246" s="1655" t="s">
        <v>569</v>
      </c>
      <c r="M246" s="1655" t="s">
        <v>70</v>
      </c>
      <c r="N246" s="1655" t="s">
        <v>724</v>
      </c>
      <c r="O246" s="1655" t="s">
        <v>12</v>
      </c>
      <c r="P246" s="1655" t="s">
        <v>42</v>
      </c>
      <c r="Q246" s="1655" t="s">
        <v>569</v>
      </c>
      <c r="S246" s="1655" t="s">
        <v>70</v>
      </c>
      <c r="T246" s="1655" t="s">
        <v>724</v>
      </c>
      <c r="U246" s="1655" t="s">
        <v>12</v>
      </c>
      <c r="V246" s="1655" t="s">
        <v>42</v>
      </c>
      <c r="W246" s="1655" t="s">
        <v>569</v>
      </c>
    </row>
    <row r="247" spans="1:23">
      <c r="A247" s="1655" t="s">
        <v>70</v>
      </c>
      <c r="B247" s="1655" t="s">
        <v>1538</v>
      </c>
      <c r="C247" s="1655" t="s">
        <v>12</v>
      </c>
      <c r="D247" s="1655" t="s">
        <v>42</v>
      </c>
      <c r="E247" s="1655" t="s">
        <v>569</v>
      </c>
      <c r="G247" s="1655" t="s">
        <v>70</v>
      </c>
      <c r="H247" s="1655" t="s">
        <v>1538</v>
      </c>
      <c r="I247" s="1655" t="s">
        <v>12</v>
      </c>
      <c r="J247" s="1655" t="s">
        <v>42</v>
      </c>
      <c r="K247" s="1655" t="s">
        <v>569</v>
      </c>
      <c r="M247" s="1655" t="s">
        <v>70</v>
      </c>
      <c r="N247" s="1655" t="s">
        <v>1538</v>
      </c>
      <c r="O247" s="1655" t="s">
        <v>12</v>
      </c>
      <c r="P247" s="1655" t="s">
        <v>42</v>
      </c>
      <c r="Q247" s="1655" t="s">
        <v>569</v>
      </c>
      <c r="S247" s="1655" t="s">
        <v>70</v>
      </c>
      <c r="T247" s="1655" t="s">
        <v>1538</v>
      </c>
      <c r="U247" s="1655" t="s">
        <v>275</v>
      </c>
      <c r="V247" s="1655" t="s">
        <v>42</v>
      </c>
      <c r="W247" s="1655" t="s">
        <v>569</v>
      </c>
    </row>
    <row r="248" spans="1:23">
      <c r="A248" s="1655" t="s">
        <v>70</v>
      </c>
      <c r="B248" s="1655" t="s">
        <v>1539</v>
      </c>
      <c r="C248" s="1655" t="s">
        <v>12</v>
      </c>
      <c r="D248" s="1655" t="s">
        <v>42</v>
      </c>
      <c r="E248" s="1655" t="s">
        <v>569</v>
      </c>
      <c r="G248" s="1655" t="s">
        <v>70</v>
      </c>
      <c r="H248" s="1655" t="s">
        <v>1539</v>
      </c>
      <c r="I248" s="1655" t="s">
        <v>12</v>
      </c>
      <c r="J248" s="1655" t="s">
        <v>42</v>
      </c>
      <c r="K248" s="1655" t="s">
        <v>569</v>
      </c>
      <c r="M248" s="1655" t="s">
        <v>70</v>
      </c>
      <c r="N248" s="1655" t="s">
        <v>1539</v>
      </c>
      <c r="O248" s="1655" t="s">
        <v>12</v>
      </c>
      <c r="P248" s="1655" t="s">
        <v>42</v>
      </c>
      <c r="Q248" s="1655" t="s">
        <v>569</v>
      </c>
      <c r="S248" s="1655" t="s">
        <v>70</v>
      </c>
      <c r="T248" s="1655" t="s">
        <v>1539</v>
      </c>
      <c r="U248" s="1655" t="s">
        <v>12</v>
      </c>
      <c r="V248" s="1655" t="s">
        <v>42</v>
      </c>
      <c r="W248" s="1655" t="s">
        <v>569</v>
      </c>
    </row>
    <row r="249" spans="1:23">
      <c r="A249" s="1655" t="s">
        <v>70</v>
      </c>
      <c r="B249" s="1655" t="s">
        <v>1540</v>
      </c>
      <c r="C249" s="1655" t="s">
        <v>12</v>
      </c>
      <c r="D249" s="1655" t="s">
        <v>42</v>
      </c>
      <c r="E249" s="1655" t="s">
        <v>569</v>
      </c>
      <c r="G249" s="1655" t="s">
        <v>70</v>
      </c>
      <c r="H249" s="1655" t="s">
        <v>1540</v>
      </c>
      <c r="I249" s="1655" t="s">
        <v>12</v>
      </c>
      <c r="J249" s="1655" t="s">
        <v>42</v>
      </c>
      <c r="K249" s="1655" t="s">
        <v>569</v>
      </c>
      <c r="M249" s="1655" t="s">
        <v>70</v>
      </c>
      <c r="N249" s="1655" t="s">
        <v>1540</v>
      </c>
      <c r="O249" s="1655" t="s">
        <v>12</v>
      </c>
      <c r="P249" s="1655" t="s">
        <v>42</v>
      </c>
      <c r="Q249" s="1655" t="s">
        <v>569</v>
      </c>
      <c r="S249" s="1655" t="s">
        <v>70</v>
      </c>
      <c r="T249" s="1655" t="s">
        <v>1540</v>
      </c>
      <c r="U249" s="1655" t="s">
        <v>12</v>
      </c>
      <c r="V249" s="1655" t="s">
        <v>42</v>
      </c>
      <c r="W249" s="1655" t="s">
        <v>569</v>
      </c>
    </row>
    <row r="250" spans="1:23">
      <c r="A250" s="1655" t="s">
        <v>70</v>
      </c>
      <c r="B250" s="1655" t="s">
        <v>1541</v>
      </c>
      <c r="C250" s="1655" t="s">
        <v>12</v>
      </c>
      <c r="D250" s="1655" t="s">
        <v>42</v>
      </c>
      <c r="E250" s="1655" t="s">
        <v>569</v>
      </c>
      <c r="G250" s="1655" t="s">
        <v>70</v>
      </c>
      <c r="H250" s="1655" t="s">
        <v>1541</v>
      </c>
      <c r="I250" s="1655" t="s">
        <v>12</v>
      </c>
      <c r="J250" s="1655" t="s">
        <v>42</v>
      </c>
      <c r="K250" s="1655" t="s">
        <v>569</v>
      </c>
      <c r="M250" s="1655" t="s">
        <v>70</v>
      </c>
      <c r="N250" s="1655" t="s">
        <v>1541</v>
      </c>
      <c r="O250" s="1655" t="s">
        <v>12</v>
      </c>
      <c r="P250" s="1655" t="s">
        <v>42</v>
      </c>
      <c r="Q250" s="1655" t="s">
        <v>569</v>
      </c>
      <c r="S250" s="1655" t="s">
        <v>70</v>
      </c>
      <c r="T250" s="1655" t="s">
        <v>1541</v>
      </c>
      <c r="U250" s="1655" t="s">
        <v>12</v>
      </c>
      <c r="V250" s="1655" t="s">
        <v>42</v>
      </c>
      <c r="W250" s="1655" t="s">
        <v>569</v>
      </c>
    </row>
    <row r="251" spans="1:23">
      <c r="A251" s="1655" t="s">
        <v>70</v>
      </c>
      <c r="B251" s="1655" t="s">
        <v>1542</v>
      </c>
      <c r="C251" s="1655" t="s">
        <v>12</v>
      </c>
      <c r="D251" s="1655" t="s">
        <v>42</v>
      </c>
      <c r="E251" s="1655" t="s">
        <v>569</v>
      </c>
      <c r="G251" s="1655" t="s">
        <v>70</v>
      </c>
      <c r="H251" s="1655" t="s">
        <v>1542</v>
      </c>
      <c r="I251" s="1655" t="s">
        <v>275</v>
      </c>
      <c r="J251" s="1655" t="s">
        <v>42</v>
      </c>
      <c r="K251" s="1655" t="s">
        <v>569</v>
      </c>
      <c r="M251" s="1655" t="s">
        <v>70</v>
      </c>
      <c r="N251" s="1655" t="s">
        <v>1542</v>
      </c>
      <c r="O251" s="1655" t="s">
        <v>12</v>
      </c>
      <c r="P251" s="1655" t="s">
        <v>42</v>
      </c>
      <c r="Q251" s="1655" t="s">
        <v>569</v>
      </c>
      <c r="S251" s="1655" t="s">
        <v>70</v>
      </c>
      <c r="T251" s="1655" t="s">
        <v>1542</v>
      </c>
      <c r="U251" s="1655" t="s">
        <v>12</v>
      </c>
      <c r="V251" s="1655" t="s">
        <v>42</v>
      </c>
      <c r="W251" s="1655" t="s">
        <v>569</v>
      </c>
    </row>
    <row r="252" spans="1:23">
      <c r="A252" s="1655" t="s">
        <v>70</v>
      </c>
      <c r="B252" s="1655" t="s">
        <v>1543</v>
      </c>
      <c r="C252" s="1655" t="s">
        <v>12</v>
      </c>
      <c r="D252" s="1655" t="s">
        <v>42</v>
      </c>
      <c r="E252" s="1655" t="s">
        <v>569</v>
      </c>
      <c r="G252" s="1655" t="s">
        <v>70</v>
      </c>
      <c r="H252" s="1655" t="s">
        <v>1543</v>
      </c>
      <c r="I252" s="1655" t="s">
        <v>12</v>
      </c>
      <c r="J252" s="1655" t="s">
        <v>42</v>
      </c>
      <c r="K252" s="1655" t="s">
        <v>569</v>
      </c>
      <c r="M252" s="1655" t="s">
        <v>70</v>
      </c>
      <c r="N252" s="1655" t="s">
        <v>1543</v>
      </c>
      <c r="O252" s="1655" t="s">
        <v>12</v>
      </c>
      <c r="P252" s="1655" t="s">
        <v>42</v>
      </c>
      <c r="Q252" s="1655" t="s">
        <v>569</v>
      </c>
      <c r="S252" s="1655" t="s">
        <v>70</v>
      </c>
      <c r="T252" s="1655" t="s">
        <v>1543</v>
      </c>
      <c r="U252" s="1655" t="s">
        <v>12</v>
      </c>
      <c r="V252" s="1655" t="s">
        <v>42</v>
      </c>
      <c r="W252" s="1655" t="s">
        <v>569</v>
      </c>
    </row>
    <row r="253" spans="1:23">
      <c r="A253" s="1655" t="s">
        <v>70</v>
      </c>
      <c r="B253" s="1655" t="s">
        <v>1544</v>
      </c>
      <c r="C253" s="1655" t="s">
        <v>12</v>
      </c>
      <c r="D253" s="1655" t="s">
        <v>42</v>
      </c>
      <c r="E253" s="1655" t="s">
        <v>569</v>
      </c>
      <c r="G253" s="1655" t="s">
        <v>70</v>
      </c>
      <c r="H253" s="1655" t="s">
        <v>1544</v>
      </c>
      <c r="I253" s="1655" t="s">
        <v>12</v>
      </c>
      <c r="J253" s="1655" t="s">
        <v>42</v>
      </c>
      <c r="K253" s="1655" t="s">
        <v>569</v>
      </c>
      <c r="M253" s="1655" t="s">
        <v>70</v>
      </c>
      <c r="N253" s="1655" t="s">
        <v>1544</v>
      </c>
      <c r="O253" s="1655" t="s">
        <v>12</v>
      </c>
      <c r="P253" s="1655" t="s">
        <v>42</v>
      </c>
      <c r="Q253" s="1655" t="s">
        <v>569</v>
      </c>
      <c r="S253" s="1655" t="s">
        <v>70</v>
      </c>
      <c r="T253" s="1655" t="s">
        <v>1544</v>
      </c>
      <c r="U253" s="1655" t="s">
        <v>275</v>
      </c>
      <c r="V253" s="1655" t="s">
        <v>42</v>
      </c>
      <c r="W253" s="1655" t="s">
        <v>569</v>
      </c>
    </row>
    <row r="254" spans="1:23">
      <c r="A254" s="1655" t="s">
        <v>70</v>
      </c>
      <c r="B254" s="1655" t="s">
        <v>1545</v>
      </c>
      <c r="C254" s="1655" t="s">
        <v>12</v>
      </c>
      <c r="D254" s="1655" t="s">
        <v>42</v>
      </c>
      <c r="E254" s="1655" t="s">
        <v>569</v>
      </c>
      <c r="G254" s="1655" t="s">
        <v>70</v>
      </c>
      <c r="H254" s="1655" t="s">
        <v>1545</v>
      </c>
      <c r="I254" s="1655" t="s">
        <v>12</v>
      </c>
      <c r="J254" s="1655" t="s">
        <v>42</v>
      </c>
      <c r="K254" s="1655" t="s">
        <v>569</v>
      </c>
      <c r="M254" s="1655" t="s">
        <v>70</v>
      </c>
      <c r="N254" s="1655" t="s">
        <v>1545</v>
      </c>
      <c r="O254" s="1655" t="s">
        <v>12</v>
      </c>
      <c r="P254" s="1655" t="s">
        <v>42</v>
      </c>
      <c r="Q254" s="1655" t="s">
        <v>569</v>
      </c>
      <c r="S254" s="1655" t="s">
        <v>70</v>
      </c>
      <c r="T254" s="1655" t="s">
        <v>1545</v>
      </c>
      <c r="U254" s="1655" t="s">
        <v>12</v>
      </c>
      <c r="V254" s="1655" t="s">
        <v>42</v>
      </c>
      <c r="W254" s="1655" t="s">
        <v>569</v>
      </c>
    </row>
    <row r="255" spans="1:23">
      <c r="A255" s="1655" t="s">
        <v>70</v>
      </c>
      <c r="B255" s="1655" t="s">
        <v>1546</v>
      </c>
      <c r="C255" s="1655" t="s">
        <v>12</v>
      </c>
      <c r="D255" s="1655" t="s">
        <v>42</v>
      </c>
      <c r="E255" s="1655" t="s">
        <v>569</v>
      </c>
      <c r="G255" s="1655" t="s">
        <v>70</v>
      </c>
      <c r="H255" s="1655" t="s">
        <v>1546</v>
      </c>
      <c r="I255" s="1655" t="s">
        <v>12</v>
      </c>
      <c r="J255" s="1655" t="s">
        <v>42</v>
      </c>
      <c r="K255" s="1655" t="s">
        <v>569</v>
      </c>
      <c r="M255" s="1655" t="s">
        <v>70</v>
      </c>
      <c r="N255" s="1655" t="s">
        <v>1546</v>
      </c>
      <c r="O255" s="1655" t="s">
        <v>12</v>
      </c>
      <c r="P255" s="1655" t="s">
        <v>42</v>
      </c>
      <c r="Q255" s="1655" t="s">
        <v>569</v>
      </c>
      <c r="S255" s="1655" t="s">
        <v>70</v>
      </c>
      <c r="T255" s="1655" t="s">
        <v>1546</v>
      </c>
      <c r="U255" s="1655" t="s">
        <v>12</v>
      </c>
      <c r="V255" s="1655" t="s">
        <v>42</v>
      </c>
      <c r="W255" s="1655" t="s">
        <v>569</v>
      </c>
    </row>
    <row r="256" spans="1:23">
      <c r="A256" s="1655" t="s">
        <v>70</v>
      </c>
      <c r="B256" s="1655" t="s">
        <v>1547</v>
      </c>
      <c r="C256" s="1655" t="s">
        <v>12</v>
      </c>
      <c r="D256" s="1655" t="s">
        <v>42</v>
      </c>
      <c r="E256" s="1655" t="s">
        <v>569</v>
      </c>
      <c r="G256" s="1655" t="s">
        <v>70</v>
      </c>
      <c r="H256" s="1655" t="s">
        <v>1547</v>
      </c>
      <c r="I256" s="1655" t="s">
        <v>12</v>
      </c>
      <c r="J256" s="1655" t="s">
        <v>42</v>
      </c>
      <c r="K256" s="1655" t="s">
        <v>569</v>
      </c>
      <c r="M256" s="1655" t="s">
        <v>70</v>
      </c>
      <c r="N256" s="1655" t="s">
        <v>1547</v>
      </c>
      <c r="O256" s="1655" t="s">
        <v>12</v>
      </c>
      <c r="P256" s="1655" t="s">
        <v>42</v>
      </c>
      <c r="Q256" s="1655" t="s">
        <v>569</v>
      </c>
      <c r="S256" s="1655" t="s">
        <v>70</v>
      </c>
      <c r="T256" s="1655" t="s">
        <v>1547</v>
      </c>
      <c r="U256" s="1655" t="s">
        <v>12</v>
      </c>
      <c r="V256" s="1655" t="s">
        <v>42</v>
      </c>
      <c r="W256" s="1655" t="s">
        <v>569</v>
      </c>
    </row>
    <row r="257" spans="1:23">
      <c r="A257" s="1655" t="s">
        <v>70</v>
      </c>
      <c r="B257" s="1655" t="s">
        <v>1548</v>
      </c>
      <c r="C257" s="1655" t="s">
        <v>275</v>
      </c>
      <c r="D257" s="1655" t="s">
        <v>42</v>
      </c>
      <c r="E257" s="1655" t="s">
        <v>569</v>
      </c>
      <c r="G257" s="1655" t="s">
        <v>70</v>
      </c>
      <c r="H257" s="1655" t="s">
        <v>1548</v>
      </c>
      <c r="I257" s="1655" t="s">
        <v>275</v>
      </c>
      <c r="J257" s="1655" t="s">
        <v>42</v>
      </c>
      <c r="K257" s="1655" t="s">
        <v>569</v>
      </c>
      <c r="M257" s="1655" t="s">
        <v>70</v>
      </c>
      <c r="N257" s="1655" t="s">
        <v>1548</v>
      </c>
      <c r="O257" s="1655" t="s">
        <v>275</v>
      </c>
      <c r="P257" s="1655" t="s">
        <v>42</v>
      </c>
      <c r="Q257" s="1655" t="s">
        <v>569</v>
      </c>
      <c r="S257" s="1655" t="s">
        <v>70</v>
      </c>
      <c r="T257" s="1655" t="s">
        <v>1548</v>
      </c>
      <c r="U257" s="1655" t="s">
        <v>12</v>
      </c>
      <c r="V257" s="1655" t="s">
        <v>42</v>
      </c>
      <c r="W257" s="1655" t="s">
        <v>569</v>
      </c>
    </row>
    <row r="258" spans="1:23">
      <c r="A258" s="1655" t="s">
        <v>70</v>
      </c>
      <c r="B258" s="1655" t="s">
        <v>1549</v>
      </c>
      <c r="C258" s="1655" t="s">
        <v>12</v>
      </c>
      <c r="D258" s="1655" t="s">
        <v>42</v>
      </c>
      <c r="E258" s="1655" t="s">
        <v>569</v>
      </c>
      <c r="G258" s="1655" t="s">
        <v>70</v>
      </c>
      <c r="H258" s="1655" t="s">
        <v>1549</v>
      </c>
      <c r="I258" s="1655" t="s">
        <v>12</v>
      </c>
      <c r="J258" s="1655" t="s">
        <v>42</v>
      </c>
      <c r="K258" s="1655" t="s">
        <v>569</v>
      </c>
      <c r="M258" s="1655" t="s">
        <v>70</v>
      </c>
      <c r="N258" s="1655" t="s">
        <v>1549</v>
      </c>
      <c r="O258" s="1655" t="s">
        <v>12</v>
      </c>
      <c r="P258" s="1655" t="s">
        <v>42</v>
      </c>
      <c r="Q258" s="1655" t="s">
        <v>569</v>
      </c>
      <c r="S258" s="1655" t="s">
        <v>70</v>
      </c>
      <c r="T258" s="1655" t="s">
        <v>1549</v>
      </c>
      <c r="U258" s="1655" t="s">
        <v>12</v>
      </c>
      <c r="V258" s="1655" t="s">
        <v>42</v>
      </c>
      <c r="W258" s="1655" t="s">
        <v>569</v>
      </c>
    </row>
    <row r="259" spans="1:23">
      <c r="A259" s="1655" t="s">
        <v>70</v>
      </c>
      <c r="B259" s="1655" t="s">
        <v>1550</v>
      </c>
      <c r="C259" s="1655" t="s">
        <v>12</v>
      </c>
      <c r="D259" s="1655" t="s">
        <v>42</v>
      </c>
      <c r="E259" s="1655" t="s">
        <v>569</v>
      </c>
      <c r="G259" s="1655" t="s">
        <v>70</v>
      </c>
      <c r="H259" s="1655" t="s">
        <v>1550</v>
      </c>
      <c r="I259" s="1655" t="s">
        <v>12</v>
      </c>
      <c r="J259" s="1655" t="s">
        <v>42</v>
      </c>
      <c r="K259" s="1655" t="s">
        <v>569</v>
      </c>
      <c r="M259" s="1655" t="s">
        <v>70</v>
      </c>
      <c r="N259" s="1655" t="s">
        <v>1550</v>
      </c>
      <c r="O259" s="1655" t="s">
        <v>12</v>
      </c>
      <c r="P259" s="1655" t="s">
        <v>42</v>
      </c>
      <c r="Q259" s="1655" t="s">
        <v>569</v>
      </c>
      <c r="S259" s="1655" t="s">
        <v>70</v>
      </c>
      <c r="T259" s="1655" t="s">
        <v>1550</v>
      </c>
      <c r="U259" s="1655" t="s">
        <v>275</v>
      </c>
      <c r="V259" s="1655" t="s">
        <v>42</v>
      </c>
      <c r="W259" s="1655" t="s">
        <v>569</v>
      </c>
    </row>
    <row r="260" spans="1:23">
      <c r="A260" s="1655" t="s">
        <v>70</v>
      </c>
      <c r="B260" s="1655" t="s">
        <v>1551</v>
      </c>
      <c r="C260" s="1655" t="s">
        <v>12</v>
      </c>
      <c r="D260" s="1655" t="s">
        <v>42</v>
      </c>
      <c r="E260" s="1655" t="s">
        <v>569</v>
      </c>
      <c r="G260" s="1655" t="s">
        <v>70</v>
      </c>
      <c r="H260" s="1655" t="s">
        <v>1551</v>
      </c>
      <c r="I260" s="1655" t="s">
        <v>12</v>
      </c>
      <c r="J260" s="1655" t="s">
        <v>42</v>
      </c>
      <c r="K260" s="1655" t="s">
        <v>569</v>
      </c>
      <c r="M260" s="1655" t="s">
        <v>70</v>
      </c>
      <c r="N260" s="1655" t="s">
        <v>1551</v>
      </c>
      <c r="O260" s="1655" t="s">
        <v>12</v>
      </c>
      <c r="P260" s="1655" t="s">
        <v>42</v>
      </c>
      <c r="Q260" s="1655" t="s">
        <v>569</v>
      </c>
      <c r="S260" s="1655" t="s">
        <v>70</v>
      </c>
      <c r="T260" s="1655" t="s">
        <v>1551</v>
      </c>
      <c r="U260" s="1655" t="s">
        <v>12</v>
      </c>
      <c r="V260" s="1655" t="s">
        <v>42</v>
      </c>
      <c r="W260" s="1655" t="s">
        <v>569</v>
      </c>
    </row>
    <row r="261" spans="1:23">
      <c r="A261" s="1655" t="s">
        <v>70</v>
      </c>
      <c r="B261" s="1655" t="s">
        <v>1552</v>
      </c>
      <c r="C261" s="1655" t="s">
        <v>12</v>
      </c>
      <c r="D261" s="1655" t="s">
        <v>42</v>
      </c>
      <c r="E261" s="1655" t="s">
        <v>569</v>
      </c>
      <c r="G261" s="1655" t="s">
        <v>70</v>
      </c>
      <c r="H261" s="1655" t="s">
        <v>1552</v>
      </c>
      <c r="I261" s="1655" t="s">
        <v>12</v>
      </c>
      <c r="J261" s="1655" t="s">
        <v>42</v>
      </c>
      <c r="K261" s="1655" t="s">
        <v>569</v>
      </c>
      <c r="M261" s="1655" t="s">
        <v>70</v>
      </c>
      <c r="N261" s="1655" t="s">
        <v>1552</v>
      </c>
      <c r="O261" s="1655" t="s">
        <v>12</v>
      </c>
      <c r="P261" s="1655" t="s">
        <v>42</v>
      </c>
      <c r="Q261" s="1655" t="s">
        <v>569</v>
      </c>
      <c r="S261" s="1655" t="s">
        <v>70</v>
      </c>
      <c r="T261" s="1655" t="s">
        <v>1552</v>
      </c>
      <c r="U261" s="1655" t="s">
        <v>12</v>
      </c>
      <c r="V261" s="1655" t="s">
        <v>42</v>
      </c>
      <c r="W261" s="1655" t="s">
        <v>569</v>
      </c>
    </row>
    <row r="262" spans="1:23">
      <c r="A262" s="1655" t="s">
        <v>70</v>
      </c>
      <c r="B262" s="1655" t="s">
        <v>1553</v>
      </c>
      <c r="C262" s="1655" t="s">
        <v>12</v>
      </c>
      <c r="D262" s="1655" t="s">
        <v>42</v>
      </c>
      <c r="E262" s="1655" t="s">
        <v>569</v>
      </c>
      <c r="G262" s="1655" t="s">
        <v>70</v>
      </c>
      <c r="H262" s="1655" t="s">
        <v>1553</v>
      </c>
      <c r="I262" s="1655" t="s">
        <v>12</v>
      </c>
      <c r="J262" s="1655" t="s">
        <v>42</v>
      </c>
      <c r="K262" s="1655" t="s">
        <v>569</v>
      </c>
      <c r="M262" s="1655" t="s">
        <v>70</v>
      </c>
      <c r="N262" s="1655" t="s">
        <v>1553</v>
      </c>
      <c r="O262" s="1655" t="s">
        <v>12</v>
      </c>
      <c r="P262" s="1655" t="s">
        <v>42</v>
      </c>
      <c r="Q262" s="1655" t="s">
        <v>569</v>
      </c>
      <c r="S262" s="1655" t="s">
        <v>70</v>
      </c>
      <c r="T262" s="1655" t="s">
        <v>1553</v>
      </c>
      <c r="U262" s="1655" t="s">
        <v>12</v>
      </c>
      <c r="V262" s="1655" t="s">
        <v>42</v>
      </c>
      <c r="W262" s="1655" t="s">
        <v>569</v>
      </c>
    </row>
    <row r="263" spans="1:23">
      <c r="A263" s="1655" t="s">
        <v>70</v>
      </c>
      <c r="B263" s="1655" t="s">
        <v>1554</v>
      </c>
      <c r="C263" s="1655" t="s">
        <v>12</v>
      </c>
      <c r="D263" s="1655" t="s">
        <v>42</v>
      </c>
      <c r="E263" s="1655" t="s">
        <v>569</v>
      </c>
      <c r="G263" s="1655" t="s">
        <v>70</v>
      </c>
      <c r="H263" s="1655" t="s">
        <v>1554</v>
      </c>
      <c r="I263" s="1655" t="s">
        <v>12</v>
      </c>
      <c r="J263" s="1655" t="s">
        <v>42</v>
      </c>
      <c r="K263" s="1655" t="s">
        <v>569</v>
      </c>
      <c r="M263" s="1655" t="s">
        <v>70</v>
      </c>
      <c r="N263" s="1655" t="s">
        <v>1554</v>
      </c>
      <c r="O263" s="1655" t="s">
        <v>12</v>
      </c>
      <c r="P263" s="1655" t="s">
        <v>42</v>
      </c>
      <c r="Q263" s="1655" t="s">
        <v>569</v>
      </c>
      <c r="S263" s="1655" t="s">
        <v>70</v>
      </c>
      <c r="T263" s="1655" t="s">
        <v>1554</v>
      </c>
      <c r="U263" s="1655" t="s">
        <v>12</v>
      </c>
      <c r="V263" s="1655" t="s">
        <v>42</v>
      </c>
      <c r="W263" s="1655" t="s">
        <v>569</v>
      </c>
    </row>
    <row r="264" spans="1:23">
      <c r="A264" s="1655" t="s">
        <v>70</v>
      </c>
      <c r="B264" s="1655" t="s">
        <v>1555</v>
      </c>
      <c r="C264" s="1655" t="s">
        <v>12</v>
      </c>
      <c r="D264" s="1655" t="s">
        <v>42</v>
      </c>
      <c r="E264" s="1655" t="s">
        <v>569</v>
      </c>
      <c r="G264" s="1655" t="s">
        <v>70</v>
      </c>
      <c r="H264" s="1655" t="s">
        <v>1555</v>
      </c>
      <c r="I264" s="1655" t="s">
        <v>12</v>
      </c>
      <c r="J264" s="1655" t="s">
        <v>42</v>
      </c>
      <c r="K264" s="1655" t="s">
        <v>569</v>
      </c>
      <c r="M264" s="1655" t="s">
        <v>70</v>
      </c>
      <c r="N264" s="1655" t="s">
        <v>1555</v>
      </c>
      <c r="O264" s="1655" t="s">
        <v>12</v>
      </c>
      <c r="P264" s="1655" t="s">
        <v>42</v>
      </c>
      <c r="Q264" s="1655" t="s">
        <v>569</v>
      </c>
      <c r="S264" s="1655" t="s">
        <v>70</v>
      </c>
      <c r="T264" s="1655" t="s">
        <v>1555</v>
      </c>
      <c r="U264" s="1655" t="s">
        <v>12</v>
      </c>
      <c r="V264" s="1655" t="s">
        <v>42</v>
      </c>
      <c r="W264" s="1655" t="s">
        <v>569</v>
      </c>
    </row>
    <row r="265" spans="1:23">
      <c r="A265" s="1655" t="s">
        <v>70</v>
      </c>
      <c r="B265" s="1655" t="s">
        <v>1556</v>
      </c>
      <c r="C265" s="1655" t="s">
        <v>12</v>
      </c>
      <c r="D265" s="1655" t="s">
        <v>42</v>
      </c>
      <c r="E265" s="1655" t="s">
        <v>569</v>
      </c>
      <c r="G265" s="1655" t="s">
        <v>70</v>
      </c>
      <c r="H265" s="1655" t="s">
        <v>1556</v>
      </c>
      <c r="I265" s="1655" t="s">
        <v>12</v>
      </c>
      <c r="J265" s="1655" t="s">
        <v>42</v>
      </c>
      <c r="K265" s="1655" t="s">
        <v>569</v>
      </c>
      <c r="M265" s="1655" t="s">
        <v>70</v>
      </c>
      <c r="N265" s="1655" t="s">
        <v>1556</v>
      </c>
      <c r="O265" s="1655" t="s">
        <v>12</v>
      </c>
      <c r="P265" s="1655" t="s">
        <v>42</v>
      </c>
      <c r="Q265" s="1655" t="s">
        <v>569</v>
      </c>
      <c r="S265" s="1655" t="s">
        <v>70</v>
      </c>
      <c r="T265" s="1655" t="s">
        <v>1556</v>
      </c>
      <c r="U265" s="1655" t="s">
        <v>275</v>
      </c>
      <c r="V265" s="1655" t="s">
        <v>42</v>
      </c>
      <c r="W265" s="1655" t="s">
        <v>569</v>
      </c>
    </row>
    <row r="266" spans="1:23">
      <c r="A266" s="1655" t="s">
        <v>70</v>
      </c>
      <c r="B266" s="1655" t="s">
        <v>1557</v>
      </c>
      <c r="C266" s="1655" t="s">
        <v>12</v>
      </c>
      <c r="D266" s="1655" t="s">
        <v>42</v>
      </c>
      <c r="E266" s="1655" t="s">
        <v>569</v>
      </c>
      <c r="G266" s="1655" t="s">
        <v>70</v>
      </c>
      <c r="H266" s="1655" t="s">
        <v>1557</v>
      </c>
      <c r="I266" s="1655" t="s">
        <v>12</v>
      </c>
      <c r="J266" s="1655" t="s">
        <v>42</v>
      </c>
      <c r="K266" s="1655" t="s">
        <v>569</v>
      </c>
      <c r="M266" s="1655" t="s">
        <v>70</v>
      </c>
      <c r="N266" s="1655" t="s">
        <v>1557</v>
      </c>
      <c r="O266" s="1655" t="s">
        <v>12</v>
      </c>
      <c r="P266" s="1655" t="s">
        <v>42</v>
      </c>
      <c r="Q266" s="1655" t="s">
        <v>569</v>
      </c>
      <c r="S266" s="1655" t="s">
        <v>70</v>
      </c>
      <c r="T266" s="1655" t="s">
        <v>1557</v>
      </c>
      <c r="U266" s="1655" t="s">
        <v>12</v>
      </c>
      <c r="V266" s="1655" t="s">
        <v>42</v>
      </c>
      <c r="W266" s="1655" t="s">
        <v>569</v>
      </c>
    </row>
    <row r="267" spans="1:23">
      <c r="A267" s="1655" t="s">
        <v>70</v>
      </c>
      <c r="B267" s="1655" t="s">
        <v>1558</v>
      </c>
      <c r="C267" s="1655" t="s">
        <v>12</v>
      </c>
      <c r="D267" s="1655" t="s">
        <v>42</v>
      </c>
      <c r="E267" s="1655" t="s">
        <v>569</v>
      </c>
      <c r="G267" s="1655" t="s">
        <v>70</v>
      </c>
      <c r="H267" s="1655" t="s">
        <v>1558</v>
      </c>
      <c r="I267" s="1655" t="s">
        <v>12</v>
      </c>
      <c r="J267" s="1655" t="s">
        <v>42</v>
      </c>
      <c r="K267" s="1655" t="s">
        <v>569</v>
      </c>
      <c r="M267" s="1655" t="s">
        <v>70</v>
      </c>
      <c r="N267" s="1655" t="s">
        <v>1558</v>
      </c>
      <c r="O267" s="1655" t="s">
        <v>12</v>
      </c>
      <c r="P267" s="1655" t="s">
        <v>42</v>
      </c>
      <c r="Q267" s="1655" t="s">
        <v>569</v>
      </c>
      <c r="S267" s="1655" t="s">
        <v>70</v>
      </c>
      <c r="T267" s="1655" t="s">
        <v>1558</v>
      </c>
      <c r="U267" s="1655" t="s">
        <v>12</v>
      </c>
      <c r="V267" s="1655" t="s">
        <v>42</v>
      </c>
      <c r="W267" s="1655" t="s">
        <v>569</v>
      </c>
    </row>
    <row r="268" spans="1:23">
      <c r="A268" s="1655" t="s">
        <v>70</v>
      </c>
      <c r="B268" s="1655" t="s">
        <v>1559</v>
      </c>
      <c r="C268" s="1655" t="s">
        <v>12</v>
      </c>
      <c r="D268" s="1655" t="s">
        <v>42</v>
      </c>
      <c r="E268" s="1655" t="s">
        <v>569</v>
      </c>
      <c r="G268" s="1655" t="s">
        <v>70</v>
      </c>
      <c r="H268" s="1655" t="s">
        <v>1559</v>
      </c>
      <c r="I268" s="1655" t="s">
        <v>12</v>
      </c>
      <c r="J268" s="1655" t="s">
        <v>42</v>
      </c>
      <c r="K268" s="1655" t="s">
        <v>569</v>
      </c>
      <c r="M268" s="1655" t="s">
        <v>70</v>
      </c>
      <c r="N268" s="1655" t="s">
        <v>1559</v>
      </c>
      <c r="O268" s="1655" t="s">
        <v>12</v>
      </c>
      <c r="P268" s="1655" t="s">
        <v>42</v>
      </c>
      <c r="Q268" s="1655" t="s">
        <v>569</v>
      </c>
      <c r="S268" s="1655" t="s">
        <v>70</v>
      </c>
      <c r="T268" s="1655" t="s">
        <v>1559</v>
      </c>
      <c r="U268" s="1655" t="s">
        <v>12</v>
      </c>
      <c r="V268" s="1655" t="s">
        <v>42</v>
      </c>
      <c r="W268" s="1655" t="s">
        <v>569</v>
      </c>
    </row>
    <row r="269" spans="1:23">
      <c r="A269" s="1655" t="s">
        <v>70</v>
      </c>
      <c r="B269" s="1655" t="s">
        <v>1560</v>
      </c>
      <c r="C269" s="1655" t="s">
        <v>275</v>
      </c>
      <c r="D269" s="1655" t="s">
        <v>42</v>
      </c>
      <c r="E269" s="1655" t="s">
        <v>569</v>
      </c>
      <c r="G269" s="1655" t="s">
        <v>70</v>
      </c>
      <c r="H269" s="1655" t="s">
        <v>1560</v>
      </c>
      <c r="I269" s="1655" t="s">
        <v>12</v>
      </c>
      <c r="J269" s="1655" t="s">
        <v>42</v>
      </c>
      <c r="K269" s="1655" t="s">
        <v>569</v>
      </c>
      <c r="M269" s="1655" t="s">
        <v>70</v>
      </c>
      <c r="N269" s="1655" t="s">
        <v>1560</v>
      </c>
      <c r="O269" s="1655" t="s">
        <v>12</v>
      </c>
      <c r="P269" s="1655" t="s">
        <v>42</v>
      </c>
      <c r="Q269" s="1655" t="s">
        <v>569</v>
      </c>
      <c r="S269" s="1655" t="s">
        <v>70</v>
      </c>
      <c r="T269" s="1655" t="s">
        <v>1560</v>
      </c>
      <c r="U269" s="1655" t="s">
        <v>12</v>
      </c>
      <c r="V269" s="1655" t="s">
        <v>42</v>
      </c>
      <c r="W269" s="1655" t="s">
        <v>569</v>
      </c>
    </row>
    <row r="270" spans="1:23">
      <c r="A270" s="1655" t="s">
        <v>70</v>
      </c>
      <c r="B270" s="1655" t="s">
        <v>1561</v>
      </c>
      <c r="C270" s="1655" t="s">
        <v>12</v>
      </c>
      <c r="D270" s="1655" t="s">
        <v>42</v>
      </c>
      <c r="E270" s="1655" t="s">
        <v>569</v>
      </c>
      <c r="G270" s="1655" t="s">
        <v>70</v>
      </c>
      <c r="H270" s="1655" t="s">
        <v>1561</v>
      </c>
      <c r="I270" s="1655" t="s">
        <v>12</v>
      </c>
      <c r="J270" s="1655" t="s">
        <v>42</v>
      </c>
      <c r="K270" s="1655" t="s">
        <v>569</v>
      </c>
      <c r="M270" s="1655" t="s">
        <v>70</v>
      </c>
      <c r="N270" s="1655" t="s">
        <v>1561</v>
      </c>
      <c r="O270" s="1655" t="s">
        <v>12</v>
      </c>
      <c r="P270" s="1655" t="s">
        <v>42</v>
      </c>
      <c r="Q270" s="1655" t="s">
        <v>569</v>
      </c>
      <c r="S270" s="1655" t="s">
        <v>70</v>
      </c>
      <c r="T270" s="1655" t="s">
        <v>1561</v>
      </c>
      <c r="U270" s="1655" t="s">
        <v>12</v>
      </c>
      <c r="V270" s="1655" t="s">
        <v>42</v>
      </c>
      <c r="W270" s="1655" t="s">
        <v>569</v>
      </c>
    </row>
    <row r="271" spans="1:23">
      <c r="A271" s="1655" t="s">
        <v>70</v>
      </c>
      <c r="B271" s="1655" t="s">
        <v>1562</v>
      </c>
      <c r="C271" s="1655" t="s">
        <v>12</v>
      </c>
      <c r="D271" s="1655" t="s">
        <v>42</v>
      </c>
      <c r="E271" s="1655" t="s">
        <v>569</v>
      </c>
      <c r="G271" s="1655" t="s">
        <v>70</v>
      </c>
      <c r="H271" s="1655" t="s">
        <v>1562</v>
      </c>
      <c r="I271" s="1655" t="s">
        <v>275</v>
      </c>
      <c r="J271" s="1655" t="s">
        <v>42</v>
      </c>
      <c r="K271" s="1655" t="s">
        <v>569</v>
      </c>
      <c r="M271" s="1655" t="s">
        <v>70</v>
      </c>
      <c r="N271" s="1655" t="s">
        <v>1562</v>
      </c>
      <c r="O271" s="1655" t="s">
        <v>12</v>
      </c>
      <c r="P271" s="1655" t="s">
        <v>42</v>
      </c>
      <c r="Q271" s="1655" t="s">
        <v>569</v>
      </c>
      <c r="S271" s="1655" t="s">
        <v>70</v>
      </c>
      <c r="T271" s="1655" t="s">
        <v>1562</v>
      </c>
      <c r="U271" s="1655" t="s">
        <v>275</v>
      </c>
      <c r="V271" s="1655" t="s">
        <v>42</v>
      </c>
      <c r="W271" s="1655" t="s">
        <v>569</v>
      </c>
    </row>
    <row r="272" spans="1:23">
      <c r="A272" s="1655" t="s">
        <v>70</v>
      </c>
      <c r="B272" s="1655" t="s">
        <v>1563</v>
      </c>
      <c r="C272" s="1655" t="s">
        <v>12</v>
      </c>
      <c r="D272" s="1655" t="s">
        <v>42</v>
      </c>
      <c r="E272" s="1655" t="s">
        <v>569</v>
      </c>
      <c r="G272" s="1655" t="s">
        <v>70</v>
      </c>
      <c r="H272" s="1655" t="s">
        <v>1563</v>
      </c>
      <c r="I272" s="1655" t="s">
        <v>12</v>
      </c>
      <c r="J272" s="1655" t="s">
        <v>42</v>
      </c>
      <c r="K272" s="1655" t="s">
        <v>569</v>
      </c>
      <c r="M272" s="1655" t="s">
        <v>70</v>
      </c>
      <c r="N272" s="1655" t="s">
        <v>1563</v>
      </c>
      <c r="O272" s="1655" t="s">
        <v>12</v>
      </c>
      <c r="P272" s="1655" t="s">
        <v>42</v>
      </c>
      <c r="Q272" s="1655" t="s">
        <v>569</v>
      </c>
      <c r="S272" s="1655" t="s">
        <v>70</v>
      </c>
      <c r="T272" s="1655" t="s">
        <v>1563</v>
      </c>
      <c r="U272" s="1655" t="s">
        <v>12</v>
      </c>
      <c r="V272" s="1655" t="s">
        <v>42</v>
      </c>
      <c r="W272" s="1655" t="s">
        <v>569</v>
      </c>
    </row>
    <row r="273" spans="1:23">
      <c r="A273" s="1655" t="s">
        <v>70</v>
      </c>
      <c r="B273" s="1655" t="s">
        <v>1564</v>
      </c>
      <c r="C273" s="1655" t="s">
        <v>12</v>
      </c>
      <c r="D273" s="1655" t="s">
        <v>42</v>
      </c>
      <c r="E273" s="1655" t="s">
        <v>569</v>
      </c>
      <c r="G273" s="1655" t="s">
        <v>70</v>
      </c>
      <c r="H273" s="1655" t="s">
        <v>1564</v>
      </c>
      <c r="I273" s="1655" t="s">
        <v>12</v>
      </c>
      <c r="J273" s="1655" t="s">
        <v>42</v>
      </c>
      <c r="K273" s="1655" t="s">
        <v>569</v>
      </c>
      <c r="M273" s="1655" t="s">
        <v>70</v>
      </c>
      <c r="N273" s="1655" t="s">
        <v>1564</v>
      </c>
      <c r="O273" s="1655" t="s">
        <v>12</v>
      </c>
      <c r="P273" s="1655" t="s">
        <v>42</v>
      </c>
      <c r="Q273" s="1655" t="s">
        <v>569</v>
      </c>
      <c r="S273" s="1655" t="s">
        <v>70</v>
      </c>
      <c r="T273" s="1655" t="s">
        <v>1564</v>
      </c>
      <c r="U273" s="1655" t="s">
        <v>12</v>
      </c>
      <c r="V273" s="1655" t="s">
        <v>42</v>
      </c>
      <c r="W273" s="1655" t="s">
        <v>569</v>
      </c>
    </row>
    <row r="274" spans="1:23">
      <c r="A274" s="1655" t="s">
        <v>70</v>
      </c>
      <c r="B274" s="1655" t="s">
        <v>1565</v>
      </c>
      <c r="C274" s="1655" t="s">
        <v>12</v>
      </c>
      <c r="D274" s="1655" t="s">
        <v>42</v>
      </c>
      <c r="E274" s="1655" t="s">
        <v>569</v>
      </c>
      <c r="G274" s="1655" t="s">
        <v>70</v>
      </c>
      <c r="H274" s="1655" t="s">
        <v>1565</v>
      </c>
      <c r="I274" s="1655" t="s">
        <v>12</v>
      </c>
      <c r="J274" s="1655" t="s">
        <v>42</v>
      </c>
      <c r="K274" s="1655" t="s">
        <v>569</v>
      </c>
      <c r="M274" s="1655" t="s">
        <v>70</v>
      </c>
      <c r="N274" s="1655" t="s">
        <v>1565</v>
      </c>
      <c r="O274" s="1655" t="s">
        <v>12</v>
      </c>
      <c r="P274" s="1655" t="s">
        <v>42</v>
      </c>
      <c r="Q274" s="1655" t="s">
        <v>569</v>
      </c>
      <c r="S274" s="1655" t="s">
        <v>70</v>
      </c>
      <c r="T274" s="1655" t="s">
        <v>1565</v>
      </c>
      <c r="U274" s="1655" t="s">
        <v>12</v>
      </c>
      <c r="V274" s="1655" t="s">
        <v>42</v>
      </c>
      <c r="W274" s="1655" t="s">
        <v>569</v>
      </c>
    </row>
    <row r="275" spans="1:23">
      <c r="A275" s="1655" t="s">
        <v>70</v>
      </c>
      <c r="B275" s="1655" t="s">
        <v>1566</v>
      </c>
      <c r="C275" s="1655" t="s">
        <v>12</v>
      </c>
      <c r="D275" s="1655" t="s">
        <v>42</v>
      </c>
      <c r="E275" s="1655" t="s">
        <v>569</v>
      </c>
      <c r="G275" s="1655" t="s">
        <v>70</v>
      </c>
      <c r="H275" s="1655" t="s">
        <v>1566</v>
      </c>
      <c r="I275" s="1655" t="s">
        <v>12</v>
      </c>
      <c r="J275" s="1655" t="s">
        <v>42</v>
      </c>
      <c r="K275" s="1655" t="s">
        <v>569</v>
      </c>
      <c r="M275" s="1655" t="s">
        <v>70</v>
      </c>
      <c r="N275" s="1655" t="s">
        <v>1566</v>
      </c>
      <c r="O275" s="1655" t="s">
        <v>12</v>
      </c>
      <c r="P275" s="1655" t="s">
        <v>42</v>
      </c>
      <c r="Q275" s="1655" t="s">
        <v>569</v>
      </c>
      <c r="S275" s="1655" t="s">
        <v>70</v>
      </c>
      <c r="T275" s="1655" t="s">
        <v>1566</v>
      </c>
      <c r="U275" s="1655" t="s">
        <v>12</v>
      </c>
      <c r="V275" s="1655" t="s">
        <v>42</v>
      </c>
      <c r="W275" s="1655" t="s">
        <v>569</v>
      </c>
    </row>
    <row r="276" spans="1:23">
      <c r="A276" s="1655" t="s">
        <v>70</v>
      </c>
      <c r="B276" s="1655" t="s">
        <v>1567</v>
      </c>
      <c r="C276" s="1655" t="s">
        <v>12</v>
      </c>
      <c r="D276" s="1655" t="s">
        <v>42</v>
      </c>
      <c r="E276" s="1655" t="s">
        <v>569</v>
      </c>
      <c r="G276" s="1655" t="s">
        <v>70</v>
      </c>
      <c r="H276" s="1655" t="s">
        <v>1567</v>
      </c>
      <c r="I276" s="1656" t="s">
        <v>12</v>
      </c>
      <c r="J276" s="1655" t="s">
        <v>42</v>
      </c>
      <c r="K276" s="1655" t="s">
        <v>569</v>
      </c>
      <c r="M276" s="1655" t="s">
        <v>70</v>
      </c>
      <c r="N276" s="1655" t="s">
        <v>1567</v>
      </c>
      <c r="O276" s="1656" t="s">
        <v>12</v>
      </c>
      <c r="P276" s="1655" t="s">
        <v>42</v>
      </c>
      <c r="Q276" s="1655" t="s">
        <v>569</v>
      </c>
      <c r="S276" s="1655" t="s">
        <v>70</v>
      </c>
      <c r="T276" s="1655" t="s">
        <v>1567</v>
      </c>
      <c r="U276" s="1656" t="s">
        <v>12</v>
      </c>
      <c r="V276" s="1655" t="s">
        <v>42</v>
      </c>
      <c r="W276" s="1655" t="s">
        <v>569</v>
      </c>
    </row>
    <row r="277" spans="1:23">
      <c r="A277" s="1655" t="s">
        <v>70</v>
      </c>
      <c r="B277" s="1655" t="s">
        <v>1568</v>
      </c>
      <c r="C277" s="1655" t="s">
        <v>12</v>
      </c>
      <c r="D277" s="1655" t="s">
        <v>42</v>
      </c>
      <c r="E277" s="1655" t="s">
        <v>569</v>
      </c>
      <c r="G277" s="1655" t="s">
        <v>70</v>
      </c>
      <c r="H277" s="1655" t="s">
        <v>1568</v>
      </c>
      <c r="I277" s="1656" t="s">
        <v>12</v>
      </c>
      <c r="J277" s="1655" t="s">
        <v>42</v>
      </c>
      <c r="K277" s="1655" t="s">
        <v>569</v>
      </c>
      <c r="M277" s="1655" t="s">
        <v>70</v>
      </c>
      <c r="N277" s="1655" t="s">
        <v>1568</v>
      </c>
      <c r="O277" s="1656" t="s">
        <v>12</v>
      </c>
      <c r="P277" s="1655" t="s">
        <v>42</v>
      </c>
      <c r="Q277" s="1655" t="s">
        <v>569</v>
      </c>
      <c r="S277" s="1655" t="s">
        <v>70</v>
      </c>
      <c r="T277" s="1655" t="s">
        <v>1568</v>
      </c>
      <c r="U277" s="1656" t="s">
        <v>275</v>
      </c>
      <c r="V277" s="1655" t="s">
        <v>42</v>
      </c>
      <c r="W277" s="1655" t="s">
        <v>569</v>
      </c>
    </row>
    <row r="278" spans="1:23">
      <c r="A278" s="1655" t="s">
        <v>70</v>
      </c>
      <c r="B278" s="1655" t="s">
        <v>1569</v>
      </c>
      <c r="C278" s="1655" t="s">
        <v>12</v>
      </c>
      <c r="D278" s="1655" t="s">
        <v>42</v>
      </c>
      <c r="E278" s="1655" t="s">
        <v>569</v>
      </c>
      <c r="G278" s="1655" t="s">
        <v>70</v>
      </c>
      <c r="H278" s="1655" t="s">
        <v>1569</v>
      </c>
      <c r="I278" s="1656" t="s">
        <v>12</v>
      </c>
      <c r="J278" s="1655" t="s">
        <v>42</v>
      </c>
      <c r="K278" s="1655" t="s">
        <v>569</v>
      </c>
      <c r="M278" s="1655" t="s">
        <v>70</v>
      </c>
      <c r="N278" s="1655" t="s">
        <v>1569</v>
      </c>
      <c r="O278" s="1656" t="s">
        <v>12</v>
      </c>
      <c r="P278" s="1655" t="s">
        <v>42</v>
      </c>
      <c r="Q278" s="1655" t="s">
        <v>569</v>
      </c>
      <c r="S278" s="1655" t="s">
        <v>70</v>
      </c>
      <c r="T278" s="1655" t="s">
        <v>1569</v>
      </c>
      <c r="U278" s="1656" t="s">
        <v>12</v>
      </c>
      <c r="V278" s="1655" t="s">
        <v>42</v>
      </c>
      <c r="W278" s="1655" t="s">
        <v>569</v>
      </c>
    </row>
    <row r="279" spans="1:23">
      <c r="A279" s="1655" t="s">
        <v>70</v>
      </c>
      <c r="B279" s="1655" t="s">
        <v>1570</v>
      </c>
      <c r="C279" s="1655" t="s">
        <v>12</v>
      </c>
      <c r="D279" s="1655" t="s">
        <v>42</v>
      </c>
      <c r="E279" s="1655" t="s">
        <v>569</v>
      </c>
      <c r="G279" s="1655" t="s">
        <v>70</v>
      </c>
      <c r="H279" s="1655" t="s">
        <v>1570</v>
      </c>
      <c r="I279" s="1656" t="s">
        <v>12</v>
      </c>
      <c r="J279" s="1655" t="s">
        <v>42</v>
      </c>
      <c r="K279" s="1655" t="s">
        <v>569</v>
      </c>
      <c r="M279" s="1655" t="s">
        <v>70</v>
      </c>
      <c r="N279" s="1655" t="s">
        <v>1570</v>
      </c>
      <c r="O279" s="1656" t="s">
        <v>12</v>
      </c>
      <c r="P279" s="1655" t="s">
        <v>42</v>
      </c>
      <c r="Q279" s="1655" t="s">
        <v>569</v>
      </c>
      <c r="S279" s="1655" t="s">
        <v>70</v>
      </c>
      <c r="T279" s="1655" t="s">
        <v>1570</v>
      </c>
      <c r="U279" s="1656" t="s">
        <v>12</v>
      </c>
      <c r="V279" s="1655" t="s">
        <v>42</v>
      </c>
      <c r="W279" s="1655" t="s">
        <v>569</v>
      </c>
    </row>
    <row r="280" spans="1:23">
      <c r="A280" s="1655" t="s">
        <v>70</v>
      </c>
      <c r="B280" s="1655" t="s">
        <v>1571</v>
      </c>
      <c r="C280" s="1656" t="s">
        <v>12</v>
      </c>
      <c r="D280" s="1655" t="s">
        <v>42</v>
      </c>
      <c r="E280" s="1655" t="s">
        <v>569</v>
      </c>
      <c r="G280" s="1655" t="s">
        <v>70</v>
      </c>
      <c r="H280" s="1655" t="s">
        <v>1571</v>
      </c>
      <c r="I280" s="1656" t="s">
        <v>12</v>
      </c>
      <c r="J280" s="1655" t="s">
        <v>42</v>
      </c>
      <c r="K280" s="1655" t="s">
        <v>569</v>
      </c>
      <c r="M280" s="1655" t="s">
        <v>70</v>
      </c>
      <c r="N280" s="1655" t="s">
        <v>1571</v>
      </c>
      <c r="O280" s="1656" t="s">
        <v>12</v>
      </c>
      <c r="P280" s="1655" t="s">
        <v>42</v>
      </c>
      <c r="Q280" s="1655" t="s">
        <v>569</v>
      </c>
      <c r="S280" s="1655" t="s">
        <v>70</v>
      </c>
      <c r="T280" s="1655" t="s">
        <v>1571</v>
      </c>
      <c r="U280" s="1656" t="s">
        <v>12</v>
      </c>
      <c r="V280" s="1655" t="s">
        <v>42</v>
      </c>
      <c r="W280" s="1655" t="s">
        <v>569</v>
      </c>
    </row>
    <row r="281" spans="1:23">
      <c r="A281" s="1655" t="s">
        <v>70</v>
      </c>
      <c r="B281" s="1655" t="s">
        <v>1572</v>
      </c>
      <c r="C281" s="1656" t="s">
        <v>12</v>
      </c>
      <c r="D281" s="1655" t="s">
        <v>42</v>
      </c>
      <c r="E281" s="1655" t="s">
        <v>569</v>
      </c>
      <c r="G281" s="1655" t="s">
        <v>70</v>
      </c>
      <c r="H281" s="1655" t="s">
        <v>1572</v>
      </c>
      <c r="I281" s="1656" t="s">
        <v>12</v>
      </c>
      <c r="J281" s="1655" t="s">
        <v>42</v>
      </c>
      <c r="K281" s="1655" t="s">
        <v>569</v>
      </c>
      <c r="M281" s="1655" t="s">
        <v>70</v>
      </c>
      <c r="N281" s="1655" t="s">
        <v>1572</v>
      </c>
      <c r="O281" s="1656" t="s">
        <v>12</v>
      </c>
      <c r="P281" s="1655" t="s">
        <v>42</v>
      </c>
      <c r="Q281" s="1655" t="s">
        <v>569</v>
      </c>
      <c r="S281" s="1655" t="s">
        <v>70</v>
      </c>
      <c r="T281" s="1655" t="s">
        <v>1572</v>
      </c>
      <c r="U281" s="1656" t="s">
        <v>12</v>
      </c>
      <c r="V281" s="1655" t="s">
        <v>42</v>
      </c>
      <c r="W281" s="1655" t="s">
        <v>569</v>
      </c>
    </row>
    <row r="282" spans="1:23">
      <c r="A282" s="1655" t="s">
        <v>70</v>
      </c>
      <c r="B282" s="1655" t="s">
        <v>1573</v>
      </c>
      <c r="C282" s="1656" t="s">
        <v>12</v>
      </c>
      <c r="D282" s="1655" t="s">
        <v>42</v>
      </c>
      <c r="E282" s="1655" t="s">
        <v>569</v>
      </c>
      <c r="G282" s="1655" t="s">
        <v>70</v>
      </c>
      <c r="H282" s="1655" t="s">
        <v>1573</v>
      </c>
      <c r="I282" s="1656" t="s">
        <v>12</v>
      </c>
      <c r="J282" s="1655" t="s">
        <v>42</v>
      </c>
      <c r="K282" s="1655" t="s">
        <v>569</v>
      </c>
      <c r="M282" s="1655" t="s">
        <v>70</v>
      </c>
      <c r="N282" s="1655" t="s">
        <v>1573</v>
      </c>
      <c r="O282" s="1656" t="s">
        <v>12</v>
      </c>
      <c r="P282" s="1655" t="s">
        <v>42</v>
      </c>
      <c r="Q282" s="1655" t="s">
        <v>569</v>
      </c>
      <c r="S282" s="1655" t="s">
        <v>70</v>
      </c>
      <c r="T282" s="1655" t="s">
        <v>1573</v>
      </c>
      <c r="U282" s="1656" t="s">
        <v>12</v>
      </c>
      <c r="V282" s="1655" t="s">
        <v>42</v>
      </c>
      <c r="W282" s="1655" t="s">
        <v>569</v>
      </c>
    </row>
    <row r="283" spans="1:23">
      <c r="A283" s="1655" t="s">
        <v>70</v>
      </c>
      <c r="B283" s="1655" t="s">
        <v>1574</v>
      </c>
      <c r="C283" s="1656" t="s">
        <v>12</v>
      </c>
      <c r="D283" s="1655" t="s">
        <v>42</v>
      </c>
      <c r="E283" s="1655" t="s">
        <v>569</v>
      </c>
      <c r="G283" s="1655" t="s">
        <v>70</v>
      </c>
      <c r="H283" s="1655" t="s">
        <v>1574</v>
      </c>
      <c r="I283" s="1656" t="s">
        <v>12</v>
      </c>
      <c r="J283" s="1655" t="s">
        <v>42</v>
      </c>
      <c r="K283" s="1655" t="s">
        <v>569</v>
      </c>
      <c r="M283" s="1655" t="s">
        <v>70</v>
      </c>
      <c r="N283" s="1655" t="s">
        <v>1574</v>
      </c>
      <c r="O283" s="1656" t="s">
        <v>12</v>
      </c>
      <c r="P283" s="1655" t="s">
        <v>42</v>
      </c>
      <c r="Q283" s="1655" t="s">
        <v>569</v>
      </c>
      <c r="S283" s="1655" t="s">
        <v>70</v>
      </c>
      <c r="T283" s="1655" t="s">
        <v>1574</v>
      </c>
      <c r="U283" s="1656" t="s">
        <v>12</v>
      </c>
      <c r="V283" s="1655" t="s">
        <v>42</v>
      </c>
      <c r="W283" s="1655" t="s">
        <v>569</v>
      </c>
    </row>
    <row r="284" spans="1:23">
      <c r="A284" s="1655" t="s">
        <v>70</v>
      </c>
      <c r="B284" s="1655" t="s">
        <v>1575</v>
      </c>
      <c r="C284" s="1656" t="s">
        <v>12</v>
      </c>
      <c r="D284" s="1655" t="s">
        <v>42</v>
      </c>
      <c r="E284" s="1655" t="s">
        <v>569</v>
      </c>
      <c r="G284" s="1655" t="s">
        <v>70</v>
      </c>
      <c r="H284" s="1655" t="s">
        <v>1575</v>
      </c>
      <c r="I284" s="1656" t="s">
        <v>12</v>
      </c>
      <c r="J284" s="1655" t="s">
        <v>42</v>
      </c>
      <c r="K284" s="1655" t="s">
        <v>569</v>
      </c>
      <c r="M284" s="1655" t="s">
        <v>70</v>
      </c>
      <c r="N284" s="1655" t="s">
        <v>1575</v>
      </c>
      <c r="O284" s="1656" t="s">
        <v>12</v>
      </c>
      <c r="P284" s="1655" t="s">
        <v>42</v>
      </c>
      <c r="Q284" s="1655" t="s">
        <v>569</v>
      </c>
      <c r="S284" s="1655" t="s">
        <v>70</v>
      </c>
      <c r="T284" s="1655" t="s">
        <v>1575</v>
      </c>
      <c r="U284" s="1656" t="s">
        <v>12</v>
      </c>
      <c r="V284" s="1655" t="s">
        <v>42</v>
      </c>
      <c r="W284" s="1655" t="s">
        <v>569</v>
      </c>
    </row>
    <row r="285" spans="1:23">
      <c r="A285" s="1655" t="s">
        <v>70</v>
      </c>
      <c r="B285" s="1655" t="s">
        <v>1576</v>
      </c>
      <c r="C285" s="1656" t="s">
        <v>12</v>
      </c>
      <c r="D285" s="1655" t="s">
        <v>42</v>
      </c>
      <c r="E285" s="1655" t="s">
        <v>569</v>
      </c>
      <c r="G285" s="1655" t="s">
        <v>70</v>
      </c>
      <c r="H285" s="1655" t="s">
        <v>1576</v>
      </c>
      <c r="I285" s="1656" t="s">
        <v>12</v>
      </c>
      <c r="J285" s="1655" t="s">
        <v>42</v>
      </c>
      <c r="K285" s="1655" t="s">
        <v>569</v>
      </c>
      <c r="M285" s="1655" t="s">
        <v>70</v>
      </c>
      <c r="N285" s="1655" t="s">
        <v>1576</v>
      </c>
      <c r="O285" s="1656" t="s">
        <v>12</v>
      </c>
      <c r="P285" s="1655" t="s">
        <v>42</v>
      </c>
      <c r="Q285" s="1655" t="s">
        <v>569</v>
      </c>
      <c r="S285" s="1655" t="s">
        <v>70</v>
      </c>
      <c r="T285" s="1655" t="s">
        <v>1576</v>
      </c>
      <c r="U285" s="1656" t="s">
        <v>12</v>
      </c>
      <c r="V285" s="1655" t="s">
        <v>42</v>
      </c>
      <c r="W285" s="1655" t="s">
        <v>569</v>
      </c>
    </row>
    <row r="286" spans="1:23">
      <c r="A286" s="1655" t="s">
        <v>70</v>
      </c>
      <c r="B286" s="1655" t="s">
        <v>1577</v>
      </c>
      <c r="C286" s="1656" t="s">
        <v>12</v>
      </c>
      <c r="D286" s="1655" t="s">
        <v>42</v>
      </c>
      <c r="E286" s="1655" t="s">
        <v>569</v>
      </c>
      <c r="G286" s="1655" t="s">
        <v>70</v>
      </c>
      <c r="H286" s="1655" t="s">
        <v>1577</v>
      </c>
      <c r="I286" s="1656" t="s">
        <v>12</v>
      </c>
      <c r="J286" s="1655" t="s">
        <v>42</v>
      </c>
      <c r="K286" s="1655" t="s">
        <v>569</v>
      </c>
      <c r="M286" s="1655" t="s">
        <v>70</v>
      </c>
      <c r="N286" s="1655" t="s">
        <v>1577</v>
      </c>
      <c r="O286" s="1656" t="s">
        <v>12</v>
      </c>
      <c r="P286" s="1655" t="s">
        <v>42</v>
      </c>
      <c r="Q286" s="1655" t="s">
        <v>569</v>
      </c>
      <c r="S286" s="1655" t="s">
        <v>70</v>
      </c>
      <c r="T286" s="1655" t="s">
        <v>1577</v>
      </c>
      <c r="U286" s="1656" t="s">
        <v>12</v>
      </c>
      <c r="V286" s="1655" t="s">
        <v>42</v>
      </c>
      <c r="W286" s="1655" t="s">
        <v>569</v>
      </c>
    </row>
    <row r="287" spans="1:23">
      <c r="A287" s="1655" t="s">
        <v>70</v>
      </c>
      <c r="B287" s="1655" t="s">
        <v>1578</v>
      </c>
      <c r="C287" s="1656" t="s">
        <v>12</v>
      </c>
      <c r="D287" s="1655" t="s">
        <v>42</v>
      </c>
      <c r="E287" s="1655" t="s">
        <v>569</v>
      </c>
      <c r="G287" s="1655" t="s">
        <v>70</v>
      </c>
      <c r="H287" s="1655" t="s">
        <v>1578</v>
      </c>
      <c r="I287" s="1656" t="s">
        <v>12</v>
      </c>
      <c r="J287" s="1655" t="s">
        <v>42</v>
      </c>
      <c r="K287" s="1655" t="s">
        <v>569</v>
      </c>
      <c r="M287" s="1655" t="s">
        <v>70</v>
      </c>
      <c r="N287" s="1655" t="s">
        <v>1578</v>
      </c>
      <c r="O287" s="1656" t="s">
        <v>12</v>
      </c>
      <c r="P287" s="1655" t="s">
        <v>42</v>
      </c>
      <c r="Q287" s="1655" t="s">
        <v>569</v>
      </c>
      <c r="S287" s="1655" t="s">
        <v>70</v>
      </c>
      <c r="T287" s="1655" t="s">
        <v>1578</v>
      </c>
      <c r="U287" s="1656" t="s">
        <v>12</v>
      </c>
      <c r="V287" s="1655" t="s">
        <v>42</v>
      </c>
      <c r="W287" s="1655" t="s">
        <v>569</v>
      </c>
    </row>
    <row r="288" spans="1:23">
      <c r="A288" s="1655" t="s">
        <v>70</v>
      </c>
      <c r="B288" s="1655" t="s">
        <v>1579</v>
      </c>
      <c r="C288" s="1656" t="s">
        <v>12</v>
      </c>
      <c r="D288" s="1655" t="s">
        <v>42</v>
      </c>
      <c r="E288" s="1655" t="s">
        <v>569</v>
      </c>
      <c r="G288" s="1655" t="s">
        <v>70</v>
      </c>
      <c r="H288" s="1655" t="s">
        <v>1579</v>
      </c>
      <c r="I288" s="1656" t="s">
        <v>12</v>
      </c>
      <c r="J288" s="1655" t="s">
        <v>42</v>
      </c>
      <c r="K288" s="1655" t="s">
        <v>569</v>
      </c>
      <c r="M288" s="1655" t="s">
        <v>70</v>
      </c>
      <c r="N288" s="1655" t="s">
        <v>1579</v>
      </c>
      <c r="O288" s="1656" t="s">
        <v>12</v>
      </c>
      <c r="P288" s="1655" t="s">
        <v>42</v>
      </c>
      <c r="Q288" s="1655" t="s">
        <v>569</v>
      </c>
      <c r="S288" s="1655" t="s">
        <v>70</v>
      </c>
      <c r="T288" s="1655" t="s">
        <v>1579</v>
      </c>
      <c r="U288" s="1656" t="s">
        <v>12</v>
      </c>
      <c r="V288" s="1655" t="s">
        <v>42</v>
      </c>
      <c r="W288" s="1655" t="s">
        <v>569</v>
      </c>
    </row>
    <row r="289" spans="1:23">
      <c r="A289" s="1655" t="s">
        <v>70</v>
      </c>
      <c r="B289" s="1655" t="s">
        <v>727</v>
      </c>
      <c r="C289" s="1656">
        <v>75</v>
      </c>
      <c r="D289" s="1655" t="s">
        <v>42</v>
      </c>
      <c r="E289" s="1655" t="s">
        <v>571</v>
      </c>
      <c r="G289" s="1655" t="s">
        <v>70</v>
      </c>
      <c r="H289" s="1655" t="s">
        <v>727</v>
      </c>
      <c r="I289" s="1656">
        <v>45</v>
      </c>
      <c r="J289" s="1655" t="s">
        <v>42</v>
      </c>
      <c r="K289" s="1655" t="s">
        <v>571</v>
      </c>
      <c r="M289" s="1655" t="s">
        <v>70</v>
      </c>
      <c r="N289" s="1655" t="s">
        <v>727</v>
      </c>
      <c r="O289" s="1656">
        <v>1000</v>
      </c>
      <c r="P289" s="1655" t="s">
        <v>42</v>
      </c>
      <c r="Q289" s="1655" t="s">
        <v>571</v>
      </c>
      <c r="S289" s="1655" t="s">
        <v>70</v>
      </c>
      <c r="T289" s="1655" t="s">
        <v>727</v>
      </c>
      <c r="U289" s="1656">
        <v>3484</v>
      </c>
      <c r="V289" s="1655" t="s">
        <v>42</v>
      </c>
      <c r="W289" s="1655" t="s">
        <v>571</v>
      </c>
    </row>
    <row r="290" spans="1:23">
      <c r="A290" s="1655" t="s">
        <v>70</v>
      </c>
      <c r="B290" s="1655" t="s">
        <v>1580</v>
      </c>
      <c r="C290" s="1656">
        <v>400</v>
      </c>
      <c r="D290" s="1655" t="s">
        <v>42</v>
      </c>
      <c r="E290" s="1655" t="s">
        <v>571</v>
      </c>
      <c r="G290" s="1655" t="s">
        <v>70</v>
      </c>
      <c r="H290" s="1655" t="s">
        <v>1580</v>
      </c>
      <c r="I290" s="1656">
        <v>40</v>
      </c>
      <c r="J290" s="1655" t="s">
        <v>42</v>
      </c>
      <c r="K290" s="1655" t="s">
        <v>571</v>
      </c>
      <c r="M290" s="1655" t="s">
        <v>70</v>
      </c>
      <c r="N290" s="1655" t="s">
        <v>1580</v>
      </c>
      <c r="O290" s="1656">
        <v>200</v>
      </c>
      <c r="P290" s="1655" t="s">
        <v>42</v>
      </c>
      <c r="Q290" s="1655" t="s">
        <v>571</v>
      </c>
      <c r="S290" s="1655" t="s">
        <v>70</v>
      </c>
      <c r="T290" s="1655" t="s">
        <v>1580</v>
      </c>
      <c r="U290" s="1656">
        <v>0</v>
      </c>
      <c r="V290" s="1655" t="s">
        <v>42</v>
      </c>
      <c r="W290" s="1655" t="s">
        <v>571</v>
      </c>
    </row>
    <row r="291" spans="1:23">
      <c r="A291" s="1655" t="s">
        <v>70</v>
      </c>
      <c r="B291" s="1655" t="s">
        <v>1581</v>
      </c>
      <c r="C291" s="1656">
        <v>100</v>
      </c>
      <c r="D291" s="1655" t="s">
        <v>42</v>
      </c>
      <c r="E291" s="1655" t="s">
        <v>571</v>
      </c>
      <c r="G291" s="1655" t="s">
        <v>70</v>
      </c>
      <c r="H291" s="1655" t="s">
        <v>1581</v>
      </c>
      <c r="I291" s="1656">
        <v>45</v>
      </c>
      <c r="J291" s="1655" t="s">
        <v>42</v>
      </c>
      <c r="K291" s="1655" t="s">
        <v>571</v>
      </c>
      <c r="M291" s="1655" t="s">
        <v>70</v>
      </c>
      <c r="N291" s="1655" t="s">
        <v>1581</v>
      </c>
      <c r="O291" s="1656">
        <v>300</v>
      </c>
      <c r="P291" s="1655" t="s">
        <v>42</v>
      </c>
      <c r="Q291" s="1655" t="s">
        <v>571</v>
      </c>
      <c r="S291" s="1655" t="s">
        <v>70</v>
      </c>
      <c r="T291" s="1655" t="s">
        <v>1581</v>
      </c>
      <c r="U291" s="1656">
        <v>0</v>
      </c>
      <c r="V291" s="1655" t="s">
        <v>42</v>
      </c>
      <c r="W291" s="1655" t="s">
        <v>571</v>
      </c>
    </row>
    <row r="292" spans="1:23">
      <c r="A292" s="1655" t="s">
        <v>70</v>
      </c>
      <c r="B292" s="1655" t="s">
        <v>728</v>
      </c>
      <c r="C292" s="1656">
        <v>130</v>
      </c>
      <c r="D292" s="1655" t="s">
        <v>42</v>
      </c>
      <c r="E292" s="1655" t="s">
        <v>571</v>
      </c>
      <c r="G292" s="1655" t="s">
        <v>70</v>
      </c>
      <c r="H292" s="1655" t="s">
        <v>728</v>
      </c>
      <c r="I292" s="1656">
        <v>0</v>
      </c>
      <c r="J292" s="1655" t="s">
        <v>42</v>
      </c>
      <c r="K292" s="1655" t="s">
        <v>571</v>
      </c>
      <c r="M292" s="1655" t="s">
        <v>70</v>
      </c>
      <c r="N292" s="1655" t="s">
        <v>728</v>
      </c>
      <c r="O292" s="1656">
        <v>235</v>
      </c>
      <c r="P292" s="1655" t="s">
        <v>42</v>
      </c>
      <c r="Q292" s="1655" t="s">
        <v>571</v>
      </c>
      <c r="S292" s="1655" t="s">
        <v>70</v>
      </c>
      <c r="T292" s="1655" t="s">
        <v>728</v>
      </c>
      <c r="U292" s="1656">
        <v>0</v>
      </c>
      <c r="V292" s="1655" t="s">
        <v>42</v>
      </c>
      <c r="W292" s="1655" t="s">
        <v>571</v>
      </c>
    </row>
    <row r="293" spans="1:23">
      <c r="A293" s="1655" t="s">
        <v>70</v>
      </c>
      <c r="B293" s="1655" t="s">
        <v>729</v>
      </c>
      <c r="C293" s="1656">
        <v>1000</v>
      </c>
      <c r="D293" s="1655" t="s">
        <v>42</v>
      </c>
      <c r="E293" s="1655" t="s">
        <v>571</v>
      </c>
      <c r="G293" s="1655" t="s">
        <v>70</v>
      </c>
      <c r="H293" s="1655" t="s">
        <v>729</v>
      </c>
      <c r="I293" s="1656">
        <v>0</v>
      </c>
      <c r="J293" s="1655" t="s">
        <v>42</v>
      </c>
      <c r="K293" s="1655" t="s">
        <v>571</v>
      </c>
      <c r="M293" s="1655" t="s">
        <v>70</v>
      </c>
      <c r="N293" s="1655" t="s">
        <v>729</v>
      </c>
      <c r="O293" s="1656">
        <v>80</v>
      </c>
      <c r="P293" s="1655" t="s">
        <v>42</v>
      </c>
      <c r="Q293" s="1655" t="s">
        <v>571</v>
      </c>
      <c r="S293" s="1655" t="s">
        <v>70</v>
      </c>
      <c r="T293" s="1655" t="s">
        <v>729</v>
      </c>
      <c r="U293" s="1656">
        <v>0</v>
      </c>
      <c r="V293" s="1655" t="s">
        <v>42</v>
      </c>
      <c r="W293" s="1655" t="s">
        <v>571</v>
      </c>
    </row>
    <row r="294" spans="1:23">
      <c r="A294" s="1655" t="s">
        <v>70</v>
      </c>
      <c r="B294" s="1655" t="s">
        <v>730</v>
      </c>
      <c r="C294" s="1656">
        <v>0</v>
      </c>
      <c r="D294" s="1655" t="s">
        <v>42</v>
      </c>
      <c r="E294" s="1655" t="s">
        <v>571</v>
      </c>
      <c r="G294" s="1655" t="s">
        <v>70</v>
      </c>
      <c r="H294" s="1655" t="s">
        <v>730</v>
      </c>
      <c r="I294" s="1656">
        <v>0</v>
      </c>
      <c r="J294" s="1655" t="s">
        <v>42</v>
      </c>
      <c r="K294" s="1655" t="s">
        <v>571</v>
      </c>
      <c r="M294" s="1655" t="s">
        <v>70</v>
      </c>
      <c r="N294" s="1655" t="s">
        <v>730</v>
      </c>
      <c r="O294" s="1656">
        <v>150</v>
      </c>
      <c r="P294" s="1655" t="s">
        <v>42</v>
      </c>
      <c r="Q294" s="1655" t="s">
        <v>571</v>
      </c>
      <c r="S294" s="1655" t="s">
        <v>70</v>
      </c>
      <c r="T294" s="1655" t="s">
        <v>730</v>
      </c>
      <c r="U294" s="1656">
        <v>0</v>
      </c>
      <c r="V294" s="1655" t="s">
        <v>42</v>
      </c>
      <c r="W294" s="1655" t="s">
        <v>571</v>
      </c>
    </row>
    <row r="295" spans="1:23">
      <c r="A295" s="1655" t="s">
        <v>70</v>
      </c>
      <c r="B295" s="1655" t="s">
        <v>731</v>
      </c>
      <c r="C295" s="1656">
        <v>0</v>
      </c>
      <c r="D295" s="1655" t="s">
        <v>42</v>
      </c>
      <c r="E295" s="1655" t="s">
        <v>571</v>
      </c>
      <c r="G295" s="1655" t="s">
        <v>70</v>
      </c>
      <c r="H295" s="1655" t="s">
        <v>731</v>
      </c>
      <c r="I295" s="1656">
        <v>0</v>
      </c>
      <c r="J295" s="1655" t="s">
        <v>42</v>
      </c>
      <c r="K295" s="1655" t="s">
        <v>571</v>
      </c>
      <c r="M295" s="1655" t="s">
        <v>70</v>
      </c>
      <c r="N295" s="1655" t="s">
        <v>731</v>
      </c>
      <c r="O295" s="1656">
        <v>0</v>
      </c>
      <c r="P295" s="1655" t="s">
        <v>42</v>
      </c>
      <c r="Q295" s="1655" t="s">
        <v>571</v>
      </c>
      <c r="S295" s="1655" t="s">
        <v>70</v>
      </c>
      <c r="T295" s="1655" t="s">
        <v>731</v>
      </c>
      <c r="U295" s="1656">
        <v>0</v>
      </c>
      <c r="V295" s="1655" t="s">
        <v>42</v>
      </c>
      <c r="W295" s="1655" t="s">
        <v>571</v>
      </c>
    </row>
    <row r="296" spans="1:23">
      <c r="A296" s="1655" t="s">
        <v>70</v>
      </c>
      <c r="B296" s="1655" t="s">
        <v>732</v>
      </c>
      <c r="C296" s="1656">
        <v>200</v>
      </c>
      <c r="D296" s="1655" t="s">
        <v>42</v>
      </c>
      <c r="E296" s="1655" t="s">
        <v>571</v>
      </c>
      <c r="G296" s="1655" t="s">
        <v>70</v>
      </c>
      <c r="H296" s="1655" t="s">
        <v>732</v>
      </c>
      <c r="I296" s="1656">
        <v>0</v>
      </c>
      <c r="J296" s="1655" t="s">
        <v>42</v>
      </c>
      <c r="K296" s="1655" t="s">
        <v>571</v>
      </c>
      <c r="M296" s="1655" t="s">
        <v>70</v>
      </c>
      <c r="N296" s="1655" t="s">
        <v>732</v>
      </c>
      <c r="O296" s="1656">
        <v>0</v>
      </c>
      <c r="P296" s="1655" t="s">
        <v>42</v>
      </c>
      <c r="Q296" s="1655" t="s">
        <v>571</v>
      </c>
      <c r="S296" s="1655" t="s">
        <v>70</v>
      </c>
      <c r="T296" s="1655" t="s">
        <v>732</v>
      </c>
      <c r="U296" s="1656">
        <v>0</v>
      </c>
      <c r="V296" s="1655" t="s">
        <v>42</v>
      </c>
      <c r="W296" s="1655" t="s">
        <v>571</v>
      </c>
    </row>
    <row r="297" spans="1:23">
      <c r="A297" s="1655" t="s">
        <v>70</v>
      </c>
      <c r="B297" s="1655" t="s">
        <v>733</v>
      </c>
      <c r="C297" s="1656">
        <v>350</v>
      </c>
      <c r="D297" s="1655" t="s">
        <v>42</v>
      </c>
      <c r="E297" s="1655" t="s">
        <v>571</v>
      </c>
      <c r="G297" s="1655" t="s">
        <v>70</v>
      </c>
      <c r="H297" s="1655" t="s">
        <v>733</v>
      </c>
      <c r="I297" s="1656">
        <v>0</v>
      </c>
      <c r="J297" s="1655" t="s">
        <v>42</v>
      </c>
      <c r="K297" s="1655" t="s">
        <v>571</v>
      </c>
      <c r="M297" s="1655" t="s">
        <v>70</v>
      </c>
      <c r="N297" s="1655" t="s">
        <v>733</v>
      </c>
      <c r="O297" s="1656">
        <v>0</v>
      </c>
      <c r="P297" s="1655" t="s">
        <v>42</v>
      </c>
      <c r="Q297" s="1655" t="s">
        <v>571</v>
      </c>
      <c r="S297" s="1655" t="s">
        <v>70</v>
      </c>
      <c r="T297" s="1655" t="s">
        <v>733</v>
      </c>
      <c r="U297" s="1656">
        <v>0</v>
      </c>
      <c r="V297" s="1655" t="s">
        <v>42</v>
      </c>
      <c r="W297" s="1655" t="s">
        <v>571</v>
      </c>
    </row>
    <row r="298" spans="1:23">
      <c r="A298" s="1655" t="s">
        <v>70</v>
      </c>
      <c r="B298" s="1655" t="s">
        <v>734</v>
      </c>
      <c r="C298" s="1656">
        <v>0</v>
      </c>
      <c r="D298" s="1655" t="s">
        <v>42</v>
      </c>
      <c r="E298" s="1655" t="s">
        <v>571</v>
      </c>
      <c r="G298" s="1655" t="s">
        <v>70</v>
      </c>
      <c r="H298" s="1655" t="s">
        <v>734</v>
      </c>
      <c r="I298" s="1656">
        <v>0</v>
      </c>
      <c r="J298" s="1655" t="s">
        <v>42</v>
      </c>
      <c r="K298" s="1655" t="s">
        <v>571</v>
      </c>
      <c r="M298" s="1655" t="s">
        <v>70</v>
      </c>
      <c r="N298" s="1655" t="s">
        <v>734</v>
      </c>
      <c r="O298" s="1656">
        <v>0</v>
      </c>
      <c r="P298" s="1655" t="s">
        <v>42</v>
      </c>
      <c r="Q298" s="1655" t="s">
        <v>571</v>
      </c>
      <c r="S298" s="1655" t="s">
        <v>70</v>
      </c>
      <c r="T298" s="1655" t="s">
        <v>734</v>
      </c>
      <c r="U298" s="1656">
        <v>0</v>
      </c>
      <c r="V298" s="1655" t="s">
        <v>42</v>
      </c>
      <c r="W298" s="1655" t="s">
        <v>571</v>
      </c>
    </row>
    <row r="299" spans="1:23">
      <c r="A299" s="1655" t="s">
        <v>70</v>
      </c>
      <c r="B299" s="1655" t="s">
        <v>735</v>
      </c>
      <c r="C299" s="1656">
        <v>0</v>
      </c>
      <c r="D299" s="1655" t="s">
        <v>42</v>
      </c>
      <c r="E299" s="1655" t="s">
        <v>571</v>
      </c>
      <c r="G299" s="1655" t="s">
        <v>70</v>
      </c>
      <c r="H299" s="1655" t="s">
        <v>735</v>
      </c>
      <c r="I299" s="1656">
        <v>0</v>
      </c>
      <c r="J299" s="1655" t="s">
        <v>42</v>
      </c>
      <c r="K299" s="1655" t="s">
        <v>571</v>
      </c>
      <c r="M299" s="1655" t="s">
        <v>70</v>
      </c>
      <c r="N299" s="1655" t="s">
        <v>735</v>
      </c>
      <c r="O299" s="1656">
        <v>0</v>
      </c>
      <c r="P299" s="1655" t="s">
        <v>42</v>
      </c>
      <c r="Q299" s="1655" t="s">
        <v>571</v>
      </c>
      <c r="S299" s="1655" t="s">
        <v>70</v>
      </c>
      <c r="T299" s="1655" t="s">
        <v>735</v>
      </c>
      <c r="U299" s="1656">
        <v>0</v>
      </c>
      <c r="V299" s="1655" t="s">
        <v>42</v>
      </c>
      <c r="W299" s="1655" t="s">
        <v>571</v>
      </c>
    </row>
    <row r="300" spans="1:23">
      <c r="A300" s="1655" t="s">
        <v>70</v>
      </c>
      <c r="B300" s="1655" t="s">
        <v>1582</v>
      </c>
      <c r="C300" s="1656">
        <v>0</v>
      </c>
      <c r="D300" s="1655" t="s">
        <v>42</v>
      </c>
      <c r="E300" s="1655" t="s">
        <v>571</v>
      </c>
      <c r="G300" s="1655" t="s">
        <v>70</v>
      </c>
      <c r="H300" s="1655" t="s">
        <v>1582</v>
      </c>
      <c r="I300" s="1656">
        <v>85</v>
      </c>
      <c r="J300" s="1655" t="s">
        <v>42</v>
      </c>
      <c r="K300" s="1655" t="s">
        <v>571</v>
      </c>
      <c r="M300" s="1655" t="s">
        <v>70</v>
      </c>
      <c r="N300" s="1655" t="s">
        <v>1582</v>
      </c>
      <c r="O300" s="1656">
        <v>50</v>
      </c>
      <c r="P300" s="1655" t="s">
        <v>42</v>
      </c>
      <c r="Q300" s="1655" t="s">
        <v>571</v>
      </c>
      <c r="S300" s="1655" t="s">
        <v>70</v>
      </c>
      <c r="T300" s="1655" t="s">
        <v>1582</v>
      </c>
      <c r="U300" s="1656">
        <v>0</v>
      </c>
      <c r="V300" s="1655" t="s">
        <v>42</v>
      </c>
      <c r="W300" s="1655" t="s">
        <v>571</v>
      </c>
    </row>
    <row r="301" spans="1:23">
      <c r="A301" s="1655" t="s">
        <v>70</v>
      </c>
      <c r="B301" s="1655" t="s">
        <v>1583</v>
      </c>
      <c r="C301" s="1656">
        <v>150</v>
      </c>
      <c r="D301" s="1655" t="s">
        <v>42</v>
      </c>
      <c r="E301" s="1655" t="s">
        <v>571</v>
      </c>
      <c r="G301" s="1655" t="s">
        <v>70</v>
      </c>
      <c r="H301" s="1655" t="s">
        <v>1583</v>
      </c>
      <c r="I301" s="1656">
        <v>0</v>
      </c>
      <c r="J301" s="1655" t="s">
        <v>42</v>
      </c>
      <c r="K301" s="1655" t="s">
        <v>571</v>
      </c>
      <c r="M301" s="1655" t="s">
        <v>70</v>
      </c>
      <c r="N301" s="1655" t="s">
        <v>1583</v>
      </c>
      <c r="O301" s="1656">
        <v>150</v>
      </c>
      <c r="P301" s="1655" t="s">
        <v>42</v>
      </c>
      <c r="Q301" s="1655" t="s">
        <v>571</v>
      </c>
      <c r="S301" s="1655" t="s">
        <v>70</v>
      </c>
      <c r="T301" s="1655" t="s">
        <v>1583</v>
      </c>
      <c r="U301" s="1656">
        <v>0</v>
      </c>
      <c r="V301" s="1655" t="s">
        <v>42</v>
      </c>
      <c r="W301" s="1655" t="s">
        <v>571</v>
      </c>
    </row>
    <row r="302" spans="1:23">
      <c r="A302" s="1655" t="s">
        <v>70</v>
      </c>
      <c r="B302" s="1655" t="s">
        <v>736</v>
      </c>
      <c r="C302" s="1656">
        <v>50</v>
      </c>
      <c r="D302" s="1655" t="s">
        <v>42</v>
      </c>
      <c r="E302" s="1655" t="s">
        <v>571</v>
      </c>
      <c r="G302" s="1655" t="s">
        <v>70</v>
      </c>
      <c r="H302" s="1655" t="s">
        <v>736</v>
      </c>
      <c r="I302" s="1656">
        <v>0</v>
      </c>
      <c r="J302" s="1655" t="s">
        <v>42</v>
      </c>
      <c r="K302" s="1655" t="s">
        <v>571</v>
      </c>
      <c r="M302" s="1655" t="s">
        <v>70</v>
      </c>
      <c r="N302" s="1655" t="s">
        <v>736</v>
      </c>
      <c r="O302" s="1656">
        <v>50</v>
      </c>
      <c r="P302" s="1655" t="s">
        <v>42</v>
      </c>
      <c r="Q302" s="1655" t="s">
        <v>571</v>
      </c>
      <c r="S302" s="1655" t="s">
        <v>70</v>
      </c>
      <c r="T302" s="1655" t="s">
        <v>736</v>
      </c>
      <c r="U302" s="1656">
        <v>0</v>
      </c>
      <c r="V302" s="1655" t="s">
        <v>42</v>
      </c>
      <c r="W302" s="1655" t="s">
        <v>571</v>
      </c>
    </row>
    <row r="303" spans="1:23">
      <c r="A303" s="1655" t="s">
        <v>70</v>
      </c>
      <c r="B303" s="1655" t="s">
        <v>737</v>
      </c>
      <c r="C303" s="1656">
        <v>0</v>
      </c>
      <c r="D303" s="1655" t="s">
        <v>42</v>
      </c>
      <c r="E303" s="1655" t="s">
        <v>571</v>
      </c>
      <c r="G303" s="1655" t="s">
        <v>70</v>
      </c>
      <c r="H303" s="1655" t="s">
        <v>737</v>
      </c>
      <c r="I303" s="1656">
        <v>0</v>
      </c>
      <c r="J303" s="1655" t="s">
        <v>42</v>
      </c>
      <c r="K303" s="1655" t="s">
        <v>571</v>
      </c>
      <c r="M303" s="1655" t="s">
        <v>70</v>
      </c>
      <c r="N303" s="1655" t="s">
        <v>737</v>
      </c>
      <c r="O303" s="1656">
        <v>100</v>
      </c>
      <c r="P303" s="1655" t="s">
        <v>42</v>
      </c>
      <c r="Q303" s="1655" t="s">
        <v>571</v>
      </c>
      <c r="S303" s="1655" t="s">
        <v>70</v>
      </c>
      <c r="T303" s="1655" t="s">
        <v>737</v>
      </c>
      <c r="U303" s="1656">
        <v>0</v>
      </c>
      <c r="V303" s="1655" t="s">
        <v>42</v>
      </c>
      <c r="W303" s="1655" t="s">
        <v>571</v>
      </c>
    </row>
    <row r="304" spans="1:23">
      <c r="A304" s="1655" t="s">
        <v>70</v>
      </c>
      <c r="B304" s="1655" t="s">
        <v>738</v>
      </c>
      <c r="C304" s="1656">
        <v>80</v>
      </c>
      <c r="D304" s="1655" t="s">
        <v>42</v>
      </c>
      <c r="E304" s="1655" t="s">
        <v>571</v>
      </c>
      <c r="G304" s="1655" t="s">
        <v>70</v>
      </c>
      <c r="H304" s="1655" t="s">
        <v>738</v>
      </c>
      <c r="I304" s="1656">
        <v>65</v>
      </c>
      <c r="J304" s="1655" t="s">
        <v>42</v>
      </c>
      <c r="K304" s="1655" t="s">
        <v>571</v>
      </c>
      <c r="M304" s="1655" t="s">
        <v>70</v>
      </c>
      <c r="N304" s="1655" t="s">
        <v>738</v>
      </c>
      <c r="O304" s="1656">
        <v>125</v>
      </c>
      <c r="P304" s="1655" t="s">
        <v>42</v>
      </c>
      <c r="Q304" s="1655" t="s">
        <v>571</v>
      </c>
      <c r="S304" s="1655" t="s">
        <v>70</v>
      </c>
      <c r="T304" s="1655" t="s">
        <v>738</v>
      </c>
      <c r="U304" s="1656">
        <v>0</v>
      </c>
      <c r="V304" s="1655" t="s">
        <v>42</v>
      </c>
      <c r="W304" s="1655" t="s">
        <v>571</v>
      </c>
    </row>
    <row r="305" spans="1:23">
      <c r="A305" s="1655" t="s">
        <v>70</v>
      </c>
      <c r="B305" s="1655" t="s">
        <v>1584</v>
      </c>
      <c r="C305" s="1656">
        <v>45</v>
      </c>
      <c r="D305" s="1655" t="s">
        <v>42</v>
      </c>
      <c r="E305" s="1655" t="s">
        <v>571</v>
      </c>
      <c r="G305" s="1655" t="s">
        <v>70</v>
      </c>
      <c r="H305" s="1655" t="s">
        <v>1584</v>
      </c>
      <c r="I305" s="1656">
        <v>0</v>
      </c>
      <c r="J305" s="1655" t="s">
        <v>42</v>
      </c>
      <c r="K305" s="1655" t="s">
        <v>571</v>
      </c>
      <c r="M305" s="1655" t="s">
        <v>70</v>
      </c>
      <c r="N305" s="1655" t="s">
        <v>1584</v>
      </c>
      <c r="O305" s="1656">
        <v>0</v>
      </c>
      <c r="P305" s="1655" t="s">
        <v>42</v>
      </c>
      <c r="Q305" s="1655" t="s">
        <v>571</v>
      </c>
      <c r="S305" s="1655" t="s">
        <v>70</v>
      </c>
      <c r="T305" s="1655" t="s">
        <v>1584</v>
      </c>
      <c r="U305" s="1656">
        <v>0</v>
      </c>
      <c r="V305" s="1655" t="s">
        <v>42</v>
      </c>
      <c r="W305" s="1655" t="s">
        <v>571</v>
      </c>
    </row>
    <row r="306" spans="1:23">
      <c r="A306" s="1655" t="s">
        <v>70</v>
      </c>
      <c r="B306" s="1655" t="s">
        <v>1585</v>
      </c>
      <c r="C306" s="1656">
        <v>25</v>
      </c>
      <c r="D306" s="1655" t="s">
        <v>42</v>
      </c>
      <c r="E306" s="1655" t="s">
        <v>571</v>
      </c>
      <c r="G306" s="1655" t="s">
        <v>70</v>
      </c>
      <c r="H306" s="1655" t="s">
        <v>1585</v>
      </c>
      <c r="I306" s="1656">
        <v>0</v>
      </c>
      <c r="J306" s="1655" t="s">
        <v>42</v>
      </c>
      <c r="K306" s="1655" t="s">
        <v>571</v>
      </c>
      <c r="M306" s="1655" t="s">
        <v>70</v>
      </c>
      <c r="N306" s="1655" t="s">
        <v>1585</v>
      </c>
      <c r="O306" s="1656">
        <v>0</v>
      </c>
      <c r="P306" s="1655" t="s">
        <v>42</v>
      </c>
      <c r="Q306" s="1655" t="s">
        <v>571</v>
      </c>
      <c r="S306" s="1655" t="s">
        <v>70</v>
      </c>
      <c r="T306" s="1655" t="s">
        <v>1585</v>
      </c>
      <c r="U306" s="1656">
        <v>0</v>
      </c>
      <c r="V306" s="1655" t="s">
        <v>42</v>
      </c>
      <c r="W306" s="1655" t="s">
        <v>571</v>
      </c>
    </row>
    <row r="307" spans="1:23">
      <c r="A307" s="1655" t="s">
        <v>70</v>
      </c>
      <c r="B307" s="1655" t="s">
        <v>739</v>
      </c>
      <c r="C307" s="1656">
        <v>45</v>
      </c>
      <c r="D307" s="1655" t="s">
        <v>42</v>
      </c>
      <c r="E307" s="1655" t="s">
        <v>571</v>
      </c>
      <c r="G307" s="1655" t="s">
        <v>70</v>
      </c>
      <c r="H307" s="1655" t="s">
        <v>739</v>
      </c>
      <c r="I307" s="1656">
        <v>0</v>
      </c>
      <c r="J307" s="1655" t="s">
        <v>42</v>
      </c>
      <c r="K307" s="1655" t="s">
        <v>571</v>
      </c>
      <c r="M307" s="1655" t="s">
        <v>70</v>
      </c>
      <c r="N307" s="1655" t="s">
        <v>739</v>
      </c>
      <c r="O307" s="1656">
        <v>0</v>
      </c>
      <c r="P307" s="1655" t="s">
        <v>42</v>
      </c>
      <c r="Q307" s="1655" t="s">
        <v>571</v>
      </c>
      <c r="S307" s="1655" t="s">
        <v>70</v>
      </c>
      <c r="T307" s="1655" t="s">
        <v>739</v>
      </c>
      <c r="U307" s="1656">
        <v>0</v>
      </c>
      <c r="V307" s="1655" t="s">
        <v>42</v>
      </c>
      <c r="W307" s="1655" t="s">
        <v>571</v>
      </c>
    </row>
    <row r="308" spans="1:23">
      <c r="A308" s="1655" t="s">
        <v>70</v>
      </c>
      <c r="B308" s="1655" t="s">
        <v>740</v>
      </c>
      <c r="C308" s="1656">
        <v>125</v>
      </c>
      <c r="D308" s="1655" t="s">
        <v>42</v>
      </c>
      <c r="E308" s="1655" t="s">
        <v>571</v>
      </c>
      <c r="G308" s="1655" t="s">
        <v>70</v>
      </c>
      <c r="H308" s="1655" t="s">
        <v>740</v>
      </c>
      <c r="I308" s="1656">
        <v>0</v>
      </c>
      <c r="J308" s="1655" t="s">
        <v>42</v>
      </c>
      <c r="K308" s="1655" t="s">
        <v>571</v>
      </c>
      <c r="M308" s="1655" t="s">
        <v>70</v>
      </c>
      <c r="N308" s="1655" t="s">
        <v>740</v>
      </c>
      <c r="O308" s="1656">
        <v>0</v>
      </c>
      <c r="P308" s="1655" t="s">
        <v>42</v>
      </c>
      <c r="Q308" s="1655" t="s">
        <v>571</v>
      </c>
      <c r="S308" s="1655" t="s">
        <v>70</v>
      </c>
      <c r="T308" s="1655" t="s">
        <v>740</v>
      </c>
      <c r="U308" s="1656">
        <v>0</v>
      </c>
      <c r="V308" s="1655" t="s">
        <v>42</v>
      </c>
      <c r="W308" s="1655" t="s">
        <v>571</v>
      </c>
    </row>
    <row r="309" spans="1:23">
      <c r="A309" s="1655" t="s">
        <v>70</v>
      </c>
      <c r="B309" s="1655" t="s">
        <v>741</v>
      </c>
      <c r="C309" s="1656">
        <v>0</v>
      </c>
      <c r="D309" s="1655" t="s">
        <v>42</v>
      </c>
      <c r="E309" s="1655" t="s">
        <v>571</v>
      </c>
      <c r="G309" s="1655" t="s">
        <v>70</v>
      </c>
      <c r="H309" s="1655" t="s">
        <v>741</v>
      </c>
      <c r="I309" s="1656">
        <v>200</v>
      </c>
      <c r="J309" s="1655" t="s">
        <v>42</v>
      </c>
      <c r="K309" s="1655" t="s">
        <v>571</v>
      </c>
      <c r="M309" s="1655" t="s">
        <v>70</v>
      </c>
      <c r="N309" s="1655" t="s">
        <v>741</v>
      </c>
      <c r="O309" s="1656">
        <v>475</v>
      </c>
      <c r="P309" s="1655" t="s">
        <v>42</v>
      </c>
      <c r="Q309" s="1655" t="s">
        <v>571</v>
      </c>
      <c r="S309" s="1655" t="s">
        <v>70</v>
      </c>
      <c r="T309" s="1655" t="s">
        <v>741</v>
      </c>
      <c r="U309" s="1656">
        <v>0</v>
      </c>
      <c r="V309" s="1655" t="s">
        <v>42</v>
      </c>
      <c r="W309" s="1655" t="s">
        <v>571</v>
      </c>
    </row>
    <row r="310" spans="1:23">
      <c r="A310" s="1655" t="s">
        <v>70</v>
      </c>
      <c r="B310" s="1655" t="s">
        <v>1586</v>
      </c>
      <c r="C310" s="1656">
        <v>200</v>
      </c>
      <c r="D310" s="1655" t="s">
        <v>42</v>
      </c>
      <c r="E310" s="1655" t="s">
        <v>571</v>
      </c>
      <c r="G310" s="1655" t="s">
        <v>70</v>
      </c>
      <c r="H310" s="1655" t="s">
        <v>1586</v>
      </c>
      <c r="I310" s="1656">
        <v>400</v>
      </c>
      <c r="J310" s="1655" t="s">
        <v>42</v>
      </c>
      <c r="K310" s="1655" t="s">
        <v>571</v>
      </c>
      <c r="M310" s="1655" t="s">
        <v>70</v>
      </c>
      <c r="N310" s="1655" t="s">
        <v>1586</v>
      </c>
      <c r="O310" s="1656">
        <v>800</v>
      </c>
      <c r="P310" s="1655" t="s">
        <v>42</v>
      </c>
      <c r="Q310" s="1655" t="s">
        <v>571</v>
      </c>
      <c r="S310" s="1655" t="s">
        <v>70</v>
      </c>
      <c r="T310" s="1655" t="s">
        <v>1586</v>
      </c>
      <c r="U310" s="1656">
        <v>0</v>
      </c>
      <c r="V310" s="1655" t="s">
        <v>42</v>
      </c>
      <c r="W310" s="1655" t="s">
        <v>571</v>
      </c>
    </row>
    <row r="311" spans="1:23">
      <c r="A311" s="1655" t="s">
        <v>70</v>
      </c>
      <c r="B311" s="1655" t="s">
        <v>742</v>
      </c>
      <c r="C311" s="1656">
        <v>50</v>
      </c>
      <c r="D311" s="1655" t="s">
        <v>42</v>
      </c>
      <c r="E311" s="1655" t="s">
        <v>571</v>
      </c>
      <c r="G311" s="1655" t="s">
        <v>70</v>
      </c>
      <c r="H311" s="1655" t="s">
        <v>742</v>
      </c>
      <c r="I311" s="1656">
        <v>80</v>
      </c>
      <c r="J311" s="1655" t="s">
        <v>42</v>
      </c>
      <c r="K311" s="1655" t="s">
        <v>571</v>
      </c>
      <c r="M311" s="1655" t="s">
        <v>70</v>
      </c>
      <c r="N311" s="1655" t="s">
        <v>742</v>
      </c>
      <c r="O311" s="1656">
        <v>250</v>
      </c>
      <c r="P311" s="1655" t="s">
        <v>42</v>
      </c>
      <c r="Q311" s="1655" t="s">
        <v>571</v>
      </c>
      <c r="S311" s="1655" t="s">
        <v>70</v>
      </c>
      <c r="T311" s="1655" t="s">
        <v>742</v>
      </c>
      <c r="U311" s="1656">
        <v>0</v>
      </c>
      <c r="V311" s="1655" t="s">
        <v>42</v>
      </c>
      <c r="W311" s="1655" t="s">
        <v>571</v>
      </c>
    </row>
    <row r="312" spans="1:23">
      <c r="A312" s="1655" t="s">
        <v>70</v>
      </c>
      <c r="B312" s="1655" t="s">
        <v>743</v>
      </c>
      <c r="C312" s="1656">
        <v>125</v>
      </c>
      <c r="D312" s="1655" t="s">
        <v>42</v>
      </c>
      <c r="E312" s="1655" t="s">
        <v>571</v>
      </c>
      <c r="G312" s="1655" t="s">
        <v>70</v>
      </c>
      <c r="H312" s="1655" t="s">
        <v>743</v>
      </c>
      <c r="I312" s="1656">
        <v>60</v>
      </c>
      <c r="J312" s="1655" t="s">
        <v>42</v>
      </c>
      <c r="K312" s="1655" t="s">
        <v>571</v>
      </c>
      <c r="M312" s="1655" t="s">
        <v>70</v>
      </c>
      <c r="N312" s="1655" t="s">
        <v>743</v>
      </c>
      <c r="O312" s="1656">
        <v>4000</v>
      </c>
      <c r="P312" s="1655" t="s">
        <v>42</v>
      </c>
      <c r="Q312" s="1655" t="s">
        <v>571</v>
      </c>
      <c r="S312" s="1655" t="s">
        <v>70</v>
      </c>
      <c r="T312" s="1655" t="s">
        <v>743</v>
      </c>
      <c r="U312" s="1656">
        <v>0</v>
      </c>
      <c r="V312" s="1655" t="s">
        <v>42</v>
      </c>
      <c r="W312" s="1655" t="s">
        <v>571</v>
      </c>
    </row>
    <row r="313" spans="1:23">
      <c r="A313" s="1655" t="s">
        <v>70</v>
      </c>
      <c r="B313" s="1655" t="s">
        <v>744</v>
      </c>
      <c r="C313" s="1656">
        <v>130</v>
      </c>
      <c r="D313" s="1655" t="s">
        <v>42</v>
      </c>
      <c r="E313" s="1655" t="s">
        <v>571</v>
      </c>
      <c r="G313" s="1655" t="s">
        <v>70</v>
      </c>
      <c r="H313" s="1655" t="s">
        <v>744</v>
      </c>
      <c r="I313" s="1656">
        <v>0</v>
      </c>
      <c r="J313" s="1655" t="s">
        <v>42</v>
      </c>
      <c r="K313" s="1655" t="s">
        <v>571</v>
      </c>
      <c r="M313" s="1655" t="s">
        <v>70</v>
      </c>
      <c r="N313" s="1655" t="s">
        <v>744</v>
      </c>
      <c r="O313" s="1656">
        <v>4000</v>
      </c>
      <c r="P313" s="1655" t="s">
        <v>42</v>
      </c>
      <c r="Q313" s="1655" t="s">
        <v>571</v>
      </c>
      <c r="S313" s="1655" t="s">
        <v>70</v>
      </c>
      <c r="T313" s="1655" t="s">
        <v>744</v>
      </c>
      <c r="U313" s="1656">
        <v>0</v>
      </c>
      <c r="V313" s="1655" t="s">
        <v>42</v>
      </c>
      <c r="W313" s="1655" t="s">
        <v>571</v>
      </c>
    </row>
    <row r="314" spans="1:23">
      <c r="A314" s="1655" t="s">
        <v>70</v>
      </c>
      <c r="B314" s="1655" t="s">
        <v>745</v>
      </c>
      <c r="C314" s="1656">
        <v>260</v>
      </c>
      <c r="D314" s="1655" t="s">
        <v>42</v>
      </c>
      <c r="E314" s="1655" t="s">
        <v>571</v>
      </c>
      <c r="G314" s="1655" t="s">
        <v>70</v>
      </c>
      <c r="H314" s="1655" t="s">
        <v>745</v>
      </c>
      <c r="I314" s="1656">
        <v>0</v>
      </c>
      <c r="J314" s="1655" t="s">
        <v>42</v>
      </c>
      <c r="K314" s="1655" t="s">
        <v>571</v>
      </c>
      <c r="M314" s="1655" t="s">
        <v>70</v>
      </c>
      <c r="N314" s="1655" t="s">
        <v>745</v>
      </c>
      <c r="O314" s="1656">
        <v>200</v>
      </c>
      <c r="P314" s="1655" t="s">
        <v>42</v>
      </c>
      <c r="Q314" s="1655" t="s">
        <v>571</v>
      </c>
      <c r="S314" s="1655" t="s">
        <v>70</v>
      </c>
      <c r="T314" s="1655" t="s">
        <v>745</v>
      </c>
      <c r="U314" s="1656">
        <v>0</v>
      </c>
      <c r="V314" s="1655" t="s">
        <v>42</v>
      </c>
      <c r="W314" s="1655" t="s">
        <v>571</v>
      </c>
    </row>
    <row r="315" spans="1:23">
      <c r="A315" s="1655" t="s">
        <v>70</v>
      </c>
      <c r="B315" s="1655" t="s">
        <v>1587</v>
      </c>
      <c r="C315" s="1656">
        <v>0</v>
      </c>
      <c r="D315" s="1655" t="s">
        <v>42</v>
      </c>
      <c r="E315" s="1655" t="s">
        <v>571</v>
      </c>
      <c r="G315" s="1655" t="s">
        <v>70</v>
      </c>
      <c r="H315" s="1655" t="s">
        <v>1587</v>
      </c>
      <c r="I315" s="1656">
        <v>0</v>
      </c>
      <c r="J315" s="1655" t="s">
        <v>42</v>
      </c>
      <c r="K315" s="1655" t="s">
        <v>571</v>
      </c>
      <c r="M315" s="1655" t="s">
        <v>70</v>
      </c>
      <c r="N315" s="1655" t="s">
        <v>1587</v>
      </c>
      <c r="O315" s="1656">
        <v>30000</v>
      </c>
      <c r="P315" s="1655" t="s">
        <v>42</v>
      </c>
      <c r="Q315" s="1655" t="s">
        <v>571</v>
      </c>
      <c r="S315" s="1655" t="s">
        <v>70</v>
      </c>
      <c r="T315" s="1655" t="s">
        <v>1587</v>
      </c>
      <c r="U315" s="1656">
        <v>0</v>
      </c>
      <c r="V315" s="1655" t="s">
        <v>42</v>
      </c>
      <c r="W315" s="1655" t="s">
        <v>571</v>
      </c>
    </row>
    <row r="316" spans="1:23">
      <c r="A316" s="1655" t="s">
        <v>70</v>
      </c>
      <c r="B316" s="1655" t="s">
        <v>1588</v>
      </c>
      <c r="C316" s="1656">
        <v>0</v>
      </c>
      <c r="D316" s="1655" t="s">
        <v>42</v>
      </c>
      <c r="E316" s="1655" t="s">
        <v>571</v>
      </c>
      <c r="G316" s="1655" t="s">
        <v>70</v>
      </c>
      <c r="H316" s="1655" t="s">
        <v>1588</v>
      </c>
      <c r="I316" s="1656">
        <v>0</v>
      </c>
      <c r="J316" s="1655" t="s">
        <v>42</v>
      </c>
      <c r="K316" s="1655" t="s">
        <v>571</v>
      </c>
      <c r="M316" s="1655" t="s">
        <v>70</v>
      </c>
      <c r="N316" s="1655" t="s">
        <v>1588</v>
      </c>
      <c r="O316" s="1656">
        <v>1100</v>
      </c>
      <c r="P316" s="1655" t="s">
        <v>42</v>
      </c>
      <c r="Q316" s="1655" t="s">
        <v>571</v>
      </c>
      <c r="S316" s="1655" t="s">
        <v>70</v>
      </c>
      <c r="T316" s="1655" t="s">
        <v>1588</v>
      </c>
      <c r="U316" s="1656">
        <v>0</v>
      </c>
      <c r="V316" s="1655" t="s">
        <v>42</v>
      </c>
      <c r="W316" s="1655" t="s">
        <v>571</v>
      </c>
    </row>
    <row r="317" spans="1:23">
      <c r="A317" s="1655" t="s">
        <v>70</v>
      </c>
      <c r="B317" s="1655" t="s">
        <v>746</v>
      </c>
      <c r="C317" s="1656">
        <v>0</v>
      </c>
      <c r="D317" s="1655" t="s">
        <v>42</v>
      </c>
      <c r="E317" s="1655" t="s">
        <v>571</v>
      </c>
      <c r="G317" s="1655" t="s">
        <v>70</v>
      </c>
      <c r="H317" s="1655" t="s">
        <v>746</v>
      </c>
      <c r="I317" s="1656">
        <v>0</v>
      </c>
      <c r="J317" s="1655" t="s">
        <v>42</v>
      </c>
      <c r="K317" s="1655" t="s">
        <v>571</v>
      </c>
      <c r="M317" s="1655" t="s">
        <v>70</v>
      </c>
      <c r="N317" s="1655" t="s">
        <v>746</v>
      </c>
      <c r="O317" s="1656">
        <v>16</v>
      </c>
      <c r="P317" s="1655" t="s">
        <v>42</v>
      </c>
      <c r="Q317" s="1655" t="s">
        <v>571</v>
      </c>
      <c r="S317" s="1655" t="s">
        <v>70</v>
      </c>
      <c r="T317" s="1655" t="s">
        <v>746</v>
      </c>
      <c r="U317" s="1656">
        <v>0</v>
      </c>
      <c r="V317" s="1655" t="s">
        <v>42</v>
      </c>
      <c r="W317" s="1655" t="s">
        <v>571</v>
      </c>
    </row>
    <row r="318" spans="1:23">
      <c r="A318" s="1655" t="s">
        <v>70</v>
      </c>
      <c r="B318" s="1655" t="s">
        <v>747</v>
      </c>
      <c r="C318" s="1656">
        <v>0</v>
      </c>
      <c r="D318" s="1655" t="s">
        <v>42</v>
      </c>
      <c r="E318" s="1655" t="s">
        <v>571</v>
      </c>
      <c r="G318" s="1655" t="s">
        <v>70</v>
      </c>
      <c r="H318" s="1655" t="s">
        <v>747</v>
      </c>
      <c r="I318" s="1656">
        <v>0</v>
      </c>
      <c r="J318" s="1655" t="s">
        <v>42</v>
      </c>
      <c r="K318" s="1655" t="s">
        <v>571</v>
      </c>
      <c r="M318" s="1655" t="s">
        <v>70</v>
      </c>
      <c r="N318" s="1655" t="s">
        <v>747</v>
      </c>
      <c r="O318" s="1656">
        <v>0</v>
      </c>
      <c r="P318" s="1655" t="s">
        <v>42</v>
      </c>
      <c r="Q318" s="1655" t="s">
        <v>571</v>
      </c>
      <c r="S318" s="1655" t="s">
        <v>70</v>
      </c>
      <c r="T318" s="1655" t="s">
        <v>747</v>
      </c>
      <c r="U318" s="1656">
        <v>0</v>
      </c>
      <c r="V318" s="1655" t="s">
        <v>42</v>
      </c>
      <c r="W318" s="1655" t="s">
        <v>571</v>
      </c>
    </row>
    <row r="319" spans="1:23">
      <c r="A319" s="1655" t="s">
        <v>70</v>
      </c>
      <c r="B319" s="1655" t="s">
        <v>748</v>
      </c>
      <c r="C319" s="1656">
        <v>0</v>
      </c>
      <c r="D319" s="1655" t="s">
        <v>42</v>
      </c>
      <c r="E319" s="1655" t="s">
        <v>571</v>
      </c>
      <c r="G319" s="1655" t="s">
        <v>70</v>
      </c>
      <c r="H319" s="1655" t="s">
        <v>748</v>
      </c>
      <c r="I319" s="1656">
        <v>0</v>
      </c>
      <c r="J319" s="1655" t="s">
        <v>42</v>
      </c>
      <c r="K319" s="1655" t="s">
        <v>571</v>
      </c>
      <c r="M319" s="1655" t="s">
        <v>70</v>
      </c>
      <c r="N319" s="1655" t="s">
        <v>748</v>
      </c>
      <c r="O319" s="1656">
        <v>0</v>
      </c>
      <c r="P319" s="1655" t="s">
        <v>42</v>
      </c>
      <c r="Q319" s="1655" t="s">
        <v>571</v>
      </c>
      <c r="S319" s="1655" t="s">
        <v>70</v>
      </c>
      <c r="T319" s="1655" t="s">
        <v>748</v>
      </c>
      <c r="U319" s="1656">
        <v>0</v>
      </c>
      <c r="V319" s="1655" t="s">
        <v>42</v>
      </c>
      <c r="W319" s="1655" t="s">
        <v>571</v>
      </c>
    </row>
    <row r="320" spans="1:23">
      <c r="A320" s="1655" t="s">
        <v>70</v>
      </c>
      <c r="B320" s="1655" t="s">
        <v>749</v>
      </c>
      <c r="C320" s="1656">
        <v>0</v>
      </c>
      <c r="D320" s="1655" t="s">
        <v>42</v>
      </c>
      <c r="E320" s="1655" t="s">
        <v>571</v>
      </c>
      <c r="G320" s="1655" t="s">
        <v>70</v>
      </c>
      <c r="H320" s="1655" t="s">
        <v>749</v>
      </c>
      <c r="I320" s="1656">
        <v>0</v>
      </c>
      <c r="J320" s="1655" t="s">
        <v>42</v>
      </c>
      <c r="K320" s="1655" t="s">
        <v>571</v>
      </c>
      <c r="M320" s="1655" t="s">
        <v>70</v>
      </c>
      <c r="N320" s="1655" t="s">
        <v>749</v>
      </c>
      <c r="O320" s="1656">
        <v>0</v>
      </c>
      <c r="P320" s="1655" t="s">
        <v>42</v>
      </c>
      <c r="Q320" s="1655" t="s">
        <v>571</v>
      </c>
      <c r="S320" s="1655" t="s">
        <v>70</v>
      </c>
      <c r="T320" s="1655" t="s">
        <v>749</v>
      </c>
      <c r="U320" s="1656">
        <v>0</v>
      </c>
      <c r="V320" s="1655" t="s">
        <v>42</v>
      </c>
      <c r="W320" s="1655" t="s">
        <v>571</v>
      </c>
    </row>
    <row r="321" spans="1:23">
      <c r="A321" s="1655" t="s">
        <v>70</v>
      </c>
      <c r="B321" s="1655" t="s">
        <v>750</v>
      </c>
      <c r="C321" s="1656">
        <v>450</v>
      </c>
      <c r="D321" s="1655" t="s">
        <v>42</v>
      </c>
      <c r="E321" s="1655" t="s">
        <v>571</v>
      </c>
      <c r="G321" s="1655" t="s">
        <v>70</v>
      </c>
      <c r="H321" s="1655" t="s">
        <v>750</v>
      </c>
      <c r="I321" s="1656">
        <v>180</v>
      </c>
      <c r="J321" s="1655" t="s">
        <v>42</v>
      </c>
      <c r="K321" s="1655" t="s">
        <v>571</v>
      </c>
      <c r="M321" s="1655" t="s">
        <v>70</v>
      </c>
      <c r="N321" s="1655" t="s">
        <v>750</v>
      </c>
      <c r="O321" s="1656">
        <v>600</v>
      </c>
      <c r="P321" s="1655" t="s">
        <v>42</v>
      </c>
      <c r="Q321" s="1655" t="s">
        <v>571</v>
      </c>
      <c r="S321" s="1655" t="s">
        <v>70</v>
      </c>
      <c r="T321" s="1655" t="s">
        <v>750</v>
      </c>
      <c r="U321" s="1656">
        <v>0</v>
      </c>
      <c r="V321" s="1655" t="s">
        <v>42</v>
      </c>
      <c r="W321" s="1655" t="s">
        <v>571</v>
      </c>
    </row>
    <row r="322" spans="1:23">
      <c r="A322" s="1655" t="s">
        <v>70</v>
      </c>
      <c r="B322" s="1655" t="s">
        <v>751</v>
      </c>
      <c r="C322" s="1656">
        <v>700</v>
      </c>
      <c r="D322" s="1655" t="s">
        <v>42</v>
      </c>
      <c r="E322" s="1655" t="s">
        <v>571</v>
      </c>
      <c r="G322" s="1655" t="s">
        <v>70</v>
      </c>
      <c r="H322" s="1655" t="s">
        <v>751</v>
      </c>
      <c r="I322" s="1656">
        <v>150</v>
      </c>
      <c r="J322" s="1655" t="s">
        <v>42</v>
      </c>
      <c r="K322" s="1655" t="s">
        <v>571</v>
      </c>
      <c r="M322" s="1655" t="s">
        <v>70</v>
      </c>
      <c r="N322" s="1655" t="s">
        <v>751</v>
      </c>
      <c r="O322" s="1656">
        <v>750</v>
      </c>
      <c r="P322" s="1655" t="s">
        <v>42</v>
      </c>
      <c r="Q322" s="1655" t="s">
        <v>571</v>
      </c>
      <c r="S322" s="1655" t="s">
        <v>70</v>
      </c>
      <c r="T322" s="1655" t="s">
        <v>751</v>
      </c>
      <c r="U322" s="1656">
        <v>0</v>
      </c>
      <c r="V322" s="1655" t="s">
        <v>42</v>
      </c>
      <c r="W322" s="1655" t="s">
        <v>571</v>
      </c>
    </row>
    <row r="323" spans="1:23">
      <c r="A323" s="1655" t="s">
        <v>70</v>
      </c>
      <c r="B323" s="1655" t="s">
        <v>752</v>
      </c>
      <c r="C323" s="1656">
        <v>190</v>
      </c>
      <c r="D323" s="1655" t="s">
        <v>42</v>
      </c>
      <c r="E323" s="1655" t="s">
        <v>571</v>
      </c>
      <c r="G323" s="1655" t="s">
        <v>70</v>
      </c>
      <c r="H323" s="1655" t="s">
        <v>752</v>
      </c>
      <c r="I323" s="1656">
        <v>5</v>
      </c>
      <c r="J323" s="1655" t="s">
        <v>42</v>
      </c>
      <c r="K323" s="1655" t="s">
        <v>571</v>
      </c>
      <c r="M323" s="1655" t="s">
        <v>70</v>
      </c>
      <c r="N323" s="1655" t="s">
        <v>752</v>
      </c>
      <c r="O323" s="1656">
        <v>35</v>
      </c>
      <c r="P323" s="1655" t="s">
        <v>42</v>
      </c>
      <c r="Q323" s="1655" t="s">
        <v>571</v>
      </c>
      <c r="S323" s="1655" t="s">
        <v>70</v>
      </c>
      <c r="T323" s="1655" t="s">
        <v>752</v>
      </c>
      <c r="U323" s="1656">
        <v>0</v>
      </c>
      <c r="V323" s="1655" t="s">
        <v>42</v>
      </c>
      <c r="W323" s="1655" t="s">
        <v>571</v>
      </c>
    </row>
    <row r="324" spans="1:23">
      <c r="A324" s="1655" t="s">
        <v>70</v>
      </c>
      <c r="B324" s="1655" t="s">
        <v>753</v>
      </c>
      <c r="C324" s="1656">
        <v>0</v>
      </c>
      <c r="D324" s="1655" t="s">
        <v>42</v>
      </c>
      <c r="E324" s="1655" t="s">
        <v>571</v>
      </c>
      <c r="G324" s="1655" t="s">
        <v>70</v>
      </c>
      <c r="H324" s="1655" t="s">
        <v>753</v>
      </c>
      <c r="I324" s="1656">
        <v>0</v>
      </c>
      <c r="J324" s="1655" t="s">
        <v>42</v>
      </c>
      <c r="K324" s="1655" t="s">
        <v>571</v>
      </c>
      <c r="M324" s="1655" t="s">
        <v>70</v>
      </c>
      <c r="N324" s="1655" t="s">
        <v>753</v>
      </c>
      <c r="O324" s="1656">
        <v>200</v>
      </c>
      <c r="P324" s="1655" t="s">
        <v>42</v>
      </c>
      <c r="Q324" s="1655" t="s">
        <v>571</v>
      </c>
      <c r="S324" s="1655" t="s">
        <v>70</v>
      </c>
      <c r="T324" s="1655" t="s">
        <v>753</v>
      </c>
      <c r="U324" s="1656">
        <v>0</v>
      </c>
      <c r="V324" s="1655" t="s">
        <v>42</v>
      </c>
      <c r="W324" s="1655" t="s">
        <v>571</v>
      </c>
    </row>
    <row r="325" spans="1:23">
      <c r="A325" s="1655" t="s">
        <v>70</v>
      </c>
      <c r="B325" s="1655" t="s">
        <v>754</v>
      </c>
      <c r="C325" s="1656">
        <v>0</v>
      </c>
      <c r="D325" s="1655" t="s">
        <v>42</v>
      </c>
      <c r="E325" s="1655" t="s">
        <v>571</v>
      </c>
      <c r="G325" s="1655" t="s">
        <v>70</v>
      </c>
      <c r="H325" s="1655" t="s">
        <v>754</v>
      </c>
      <c r="I325" s="1656">
        <v>0</v>
      </c>
      <c r="J325" s="1655" t="s">
        <v>42</v>
      </c>
      <c r="K325" s="1655" t="s">
        <v>571</v>
      </c>
      <c r="M325" s="1655" t="s">
        <v>70</v>
      </c>
      <c r="N325" s="1655" t="s">
        <v>754</v>
      </c>
      <c r="O325" s="1656">
        <v>0</v>
      </c>
      <c r="P325" s="1655" t="s">
        <v>42</v>
      </c>
      <c r="Q325" s="1655" t="s">
        <v>571</v>
      </c>
      <c r="S325" s="1655" t="s">
        <v>70</v>
      </c>
      <c r="T325" s="1655" t="s">
        <v>754</v>
      </c>
      <c r="U325" s="1656">
        <v>0</v>
      </c>
      <c r="V325" s="1655" t="s">
        <v>42</v>
      </c>
      <c r="W325" s="1655" t="s">
        <v>571</v>
      </c>
    </row>
    <row r="326" spans="1:23">
      <c r="A326" s="1655" t="s">
        <v>70</v>
      </c>
      <c r="B326" s="1655" t="s">
        <v>755</v>
      </c>
      <c r="C326" s="1656">
        <v>0</v>
      </c>
      <c r="D326" s="1655" t="s">
        <v>42</v>
      </c>
      <c r="E326" s="1655" t="s">
        <v>571</v>
      </c>
      <c r="G326" s="1655" t="s">
        <v>70</v>
      </c>
      <c r="H326" s="1655" t="s">
        <v>755</v>
      </c>
      <c r="I326" s="1656">
        <v>0</v>
      </c>
      <c r="J326" s="1655" t="s">
        <v>42</v>
      </c>
      <c r="K326" s="1655" t="s">
        <v>571</v>
      </c>
      <c r="M326" s="1655" t="s">
        <v>70</v>
      </c>
      <c r="N326" s="1655" t="s">
        <v>755</v>
      </c>
      <c r="O326" s="1656">
        <v>0</v>
      </c>
      <c r="P326" s="1655" t="s">
        <v>42</v>
      </c>
      <c r="Q326" s="1655" t="s">
        <v>571</v>
      </c>
      <c r="S326" s="1655" t="s">
        <v>70</v>
      </c>
      <c r="T326" s="1655" t="s">
        <v>755</v>
      </c>
      <c r="U326" s="1656">
        <v>0</v>
      </c>
      <c r="V326" s="1655" t="s">
        <v>42</v>
      </c>
      <c r="W326" s="1655" t="s">
        <v>571</v>
      </c>
    </row>
    <row r="327" spans="1:23">
      <c r="A327" s="1655" t="s">
        <v>70</v>
      </c>
      <c r="B327" s="1655" t="s">
        <v>1589</v>
      </c>
      <c r="C327" s="1656">
        <v>0</v>
      </c>
      <c r="D327" s="1655" t="s">
        <v>42</v>
      </c>
      <c r="E327" s="1655" t="s">
        <v>571</v>
      </c>
      <c r="G327" s="1655" t="s">
        <v>70</v>
      </c>
      <c r="H327" s="1655" t="s">
        <v>1589</v>
      </c>
      <c r="I327" s="1656">
        <v>0</v>
      </c>
      <c r="J327" s="1655" t="s">
        <v>42</v>
      </c>
      <c r="K327" s="1655" t="s">
        <v>571</v>
      </c>
      <c r="M327" s="1655" t="s">
        <v>70</v>
      </c>
      <c r="N327" s="1655" t="s">
        <v>1589</v>
      </c>
      <c r="O327" s="1656">
        <v>0</v>
      </c>
      <c r="P327" s="1655" t="s">
        <v>42</v>
      </c>
      <c r="Q327" s="1655" t="s">
        <v>571</v>
      </c>
      <c r="S327" s="1655" t="s">
        <v>70</v>
      </c>
      <c r="T327" s="1655" t="s">
        <v>1589</v>
      </c>
      <c r="U327" s="1656">
        <v>0</v>
      </c>
      <c r="V327" s="1655" t="s">
        <v>42</v>
      </c>
      <c r="W327" s="1655" t="s">
        <v>571</v>
      </c>
    </row>
    <row r="328" spans="1:23">
      <c r="A328" s="1655" t="s">
        <v>70</v>
      </c>
      <c r="B328" s="1655" t="s">
        <v>1590</v>
      </c>
      <c r="C328" s="1656">
        <v>0</v>
      </c>
      <c r="D328" s="1655" t="s">
        <v>42</v>
      </c>
      <c r="E328" s="1655" t="s">
        <v>571</v>
      </c>
      <c r="G328" s="1655" t="s">
        <v>70</v>
      </c>
      <c r="H328" s="1655" t="s">
        <v>1590</v>
      </c>
      <c r="I328" s="1656">
        <v>0</v>
      </c>
      <c r="J328" s="1655" t="s">
        <v>42</v>
      </c>
      <c r="K328" s="1655" t="s">
        <v>571</v>
      </c>
      <c r="M328" s="1655" t="s">
        <v>70</v>
      </c>
      <c r="N328" s="1655" t="s">
        <v>1590</v>
      </c>
      <c r="O328" s="1656">
        <v>0</v>
      </c>
      <c r="P328" s="1655" t="s">
        <v>42</v>
      </c>
      <c r="Q328" s="1655" t="s">
        <v>571</v>
      </c>
      <c r="S328" s="1655" t="s">
        <v>70</v>
      </c>
      <c r="T328" s="1655" t="s">
        <v>1590</v>
      </c>
      <c r="U328" s="1656">
        <v>0</v>
      </c>
      <c r="V328" s="1655" t="s">
        <v>42</v>
      </c>
      <c r="W328" s="1655" t="s">
        <v>571</v>
      </c>
    </row>
    <row r="329" spans="1:23">
      <c r="A329" s="1655" t="s">
        <v>70</v>
      </c>
      <c r="B329" s="1655" t="s">
        <v>756</v>
      </c>
      <c r="C329" s="1656">
        <v>0</v>
      </c>
      <c r="D329" s="1655" t="s">
        <v>42</v>
      </c>
      <c r="E329" s="1655" t="s">
        <v>571</v>
      </c>
      <c r="G329" s="1655" t="s">
        <v>70</v>
      </c>
      <c r="H329" s="1655" t="s">
        <v>756</v>
      </c>
      <c r="I329" s="1656">
        <v>0</v>
      </c>
      <c r="J329" s="1655" t="s">
        <v>42</v>
      </c>
      <c r="K329" s="1655" t="s">
        <v>571</v>
      </c>
      <c r="M329" s="1655" t="s">
        <v>70</v>
      </c>
      <c r="N329" s="1655" t="s">
        <v>756</v>
      </c>
      <c r="O329" s="1656">
        <v>0</v>
      </c>
      <c r="P329" s="1655" t="s">
        <v>42</v>
      </c>
      <c r="Q329" s="1655" t="s">
        <v>571</v>
      </c>
      <c r="S329" s="1655" t="s">
        <v>70</v>
      </c>
      <c r="T329" s="1655" t="s">
        <v>756</v>
      </c>
      <c r="U329" s="1656">
        <v>0</v>
      </c>
      <c r="V329" s="1655" t="s">
        <v>42</v>
      </c>
      <c r="W329" s="1655" t="s">
        <v>571</v>
      </c>
    </row>
    <row r="330" spans="1:23">
      <c r="A330" s="1655" t="s">
        <v>70</v>
      </c>
      <c r="B330" s="1655" t="s">
        <v>757</v>
      </c>
      <c r="C330" s="1656">
        <v>0</v>
      </c>
      <c r="D330" s="1655" t="s">
        <v>42</v>
      </c>
      <c r="E330" s="1655" t="s">
        <v>571</v>
      </c>
      <c r="G330" s="1655" t="s">
        <v>70</v>
      </c>
      <c r="H330" s="1655" t="s">
        <v>757</v>
      </c>
      <c r="I330" s="1656">
        <v>0</v>
      </c>
      <c r="J330" s="1655" t="s">
        <v>42</v>
      </c>
      <c r="K330" s="1655" t="s">
        <v>571</v>
      </c>
      <c r="M330" s="1655" t="s">
        <v>70</v>
      </c>
      <c r="N330" s="1655" t="s">
        <v>757</v>
      </c>
      <c r="O330" s="1656">
        <v>0</v>
      </c>
      <c r="P330" s="1655" t="s">
        <v>42</v>
      </c>
      <c r="Q330" s="1655" t="s">
        <v>571</v>
      </c>
      <c r="S330" s="1655" t="s">
        <v>70</v>
      </c>
      <c r="T330" s="1655" t="s">
        <v>757</v>
      </c>
      <c r="U330" s="1656">
        <v>0</v>
      </c>
      <c r="V330" s="1655" t="s">
        <v>42</v>
      </c>
      <c r="W330" s="1655" t="s">
        <v>571</v>
      </c>
    </row>
    <row r="331" spans="1:23">
      <c r="A331" s="1655" t="s">
        <v>70</v>
      </c>
      <c r="B331" s="1655" t="s">
        <v>758</v>
      </c>
      <c r="C331" s="1656">
        <v>0</v>
      </c>
      <c r="D331" s="1655" t="s">
        <v>42</v>
      </c>
      <c r="E331" s="1655" t="s">
        <v>571</v>
      </c>
      <c r="G331" s="1655" t="s">
        <v>70</v>
      </c>
      <c r="H331" s="1655" t="s">
        <v>758</v>
      </c>
      <c r="I331" s="1656">
        <v>0</v>
      </c>
      <c r="J331" s="1655" t="s">
        <v>42</v>
      </c>
      <c r="K331" s="1655" t="s">
        <v>571</v>
      </c>
      <c r="M331" s="1655" t="s">
        <v>70</v>
      </c>
      <c r="N331" s="1655" t="s">
        <v>758</v>
      </c>
      <c r="O331" s="1656">
        <v>0</v>
      </c>
      <c r="P331" s="1655" t="s">
        <v>42</v>
      </c>
      <c r="Q331" s="1655" t="s">
        <v>571</v>
      </c>
      <c r="S331" s="1655" t="s">
        <v>70</v>
      </c>
      <c r="T331" s="1655" t="s">
        <v>758</v>
      </c>
      <c r="U331" s="1656">
        <v>0</v>
      </c>
      <c r="V331" s="1655" t="s">
        <v>42</v>
      </c>
      <c r="W331" s="1655" t="s">
        <v>571</v>
      </c>
    </row>
    <row r="332" spans="1:23">
      <c r="A332" s="1655" t="s">
        <v>70</v>
      </c>
      <c r="B332" s="1655" t="s">
        <v>1591</v>
      </c>
      <c r="C332" s="1656">
        <v>12</v>
      </c>
      <c r="D332" s="1655" t="s">
        <v>42</v>
      </c>
      <c r="E332" s="1655" t="s">
        <v>571</v>
      </c>
      <c r="G332" s="1655" t="s">
        <v>70</v>
      </c>
      <c r="H332" s="1655" t="s">
        <v>1591</v>
      </c>
      <c r="I332" s="1656">
        <v>60</v>
      </c>
      <c r="J332" s="1655" t="s">
        <v>42</v>
      </c>
      <c r="K332" s="1655" t="s">
        <v>571</v>
      </c>
      <c r="M332" s="1655" t="s">
        <v>70</v>
      </c>
      <c r="N332" s="1655" t="s">
        <v>1591</v>
      </c>
      <c r="O332" s="1656">
        <v>12</v>
      </c>
      <c r="P332" s="1655" t="s">
        <v>42</v>
      </c>
      <c r="Q332" s="1655" t="s">
        <v>571</v>
      </c>
      <c r="S332" s="1655" t="s">
        <v>70</v>
      </c>
      <c r="T332" s="1655" t="s">
        <v>1591</v>
      </c>
      <c r="U332" s="1656">
        <v>0</v>
      </c>
      <c r="V332" s="1655" t="s">
        <v>42</v>
      </c>
      <c r="W332" s="1655" t="s">
        <v>571</v>
      </c>
    </row>
    <row r="333" spans="1:23">
      <c r="A333" s="1655" t="s">
        <v>70</v>
      </c>
      <c r="B333" s="1655" t="s">
        <v>759</v>
      </c>
      <c r="C333" s="1656">
        <v>70</v>
      </c>
      <c r="D333" s="1655" t="s">
        <v>42</v>
      </c>
      <c r="E333" s="1655" t="s">
        <v>571</v>
      </c>
      <c r="G333" s="1655" t="s">
        <v>70</v>
      </c>
      <c r="H333" s="1655" t="s">
        <v>759</v>
      </c>
      <c r="I333" s="1656">
        <v>15</v>
      </c>
      <c r="J333" s="1655" t="s">
        <v>42</v>
      </c>
      <c r="K333" s="1655" t="s">
        <v>571</v>
      </c>
      <c r="M333" s="1655" t="s">
        <v>70</v>
      </c>
      <c r="N333" s="1655" t="s">
        <v>759</v>
      </c>
      <c r="O333" s="1656">
        <v>70</v>
      </c>
      <c r="P333" s="1655" t="s">
        <v>42</v>
      </c>
      <c r="Q333" s="1655" t="s">
        <v>571</v>
      </c>
      <c r="S333" s="1655" t="s">
        <v>70</v>
      </c>
      <c r="T333" s="1655" t="s">
        <v>759</v>
      </c>
      <c r="U333" s="1656">
        <v>0</v>
      </c>
      <c r="V333" s="1655" t="s">
        <v>42</v>
      </c>
      <c r="W333" s="1655" t="s">
        <v>571</v>
      </c>
    </row>
    <row r="334" spans="1:23">
      <c r="A334" s="1655" t="s">
        <v>70</v>
      </c>
      <c r="B334" s="1655" t="s">
        <v>760</v>
      </c>
      <c r="C334" s="1656">
        <v>15</v>
      </c>
      <c r="D334" s="1655" t="s">
        <v>42</v>
      </c>
      <c r="E334" s="1655" t="s">
        <v>571</v>
      </c>
      <c r="G334" s="1655" t="s">
        <v>70</v>
      </c>
      <c r="H334" s="1655" t="s">
        <v>760</v>
      </c>
      <c r="I334" s="1656">
        <v>11</v>
      </c>
      <c r="J334" s="1655" t="s">
        <v>42</v>
      </c>
      <c r="K334" s="1655" t="s">
        <v>571</v>
      </c>
      <c r="M334" s="1655" t="s">
        <v>70</v>
      </c>
      <c r="N334" s="1655" t="s">
        <v>760</v>
      </c>
      <c r="O334" s="1656">
        <v>15</v>
      </c>
      <c r="P334" s="1655" t="s">
        <v>42</v>
      </c>
      <c r="Q334" s="1655" t="s">
        <v>571</v>
      </c>
      <c r="S334" s="1655" t="s">
        <v>70</v>
      </c>
      <c r="T334" s="1655" t="s">
        <v>760</v>
      </c>
      <c r="U334" s="1656">
        <v>0</v>
      </c>
      <c r="V334" s="1655" t="s">
        <v>42</v>
      </c>
      <c r="W334" s="1655" t="s">
        <v>571</v>
      </c>
    </row>
    <row r="335" spans="1:23">
      <c r="A335" s="1655" t="s">
        <v>70</v>
      </c>
      <c r="B335" s="1655" t="s">
        <v>761</v>
      </c>
      <c r="C335" s="1656">
        <v>120</v>
      </c>
      <c r="D335" s="1655" t="s">
        <v>42</v>
      </c>
      <c r="E335" s="1655" t="s">
        <v>571</v>
      </c>
      <c r="G335" s="1655" t="s">
        <v>70</v>
      </c>
      <c r="H335" s="1655" t="s">
        <v>761</v>
      </c>
      <c r="I335" s="1656">
        <v>17</v>
      </c>
      <c r="J335" s="1655" t="s">
        <v>42</v>
      </c>
      <c r="K335" s="1655" t="s">
        <v>571</v>
      </c>
      <c r="M335" s="1655" t="s">
        <v>70</v>
      </c>
      <c r="N335" s="1655" t="s">
        <v>761</v>
      </c>
      <c r="O335" s="1656">
        <v>120</v>
      </c>
      <c r="P335" s="1655" t="s">
        <v>42</v>
      </c>
      <c r="Q335" s="1655" t="s">
        <v>571</v>
      </c>
      <c r="S335" s="1655" t="s">
        <v>70</v>
      </c>
      <c r="T335" s="1655" t="s">
        <v>761</v>
      </c>
      <c r="U335" s="1656">
        <v>0</v>
      </c>
      <c r="V335" s="1655" t="s">
        <v>42</v>
      </c>
      <c r="W335" s="1655" t="s">
        <v>571</v>
      </c>
    </row>
    <row r="336" spans="1:23">
      <c r="A336" s="1655" t="s">
        <v>70</v>
      </c>
      <c r="B336" s="1655" t="s">
        <v>762</v>
      </c>
      <c r="C336" s="1656">
        <v>15</v>
      </c>
      <c r="D336" s="1655" t="s">
        <v>42</v>
      </c>
      <c r="E336" s="1655" t="s">
        <v>571</v>
      </c>
      <c r="G336" s="1655" t="s">
        <v>70</v>
      </c>
      <c r="H336" s="1655" t="s">
        <v>762</v>
      </c>
      <c r="I336" s="1656">
        <v>500</v>
      </c>
      <c r="J336" s="1655" t="s">
        <v>42</v>
      </c>
      <c r="K336" s="1655" t="s">
        <v>571</v>
      </c>
      <c r="M336" s="1655" t="s">
        <v>70</v>
      </c>
      <c r="N336" s="1655" t="s">
        <v>762</v>
      </c>
      <c r="O336" s="1656">
        <v>15</v>
      </c>
      <c r="P336" s="1655" t="s">
        <v>42</v>
      </c>
      <c r="Q336" s="1655" t="s">
        <v>571</v>
      </c>
      <c r="S336" s="1655" t="s">
        <v>70</v>
      </c>
      <c r="T336" s="1655" t="s">
        <v>762</v>
      </c>
      <c r="U336" s="1656">
        <v>0</v>
      </c>
      <c r="V336" s="1655" t="s">
        <v>42</v>
      </c>
      <c r="W336" s="1655" t="s">
        <v>571</v>
      </c>
    </row>
    <row r="337" spans="1:23">
      <c r="A337" s="1655" t="s">
        <v>70</v>
      </c>
      <c r="B337" s="1655" t="s">
        <v>763</v>
      </c>
      <c r="C337" s="1656">
        <v>0</v>
      </c>
      <c r="D337" s="1655" t="s">
        <v>42</v>
      </c>
      <c r="E337" s="1655" t="s">
        <v>571</v>
      </c>
      <c r="G337" s="1655" t="s">
        <v>70</v>
      </c>
      <c r="H337" s="1655" t="s">
        <v>763</v>
      </c>
      <c r="I337" s="1656">
        <v>0</v>
      </c>
      <c r="J337" s="1655" t="s">
        <v>42</v>
      </c>
      <c r="K337" s="1655" t="s">
        <v>571</v>
      </c>
      <c r="M337" s="1655" t="s">
        <v>70</v>
      </c>
      <c r="N337" s="1655" t="s">
        <v>763</v>
      </c>
      <c r="O337" s="1656">
        <v>0</v>
      </c>
      <c r="P337" s="1655" t="s">
        <v>42</v>
      </c>
      <c r="Q337" s="1655" t="s">
        <v>571</v>
      </c>
      <c r="S337" s="1655" t="s">
        <v>70</v>
      </c>
      <c r="T337" s="1655" t="s">
        <v>763</v>
      </c>
      <c r="U337" s="1656">
        <v>0</v>
      </c>
      <c r="V337" s="1655" t="s">
        <v>42</v>
      </c>
      <c r="W337" s="1655" t="s">
        <v>571</v>
      </c>
    </row>
    <row r="338" spans="1:23">
      <c r="A338" s="1655" t="s">
        <v>70</v>
      </c>
      <c r="B338" s="1655" t="s">
        <v>764</v>
      </c>
      <c r="C338" s="1656">
        <v>20</v>
      </c>
      <c r="D338" s="1655" t="s">
        <v>42</v>
      </c>
      <c r="E338" s="1655" t="s">
        <v>571</v>
      </c>
      <c r="G338" s="1655" t="s">
        <v>70</v>
      </c>
      <c r="H338" s="1655" t="s">
        <v>764</v>
      </c>
      <c r="I338" s="1656">
        <v>0</v>
      </c>
      <c r="J338" s="1655" t="s">
        <v>42</v>
      </c>
      <c r="K338" s="1655" t="s">
        <v>571</v>
      </c>
      <c r="M338" s="1655" t="s">
        <v>70</v>
      </c>
      <c r="N338" s="1655" t="s">
        <v>764</v>
      </c>
      <c r="O338" s="1656">
        <v>20</v>
      </c>
      <c r="P338" s="1655" t="s">
        <v>42</v>
      </c>
      <c r="Q338" s="1655" t="s">
        <v>571</v>
      </c>
      <c r="S338" s="1655" t="s">
        <v>70</v>
      </c>
      <c r="T338" s="1655" t="s">
        <v>764</v>
      </c>
      <c r="U338" s="1656">
        <v>0</v>
      </c>
      <c r="V338" s="1655" t="s">
        <v>42</v>
      </c>
      <c r="W338" s="1655" t="s">
        <v>571</v>
      </c>
    </row>
    <row r="339" spans="1:23">
      <c r="A339" s="1655" t="s">
        <v>70</v>
      </c>
      <c r="B339" s="1655" t="s">
        <v>765</v>
      </c>
      <c r="C339" s="1656">
        <v>16</v>
      </c>
      <c r="D339" s="1655" t="s">
        <v>42</v>
      </c>
      <c r="E339" s="1655" t="s">
        <v>571</v>
      </c>
      <c r="G339" s="1655" t="s">
        <v>70</v>
      </c>
      <c r="H339" s="1655" t="s">
        <v>765</v>
      </c>
      <c r="I339" s="1656">
        <v>0</v>
      </c>
      <c r="J339" s="1655" t="s">
        <v>42</v>
      </c>
      <c r="K339" s="1655" t="s">
        <v>571</v>
      </c>
      <c r="M339" s="1655" t="s">
        <v>70</v>
      </c>
      <c r="N339" s="1655" t="s">
        <v>765</v>
      </c>
      <c r="O339" s="1656">
        <v>16</v>
      </c>
      <c r="P339" s="1655" t="s">
        <v>42</v>
      </c>
      <c r="Q339" s="1655" t="s">
        <v>571</v>
      </c>
      <c r="S339" s="1655" t="s">
        <v>70</v>
      </c>
      <c r="T339" s="1655" t="s">
        <v>765</v>
      </c>
      <c r="U339" s="1656">
        <v>0</v>
      </c>
      <c r="V339" s="1655" t="s">
        <v>42</v>
      </c>
      <c r="W339" s="1655" t="s">
        <v>571</v>
      </c>
    </row>
    <row r="340" spans="1:23">
      <c r="A340" s="1655" t="s">
        <v>70</v>
      </c>
      <c r="B340" s="1655" t="s">
        <v>766</v>
      </c>
      <c r="C340" s="1656">
        <v>120</v>
      </c>
      <c r="D340" s="1655" t="s">
        <v>42</v>
      </c>
      <c r="E340" s="1655" t="s">
        <v>571</v>
      </c>
      <c r="G340" s="1655" t="s">
        <v>70</v>
      </c>
      <c r="H340" s="1655" t="s">
        <v>766</v>
      </c>
      <c r="I340" s="1656">
        <v>0</v>
      </c>
      <c r="J340" s="1655" t="s">
        <v>42</v>
      </c>
      <c r="K340" s="1655" t="s">
        <v>571</v>
      </c>
      <c r="M340" s="1655" t="s">
        <v>70</v>
      </c>
      <c r="N340" s="1655" t="s">
        <v>766</v>
      </c>
      <c r="O340" s="1656">
        <v>100</v>
      </c>
      <c r="P340" s="1655" t="s">
        <v>42</v>
      </c>
      <c r="Q340" s="1655" t="s">
        <v>571</v>
      </c>
      <c r="S340" s="1655" t="s">
        <v>70</v>
      </c>
      <c r="T340" s="1655" t="s">
        <v>766</v>
      </c>
      <c r="U340" s="1656">
        <v>0</v>
      </c>
      <c r="V340" s="1655" t="s">
        <v>42</v>
      </c>
      <c r="W340" s="1655" t="s">
        <v>571</v>
      </c>
    </row>
    <row r="341" spans="1:23">
      <c r="A341" s="1655" t="s">
        <v>70</v>
      </c>
      <c r="B341" s="1655" t="s">
        <v>767</v>
      </c>
      <c r="C341" s="1656">
        <v>0</v>
      </c>
      <c r="D341" s="1655" t="s">
        <v>42</v>
      </c>
      <c r="E341" s="1655" t="s">
        <v>571</v>
      </c>
      <c r="G341" s="1655" t="s">
        <v>70</v>
      </c>
      <c r="H341" s="1655" t="s">
        <v>767</v>
      </c>
      <c r="I341" s="1656">
        <v>0</v>
      </c>
      <c r="J341" s="1655" t="s">
        <v>42</v>
      </c>
      <c r="K341" s="1655" t="s">
        <v>571</v>
      </c>
      <c r="M341" s="1655" t="s">
        <v>70</v>
      </c>
      <c r="N341" s="1655" t="s">
        <v>767</v>
      </c>
      <c r="O341" s="1656">
        <v>0</v>
      </c>
      <c r="P341" s="1655" t="s">
        <v>42</v>
      </c>
      <c r="Q341" s="1655" t="s">
        <v>571</v>
      </c>
      <c r="S341" s="1655" t="s">
        <v>70</v>
      </c>
      <c r="T341" s="1655" t="s">
        <v>767</v>
      </c>
      <c r="U341" s="1656">
        <v>0</v>
      </c>
      <c r="V341" s="1655" t="s">
        <v>42</v>
      </c>
      <c r="W341" s="1655" t="s">
        <v>571</v>
      </c>
    </row>
    <row r="342" spans="1:23">
      <c r="A342" s="1655" t="s">
        <v>70</v>
      </c>
      <c r="B342" s="1655" t="s">
        <v>1592</v>
      </c>
      <c r="C342" s="1656">
        <v>0</v>
      </c>
      <c r="D342" s="1655" t="s">
        <v>42</v>
      </c>
      <c r="E342" s="1655" t="s">
        <v>571</v>
      </c>
      <c r="G342" s="1655" t="s">
        <v>70</v>
      </c>
      <c r="H342" s="1655" t="s">
        <v>1592</v>
      </c>
      <c r="I342" s="1656">
        <v>0</v>
      </c>
      <c r="J342" s="1655" t="s">
        <v>42</v>
      </c>
      <c r="K342" s="1655" t="s">
        <v>571</v>
      </c>
      <c r="M342" s="1655" t="s">
        <v>70</v>
      </c>
      <c r="N342" s="1655" t="s">
        <v>1592</v>
      </c>
      <c r="O342" s="1656">
        <v>0</v>
      </c>
      <c r="P342" s="1655" t="s">
        <v>42</v>
      </c>
      <c r="Q342" s="1655" t="s">
        <v>571</v>
      </c>
      <c r="S342" s="1655" t="s">
        <v>70</v>
      </c>
      <c r="T342" s="1655" t="s">
        <v>1592</v>
      </c>
      <c r="U342" s="1656">
        <v>0</v>
      </c>
      <c r="V342" s="1655" t="s">
        <v>42</v>
      </c>
      <c r="W342" s="1655" t="s">
        <v>571</v>
      </c>
    </row>
    <row r="343" spans="1:23">
      <c r="A343" s="1655" t="s">
        <v>70</v>
      </c>
      <c r="B343" s="1655" t="s">
        <v>1593</v>
      </c>
      <c r="C343" s="1656">
        <v>0</v>
      </c>
      <c r="D343" s="1655" t="s">
        <v>42</v>
      </c>
      <c r="E343" s="1655" t="s">
        <v>571</v>
      </c>
      <c r="G343" s="1655" t="s">
        <v>70</v>
      </c>
      <c r="H343" s="1655" t="s">
        <v>1593</v>
      </c>
      <c r="I343" s="1656">
        <v>0</v>
      </c>
      <c r="J343" s="1655" t="s">
        <v>42</v>
      </c>
      <c r="K343" s="1655" t="s">
        <v>571</v>
      </c>
      <c r="M343" s="1655" t="s">
        <v>70</v>
      </c>
      <c r="N343" s="1655" t="s">
        <v>1593</v>
      </c>
      <c r="O343" s="1656">
        <v>0</v>
      </c>
      <c r="P343" s="1655" t="s">
        <v>42</v>
      </c>
      <c r="Q343" s="1655" t="s">
        <v>571</v>
      </c>
      <c r="S343" s="1655" t="s">
        <v>70</v>
      </c>
      <c r="T343" s="1655" t="s">
        <v>1593</v>
      </c>
      <c r="U343" s="1656">
        <v>0</v>
      </c>
      <c r="V343" s="1655" t="s">
        <v>42</v>
      </c>
      <c r="W343" s="1655" t="s">
        <v>571</v>
      </c>
    </row>
    <row r="344" spans="1:23">
      <c r="A344" s="1655" t="s">
        <v>70</v>
      </c>
      <c r="B344" s="1655" t="s">
        <v>768</v>
      </c>
      <c r="C344" s="1656">
        <v>500</v>
      </c>
      <c r="D344" s="1655" t="s">
        <v>42</v>
      </c>
      <c r="E344" s="1655" t="s">
        <v>571</v>
      </c>
      <c r="G344" s="1655" t="s">
        <v>70</v>
      </c>
      <c r="H344" s="1655" t="s">
        <v>768</v>
      </c>
      <c r="I344" s="1656">
        <v>0</v>
      </c>
      <c r="J344" s="1655" t="s">
        <v>42</v>
      </c>
      <c r="K344" s="1655" t="s">
        <v>571</v>
      </c>
      <c r="M344" s="1655" t="s">
        <v>70</v>
      </c>
      <c r="N344" s="1655" t="s">
        <v>768</v>
      </c>
      <c r="O344" s="1656">
        <v>200</v>
      </c>
      <c r="P344" s="1655" t="s">
        <v>42</v>
      </c>
      <c r="Q344" s="1655" t="s">
        <v>571</v>
      </c>
      <c r="S344" s="1655" t="s">
        <v>70</v>
      </c>
      <c r="T344" s="1655" t="s">
        <v>768</v>
      </c>
      <c r="U344" s="1656">
        <v>0</v>
      </c>
      <c r="V344" s="1655" t="s">
        <v>42</v>
      </c>
      <c r="W344" s="1655" t="s">
        <v>571</v>
      </c>
    </row>
    <row r="345" spans="1:23">
      <c r="A345" s="1655" t="s">
        <v>70</v>
      </c>
      <c r="B345" s="1655" t="s">
        <v>769</v>
      </c>
      <c r="C345" s="1656">
        <v>250</v>
      </c>
      <c r="D345" s="1655" t="s">
        <v>42</v>
      </c>
      <c r="E345" s="1655" t="s">
        <v>571</v>
      </c>
      <c r="G345" s="1655" t="s">
        <v>70</v>
      </c>
      <c r="H345" s="1655" t="s">
        <v>769</v>
      </c>
      <c r="I345" s="1656">
        <v>0</v>
      </c>
      <c r="J345" s="1655" t="s">
        <v>42</v>
      </c>
      <c r="K345" s="1655" t="s">
        <v>571</v>
      </c>
      <c r="M345" s="1655" t="s">
        <v>70</v>
      </c>
      <c r="N345" s="1655" t="s">
        <v>769</v>
      </c>
      <c r="O345" s="1656">
        <v>100</v>
      </c>
      <c r="P345" s="1655" t="s">
        <v>42</v>
      </c>
      <c r="Q345" s="1655" t="s">
        <v>571</v>
      </c>
      <c r="S345" s="1655" t="s">
        <v>70</v>
      </c>
      <c r="T345" s="1655" t="s">
        <v>769</v>
      </c>
      <c r="U345" s="1656">
        <v>0</v>
      </c>
      <c r="V345" s="1655" t="s">
        <v>42</v>
      </c>
      <c r="W345" s="1655" t="s">
        <v>571</v>
      </c>
    </row>
    <row r="346" spans="1:23">
      <c r="A346" s="1655" t="s">
        <v>70</v>
      </c>
      <c r="B346" s="1655" t="s">
        <v>770</v>
      </c>
      <c r="C346" s="1656">
        <v>1000</v>
      </c>
      <c r="D346" s="1655" t="s">
        <v>42</v>
      </c>
      <c r="E346" s="1655" t="s">
        <v>571</v>
      </c>
      <c r="G346" s="1655" t="s">
        <v>70</v>
      </c>
      <c r="H346" s="1655" t="s">
        <v>770</v>
      </c>
      <c r="I346" s="1656">
        <v>0</v>
      </c>
      <c r="J346" s="1655" t="s">
        <v>42</v>
      </c>
      <c r="K346" s="1655" t="s">
        <v>571</v>
      </c>
      <c r="M346" s="1655" t="s">
        <v>70</v>
      </c>
      <c r="N346" s="1655" t="s">
        <v>770</v>
      </c>
      <c r="O346" s="1656">
        <v>145</v>
      </c>
      <c r="P346" s="1655" t="s">
        <v>42</v>
      </c>
      <c r="Q346" s="1655" t="s">
        <v>571</v>
      </c>
      <c r="S346" s="1655" t="s">
        <v>70</v>
      </c>
      <c r="T346" s="1655" t="s">
        <v>770</v>
      </c>
      <c r="U346" s="1656">
        <v>0</v>
      </c>
      <c r="V346" s="1655" t="s">
        <v>42</v>
      </c>
      <c r="W346" s="1655" t="s">
        <v>571</v>
      </c>
    </row>
    <row r="347" spans="1:23">
      <c r="A347" s="1655" t="s">
        <v>70</v>
      </c>
      <c r="B347" s="1655" t="s">
        <v>771</v>
      </c>
      <c r="C347" s="1656">
        <v>2500</v>
      </c>
      <c r="D347" s="1655" t="s">
        <v>42</v>
      </c>
      <c r="E347" s="1655" t="s">
        <v>571</v>
      </c>
      <c r="G347" s="1655" t="s">
        <v>70</v>
      </c>
      <c r="H347" s="1655" t="s">
        <v>771</v>
      </c>
      <c r="I347" s="1656">
        <v>0</v>
      </c>
      <c r="J347" s="1655" t="s">
        <v>42</v>
      </c>
      <c r="K347" s="1655" t="s">
        <v>571</v>
      </c>
      <c r="M347" s="1655" t="s">
        <v>70</v>
      </c>
      <c r="N347" s="1655" t="s">
        <v>771</v>
      </c>
      <c r="O347" s="1656">
        <v>130</v>
      </c>
      <c r="P347" s="1655" t="s">
        <v>42</v>
      </c>
      <c r="Q347" s="1655" t="s">
        <v>571</v>
      </c>
      <c r="S347" s="1655" t="s">
        <v>70</v>
      </c>
      <c r="T347" s="1655" t="s">
        <v>771</v>
      </c>
      <c r="U347" s="1656">
        <v>0</v>
      </c>
      <c r="V347" s="1655" t="s">
        <v>42</v>
      </c>
      <c r="W347" s="1655" t="s">
        <v>571</v>
      </c>
    </row>
    <row r="348" spans="1:23">
      <c r="A348" s="1655" t="s">
        <v>70</v>
      </c>
      <c r="B348" s="1655" t="s">
        <v>772</v>
      </c>
      <c r="C348" s="1656">
        <v>0</v>
      </c>
      <c r="D348" s="1655" t="s">
        <v>42</v>
      </c>
      <c r="E348" s="1655" t="s">
        <v>571</v>
      </c>
      <c r="G348" s="1655" t="s">
        <v>70</v>
      </c>
      <c r="H348" s="1655" t="s">
        <v>772</v>
      </c>
      <c r="I348" s="1656">
        <v>0</v>
      </c>
      <c r="J348" s="1655" t="s">
        <v>42</v>
      </c>
      <c r="K348" s="1655" t="s">
        <v>571</v>
      </c>
      <c r="M348" s="1655" t="s">
        <v>70</v>
      </c>
      <c r="N348" s="1655" t="s">
        <v>772</v>
      </c>
      <c r="O348" s="1656">
        <v>260</v>
      </c>
      <c r="P348" s="1655" t="s">
        <v>42</v>
      </c>
      <c r="Q348" s="1655" t="s">
        <v>571</v>
      </c>
      <c r="S348" s="1655" t="s">
        <v>70</v>
      </c>
      <c r="T348" s="1655" t="s">
        <v>772</v>
      </c>
      <c r="U348" s="1656">
        <v>0</v>
      </c>
      <c r="V348" s="1655" t="s">
        <v>42</v>
      </c>
      <c r="W348" s="1655" t="s">
        <v>571</v>
      </c>
    </row>
    <row r="349" spans="1:23">
      <c r="A349" s="1655" t="s">
        <v>70</v>
      </c>
      <c r="B349" s="1655" t="s">
        <v>773</v>
      </c>
      <c r="C349" s="1656">
        <v>0</v>
      </c>
      <c r="D349" s="1655" t="s">
        <v>42</v>
      </c>
      <c r="E349" s="1655" t="s">
        <v>571</v>
      </c>
      <c r="G349" s="1655" t="s">
        <v>70</v>
      </c>
      <c r="H349" s="1655" t="s">
        <v>773</v>
      </c>
      <c r="I349" s="1656">
        <v>0</v>
      </c>
      <c r="J349" s="1655" t="s">
        <v>42</v>
      </c>
      <c r="K349" s="1655" t="s">
        <v>571</v>
      </c>
      <c r="M349" s="1655" t="s">
        <v>70</v>
      </c>
      <c r="N349" s="1655" t="s">
        <v>773</v>
      </c>
      <c r="O349" s="1656">
        <v>0</v>
      </c>
      <c r="P349" s="1655" t="s">
        <v>42</v>
      </c>
      <c r="Q349" s="1655" t="s">
        <v>571</v>
      </c>
      <c r="S349" s="1655" t="s">
        <v>70</v>
      </c>
      <c r="T349" s="1655" t="s">
        <v>773</v>
      </c>
      <c r="U349" s="1656">
        <v>0</v>
      </c>
      <c r="V349" s="1655" t="s">
        <v>42</v>
      </c>
      <c r="W349" s="1655" t="s">
        <v>571</v>
      </c>
    </row>
    <row r="350" spans="1:23">
      <c r="A350" s="1655" t="s">
        <v>70</v>
      </c>
      <c r="B350" s="1655" t="s">
        <v>774</v>
      </c>
      <c r="C350" s="1656">
        <v>0</v>
      </c>
      <c r="D350" s="1655" t="s">
        <v>42</v>
      </c>
      <c r="E350" s="1655" t="s">
        <v>571</v>
      </c>
      <c r="G350" s="1655" t="s">
        <v>70</v>
      </c>
      <c r="H350" s="1655" t="s">
        <v>774</v>
      </c>
      <c r="I350" s="1656">
        <v>0</v>
      </c>
      <c r="J350" s="1655" t="s">
        <v>42</v>
      </c>
      <c r="K350" s="1655" t="s">
        <v>571</v>
      </c>
      <c r="M350" s="1655" t="s">
        <v>70</v>
      </c>
      <c r="N350" s="1655" t="s">
        <v>774</v>
      </c>
      <c r="O350" s="1656">
        <v>0</v>
      </c>
      <c r="P350" s="1655" t="s">
        <v>42</v>
      </c>
      <c r="Q350" s="1655" t="s">
        <v>571</v>
      </c>
      <c r="S350" s="1655" t="s">
        <v>70</v>
      </c>
      <c r="T350" s="1655" t="s">
        <v>774</v>
      </c>
      <c r="U350" s="1656">
        <v>0</v>
      </c>
      <c r="V350" s="1655" t="s">
        <v>42</v>
      </c>
      <c r="W350" s="1655" t="s">
        <v>571</v>
      </c>
    </row>
    <row r="351" spans="1:23">
      <c r="A351" s="1655" t="s">
        <v>70</v>
      </c>
      <c r="B351" s="1655" t="s">
        <v>775</v>
      </c>
      <c r="C351" s="1656">
        <v>0</v>
      </c>
      <c r="D351" s="1655" t="s">
        <v>42</v>
      </c>
      <c r="E351" s="1655" t="s">
        <v>571</v>
      </c>
      <c r="G351" s="1655" t="s">
        <v>70</v>
      </c>
      <c r="H351" s="1655" t="s">
        <v>775</v>
      </c>
      <c r="I351" s="1656">
        <v>0</v>
      </c>
      <c r="J351" s="1655" t="s">
        <v>42</v>
      </c>
      <c r="K351" s="1655" t="s">
        <v>571</v>
      </c>
      <c r="M351" s="1655" t="s">
        <v>70</v>
      </c>
      <c r="N351" s="1655" t="s">
        <v>775</v>
      </c>
      <c r="O351" s="1656">
        <v>0</v>
      </c>
      <c r="P351" s="1655" t="s">
        <v>42</v>
      </c>
      <c r="Q351" s="1655" t="s">
        <v>571</v>
      </c>
      <c r="S351" s="1655" t="s">
        <v>70</v>
      </c>
      <c r="T351" s="1655" t="s">
        <v>775</v>
      </c>
      <c r="U351" s="1656">
        <v>0</v>
      </c>
      <c r="V351" s="1655" t="s">
        <v>42</v>
      </c>
      <c r="W351" s="1655" t="s">
        <v>571</v>
      </c>
    </row>
    <row r="352" spans="1:23">
      <c r="A352" s="1655" t="s">
        <v>70</v>
      </c>
      <c r="B352" s="1655" t="s">
        <v>1594</v>
      </c>
      <c r="C352" s="1656">
        <v>0</v>
      </c>
      <c r="D352" s="1655" t="s">
        <v>42</v>
      </c>
      <c r="E352" s="1655" t="s">
        <v>571</v>
      </c>
      <c r="G352" s="1655" t="s">
        <v>70</v>
      </c>
      <c r="H352" s="1655" t="s">
        <v>1594</v>
      </c>
      <c r="I352" s="1656">
        <v>0</v>
      </c>
      <c r="J352" s="1655" t="s">
        <v>42</v>
      </c>
      <c r="K352" s="1655" t="s">
        <v>571</v>
      </c>
      <c r="M352" s="1655" t="s">
        <v>70</v>
      </c>
      <c r="N352" s="1655" t="s">
        <v>1594</v>
      </c>
      <c r="O352" s="1656">
        <v>0</v>
      </c>
      <c r="P352" s="1655" t="s">
        <v>42</v>
      </c>
      <c r="Q352" s="1655" t="s">
        <v>571</v>
      </c>
      <c r="S352" s="1655" t="s">
        <v>70</v>
      </c>
      <c r="T352" s="1655" t="s">
        <v>1594</v>
      </c>
      <c r="U352" s="1656">
        <v>0</v>
      </c>
      <c r="V352" s="1655" t="s">
        <v>42</v>
      </c>
      <c r="W352" s="1655" t="s">
        <v>571</v>
      </c>
    </row>
    <row r="353" spans="1:23">
      <c r="A353" s="1655" t="s">
        <v>70</v>
      </c>
      <c r="B353" s="1655" t="s">
        <v>1595</v>
      </c>
      <c r="C353" s="1656">
        <v>0</v>
      </c>
      <c r="D353" s="1655" t="s">
        <v>42</v>
      </c>
      <c r="E353" s="1655" t="s">
        <v>571</v>
      </c>
      <c r="G353" s="1655" t="s">
        <v>70</v>
      </c>
      <c r="H353" s="1655" t="s">
        <v>1595</v>
      </c>
      <c r="I353" s="1656">
        <v>0</v>
      </c>
      <c r="J353" s="1655" t="s">
        <v>42</v>
      </c>
      <c r="K353" s="1655" t="s">
        <v>571</v>
      </c>
      <c r="M353" s="1655" t="s">
        <v>70</v>
      </c>
      <c r="N353" s="1655" t="s">
        <v>1595</v>
      </c>
      <c r="O353" s="1656">
        <v>0</v>
      </c>
      <c r="P353" s="1655" t="s">
        <v>42</v>
      </c>
      <c r="Q353" s="1655" t="s">
        <v>571</v>
      </c>
      <c r="S353" s="1655" t="s">
        <v>70</v>
      </c>
      <c r="T353" s="1655" t="s">
        <v>1595</v>
      </c>
      <c r="U353" s="1656">
        <v>0</v>
      </c>
      <c r="V353" s="1655" t="s">
        <v>42</v>
      </c>
      <c r="W353" s="1655" t="s">
        <v>571</v>
      </c>
    </row>
    <row r="354" spans="1:23">
      <c r="A354" s="1655" t="s">
        <v>70</v>
      </c>
      <c r="B354" s="1655" t="s">
        <v>1596</v>
      </c>
      <c r="C354" s="1656">
        <v>0</v>
      </c>
      <c r="D354" s="1655" t="s">
        <v>42</v>
      </c>
      <c r="E354" s="1655" t="s">
        <v>571</v>
      </c>
      <c r="G354" s="1655" t="s">
        <v>70</v>
      </c>
      <c r="H354" s="1655" t="s">
        <v>1596</v>
      </c>
      <c r="I354" s="1656">
        <v>0</v>
      </c>
      <c r="J354" s="1655" t="s">
        <v>42</v>
      </c>
      <c r="K354" s="1655" t="s">
        <v>571</v>
      </c>
      <c r="M354" s="1655" t="s">
        <v>70</v>
      </c>
      <c r="N354" s="1655" t="s">
        <v>1596</v>
      </c>
      <c r="O354" s="1656">
        <v>0</v>
      </c>
      <c r="P354" s="1655" t="s">
        <v>42</v>
      </c>
      <c r="Q354" s="1655" t="s">
        <v>571</v>
      </c>
      <c r="S354" s="1655" t="s">
        <v>70</v>
      </c>
      <c r="T354" s="1655" t="s">
        <v>1596</v>
      </c>
      <c r="U354" s="1656">
        <v>0</v>
      </c>
      <c r="V354" s="1655" t="s">
        <v>42</v>
      </c>
      <c r="W354" s="1655" t="s">
        <v>571</v>
      </c>
    </row>
    <row r="355" spans="1:23">
      <c r="A355" s="1655" t="s">
        <v>70</v>
      </c>
      <c r="B355" s="1655" t="s">
        <v>1597</v>
      </c>
      <c r="C355" s="1656">
        <v>0</v>
      </c>
      <c r="D355" s="1655" t="s">
        <v>42</v>
      </c>
      <c r="E355" s="1655" t="s">
        <v>571</v>
      </c>
      <c r="G355" s="1655" t="s">
        <v>70</v>
      </c>
      <c r="H355" s="1655" t="s">
        <v>1597</v>
      </c>
      <c r="I355" s="1656">
        <v>0</v>
      </c>
      <c r="J355" s="1655" t="s">
        <v>42</v>
      </c>
      <c r="K355" s="1655" t="s">
        <v>571</v>
      </c>
      <c r="M355" s="1655" t="s">
        <v>70</v>
      </c>
      <c r="N355" s="1655" t="s">
        <v>1597</v>
      </c>
      <c r="O355" s="1656">
        <v>0</v>
      </c>
      <c r="P355" s="1655" t="s">
        <v>42</v>
      </c>
      <c r="Q355" s="1655" t="s">
        <v>571</v>
      </c>
      <c r="S355" s="1655" t="s">
        <v>70</v>
      </c>
      <c r="T355" s="1655" t="s">
        <v>1597</v>
      </c>
      <c r="U355" s="1656">
        <v>0</v>
      </c>
      <c r="V355" s="1655" t="s">
        <v>42</v>
      </c>
      <c r="W355" s="1655" t="s">
        <v>571</v>
      </c>
    </row>
    <row r="356" spans="1:23">
      <c r="A356" s="1655" t="s">
        <v>70</v>
      </c>
      <c r="B356" s="1655" t="s">
        <v>1598</v>
      </c>
      <c r="C356" s="1656">
        <v>0</v>
      </c>
      <c r="D356" s="1655" t="s">
        <v>42</v>
      </c>
      <c r="E356" s="1655" t="s">
        <v>571</v>
      </c>
      <c r="G356" s="1655" t="s">
        <v>70</v>
      </c>
      <c r="H356" s="1655" t="s">
        <v>1598</v>
      </c>
      <c r="I356" s="1656">
        <v>0</v>
      </c>
      <c r="J356" s="1655" t="s">
        <v>42</v>
      </c>
      <c r="K356" s="1655" t="s">
        <v>571</v>
      </c>
      <c r="M356" s="1655" t="s">
        <v>70</v>
      </c>
      <c r="N356" s="1655" t="s">
        <v>1598</v>
      </c>
      <c r="O356" s="1656">
        <v>0</v>
      </c>
      <c r="P356" s="1655" t="s">
        <v>42</v>
      </c>
      <c r="Q356" s="1655" t="s">
        <v>571</v>
      </c>
      <c r="S356" s="1655" t="s">
        <v>70</v>
      </c>
      <c r="T356" s="1655" t="s">
        <v>1598</v>
      </c>
      <c r="U356" s="1656">
        <v>0</v>
      </c>
      <c r="V356" s="1655" t="s">
        <v>42</v>
      </c>
      <c r="W356" s="1655" t="s">
        <v>571</v>
      </c>
    </row>
    <row r="357" spans="1:23">
      <c r="A357" s="1655" t="s">
        <v>70</v>
      </c>
      <c r="B357" s="1655" t="s">
        <v>1599</v>
      </c>
      <c r="C357" s="1656">
        <v>0</v>
      </c>
      <c r="D357" s="1655" t="s">
        <v>42</v>
      </c>
      <c r="E357" s="1655" t="s">
        <v>571</v>
      </c>
      <c r="G357" s="1655" t="s">
        <v>70</v>
      </c>
      <c r="H357" s="1655" t="s">
        <v>1599</v>
      </c>
      <c r="I357" s="1656">
        <v>0</v>
      </c>
      <c r="J357" s="1655" t="s">
        <v>42</v>
      </c>
      <c r="K357" s="1655" t="s">
        <v>571</v>
      </c>
      <c r="M357" s="1655" t="s">
        <v>70</v>
      </c>
      <c r="N357" s="1655" t="s">
        <v>1599</v>
      </c>
      <c r="O357" s="1656">
        <v>0</v>
      </c>
      <c r="P357" s="1655" t="s">
        <v>42</v>
      </c>
      <c r="Q357" s="1655" t="s">
        <v>571</v>
      </c>
      <c r="S357" s="1655" t="s">
        <v>70</v>
      </c>
      <c r="T357" s="1655" t="s">
        <v>1599</v>
      </c>
      <c r="U357" s="1656">
        <v>0</v>
      </c>
      <c r="V357" s="1655" t="s">
        <v>42</v>
      </c>
      <c r="W357" s="1655" t="s">
        <v>571</v>
      </c>
    </row>
    <row r="358" spans="1:23">
      <c r="A358" s="1655" t="s">
        <v>70</v>
      </c>
      <c r="B358" s="1655" t="s">
        <v>1600</v>
      </c>
      <c r="C358" s="1656">
        <v>0</v>
      </c>
      <c r="D358" s="1655" t="s">
        <v>42</v>
      </c>
      <c r="E358" s="1655" t="s">
        <v>571</v>
      </c>
      <c r="G358" s="1655" t="s">
        <v>70</v>
      </c>
      <c r="H358" s="1655" t="s">
        <v>1600</v>
      </c>
      <c r="I358" s="1656">
        <v>0</v>
      </c>
      <c r="J358" s="1655" t="s">
        <v>42</v>
      </c>
      <c r="K358" s="1655" t="s">
        <v>571</v>
      </c>
      <c r="M358" s="1655" t="s">
        <v>70</v>
      </c>
      <c r="N358" s="1655" t="s">
        <v>1600</v>
      </c>
      <c r="O358" s="1656">
        <v>0</v>
      </c>
      <c r="P358" s="1655" t="s">
        <v>42</v>
      </c>
      <c r="Q358" s="1655" t="s">
        <v>571</v>
      </c>
      <c r="S358" s="1655" t="s">
        <v>70</v>
      </c>
      <c r="T358" s="1655" t="s">
        <v>1600</v>
      </c>
      <c r="U358" s="1656">
        <v>0</v>
      </c>
      <c r="V358" s="1655" t="s">
        <v>42</v>
      </c>
      <c r="W358" s="1655" t="s">
        <v>571</v>
      </c>
    </row>
    <row r="359" spans="1:23">
      <c r="A359" s="1655" t="s">
        <v>70</v>
      </c>
      <c r="B359" s="1655" t="s">
        <v>1601</v>
      </c>
      <c r="C359" s="1656">
        <v>0</v>
      </c>
      <c r="D359" s="1655" t="s">
        <v>42</v>
      </c>
      <c r="E359" s="1655" t="s">
        <v>571</v>
      </c>
      <c r="G359" s="1655" t="s">
        <v>70</v>
      </c>
      <c r="H359" s="1655" t="s">
        <v>1601</v>
      </c>
      <c r="I359" s="1656">
        <v>0</v>
      </c>
      <c r="J359" s="1655" t="s">
        <v>42</v>
      </c>
      <c r="K359" s="1655" t="s">
        <v>571</v>
      </c>
      <c r="M359" s="1655" t="s">
        <v>70</v>
      </c>
      <c r="N359" s="1655" t="s">
        <v>1601</v>
      </c>
      <c r="O359" s="1656">
        <v>0</v>
      </c>
      <c r="P359" s="1655" t="s">
        <v>42</v>
      </c>
      <c r="Q359" s="1655" t="s">
        <v>571</v>
      </c>
      <c r="S359" s="1655" t="s">
        <v>70</v>
      </c>
      <c r="T359" s="1655" t="s">
        <v>1601</v>
      </c>
      <c r="U359" s="1656">
        <v>0</v>
      </c>
      <c r="V359" s="1655" t="s">
        <v>42</v>
      </c>
      <c r="W359" s="1655" t="s">
        <v>571</v>
      </c>
    </row>
    <row r="360" spans="1:23">
      <c r="A360" s="1655" t="s">
        <v>70</v>
      </c>
      <c r="B360" s="1655" t="s">
        <v>1602</v>
      </c>
      <c r="C360" s="1656">
        <v>0</v>
      </c>
      <c r="D360" s="1655" t="s">
        <v>42</v>
      </c>
      <c r="E360" s="1655" t="s">
        <v>571</v>
      </c>
      <c r="G360" s="1655" t="s">
        <v>70</v>
      </c>
      <c r="H360" s="1655" t="s">
        <v>1602</v>
      </c>
      <c r="I360" s="1656">
        <v>0</v>
      </c>
      <c r="J360" s="1655" t="s">
        <v>42</v>
      </c>
      <c r="K360" s="1655" t="s">
        <v>571</v>
      </c>
      <c r="M360" s="1655" t="s">
        <v>70</v>
      </c>
      <c r="N360" s="1655" t="s">
        <v>1602</v>
      </c>
      <c r="O360" s="1656">
        <v>0</v>
      </c>
      <c r="P360" s="1655" t="s">
        <v>42</v>
      </c>
      <c r="Q360" s="1655" t="s">
        <v>571</v>
      </c>
      <c r="S360" s="1655" t="s">
        <v>70</v>
      </c>
      <c r="T360" s="1655" t="s">
        <v>1602</v>
      </c>
      <c r="U360" s="1656">
        <v>0</v>
      </c>
      <c r="V360" s="1655" t="s">
        <v>42</v>
      </c>
      <c r="W360" s="1655" t="s">
        <v>571</v>
      </c>
    </row>
    <row r="361" spans="1:23">
      <c r="A361" s="1655" t="s">
        <v>70</v>
      </c>
      <c r="B361" s="1655" t="s">
        <v>1603</v>
      </c>
      <c r="C361" s="1656">
        <v>0</v>
      </c>
      <c r="D361" s="1655" t="s">
        <v>42</v>
      </c>
      <c r="E361" s="1655" t="s">
        <v>571</v>
      </c>
      <c r="G361" s="1655" t="s">
        <v>70</v>
      </c>
      <c r="H361" s="1655" t="s">
        <v>1603</v>
      </c>
      <c r="I361" s="1656">
        <v>0</v>
      </c>
      <c r="J361" s="1655" t="s">
        <v>42</v>
      </c>
      <c r="K361" s="1655" t="s">
        <v>571</v>
      </c>
      <c r="M361" s="1655" t="s">
        <v>70</v>
      </c>
      <c r="N361" s="1655" t="s">
        <v>1603</v>
      </c>
      <c r="O361" s="1656">
        <v>0</v>
      </c>
      <c r="P361" s="1655" t="s">
        <v>42</v>
      </c>
      <c r="Q361" s="1655" t="s">
        <v>571</v>
      </c>
      <c r="S361" s="1655" t="s">
        <v>70</v>
      </c>
      <c r="T361" s="1655" t="s">
        <v>1603</v>
      </c>
      <c r="U361" s="1656">
        <v>0</v>
      </c>
      <c r="V361" s="1655" t="s">
        <v>42</v>
      </c>
      <c r="W361" s="1655" t="s">
        <v>571</v>
      </c>
    </row>
    <row r="362" spans="1:23">
      <c r="A362" s="1655" t="s">
        <v>70</v>
      </c>
      <c r="B362" s="1655" t="s">
        <v>1604</v>
      </c>
      <c r="C362" s="1656">
        <v>0</v>
      </c>
      <c r="D362" s="1655" t="s">
        <v>42</v>
      </c>
      <c r="E362" s="1655" t="s">
        <v>571</v>
      </c>
      <c r="G362" s="1655" t="s">
        <v>70</v>
      </c>
      <c r="H362" s="1655" t="s">
        <v>1604</v>
      </c>
      <c r="I362" s="1656">
        <v>0</v>
      </c>
      <c r="J362" s="1655" t="s">
        <v>42</v>
      </c>
      <c r="K362" s="1655" t="s">
        <v>571</v>
      </c>
      <c r="M362" s="1655" t="s">
        <v>70</v>
      </c>
      <c r="N362" s="1655" t="s">
        <v>1604</v>
      </c>
      <c r="O362" s="1656">
        <v>0</v>
      </c>
      <c r="P362" s="1655" t="s">
        <v>42</v>
      </c>
      <c r="Q362" s="1655" t="s">
        <v>571</v>
      </c>
      <c r="S362" s="1655" t="s">
        <v>70</v>
      </c>
      <c r="T362" s="1655" t="s">
        <v>1604</v>
      </c>
      <c r="U362" s="1656">
        <v>0</v>
      </c>
      <c r="V362" s="1655" t="s">
        <v>42</v>
      </c>
      <c r="W362" s="1655" t="s">
        <v>571</v>
      </c>
    </row>
    <row r="363" spans="1:23">
      <c r="A363" s="1655" t="s">
        <v>70</v>
      </c>
      <c r="B363" s="1655" t="s">
        <v>1605</v>
      </c>
      <c r="C363" s="1656">
        <v>0</v>
      </c>
      <c r="D363" s="1655" t="s">
        <v>42</v>
      </c>
      <c r="E363" s="1655" t="s">
        <v>571</v>
      </c>
      <c r="G363" s="1655" t="s">
        <v>70</v>
      </c>
      <c r="H363" s="1655" t="s">
        <v>1605</v>
      </c>
      <c r="I363" s="1656">
        <v>0</v>
      </c>
      <c r="J363" s="1655" t="s">
        <v>42</v>
      </c>
      <c r="K363" s="1655" t="s">
        <v>571</v>
      </c>
      <c r="M363" s="1655" t="s">
        <v>70</v>
      </c>
      <c r="N363" s="1655" t="s">
        <v>1605</v>
      </c>
      <c r="O363" s="1656">
        <v>0</v>
      </c>
      <c r="P363" s="1655" t="s">
        <v>42</v>
      </c>
      <c r="Q363" s="1655" t="s">
        <v>571</v>
      </c>
      <c r="S363" s="1655" t="s">
        <v>70</v>
      </c>
      <c r="T363" s="1655" t="s">
        <v>1605</v>
      </c>
      <c r="U363" s="1656">
        <v>0</v>
      </c>
      <c r="V363" s="1655" t="s">
        <v>42</v>
      </c>
      <c r="W363" s="1655" t="s">
        <v>571</v>
      </c>
    </row>
    <row r="364" spans="1:23">
      <c r="A364" s="1655" t="s">
        <v>70</v>
      </c>
      <c r="B364" s="1655" t="s">
        <v>1606</v>
      </c>
      <c r="C364" s="1656">
        <v>0</v>
      </c>
      <c r="D364" s="1655" t="s">
        <v>42</v>
      </c>
      <c r="E364" s="1655" t="s">
        <v>571</v>
      </c>
      <c r="G364" s="1655" t="s">
        <v>70</v>
      </c>
      <c r="H364" s="1655" t="s">
        <v>1606</v>
      </c>
      <c r="I364" s="1656">
        <v>0</v>
      </c>
      <c r="J364" s="1655" t="s">
        <v>42</v>
      </c>
      <c r="K364" s="1655" t="s">
        <v>571</v>
      </c>
      <c r="M364" s="1655" t="s">
        <v>70</v>
      </c>
      <c r="N364" s="1655" t="s">
        <v>1606</v>
      </c>
      <c r="O364" s="1656">
        <v>0</v>
      </c>
      <c r="P364" s="1655" t="s">
        <v>42</v>
      </c>
      <c r="Q364" s="1655" t="s">
        <v>571</v>
      </c>
      <c r="S364" s="1655" t="s">
        <v>70</v>
      </c>
      <c r="T364" s="1655" t="s">
        <v>1606</v>
      </c>
      <c r="U364" s="1656">
        <v>0</v>
      </c>
      <c r="V364" s="1655" t="s">
        <v>42</v>
      </c>
      <c r="W364" s="1655" t="s">
        <v>571</v>
      </c>
    </row>
    <row r="365" spans="1:23">
      <c r="A365" s="1655" t="s">
        <v>70</v>
      </c>
      <c r="B365" s="1655" t="s">
        <v>1607</v>
      </c>
      <c r="C365" s="1656">
        <v>0</v>
      </c>
      <c r="D365" s="1655" t="s">
        <v>42</v>
      </c>
      <c r="E365" s="1655" t="s">
        <v>571</v>
      </c>
      <c r="G365" s="1655" t="s">
        <v>70</v>
      </c>
      <c r="H365" s="1655" t="s">
        <v>1607</v>
      </c>
      <c r="I365" s="1656">
        <v>0</v>
      </c>
      <c r="J365" s="1655" t="s">
        <v>42</v>
      </c>
      <c r="K365" s="1655" t="s">
        <v>571</v>
      </c>
      <c r="M365" s="1655" t="s">
        <v>70</v>
      </c>
      <c r="N365" s="1655" t="s">
        <v>1607</v>
      </c>
      <c r="O365" s="1656">
        <v>0</v>
      </c>
      <c r="P365" s="1655" t="s">
        <v>42</v>
      </c>
      <c r="Q365" s="1655" t="s">
        <v>571</v>
      </c>
      <c r="S365" s="1655" t="s">
        <v>70</v>
      </c>
      <c r="T365" s="1655" t="s">
        <v>1607</v>
      </c>
      <c r="U365" s="1656">
        <v>0</v>
      </c>
      <c r="V365" s="1655" t="s">
        <v>42</v>
      </c>
      <c r="W365" s="1655" t="s">
        <v>571</v>
      </c>
    </row>
    <row r="366" spans="1:23">
      <c r="A366" s="1655" t="s">
        <v>70</v>
      </c>
      <c r="B366" s="1655" t="s">
        <v>1608</v>
      </c>
      <c r="C366" s="1656">
        <v>0</v>
      </c>
      <c r="D366" s="1655" t="s">
        <v>42</v>
      </c>
      <c r="E366" s="1655" t="s">
        <v>571</v>
      </c>
      <c r="G366" s="1655" t="s">
        <v>70</v>
      </c>
      <c r="H366" s="1655" t="s">
        <v>1608</v>
      </c>
      <c r="I366" s="1656">
        <v>0</v>
      </c>
      <c r="J366" s="1655" t="s">
        <v>42</v>
      </c>
      <c r="K366" s="1655" t="s">
        <v>571</v>
      </c>
      <c r="M366" s="1655" t="s">
        <v>70</v>
      </c>
      <c r="N366" s="1655" t="s">
        <v>1608</v>
      </c>
      <c r="O366" s="1656">
        <v>0</v>
      </c>
      <c r="P366" s="1655" t="s">
        <v>42</v>
      </c>
      <c r="Q366" s="1655" t="s">
        <v>571</v>
      </c>
      <c r="S366" s="1655" t="s">
        <v>70</v>
      </c>
      <c r="T366" s="1655" t="s">
        <v>1608</v>
      </c>
      <c r="U366" s="1656">
        <v>0</v>
      </c>
      <c r="V366" s="1655" t="s">
        <v>42</v>
      </c>
      <c r="W366" s="1655" t="s">
        <v>571</v>
      </c>
    </row>
    <row r="367" spans="1:23">
      <c r="A367" s="1655" t="s">
        <v>70</v>
      </c>
      <c r="B367" s="1655" t="s">
        <v>1609</v>
      </c>
      <c r="C367" s="1656">
        <v>0</v>
      </c>
      <c r="D367" s="1655" t="s">
        <v>42</v>
      </c>
      <c r="E367" s="1655" t="s">
        <v>571</v>
      </c>
      <c r="G367" s="1655" t="s">
        <v>70</v>
      </c>
      <c r="H367" s="1655" t="s">
        <v>1609</v>
      </c>
      <c r="I367" s="1656">
        <v>0</v>
      </c>
      <c r="J367" s="1655" t="s">
        <v>42</v>
      </c>
      <c r="K367" s="1655" t="s">
        <v>571</v>
      </c>
      <c r="M367" s="1655" t="s">
        <v>70</v>
      </c>
      <c r="N367" s="1655" t="s">
        <v>1609</v>
      </c>
      <c r="O367" s="1656">
        <v>0</v>
      </c>
      <c r="P367" s="1655" t="s">
        <v>42</v>
      </c>
      <c r="Q367" s="1655" t="s">
        <v>571</v>
      </c>
      <c r="S367" s="1655" t="s">
        <v>70</v>
      </c>
      <c r="T367" s="1655" t="s">
        <v>1609</v>
      </c>
      <c r="U367" s="1656">
        <v>0</v>
      </c>
      <c r="V367" s="1655" t="s">
        <v>42</v>
      </c>
      <c r="W367" s="1655" t="s">
        <v>571</v>
      </c>
    </row>
    <row r="368" spans="1:23">
      <c r="A368" s="1655" t="s">
        <v>70</v>
      </c>
      <c r="B368" s="1655" t="s">
        <v>1610</v>
      </c>
      <c r="C368" s="1656">
        <v>0</v>
      </c>
      <c r="D368" s="1655" t="s">
        <v>42</v>
      </c>
      <c r="E368" s="1655" t="s">
        <v>571</v>
      </c>
      <c r="G368" s="1655" t="s">
        <v>70</v>
      </c>
      <c r="H368" s="1655" t="s">
        <v>1610</v>
      </c>
      <c r="I368" s="1656">
        <v>0</v>
      </c>
      <c r="J368" s="1655" t="s">
        <v>42</v>
      </c>
      <c r="K368" s="1655" t="s">
        <v>571</v>
      </c>
      <c r="M368" s="1655" t="s">
        <v>70</v>
      </c>
      <c r="N368" s="1655" t="s">
        <v>1610</v>
      </c>
      <c r="O368" s="1656">
        <v>0</v>
      </c>
      <c r="P368" s="1655" t="s">
        <v>42</v>
      </c>
      <c r="Q368" s="1655" t="s">
        <v>571</v>
      </c>
      <c r="S368" s="1655" t="s">
        <v>70</v>
      </c>
      <c r="T368" s="1655" t="s">
        <v>1610</v>
      </c>
      <c r="U368" s="1656">
        <v>0</v>
      </c>
      <c r="V368" s="1655" t="s">
        <v>42</v>
      </c>
      <c r="W368" s="1655" t="s">
        <v>571</v>
      </c>
    </row>
    <row r="369" spans="1:23">
      <c r="A369" s="1655" t="s">
        <v>70</v>
      </c>
      <c r="B369" s="1655" t="s">
        <v>1611</v>
      </c>
      <c r="C369" s="1656">
        <v>0</v>
      </c>
      <c r="D369" s="1655" t="s">
        <v>42</v>
      </c>
      <c r="E369" s="1655" t="s">
        <v>571</v>
      </c>
      <c r="G369" s="1655" t="s">
        <v>70</v>
      </c>
      <c r="H369" s="1655" t="s">
        <v>1611</v>
      </c>
      <c r="I369" s="1656">
        <v>0</v>
      </c>
      <c r="J369" s="1655" t="s">
        <v>42</v>
      </c>
      <c r="K369" s="1655" t="s">
        <v>571</v>
      </c>
      <c r="M369" s="1655" t="s">
        <v>70</v>
      </c>
      <c r="N369" s="1655" t="s">
        <v>1611</v>
      </c>
      <c r="O369" s="1656">
        <v>0</v>
      </c>
      <c r="P369" s="1655" t="s">
        <v>42</v>
      </c>
      <c r="Q369" s="1655" t="s">
        <v>571</v>
      </c>
      <c r="S369" s="1655" t="s">
        <v>70</v>
      </c>
      <c r="T369" s="1655" t="s">
        <v>1611</v>
      </c>
      <c r="U369" s="1656">
        <v>0</v>
      </c>
      <c r="V369" s="1655" t="s">
        <v>42</v>
      </c>
      <c r="W369" s="1655" t="s">
        <v>571</v>
      </c>
    </row>
    <row r="370" spans="1:23">
      <c r="A370" s="1655" t="s">
        <v>70</v>
      </c>
      <c r="B370" s="1655" t="s">
        <v>1612</v>
      </c>
      <c r="C370" s="1656">
        <v>0</v>
      </c>
      <c r="D370" s="1655" t="s">
        <v>42</v>
      </c>
      <c r="E370" s="1655" t="s">
        <v>571</v>
      </c>
      <c r="G370" s="1655" t="s">
        <v>70</v>
      </c>
      <c r="H370" s="1655" t="s">
        <v>1612</v>
      </c>
      <c r="I370" s="1656">
        <v>0</v>
      </c>
      <c r="J370" s="1655" t="s">
        <v>42</v>
      </c>
      <c r="K370" s="1655" t="s">
        <v>571</v>
      </c>
      <c r="M370" s="1655" t="s">
        <v>70</v>
      </c>
      <c r="N370" s="1655" t="s">
        <v>1612</v>
      </c>
      <c r="O370" s="1656">
        <v>0</v>
      </c>
      <c r="P370" s="1655" t="s">
        <v>42</v>
      </c>
      <c r="Q370" s="1655" t="s">
        <v>571</v>
      </c>
      <c r="S370" s="1655" t="s">
        <v>70</v>
      </c>
      <c r="T370" s="1655" t="s">
        <v>1612</v>
      </c>
      <c r="U370" s="1656">
        <v>0</v>
      </c>
      <c r="V370" s="1655" t="s">
        <v>42</v>
      </c>
      <c r="W370" s="1655" t="s">
        <v>571</v>
      </c>
    </row>
    <row r="371" spans="1:23">
      <c r="A371" s="1655" t="s">
        <v>70</v>
      </c>
      <c r="B371" s="1655" t="s">
        <v>1613</v>
      </c>
      <c r="C371" s="1656">
        <v>0</v>
      </c>
      <c r="D371" s="1655" t="s">
        <v>42</v>
      </c>
      <c r="E371" s="1655" t="s">
        <v>571</v>
      </c>
      <c r="G371" s="1655" t="s">
        <v>70</v>
      </c>
      <c r="H371" s="1655" t="s">
        <v>1613</v>
      </c>
      <c r="I371" s="1656">
        <v>0</v>
      </c>
      <c r="J371" s="1655" t="s">
        <v>42</v>
      </c>
      <c r="K371" s="1655" t="s">
        <v>571</v>
      </c>
      <c r="M371" s="1655" t="s">
        <v>70</v>
      </c>
      <c r="N371" s="1655" t="s">
        <v>1613</v>
      </c>
      <c r="O371" s="1656">
        <v>0</v>
      </c>
      <c r="P371" s="1655" t="s">
        <v>42</v>
      </c>
      <c r="Q371" s="1655" t="s">
        <v>571</v>
      </c>
      <c r="S371" s="1655" t="s">
        <v>70</v>
      </c>
      <c r="T371" s="1655" t="s">
        <v>1613</v>
      </c>
      <c r="U371" s="1656">
        <v>0</v>
      </c>
      <c r="V371" s="1655" t="s">
        <v>42</v>
      </c>
      <c r="W371" s="1655" t="s">
        <v>571</v>
      </c>
    </row>
    <row r="372" spans="1:23">
      <c r="A372" s="1655" t="s">
        <v>70</v>
      </c>
      <c r="B372" s="1655" t="s">
        <v>1614</v>
      </c>
      <c r="C372" s="1656">
        <v>0</v>
      </c>
      <c r="D372" s="1655" t="s">
        <v>42</v>
      </c>
      <c r="E372" s="1655" t="s">
        <v>571</v>
      </c>
      <c r="G372" s="1655" t="s">
        <v>70</v>
      </c>
      <c r="H372" s="1655" t="s">
        <v>1614</v>
      </c>
      <c r="I372" s="1656">
        <v>0</v>
      </c>
      <c r="J372" s="1655" t="s">
        <v>42</v>
      </c>
      <c r="K372" s="1655" t="s">
        <v>571</v>
      </c>
      <c r="M372" s="1655" t="s">
        <v>70</v>
      </c>
      <c r="N372" s="1655" t="s">
        <v>1614</v>
      </c>
      <c r="O372" s="1656">
        <v>0</v>
      </c>
      <c r="P372" s="1655" t="s">
        <v>42</v>
      </c>
      <c r="Q372" s="1655" t="s">
        <v>571</v>
      </c>
      <c r="S372" s="1655" t="s">
        <v>70</v>
      </c>
      <c r="T372" s="1655" t="s">
        <v>1614</v>
      </c>
      <c r="U372" s="1656">
        <v>0</v>
      </c>
      <c r="V372" s="1655" t="s">
        <v>42</v>
      </c>
      <c r="W372" s="1655" t="s">
        <v>571</v>
      </c>
    </row>
    <row r="373" spans="1:23">
      <c r="A373" s="1655" t="s">
        <v>70</v>
      </c>
      <c r="B373" s="1655" t="s">
        <v>1615</v>
      </c>
      <c r="C373" s="1656">
        <v>0</v>
      </c>
      <c r="D373" s="1655" t="s">
        <v>42</v>
      </c>
      <c r="E373" s="1655" t="s">
        <v>571</v>
      </c>
      <c r="G373" s="1655" t="s">
        <v>70</v>
      </c>
      <c r="H373" s="1655" t="s">
        <v>1615</v>
      </c>
      <c r="I373" s="1656">
        <v>0</v>
      </c>
      <c r="J373" s="1655" t="s">
        <v>42</v>
      </c>
      <c r="K373" s="1655" t="s">
        <v>571</v>
      </c>
      <c r="M373" s="1655" t="s">
        <v>70</v>
      </c>
      <c r="N373" s="1655" t="s">
        <v>1615</v>
      </c>
      <c r="O373" s="1656">
        <v>0</v>
      </c>
      <c r="P373" s="1655" t="s">
        <v>42</v>
      </c>
      <c r="Q373" s="1655" t="s">
        <v>571</v>
      </c>
      <c r="S373" s="1655" t="s">
        <v>70</v>
      </c>
      <c r="T373" s="1655" t="s">
        <v>1615</v>
      </c>
      <c r="U373" s="1656">
        <v>0</v>
      </c>
      <c r="V373" s="1655" t="s">
        <v>42</v>
      </c>
      <c r="W373" s="1655" t="s">
        <v>571</v>
      </c>
    </row>
    <row r="374" spans="1:23">
      <c r="A374" s="1655" t="s">
        <v>70</v>
      </c>
      <c r="B374" s="1655" t="s">
        <v>1616</v>
      </c>
      <c r="C374" s="1656">
        <v>0</v>
      </c>
      <c r="D374" s="1655" t="s">
        <v>42</v>
      </c>
      <c r="E374" s="1655" t="s">
        <v>571</v>
      </c>
      <c r="G374" s="1655" t="s">
        <v>70</v>
      </c>
      <c r="H374" s="1655" t="s">
        <v>1616</v>
      </c>
      <c r="I374" s="1656">
        <v>0</v>
      </c>
      <c r="J374" s="1655" t="s">
        <v>42</v>
      </c>
      <c r="K374" s="1655" t="s">
        <v>571</v>
      </c>
      <c r="M374" s="1655" t="s">
        <v>70</v>
      </c>
      <c r="N374" s="1655" t="s">
        <v>1616</v>
      </c>
      <c r="O374" s="1656">
        <v>0</v>
      </c>
      <c r="P374" s="1655" t="s">
        <v>42</v>
      </c>
      <c r="Q374" s="1655" t="s">
        <v>571</v>
      </c>
      <c r="S374" s="1655" t="s">
        <v>70</v>
      </c>
      <c r="T374" s="1655" t="s">
        <v>1616</v>
      </c>
      <c r="U374" s="1656">
        <v>0</v>
      </c>
      <c r="V374" s="1655" t="s">
        <v>42</v>
      </c>
      <c r="W374" s="1655" t="s">
        <v>571</v>
      </c>
    </row>
    <row r="375" spans="1:23">
      <c r="A375" s="1655" t="s">
        <v>70</v>
      </c>
      <c r="B375" s="1655" t="s">
        <v>1617</v>
      </c>
      <c r="C375" s="1656">
        <v>0</v>
      </c>
      <c r="D375" s="1655" t="s">
        <v>42</v>
      </c>
      <c r="E375" s="1655" t="s">
        <v>571</v>
      </c>
      <c r="G375" s="1655" t="s">
        <v>70</v>
      </c>
      <c r="H375" s="1655" t="s">
        <v>1617</v>
      </c>
      <c r="I375" s="1656">
        <v>0</v>
      </c>
      <c r="J375" s="1655" t="s">
        <v>42</v>
      </c>
      <c r="K375" s="1655" t="s">
        <v>571</v>
      </c>
      <c r="M375" s="1655" t="s">
        <v>70</v>
      </c>
      <c r="N375" s="1655" t="s">
        <v>1617</v>
      </c>
      <c r="O375" s="1656">
        <v>0</v>
      </c>
      <c r="P375" s="1655" t="s">
        <v>42</v>
      </c>
      <c r="Q375" s="1655" t="s">
        <v>571</v>
      </c>
      <c r="S375" s="1655" t="s">
        <v>70</v>
      </c>
      <c r="T375" s="1655" t="s">
        <v>1617</v>
      </c>
      <c r="U375" s="1656">
        <v>0</v>
      </c>
      <c r="V375" s="1655" t="s">
        <v>42</v>
      </c>
      <c r="W375" s="1655" t="s">
        <v>571</v>
      </c>
    </row>
    <row r="376" spans="1:23">
      <c r="A376" s="1655" t="s">
        <v>70</v>
      </c>
      <c r="B376" s="1655" t="s">
        <v>1618</v>
      </c>
      <c r="C376" s="1656">
        <v>0</v>
      </c>
      <c r="D376" s="1655" t="s">
        <v>42</v>
      </c>
      <c r="E376" s="1655" t="s">
        <v>571</v>
      </c>
      <c r="G376" s="1655" t="s">
        <v>70</v>
      </c>
      <c r="H376" s="1655" t="s">
        <v>1618</v>
      </c>
      <c r="I376" s="1656">
        <v>0</v>
      </c>
      <c r="J376" s="1655" t="s">
        <v>42</v>
      </c>
      <c r="K376" s="1655" t="s">
        <v>571</v>
      </c>
      <c r="M376" s="1655" t="s">
        <v>70</v>
      </c>
      <c r="N376" s="1655" t="s">
        <v>1618</v>
      </c>
      <c r="O376" s="1656">
        <v>0</v>
      </c>
      <c r="P376" s="1655" t="s">
        <v>42</v>
      </c>
      <c r="Q376" s="1655" t="s">
        <v>571</v>
      </c>
      <c r="S376" s="1655" t="s">
        <v>70</v>
      </c>
      <c r="T376" s="1655" t="s">
        <v>1618</v>
      </c>
      <c r="U376" s="1656">
        <v>0</v>
      </c>
      <c r="V376" s="1655" t="s">
        <v>42</v>
      </c>
      <c r="W376" s="1655" t="s">
        <v>571</v>
      </c>
    </row>
    <row r="377" spans="1:23">
      <c r="A377" s="1655" t="s">
        <v>70</v>
      </c>
      <c r="B377" s="1655" t="s">
        <v>1619</v>
      </c>
      <c r="C377" s="1656">
        <v>0</v>
      </c>
      <c r="D377" s="1655" t="s">
        <v>42</v>
      </c>
      <c r="E377" s="1655" t="s">
        <v>571</v>
      </c>
      <c r="G377" s="1655" t="s">
        <v>70</v>
      </c>
      <c r="H377" s="1655" t="s">
        <v>1619</v>
      </c>
      <c r="I377" s="1656">
        <v>0</v>
      </c>
      <c r="J377" s="1655" t="s">
        <v>42</v>
      </c>
      <c r="K377" s="1655" t="s">
        <v>571</v>
      </c>
      <c r="M377" s="1655" t="s">
        <v>70</v>
      </c>
      <c r="N377" s="1655" t="s">
        <v>1619</v>
      </c>
      <c r="O377" s="1656">
        <v>0</v>
      </c>
      <c r="P377" s="1655" t="s">
        <v>42</v>
      </c>
      <c r="Q377" s="1655" t="s">
        <v>571</v>
      </c>
      <c r="S377" s="1655" t="s">
        <v>70</v>
      </c>
      <c r="T377" s="1655" t="s">
        <v>1619</v>
      </c>
      <c r="U377" s="1656">
        <v>0</v>
      </c>
      <c r="V377" s="1655" t="s">
        <v>42</v>
      </c>
      <c r="W377" s="1655" t="s">
        <v>571</v>
      </c>
    </row>
    <row r="378" spans="1:23">
      <c r="A378" s="1655" t="s">
        <v>70</v>
      </c>
      <c r="B378" s="1655" t="s">
        <v>1620</v>
      </c>
      <c r="C378" s="1656">
        <v>0</v>
      </c>
      <c r="D378" s="1655" t="s">
        <v>42</v>
      </c>
      <c r="E378" s="1655" t="s">
        <v>571</v>
      </c>
      <c r="G378" s="1655" t="s">
        <v>70</v>
      </c>
      <c r="H378" s="1655" t="s">
        <v>1620</v>
      </c>
      <c r="I378" s="1656">
        <v>0</v>
      </c>
      <c r="J378" s="1655" t="s">
        <v>42</v>
      </c>
      <c r="K378" s="1655" t="s">
        <v>571</v>
      </c>
      <c r="M378" s="1655" t="s">
        <v>70</v>
      </c>
      <c r="N378" s="1655" t="s">
        <v>1620</v>
      </c>
      <c r="O378" s="1656">
        <v>0</v>
      </c>
      <c r="P378" s="1655" t="s">
        <v>42</v>
      </c>
      <c r="Q378" s="1655" t="s">
        <v>571</v>
      </c>
      <c r="S378" s="1655" t="s">
        <v>70</v>
      </c>
      <c r="T378" s="1655" t="s">
        <v>1620</v>
      </c>
      <c r="U378" s="1656">
        <v>0</v>
      </c>
      <c r="V378" s="1655" t="s">
        <v>42</v>
      </c>
      <c r="W378" s="1655" t="s">
        <v>571</v>
      </c>
    </row>
    <row r="379" spans="1:23">
      <c r="A379" s="1655" t="s">
        <v>70</v>
      </c>
      <c r="B379" s="1655" t="s">
        <v>1621</v>
      </c>
      <c r="C379" s="1656">
        <v>0</v>
      </c>
      <c r="D379" s="1655" t="s">
        <v>42</v>
      </c>
      <c r="E379" s="1655" t="s">
        <v>571</v>
      </c>
      <c r="G379" s="1655" t="s">
        <v>70</v>
      </c>
      <c r="H379" s="1655" t="s">
        <v>1621</v>
      </c>
      <c r="I379" s="1656">
        <v>0</v>
      </c>
      <c r="J379" s="1655" t="s">
        <v>42</v>
      </c>
      <c r="K379" s="1655" t="s">
        <v>571</v>
      </c>
      <c r="M379" s="1655" t="s">
        <v>70</v>
      </c>
      <c r="N379" s="1655" t="s">
        <v>1621</v>
      </c>
      <c r="O379" s="1656">
        <v>0</v>
      </c>
      <c r="P379" s="1655" t="s">
        <v>42</v>
      </c>
      <c r="Q379" s="1655" t="s">
        <v>571</v>
      </c>
      <c r="S379" s="1655" t="s">
        <v>70</v>
      </c>
      <c r="T379" s="1655" t="s">
        <v>1621</v>
      </c>
      <c r="U379" s="1656">
        <v>0</v>
      </c>
      <c r="V379" s="1655" t="s">
        <v>42</v>
      </c>
      <c r="W379" s="1655" t="s">
        <v>571</v>
      </c>
    </row>
    <row r="380" spans="1:23">
      <c r="A380" s="1655" t="s">
        <v>70</v>
      </c>
      <c r="B380" s="1655" t="s">
        <v>1622</v>
      </c>
      <c r="C380" s="1656">
        <v>0</v>
      </c>
      <c r="D380" s="1655" t="s">
        <v>42</v>
      </c>
      <c r="E380" s="1655" t="s">
        <v>571</v>
      </c>
      <c r="G380" s="1655" t="s">
        <v>70</v>
      </c>
      <c r="H380" s="1655" t="s">
        <v>1622</v>
      </c>
      <c r="I380" s="1656">
        <v>0</v>
      </c>
      <c r="J380" s="1655" t="s">
        <v>42</v>
      </c>
      <c r="K380" s="1655" t="s">
        <v>571</v>
      </c>
      <c r="M380" s="1655" t="s">
        <v>70</v>
      </c>
      <c r="N380" s="1655" t="s">
        <v>1622</v>
      </c>
      <c r="O380" s="1656">
        <v>0</v>
      </c>
      <c r="P380" s="1655" t="s">
        <v>42</v>
      </c>
      <c r="Q380" s="1655" t="s">
        <v>571</v>
      </c>
      <c r="S380" s="1655" t="s">
        <v>70</v>
      </c>
      <c r="T380" s="1655" t="s">
        <v>1622</v>
      </c>
      <c r="U380" s="1656">
        <v>0</v>
      </c>
      <c r="V380" s="1655" t="s">
        <v>42</v>
      </c>
      <c r="W380" s="1655" t="s">
        <v>571</v>
      </c>
    </row>
    <row r="381" spans="1:23">
      <c r="A381" s="1655" t="s">
        <v>70</v>
      </c>
      <c r="B381" s="1655" t="s">
        <v>1623</v>
      </c>
      <c r="C381" s="1656">
        <v>0</v>
      </c>
      <c r="D381" s="1655" t="s">
        <v>42</v>
      </c>
      <c r="E381" s="1655" t="s">
        <v>571</v>
      </c>
      <c r="G381" s="1655" t="s">
        <v>70</v>
      </c>
      <c r="H381" s="1655" t="s">
        <v>1623</v>
      </c>
      <c r="I381" s="1656">
        <v>0</v>
      </c>
      <c r="J381" s="1655" t="s">
        <v>42</v>
      </c>
      <c r="K381" s="1655" t="s">
        <v>571</v>
      </c>
      <c r="M381" s="1655" t="s">
        <v>70</v>
      </c>
      <c r="N381" s="1655" t="s">
        <v>1623</v>
      </c>
      <c r="O381" s="1656">
        <v>0</v>
      </c>
      <c r="P381" s="1655" t="s">
        <v>42</v>
      </c>
      <c r="Q381" s="1655" t="s">
        <v>571</v>
      </c>
      <c r="S381" s="1655" t="s">
        <v>70</v>
      </c>
      <c r="T381" s="1655" t="s">
        <v>1623</v>
      </c>
      <c r="U381" s="1656">
        <v>0</v>
      </c>
      <c r="V381" s="1655" t="s">
        <v>42</v>
      </c>
      <c r="W381" s="1655" t="s">
        <v>571</v>
      </c>
    </row>
    <row r="382" spans="1:23">
      <c r="A382" s="1655" t="s">
        <v>70</v>
      </c>
      <c r="B382" s="1655" t="s">
        <v>1624</v>
      </c>
      <c r="C382" s="1656">
        <v>0</v>
      </c>
      <c r="D382" s="1655" t="s">
        <v>42</v>
      </c>
      <c r="E382" s="1655" t="s">
        <v>571</v>
      </c>
      <c r="G382" s="1655" t="s">
        <v>70</v>
      </c>
      <c r="H382" s="1655" t="s">
        <v>1624</v>
      </c>
      <c r="I382" s="1656">
        <v>0</v>
      </c>
      <c r="J382" s="1655" t="s">
        <v>42</v>
      </c>
      <c r="K382" s="1655" t="s">
        <v>571</v>
      </c>
      <c r="M382" s="1655" t="s">
        <v>70</v>
      </c>
      <c r="N382" s="1655" t="s">
        <v>1624</v>
      </c>
      <c r="O382" s="1656">
        <v>0</v>
      </c>
      <c r="P382" s="1655" t="s">
        <v>42</v>
      </c>
      <c r="Q382" s="1655" t="s">
        <v>571</v>
      </c>
      <c r="S382" s="1655" t="s">
        <v>70</v>
      </c>
      <c r="T382" s="1655" t="s">
        <v>1624</v>
      </c>
      <c r="U382" s="1656">
        <v>0</v>
      </c>
      <c r="V382" s="1655" t="s">
        <v>42</v>
      </c>
      <c r="W382" s="1655" t="s">
        <v>571</v>
      </c>
    </row>
    <row r="383" spans="1:23">
      <c r="A383" s="1655" t="s">
        <v>70</v>
      </c>
      <c r="B383" s="1655" t="s">
        <v>1625</v>
      </c>
      <c r="C383" s="1656">
        <v>0</v>
      </c>
      <c r="D383" s="1655" t="s">
        <v>42</v>
      </c>
      <c r="E383" s="1655" t="s">
        <v>571</v>
      </c>
      <c r="G383" s="1655" t="s">
        <v>70</v>
      </c>
      <c r="H383" s="1655" t="s">
        <v>1625</v>
      </c>
      <c r="I383" s="1656">
        <v>0</v>
      </c>
      <c r="J383" s="1655" t="s">
        <v>42</v>
      </c>
      <c r="K383" s="1655" t="s">
        <v>571</v>
      </c>
      <c r="M383" s="1655" t="s">
        <v>70</v>
      </c>
      <c r="N383" s="1655" t="s">
        <v>1625</v>
      </c>
      <c r="O383" s="1656">
        <v>0</v>
      </c>
      <c r="P383" s="1655" t="s">
        <v>42</v>
      </c>
      <c r="Q383" s="1655" t="s">
        <v>571</v>
      </c>
      <c r="S383" s="1655" t="s">
        <v>70</v>
      </c>
      <c r="T383" s="1655" t="s">
        <v>1625</v>
      </c>
      <c r="U383" s="1656">
        <v>0</v>
      </c>
      <c r="V383" s="1655" t="s">
        <v>42</v>
      </c>
      <c r="W383" s="1655" t="s">
        <v>571</v>
      </c>
    </row>
    <row r="384" spans="1:23">
      <c r="A384" s="1655" t="s">
        <v>70</v>
      </c>
      <c r="B384" s="1655" t="s">
        <v>1626</v>
      </c>
      <c r="C384" s="1656">
        <v>0</v>
      </c>
      <c r="D384" s="1655" t="s">
        <v>42</v>
      </c>
      <c r="E384" s="1655" t="s">
        <v>571</v>
      </c>
      <c r="G384" s="1655" t="s">
        <v>70</v>
      </c>
      <c r="H384" s="1655" t="s">
        <v>1626</v>
      </c>
      <c r="I384" s="1656">
        <v>0</v>
      </c>
      <c r="J384" s="1655" t="s">
        <v>42</v>
      </c>
      <c r="K384" s="1655" t="s">
        <v>571</v>
      </c>
      <c r="M384" s="1655" t="s">
        <v>70</v>
      </c>
      <c r="N384" s="1655" t="s">
        <v>1626</v>
      </c>
      <c r="O384" s="1656">
        <v>0</v>
      </c>
      <c r="P384" s="1655" t="s">
        <v>42</v>
      </c>
      <c r="Q384" s="1655" t="s">
        <v>571</v>
      </c>
      <c r="S384" s="1655" t="s">
        <v>70</v>
      </c>
      <c r="T384" s="1655" t="s">
        <v>1626</v>
      </c>
      <c r="U384" s="1656">
        <v>0</v>
      </c>
      <c r="V384" s="1655" t="s">
        <v>42</v>
      </c>
      <c r="W384" s="1655" t="s">
        <v>571</v>
      </c>
    </row>
    <row r="385" spans="1:23">
      <c r="A385" s="1655" t="s">
        <v>70</v>
      </c>
      <c r="B385" s="1655" t="s">
        <v>1627</v>
      </c>
      <c r="C385" s="1656">
        <v>0</v>
      </c>
      <c r="D385" s="1655" t="s">
        <v>42</v>
      </c>
      <c r="E385" s="1655" t="s">
        <v>571</v>
      </c>
      <c r="G385" s="1655" t="s">
        <v>70</v>
      </c>
      <c r="H385" s="1655" t="s">
        <v>1627</v>
      </c>
      <c r="I385" s="1655">
        <v>0</v>
      </c>
      <c r="J385" s="1655" t="s">
        <v>42</v>
      </c>
      <c r="K385" s="1655" t="s">
        <v>571</v>
      </c>
      <c r="M385" s="1655" t="s">
        <v>70</v>
      </c>
      <c r="N385" s="1655" t="s">
        <v>1627</v>
      </c>
      <c r="O385" s="1655">
        <v>0</v>
      </c>
      <c r="P385" s="1655" t="s">
        <v>42</v>
      </c>
      <c r="Q385" s="1655" t="s">
        <v>571</v>
      </c>
      <c r="S385" s="1655" t="s">
        <v>70</v>
      </c>
      <c r="T385" s="1655" t="s">
        <v>1627</v>
      </c>
      <c r="U385" s="1656">
        <v>0</v>
      </c>
      <c r="V385" s="1655" t="s">
        <v>42</v>
      </c>
      <c r="W385" s="1655" t="s">
        <v>571</v>
      </c>
    </row>
    <row r="386" spans="1:23">
      <c r="A386" s="1655" t="s">
        <v>70</v>
      </c>
      <c r="B386" s="1655" t="s">
        <v>1628</v>
      </c>
      <c r="C386" s="1656">
        <v>0</v>
      </c>
      <c r="D386" s="1655" t="s">
        <v>42</v>
      </c>
      <c r="E386" s="1655" t="s">
        <v>571</v>
      </c>
      <c r="G386" s="1655" t="s">
        <v>70</v>
      </c>
      <c r="H386" s="1655" t="s">
        <v>1628</v>
      </c>
      <c r="I386" s="1655">
        <v>0</v>
      </c>
      <c r="J386" s="1655" t="s">
        <v>42</v>
      </c>
      <c r="K386" s="1655" t="s">
        <v>571</v>
      </c>
      <c r="M386" s="1655" t="s">
        <v>70</v>
      </c>
      <c r="N386" s="1655" t="s">
        <v>1628</v>
      </c>
      <c r="O386" s="1655">
        <v>0</v>
      </c>
      <c r="P386" s="1655" t="s">
        <v>42</v>
      </c>
      <c r="Q386" s="1655" t="s">
        <v>571</v>
      </c>
      <c r="S386" s="1655" t="s">
        <v>70</v>
      </c>
      <c r="T386" s="1655" t="s">
        <v>1628</v>
      </c>
      <c r="U386" s="1656">
        <v>0</v>
      </c>
      <c r="V386" s="1655" t="s">
        <v>42</v>
      </c>
      <c r="W386" s="1655" t="s">
        <v>571</v>
      </c>
    </row>
    <row r="387" spans="1:23">
      <c r="A387" s="1655" t="s">
        <v>70</v>
      </c>
      <c r="B387" s="1655" t="s">
        <v>1629</v>
      </c>
      <c r="C387" s="1656">
        <v>0</v>
      </c>
      <c r="D387" s="1655" t="s">
        <v>42</v>
      </c>
      <c r="E387" s="1655" t="s">
        <v>571</v>
      </c>
      <c r="G387" s="1655" t="s">
        <v>70</v>
      </c>
      <c r="H387" s="1655" t="s">
        <v>1629</v>
      </c>
      <c r="I387" s="1655">
        <v>0</v>
      </c>
      <c r="J387" s="1655" t="s">
        <v>42</v>
      </c>
      <c r="K387" s="1655" t="s">
        <v>571</v>
      </c>
      <c r="M387" s="1655" t="s">
        <v>70</v>
      </c>
      <c r="N387" s="1655" t="s">
        <v>1629</v>
      </c>
      <c r="O387" s="1655">
        <v>0</v>
      </c>
      <c r="P387" s="1655" t="s">
        <v>42</v>
      </c>
      <c r="Q387" s="1655" t="s">
        <v>571</v>
      </c>
      <c r="S387" s="1655" t="s">
        <v>70</v>
      </c>
      <c r="T387" s="1655" t="s">
        <v>1629</v>
      </c>
      <c r="U387" s="1656">
        <v>0</v>
      </c>
      <c r="V387" s="1655" t="s">
        <v>42</v>
      </c>
      <c r="W387" s="1655" t="s">
        <v>571</v>
      </c>
    </row>
    <row r="388" spans="1:23">
      <c r="A388" s="1655" t="s">
        <v>70</v>
      </c>
      <c r="B388" s="1655" t="s">
        <v>1630</v>
      </c>
      <c r="C388" s="1656">
        <v>0</v>
      </c>
      <c r="D388" s="1655" t="s">
        <v>42</v>
      </c>
      <c r="E388" s="1655" t="s">
        <v>571</v>
      </c>
      <c r="G388" s="1655" t="s">
        <v>70</v>
      </c>
      <c r="H388" s="1655" t="s">
        <v>1630</v>
      </c>
      <c r="I388" s="1655">
        <v>0</v>
      </c>
      <c r="J388" s="1655" t="s">
        <v>42</v>
      </c>
      <c r="K388" s="1655" t="s">
        <v>571</v>
      </c>
      <c r="M388" s="1655" t="s">
        <v>70</v>
      </c>
      <c r="N388" s="1655" t="s">
        <v>1630</v>
      </c>
      <c r="O388" s="1655">
        <v>0</v>
      </c>
      <c r="P388" s="1655" t="s">
        <v>42</v>
      </c>
      <c r="Q388" s="1655" t="s">
        <v>571</v>
      </c>
      <c r="S388" s="1655" t="s">
        <v>70</v>
      </c>
      <c r="T388" s="1655" t="s">
        <v>1630</v>
      </c>
      <c r="U388" s="1656">
        <v>0</v>
      </c>
      <c r="V388" s="1655" t="s">
        <v>42</v>
      </c>
      <c r="W388" s="1655" t="s">
        <v>571</v>
      </c>
    </row>
    <row r="389" spans="1:23">
      <c r="A389" s="1655" t="s">
        <v>70</v>
      </c>
      <c r="B389" s="1655" t="s">
        <v>1631</v>
      </c>
      <c r="C389" s="1656">
        <v>0</v>
      </c>
      <c r="D389" s="1655" t="s">
        <v>42</v>
      </c>
      <c r="E389" s="1655" t="s">
        <v>571</v>
      </c>
      <c r="G389" s="1655" t="s">
        <v>70</v>
      </c>
      <c r="H389" s="1655" t="s">
        <v>1631</v>
      </c>
      <c r="I389" s="1655">
        <v>0</v>
      </c>
      <c r="J389" s="1655" t="s">
        <v>42</v>
      </c>
      <c r="K389" s="1655" t="s">
        <v>571</v>
      </c>
      <c r="M389" s="1655" t="s">
        <v>70</v>
      </c>
      <c r="N389" s="1655" t="s">
        <v>1631</v>
      </c>
      <c r="O389" s="1655">
        <v>0</v>
      </c>
      <c r="P389" s="1655" t="s">
        <v>42</v>
      </c>
      <c r="Q389" s="1655" t="s">
        <v>571</v>
      </c>
      <c r="S389" s="1655" t="s">
        <v>70</v>
      </c>
      <c r="T389" s="1655" t="s">
        <v>1631</v>
      </c>
      <c r="U389" s="1656">
        <v>0</v>
      </c>
      <c r="V389" s="1655" t="s">
        <v>42</v>
      </c>
      <c r="W389" s="1655" t="s">
        <v>571</v>
      </c>
    </row>
    <row r="390" spans="1:23">
      <c r="A390" s="1655" t="s">
        <v>70</v>
      </c>
      <c r="B390" s="1655" t="s">
        <v>1632</v>
      </c>
      <c r="C390" s="1656">
        <v>0</v>
      </c>
      <c r="D390" s="1655" t="s">
        <v>42</v>
      </c>
      <c r="E390" s="1655" t="s">
        <v>571</v>
      </c>
      <c r="G390" s="1655" t="s">
        <v>70</v>
      </c>
      <c r="H390" s="1655" t="s">
        <v>1632</v>
      </c>
      <c r="I390" s="1655">
        <v>0</v>
      </c>
      <c r="J390" s="1655" t="s">
        <v>42</v>
      </c>
      <c r="K390" s="1655" t="s">
        <v>571</v>
      </c>
      <c r="M390" s="1655" t="s">
        <v>70</v>
      </c>
      <c r="N390" s="1655" t="s">
        <v>1632</v>
      </c>
      <c r="O390" s="1655">
        <v>0</v>
      </c>
      <c r="P390" s="1655" t="s">
        <v>42</v>
      </c>
      <c r="Q390" s="1655" t="s">
        <v>571</v>
      </c>
      <c r="S390" s="1655" t="s">
        <v>70</v>
      </c>
      <c r="T390" s="1655" t="s">
        <v>1632</v>
      </c>
      <c r="U390" s="1656">
        <v>0</v>
      </c>
      <c r="V390" s="1655" t="s">
        <v>42</v>
      </c>
      <c r="W390" s="1655" t="s">
        <v>571</v>
      </c>
    </row>
    <row r="391" spans="1:23">
      <c r="A391" s="1655" t="s">
        <v>70</v>
      </c>
      <c r="B391" s="1655" t="s">
        <v>1633</v>
      </c>
      <c r="C391" s="1656">
        <v>0</v>
      </c>
      <c r="D391" s="1655" t="s">
        <v>42</v>
      </c>
      <c r="E391" s="1655" t="s">
        <v>571</v>
      </c>
      <c r="G391" s="1655" t="s">
        <v>70</v>
      </c>
      <c r="H391" s="1655" t="s">
        <v>1633</v>
      </c>
      <c r="I391" s="1655">
        <v>0</v>
      </c>
      <c r="J391" s="1655" t="s">
        <v>42</v>
      </c>
      <c r="K391" s="1655" t="s">
        <v>571</v>
      </c>
      <c r="M391" s="1655" t="s">
        <v>70</v>
      </c>
      <c r="N391" s="1655" t="s">
        <v>1633</v>
      </c>
      <c r="O391" s="1655">
        <v>0</v>
      </c>
      <c r="P391" s="1655" t="s">
        <v>42</v>
      </c>
      <c r="Q391" s="1655" t="s">
        <v>571</v>
      </c>
      <c r="S391" s="1655" t="s">
        <v>70</v>
      </c>
      <c r="T391" s="1655" t="s">
        <v>1633</v>
      </c>
      <c r="U391" s="1656">
        <v>0</v>
      </c>
      <c r="V391" s="1655" t="s">
        <v>42</v>
      </c>
      <c r="W391" s="1655" t="s">
        <v>571</v>
      </c>
    </row>
    <row r="392" spans="1:23">
      <c r="A392" s="1655" t="s">
        <v>70</v>
      </c>
      <c r="B392" s="1655" t="s">
        <v>1634</v>
      </c>
      <c r="C392" s="1656">
        <v>0</v>
      </c>
      <c r="D392" s="1655" t="s">
        <v>42</v>
      </c>
      <c r="E392" s="1655" t="s">
        <v>571</v>
      </c>
      <c r="G392" s="1655" t="s">
        <v>70</v>
      </c>
      <c r="H392" s="1655" t="s">
        <v>1634</v>
      </c>
      <c r="I392" s="1655">
        <v>0</v>
      </c>
      <c r="J392" s="1655" t="s">
        <v>42</v>
      </c>
      <c r="K392" s="1655" t="s">
        <v>571</v>
      </c>
      <c r="M392" s="1655" t="s">
        <v>70</v>
      </c>
      <c r="N392" s="1655" t="s">
        <v>1634</v>
      </c>
      <c r="O392" s="1655">
        <v>0</v>
      </c>
      <c r="P392" s="1655" t="s">
        <v>42</v>
      </c>
      <c r="Q392" s="1655" t="s">
        <v>571</v>
      </c>
      <c r="S392" s="1655" t="s">
        <v>70</v>
      </c>
      <c r="T392" s="1655" t="s">
        <v>1634</v>
      </c>
      <c r="U392" s="1656">
        <v>0</v>
      </c>
      <c r="V392" s="1655" t="s">
        <v>42</v>
      </c>
      <c r="W392" s="1655" t="s">
        <v>571</v>
      </c>
    </row>
    <row r="393" spans="1:23">
      <c r="A393" s="1655" t="s">
        <v>70</v>
      </c>
      <c r="B393" s="1655" t="s">
        <v>1635</v>
      </c>
      <c r="C393" s="1656">
        <v>0</v>
      </c>
      <c r="D393" s="1655" t="s">
        <v>42</v>
      </c>
      <c r="E393" s="1655" t="s">
        <v>571</v>
      </c>
      <c r="G393" s="1655" t="s">
        <v>70</v>
      </c>
      <c r="H393" s="1655" t="s">
        <v>1635</v>
      </c>
      <c r="I393" s="1655">
        <v>0</v>
      </c>
      <c r="J393" s="1655" t="s">
        <v>42</v>
      </c>
      <c r="K393" s="1655" t="s">
        <v>571</v>
      </c>
      <c r="M393" s="1655" t="s">
        <v>70</v>
      </c>
      <c r="N393" s="1655" t="s">
        <v>1635</v>
      </c>
      <c r="O393" s="1655">
        <v>0</v>
      </c>
      <c r="P393" s="1655" t="s">
        <v>42</v>
      </c>
      <c r="Q393" s="1655" t="s">
        <v>571</v>
      </c>
      <c r="S393" s="1655" t="s">
        <v>70</v>
      </c>
      <c r="T393" s="1655" t="s">
        <v>1635</v>
      </c>
      <c r="U393" s="1656">
        <v>0</v>
      </c>
      <c r="V393" s="1655" t="s">
        <v>42</v>
      </c>
      <c r="W393" s="1655" t="s">
        <v>571</v>
      </c>
    </row>
    <row r="394" spans="1:23">
      <c r="A394" s="1655" t="s">
        <v>70</v>
      </c>
      <c r="B394" s="1655" t="s">
        <v>778</v>
      </c>
      <c r="C394" s="1655">
        <v>4</v>
      </c>
      <c r="D394" s="1655" t="s">
        <v>42</v>
      </c>
      <c r="E394" s="1655" t="s">
        <v>572</v>
      </c>
      <c r="G394" s="1655" t="s">
        <v>70</v>
      </c>
      <c r="H394" s="1655" t="s">
        <v>778</v>
      </c>
      <c r="I394" s="1655">
        <v>12</v>
      </c>
      <c r="J394" s="1655" t="s">
        <v>42</v>
      </c>
      <c r="K394" s="1655" t="s">
        <v>572</v>
      </c>
      <c r="M394" s="1655" t="s">
        <v>70</v>
      </c>
      <c r="N394" s="1655" t="s">
        <v>778</v>
      </c>
      <c r="O394" s="1655">
        <v>1</v>
      </c>
      <c r="P394" s="1655" t="s">
        <v>42</v>
      </c>
      <c r="Q394" s="1655" t="s">
        <v>572</v>
      </c>
      <c r="S394" s="1655" t="s">
        <v>70</v>
      </c>
      <c r="T394" s="1655" t="s">
        <v>778</v>
      </c>
      <c r="U394" s="1655">
        <v>12</v>
      </c>
      <c r="V394" s="1655" t="s">
        <v>42</v>
      </c>
      <c r="W394" s="1655" t="s">
        <v>572</v>
      </c>
    </row>
    <row r="395" spans="1:23">
      <c r="A395" s="1655" t="s">
        <v>70</v>
      </c>
      <c r="B395" s="1655" t="s">
        <v>1636</v>
      </c>
      <c r="C395" s="1655">
        <v>2</v>
      </c>
      <c r="D395" s="1655" t="s">
        <v>42</v>
      </c>
      <c r="E395" s="1655" t="s">
        <v>572</v>
      </c>
      <c r="G395" s="1655" t="s">
        <v>70</v>
      </c>
      <c r="H395" s="1655" t="s">
        <v>1636</v>
      </c>
      <c r="I395" s="1655">
        <v>4</v>
      </c>
      <c r="J395" s="1655" t="s">
        <v>42</v>
      </c>
      <c r="K395" s="1655" t="s">
        <v>572</v>
      </c>
      <c r="M395" s="1655" t="s">
        <v>70</v>
      </c>
      <c r="N395" s="1655" t="s">
        <v>1636</v>
      </c>
      <c r="O395" s="1655">
        <v>2</v>
      </c>
      <c r="P395" s="1655" t="s">
        <v>42</v>
      </c>
      <c r="Q395" s="1655" t="s">
        <v>572</v>
      </c>
      <c r="S395" s="1655" t="s">
        <v>70</v>
      </c>
      <c r="T395" s="1655" t="s">
        <v>1636</v>
      </c>
      <c r="U395" s="1655">
        <v>0</v>
      </c>
      <c r="V395" s="1655" t="s">
        <v>42</v>
      </c>
      <c r="W395" s="1655" t="s">
        <v>572</v>
      </c>
    </row>
    <row r="396" spans="1:23">
      <c r="A396" s="1655" t="s">
        <v>70</v>
      </c>
      <c r="B396" s="1655" t="s">
        <v>1637</v>
      </c>
      <c r="C396" s="1655">
        <v>12</v>
      </c>
      <c r="D396" s="1655" t="s">
        <v>42</v>
      </c>
      <c r="E396" s="1655" t="s">
        <v>572</v>
      </c>
      <c r="G396" s="1655" t="s">
        <v>70</v>
      </c>
      <c r="H396" s="1655" t="s">
        <v>1637</v>
      </c>
      <c r="I396" s="1655">
        <v>2</v>
      </c>
      <c r="J396" s="1655" t="s">
        <v>42</v>
      </c>
      <c r="K396" s="1655" t="s">
        <v>572</v>
      </c>
      <c r="M396" s="1655" t="s">
        <v>70</v>
      </c>
      <c r="N396" s="1655" t="s">
        <v>1637</v>
      </c>
      <c r="O396" s="1655">
        <v>1</v>
      </c>
      <c r="P396" s="1655" t="s">
        <v>42</v>
      </c>
      <c r="Q396" s="1655" t="s">
        <v>572</v>
      </c>
      <c r="S396" s="1655" t="s">
        <v>70</v>
      </c>
      <c r="T396" s="1655" t="s">
        <v>1637</v>
      </c>
      <c r="U396" s="1655">
        <v>0</v>
      </c>
      <c r="V396" s="1655" t="s">
        <v>42</v>
      </c>
      <c r="W396" s="1655" t="s">
        <v>572</v>
      </c>
    </row>
    <row r="397" spans="1:23">
      <c r="A397" s="1655" t="s">
        <v>70</v>
      </c>
      <c r="B397" s="1655" t="s">
        <v>779</v>
      </c>
      <c r="C397" s="1655">
        <v>12</v>
      </c>
      <c r="D397" s="1655" t="s">
        <v>42</v>
      </c>
      <c r="E397" s="1655" t="s">
        <v>572</v>
      </c>
      <c r="G397" s="1655" t="s">
        <v>70</v>
      </c>
      <c r="H397" s="1655" t="s">
        <v>779</v>
      </c>
      <c r="I397" s="1655">
        <v>0</v>
      </c>
      <c r="J397" s="1655" t="s">
        <v>42</v>
      </c>
      <c r="K397" s="1655" t="s">
        <v>572</v>
      </c>
      <c r="M397" s="1655" t="s">
        <v>70</v>
      </c>
      <c r="N397" s="1655" t="s">
        <v>779</v>
      </c>
      <c r="O397" s="1655">
        <v>12</v>
      </c>
      <c r="P397" s="1655" t="s">
        <v>42</v>
      </c>
      <c r="Q397" s="1655" t="s">
        <v>572</v>
      </c>
      <c r="S397" s="1655" t="s">
        <v>70</v>
      </c>
      <c r="T397" s="1655" t="s">
        <v>779</v>
      </c>
      <c r="U397" s="1655">
        <v>0</v>
      </c>
      <c r="V397" s="1655" t="s">
        <v>42</v>
      </c>
      <c r="W397" s="1655" t="s">
        <v>572</v>
      </c>
    </row>
    <row r="398" spans="1:23">
      <c r="A398" s="1655" t="s">
        <v>70</v>
      </c>
      <c r="B398" s="1655" t="s">
        <v>780</v>
      </c>
      <c r="C398" s="1655">
        <v>1</v>
      </c>
      <c r="D398" s="1655" t="s">
        <v>42</v>
      </c>
      <c r="E398" s="1655" t="s">
        <v>572</v>
      </c>
      <c r="G398" s="1655" t="s">
        <v>70</v>
      </c>
      <c r="H398" s="1655" t="s">
        <v>780</v>
      </c>
      <c r="I398" s="1655">
        <v>0</v>
      </c>
      <c r="J398" s="1655" t="s">
        <v>42</v>
      </c>
      <c r="K398" s="1655" t="s">
        <v>572</v>
      </c>
      <c r="M398" s="1655" t="s">
        <v>70</v>
      </c>
      <c r="N398" s="1655" t="s">
        <v>780</v>
      </c>
      <c r="O398" s="1655">
        <v>12</v>
      </c>
      <c r="P398" s="1655" t="s">
        <v>42</v>
      </c>
      <c r="Q398" s="1655" t="s">
        <v>572</v>
      </c>
      <c r="S398" s="1655" t="s">
        <v>70</v>
      </c>
      <c r="T398" s="1655" t="s">
        <v>780</v>
      </c>
      <c r="U398" s="1655">
        <v>0</v>
      </c>
      <c r="V398" s="1655" t="s">
        <v>42</v>
      </c>
      <c r="W398" s="1655" t="s">
        <v>572</v>
      </c>
    </row>
    <row r="399" spans="1:23">
      <c r="A399" s="1655" t="s">
        <v>70</v>
      </c>
      <c r="B399" s="1655" t="s">
        <v>781</v>
      </c>
      <c r="C399" s="1655">
        <v>0</v>
      </c>
      <c r="D399" s="1655" t="s">
        <v>42</v>
      </c>
      <c r="E399" s="1655" t="s">
        <v>572</v>
      </c>
      <c r="G399" s="1655" t="s">
        <v>70</v>
      </c>
      <c r="H399" s="1655" t="s">
        <v>781</v>
      </c>
      <c r="I399" s="1655">
        <v>0</v>
      </c>
      <c r="J399" s="1655" t="s">
        <v>42</v>
      </c>
      <c r="K399" s="1655" t="s">
        <v>572</v>
      </c>
      <c r="M399" s="1655" t="s">
        <v>70</v>
      </c>
      <c r="N399" s="1655" t="s">
        <v>781</v>
      </c>
      <c r="O399" s="1655">
        <v>4</v>
      </c>
      <c r="P399" s="1655" t="s">
        <v>42</v>
      </c>
      <c r="Q399" s="1655" t="s">
        <v>572</v>
      </c>
      <c r="S399" s="1655" t="s">
        <v>70</v>
      </c>
      <c r="T399" s="1655" t="s">
        <v>781</v>
      </c>
      <c r="U399" s="1655">
        <v>0</v>
      </c>
      <c r="V399" s="1655" t="s">
        <v>42</v>
      </c>
      <c r="W399" s="1655" t="s">
        <v>572</v>
      </c>
    </row>
    <row r="400" spans="1:23">
      <c r="A400" s="1655" t="s">
        <v>70</v>
      </c>
      <c r="B400" s="1655" t="s">
        <v>782</v>
      </c>
      <c r="C400" s="1655">
        <v>0</v>
      </c>
      <c r="D400" s="1655" t="s">
        <v>42</v>
      </c>
      <c r="E400" s="1655" t="s">
        <v>572</v>
      </c>
      <c r="G400" s="1655" t="s">
        <v>70</v>
      </c>
      <c r="H400" s="1655" t="s">
        <v>782</v>
      </c>
      <c r="I400" s="1655">
        <v>0</v>
      </c>
      <c r="J400" s="1655" t="s">
        <v>42</v>
      </c>
      <c r="K400" s="1655" t="s">
        <v>572</v>
      </c>
      <c r="M400" s="1655" t="s">
        <v>70</v>
      </c>
      <c r="N400" s="1655" t="s">
        <v>782</v>
      </c>
      <c r="O400" s="1655">
        <v>0</v>
      </c>
      <c r="P400" s="1655" t="s">
        <v>42</v>
      </c>
      <c r="Q400" s="1655" t="s">
        <v>572</v>
      </c>
      <c r="S400" s="1655" t="s">
        <v>70</v>
      </c>
      <c r="T400" s="1655" t="s">
        <v>782</v>
      </c>
      <c r="U400" s="1655">
        <v>0</v>
      </c>
      <c r="V400" s="1655" t="s">
        <v>42</v>
      </c>
      <c r="W400" s="1655" t="s">
        <v>572</v>
      </c>
    </row>
    <row r="401" spans="1:23">
      <c r="A401" s="1655" t="s">
        <v>70</v>
      </c>
      <c r="B401" s="1655" t="s">
        <v>783</v>
      </c>
      <c r="C401" s="1655">
        <v>2</v>
      </c>
      <c r="D401" s="1655" t="s">
        <v>42</v>
      </c>
      <c r="E401" s="1655" t="s">
        <v>572</v>
      </c>
      <c r="G401" s="1655" t="s">
        <v>70</v>
      </c>
      <c r="H401" s="1655" t="s">
        <v>783</v>
      </c>
      <c r="I401" s="1655">
        <v>0</v>
      </c>
      <c r="J401" s="1655" t="s">
        <v>42</v>
      </c>
      <c r="K401" s="1655" t="s">
        <v>572</v>
      </c>
      <c r="M401" s="1655" t="s">
        <v>70</v>
      </c>
      <c r="N401" s="1655" t="s">
        <v>783</v>
      </c>
      <c r="O401" s="1655">
        <v>0</v>
      </c>
      <c r="P401" s="1655" t="s">
        <v>42</v>
      </c>
      <c r="Q401" s="1655" t="s">
        <v>572</v>
      </c>
      <c r="S401" s="1655" t="s">
        <v>70</v>
      </c>
      <c r="T401" s="1655" t="s">
        <v>783</v>
      </c>
      <c r="U401" s="1655">
        <v>0</v>
      </c>
      <c r="V401" s="1655" t="s">
        <v>42</v>
      </c>
      <c r="W401" s="1655" t="s">
        <v>572</v>
      </c>
    </row>
    <row r="402" spans="1:23">
      <c r="A402" s="1655" t="s">
        <v>70</v>
      </c>
      <c r="B402" s="1655" t="s">
        <v>784</v>
      </c>
      <c r="C402" s="1655">
        <v>3</v>
      </c>
      <c r="D402" s="1655" t="s">
        <v>42</v>
      </c>
      <c r="E402" s="1655" t="s">
        <v>572</v>
      </c>
      <c r="G402" s="1655" t="s">
        <v>70</v>
      </c>
      <c r="H402" s="1655" t="s">
        <v>784</v>
      </c>
      <c r="I402" s="1655">
        <v>0</v>
      </c>
      <c r="J402" s="1655" t="s">
        <v>42</v>
      </c>
      <c r="K402" s="1655" t="s">
        <v>572</v>
      </c>
      <c r="M402" s="1655" t="s">
        <v>70</v>
      </c>
      <c r="N402" s="1655" t="s">
        <v>784</v>
      </c>
      <c r="O402" s="1655">
        <v>0</v>
      </c>
      <c r="P402" s="1655" t="s">
        <v>42</v>
      </c>
      <c r="Q402" s="1655" t="s">
        <v>572</v>
      </c>
      <c r="S402" s="1655" t="s">
        <v>70</v>
      </c>
      <c r="T402" s="1655" t="s">
        <v>784</v>
      </c>
      <c r="U402" s="1655">
        <v>0</v>
      </c>
      <c r="V402" s="1655" t="s">
        <v>42</v>
      </c>
      <c r="W402" s="1655" t="s">
        <v>572</v>
      </c>
    </row>
    <row r="403" spans="1:23">
      <c r="A403" s="1655" t="s">
        <v>70</v>
      </c>
      <c r="B403" s="1655" t="s">
        <v>785</v>
      </c>
      <c r="C403" s="1655">
        <v>0</v>
      </c>
      <c r="D403" s="1655" t="s">
        <v>42</v>
      </c>
      <c r="E403" s="1655" t="s">
        <v>572</v>
      </c>
      <c r="G403" s="1655" t="s">
        <v>70</v>
      </c>
      <c r="H403" s="1655" t="s">
        <v>785</v>
      </c>
      <c r="I403" s="1655">
        <v>0</v>
      </c>
      <c r="J403" s="1655" t="s">
        <v>42</v>
      </c>
      <c r="K403" s="1655" t="s">
        <v>572</v>
      </c>
      <c r="M403" s="1655" t="s">
        <v>70</v>
      </c>
      <c r="N403" s="1655" t="s">
        <v>785</v>
      </c>
      <c r="O403" s="1655">
        <v>0</v>
      </c>
      <c r="P403" s="1655" t="s">
        <v>42</v>
      </c>
      <c r="Q403" s="1655" t="s">
        <v>572</v>
      </c>
      <c r="S403" s="1655" t="s">
        <v>70</v>
      </c>
      <c r="T403" s="1655" t="s">
        <v>785</v>
      </c>
      <c r="U403" s="1655">
        <v>0</v>
      </c>
      <c r="V403" s="1655" t="s">
        <v>42</v>
      </c>
      <c r="W403" s="1655" t="s">
        <v>572</v>
      </c>
    </row>
    <row r="404" spans="1:23">
      <c r="A404" s="1655" t="s">
        <v>70</v>
      </c>
      <c r="B404" s="1655" t="s">
        <v>786</v>
      </c>
      <c r="C404" s="1655">
        <v>0</v>
      </c>
      <c r="D404" s="1655" t="s">
        <v>42</v>
      </c>
      <c r="E404" s="1655" t="s">
        <v>572</v>
      </c>
      <c r="G404" s="1655" t="s">
        <v>70</v>
      </c>
      <c r="H404" s="1655" t="s">
        <v>786</v>
      </c>
      <c r="I404" s="1655">
        <v>0</v>
      </c>
      <c r="J404" s="1655" t="s">
        <v>42</v>
      </c>
      <c r="K404" s="1655" t="s">
        <v>572</v>
      </c>
      <c r="M404" s="1655" t="s">
        <v>70</v>
      </c>
      <c r="N404" s="1655" t="s">
        <v>786</v>
      </c>
      <c r="O404" s="1655">
        <v>0</v>
      </c>
      <c r="P404" s="1655" t="s">
        <v>42</v>
      </c>
      <c r="Q404" s="1655" t="s">
        <v>572</v>
      </c>
      <c r="S404" s="1655" t="s">
        <v>70</v>
      </c>
      <c r="T404" s="1655" t="s">
        <v>786</v>
      </c>
      <c r="U404" s="1655">
        <v>0</v>
      </c>
      <c r="V404" s="1655" t="s">
        <v>42</v>
      </c>
      <c r="W404" s="1655" t="s">
        <v>572</v>
      </c>
    </row>
    <row r="405" spans="1:23">
      <c r="A405" s="1655" t="s">
        <v>70</v>
      </c>
      <c r="B405" s="1655" t="s">
        <v>1638</v>
      </c>
      <c r="C405" s="1655">
        <v>0</v>
      </c>
      <c r="D405" s="1655" t="s">
        <v>42</v>
      </c>
      <c r="E405" s="1655" t="s">
        <v>572</v>
      </c>
      <c r="G405" s="1655" t="s">
        <v>70</v>
      </c>
      <c r="H405" s="1655" t="s">
        <v>1638</v>
      </c>
      <c r="I405" s="1655">
        <v>12</v>
      </c>
      <c r="J405" s="1655" t="s">
        <v>42</v>
      </c>
      <c r="K405" s="1655" t="s">
        <v>572</v>
      </c>
      <c r="M405" s="1655" t="s">
        <v>70</v>
      </c>
      <c r="N405" s="1655" t="s">
        <v>1638</v>
      </c>
      <c r="O405" s="1655">
        <v>12</v>
      </c>
      <c r="P405" s="1655" t="s">
        <v>42</v>
      </c>
      <c r="Q405" s="1655" t="s">
        <v>572</v>
      </c>
      <c r="S405" s="1655" t="s">
        <v>70</v>
      </c>
      <c r="T405" s="1655" t="s">
        <v>1638</v>
      </c>
      <c r="U405" s="1655">
        <v>0</v>
      </c>
      <c r="V405" s="1655" t="s">
        <v>42</v>
      </c>
      <c r="W405" s="1655" t="s">
        <v>572</v>
      </c>
    </row>
    <row r="406" spans="1:23">
      <c r="A406" s="1655" t="s">
        <v>70</v>
      </c>
      <c r="B406" s="1655" t="s">
        <v>1639</v>
      </c>
      <c r="C406" s="1655">
        <v>12</v>
      </c>
      <c r="D406" s="1655" t="s">
        <v>42</v>
      </c>
      <c r="E406" s="1655" t="s">
        <v>572</v>
      </c>
      <c r="G406" s="1655" t="s">
        <v>70</v>
      </c>
      <c r="H406" s="1655" t="s">
        <v>1639</v>
      </c>
      <c r="I406" s="1655">
        <v>0</v>
      </c>
      <c r="J406" s="1655" t="s">
        <v>42</v>
      </c>
      <c r="K406" s="1655" t="s">
        <v>572</v>
      </c>
      <c r="M406" s="1655" t="s">
        <v>70</v>
      </c>
      <c r="N406" s="1655" t="s">
        <v>1639</v>
      </c>
      <c r="O406" s="1655">
        <v>12</v>
      </c>
      <c r="P406" s="1655" t="s">
        <v>42</v>
      </c>
      <c r="Q406" s="1655" t="s">
        <v>572</v>
      </c>
      <c r="S406" s="1655" t="s">
        <v>70</v>
      </c>
      <c r="T406" s="1655" t="s">
        <v>1639</v>
      </c>
      <c r="U406" s="1655">
        <v>0</v>
      </c>
      <c r="V406" s="1655" t="s">
        <v>42</v>
      </c>
      <c r="W406" s="1655" t="s">
        <v>572</v>
      </c>
    </row>
    <row r="407" spans="1:23">
      <c r="A407" s="1655" t="s">
        <v>70</v>
      </c>
      <c r="B407" s="1655" t="s">
        <v>787</v>
      </c>
      <c r="C407" s="1655">
        <v>12</v>
      </c>
      <c r="D407" s="1655" t="s">
        <v>42</v>
      </c>
      <c r="E407" s="1655" t="s">
        <v>572</v>
      </c>
      <c r="G407" s="1655" t="s">
        <v>70</v>
      </c>
      <c r="H407" s="1655" t="s">
        <v>787</v>
      </c>
      <c r="I407" s="1655">
        <v>0</v>
      </c>
      <c r="J407" s="1655" t="s">
        <v>42</v>
      </c>
      <c r="K407" s="1655" t="s">
        <v>572</v>
      </c>
      <c r="M407" s="1655" t="s">
        <v>70</v>
      </c>
      <c r="N407" s="1655" t="s">
        <v>787</v>
      </c>
      <c r="O407" s="1655">
        <v>0</v>
      </c>
      <c r="P407" s="1655" t="s">
        <v>42</v>
      </c>
      <c r="Q407" s="1655" t="s">
        <v>572</v>
      </c>
      <c r="S407" s="1655" t="s">
        <v>70</v>
      </c>
      <c r="T407" s="1655" t="s">
        <v>787</v>
      </c>
      <c r="U407" s="1655">
        <v>0</v>
      </c>
      <c r="V407" s="1655" t="s">
        <v>42</v>
      </c>
      <c r="W407" s="1655" t="s">
        <v>572</v>
      </c>
    </row>
    <row r="408" spans="1:23">
      <c r="A408" s="1655" t="s">
        <v>70</v>
      </c>
      <c r="B408" s="1655" t="s">
        <v>788</v>
      </c>
      <c r="C408" s="1655">
        <v>0</v>
      </c>
      <c r="D408" s="1655" t="s">
        <v>42</v>
      </c>
      <c r="E408" s="1655" t="s">
        <v>572</v>
      </c>
      <c r="G408" s="1655" t="s">
        <v>70</v>
      </c>
      <c r="H408" s="1655" t="s">
        <v>788</v>
      </c>
      <c r="I408" s="1655">
        <v>0</v>
      </c>
      <c r="J408" s="1655" t="s">
        <v>42</v>
      </c>
      <c r="K408" s="1655" t="s">
        <v>572</v>
      </c>
      <c r="M408" s="1655" t="s">
        <v>70</v>
      </c>
      <c r="N408" s="1655" t="s">
        <v>788</v>
      </c>
      <c r="O408" s="1655">
        <v>0</v>
      </c>
      <c r="P408" s="1655" t="s">
        <v>42</v>
      </c>
      <c r="Q408" s="1655" t="s">
        <v>572</v>
      </c>
      <c r="S408" s="1655" t="s">
        <v>70</v>
      </c>
      <c r="T408" s="1655" t="s">
        <v>788</v>
      </c>
      <c r="U408" s="1655">
        <v>0</v>
      </c>
      <c r="V408" s="1655" t="s">
        <v>42</v>
      </c>
      <c r="W408" s="1655" t="s">
        <v>572</v>
      </c>
    </row>
    <row r="409" spans="1:23">
      <c r="A409" s="1655" t="s">
        <v>70</v>
      </c>
      <c r="B409" s="1655" t="s">
        <v>789</v>
      </c>
      <c r="C409" s="1655">
        <v>12</v>
      </c>
      <c r="D409" s="1655" t="s">
        <v>42</v>
      </c>
      <c r="E409" s="1655" t="s">
        <v>572</v>
      </c>
      <c r="G409" s="1655" t="s">
        <v>70</v>
      </c>
      <c r="H409" s="1655" t="s">
        <v>789</v>
      </c>
      <c r="I409" s="1655">
        <v>12</v>
      </c>
      <c r="J409" s="1655" t="s">
        <v>42</v>
      </c>
      <c r="K409" s="1655" t="s">
        <v>572</v>
      </c>
      <c r="M409" s="1655" t="s">
        <v>70</v>
      </c>
      <c r="N409" s="1655" t="s">
        <v>789</v>
      </c>
      <c r="O409" s="1655">
        <v>12</v>
      </c>
      <c r="P409" s="1655" t="s">
        <v>42</v>
      </c>
      <c r="Q409" s="1655" t="s">
        <v>572</v>
      </c>
      <c r="S409" s="1655" t="s">
        <v>70</v>
      </c>
      <c r="T409" s="1655" t="s">
        <v>789</v>
      </c>
      <c r="U409" s="1655">
        <v>0</v>
      </c>
      <c r="V409" s="1655" t="s">
        <v>42</v>
      </c>
      <c r="W409" s="1655" t="s">
        <v>572</v>
      </c>
    </row>
    <row r="410" spans="1:23">
      <c r="A410" s="1655" t="s">
        <v>70</v>
      </c>
      <c r="B410" s="1655" t="s">
        <v>1640</v>
      </c>
      <c r="C410" s="1655">
        <v>12</v>
      </c>
      <c r="D410" s="1655" t="s">
        <v>42</v>
      </c>
      <c r="E410" s="1655" t="s">
        <v>572</v>
      </c>
      <c r="G410" s="1655" t="s">
        <v>70</v>
      </c>
      <c r="H410" s="1655" t="s">
        <v>1640</v>
      </c>
      <c r="I410" s="1655">
        <v>0</v>
      </c>
      <c r="J410" s="1655" t="s">
        <v>42</v>
      </c>
      <c r="K410" s="1655" t="s">
        <v>572</v>
      </c>
      <c r="M410" s="1655" t="s">
        <v>70</v>
      </c>
      <c r="N410" s="1655" t="s">
        <v>1640</v>
      </c>
      <c r="O410" s="1655">
        <v>0</v>
      </c>
      <c r="P410" s="1655" t="s">
        <v>42</v>
      </c>
      <c r="Q410" s="1655" t="s">
        <v>572</v>
      </c>
      <c r="S410" s="1655" t="s">
        <v>70</v>
      </c>
      <c r="T410" s="1655" t="s">
        <v>1640</v>
      </c>
      <c r="U410" s="1655">
        <v>0</v>
      </c>
      <c r="V410" s="1655" t="s">
        <v>42</v>
      </c>
      <c r="W410" s="1655" t="s">
        <v>572</v>
      </c>
    </row>
    <row r="411" spans="1:23">
      <c r="A411" s="1655" t="s">
        <v>70</v>
      </c>
      <c r="B411" s="1655" t="s">
        <v>1641</v>
      </c>
      <c r="C411" s="1655">
        <v>12</v>
      </c>
      <c r="D411" s="1655" t="s">
        <v>42</v>
      </c>
      <c r="E411" s="1655" t="s">
        <v>572</v>
      </c>
      <c r="G411" s="1655" t="s">
        <v>70</v>
      </c>
      <c r="H411" s="1655" t="s">
        <v>1641</v>
      </c>
      <c r="I411" s="1655">
        <v>0</v>
      </c>
      <c r="J411" s="1655" t="s">
        <v>42</v>
      </c>
      <c r="K411" s="1655" t="s">
        <v>572</v>
      </c>
      <c r="M411" s="1655" t="s">
        <v>70</v>
      </c>
      <c r="N411" s="1655" t="s">
        <v>1641</v>
      </c>
      <c r="O411" s="1655">
        <v>0</v>
      </c>
      <c r="P411" s="1655" t="s">
        <v>42</v>
      </c>
      <c r="Q411" s="1655" t="s">
        <v>572</v>
      </c>
      <c r="S411" s="1655" t="s">
        <v>70</v>
      </c>
      <c r="T411" s="1655" t="s">
        <v>1641</v>
      </c>
      <c r="U411" s="1655">
        <v>0</v>
      </c>
      <c r="V411" s="1655" t="s">
        <v>42</v>
      </c>
      <c r="W411" s="1655" t="s">
        <v>572</v>
      </c>
    </row>
    <row r="412" spans="1:23">
      <c r="A412" s="1655" t="s">
        <v>70</v>
      </c>
      <c r="B412" s="1655" t="s">
        <v>790</v>
      </c>
      <c r="C412" s="1655">
        <v>12</v>
      </c>
      <c r="D412" s="1655" t="s">
        <v>42</v>
      </c>
      <c r="E412" s="1655" t="s">
        <v>572</v>
      </c>
      <c r="G412" s="1655" t="s">
        <v>70</v>
      </c>
      <c r="H412" s="1655" t="s">
        <v>790</v>
      </c>
      <c r="I412" s="1655">
        <v>0</v>
      </c>
      <c r="J412" s="1655" t="s">
        <v>42</v>
      </c>
      <c r="K412" s="1655" t="s">
        <v>572</v>
      </c>
      <c r="M412" s="1655" t="s">
        <v>70</v>
      </c>
      <c r="N412" s="1655" t="s">
        <v>790</v>
      </c>
      <c r="O412" s="1655">
        <v>0</v>
      </c>
      <c r="P412" s="1655" t="s">
        <v>42</v>
      </c>
      <c r="Q412" s="1655" t="s">
        <v>572</v>
      </c>
      <c r="S412" s="1655" t="s">
        <v>70</v>
      </c>
      <c r="T412" s="1655" t="s">
        <v>790</v>
      </c>
      <c r="U412" s="1655">
        <v>0</v>
      </c>
      <c r="V412" s="1655" t="s">
        <v>42</v>
      </c>
      <c r="W412" s="1655" t="s">
        <v>572</v>
      </c>
    </row>
    <row r="413" spans="1:23">
      <c r="A413" s="1655" t="s">
        <v>70</v>
      </c>
      <c r="B413" s="1655" t="s">
        <v>791</v>
      </c>
      <c r="C413" s="1655">
        <v>12</v>
      </c>
      <c r="D413" s="1655" t="s">
        <v>42</v>
      </c>
      <c r="E413" s="1655" t="s">
        <v>572</v>
      </c>
      <c r="G413" s="1655" t="s">
        <v>70</v>
      </c>
      <c r="H413" s="1655" t="s">
        <v>791</v>
      </c>
      <c r="I413" s="1655">
        <v>0</v>
      </c>
      <c r="J413" s="1655" t="s">
        <v>42</v>
      </c>
      <c r="K413" s="1655" t="s">
        <v>572</v>
      </c>
      <c r="M413" s="1655" t="s">
        <v>70</v>
      </c>
      <c r="N413" s="1655" t="s">
        <v>791</v>
      </c>
      <c r="O413" s="1655">
        <v>0</v>
      </c>
      <c r="P413" s="1655" t="s">
        <v>42</v>
      </c>
      <c r="Q413" s="1655" t="s">
        <v>572</v>
      </c>
      <c r="S413" s="1655" t="s">
        <v>70</v>
      </c>
      <c r="T413" s="1655" t="s">
        <v>791</v>
      </c>
      <c r="U413" s="1655">
        <v>0</v>
      </c>
      <c r="V413" s="1655" t="s">
        <v>42</v>
      </c>
      <c r="W413" s="1655" t="s">
        <v>572</v>
      </c>
    </row>
    <row r="414" spans="1:23">
      <c r="A414" s="1655" t="s">
        <v>70</v>
      </c>
      <c r="B414" s="1655" t="s">
        <v>792</v>
      </c>
      <c r="C414" s="1655">
        <v>0</v>
      </c>
      <c r="D414" s="1655" t="s">
        <v>42</v>
      </c>
      <c r="E414" s="1655" t="s">
        <v>572</v>
      </c>
      <c r="G414" s="1655" t="s">
        <v>70</v>
      </c>
      <c r="H414" s="1655" t="s">
        <v>792</v>
      </c>
      <c r="I414" s="1655">
        <v>12</v>
      </c>
      <c r="J414" s="1655" t="s">
        <v>42</v>
      </c>
      <c r="K414" s="1655" t="s">
        <v>572</v>
      </c>
      <c r="M414" s="1655" t="s">
        <v>70</v>
      </c>
      <c r="N414" s="1655" t="s">
        <v>792</v>
      </c>
      <c r="O414" s="1655">
        <v>12</v>
      </c>
      <c r="P414" s="1655" t="s">
        <v>42</v>
      </c>
      <c r="Q414" s="1655" t="s">
        <v>572</v>
      </c>
      <c r="S414" s="1655" t="s">
        <v>70</v>
      </c>
      <c r="T414" s="1655" t="s">
        <v>792</v>
      </c>
      <c r="U414" s="1655">
        <v>0</v>
      </c>
      <c r="V414" s="1655" t="s">
        <v>42</v>
      </c>
      <c r="W414" s="1655" t="s">
        <v>572</v>
      </c>
    </row>
    <row r="415" spans="1:23">
      <c r="A415" s="1655" t="s">
        <v>70</v>
      </c>
      <c r="B415" s="1655" t="s">
        <v>1642</v>
      </c>
      <c r="C415" s="1655">
        <v>12</v>
      </c>
      <c r="D415" s="1655" t="s">
        <v>42</v>
      </c>
      <c r="E415" s="1655" t="s">
        <v>572</v>
      </c>
      <c r="G415" s="1655" t="s">
        <v>70</v>
      </c>
      <c r="H415" s="1655" t="s">
        <v>1642</v>
      </c>
      <c r="I415" s="1655">
        <v>4</v>
      </c>
      <c r="J415" s="1655" t="s">
        <v>42</v>
      </c>
      <c r="K415" s="1655" t="s">
        <v>572</v>
      </c>
      <c r="M415" s="1655" t="s">
        <v>70</v>
      </c>
      <c r="N415" s="1655" t="s">
        <v>1642</v>
      </c>
      <c r="O415" s="1655">
        <v>12</v>
      </c>
      <c r="P415" s="1655" t="s">
        <v>42</v>
      </c>
      <c r="Q415" s="1655" t="s">
        <v>572</v>
      </c>
      <c r="S415" s="1655" t="s">
        <v>70</v>
      </c>
      <c r="T415" s="1655" t="s">
        <v>1642</v>
      </c>
      <c r="U415" s="1655">
        <v>0</v>
      </c>
      <c r="V415" s="1655" t="s">
        <v>42</v>
      </c>
      <c r="W415" s="1655" t="s">
        <v>572</v>
      </c>
    </row>
    <row r="416" spans="1:23">
      <c r="A416" s="1655" t="s">
        <v>70</v>
      </c>
      <c r="B416" s="1655" t="s">
        <v>793</v>
      </c>
      <c r="C416" s="1655">
        <v>12</v>
      </c>
      <c r="D416" s="1655" t="s">
        <v>42</v>
      </c>
      <c r="E416" s="1655" t="s">
        <v>572</v>
      </c>
      <c r="G416" s="1655" t="s">
        <v>70</v>
      </c>
      <c r="H416" s="1655" t="s">
        <v>793</v>
      </c>
      <c r="I416" s="1655">
        <v>6</v>
      </c>
      <c r="J416" s="1655" t="s">
        <v>42</v>
      </c>
      <c r="K416" s="1655" t="s">
        <v>572</v>
      </c>
      <c r="M416" s="1655" t="s">
        <v>70</v>
      </c>
      <c r="N416" s="1655" t="s">
        <v>793</v>
      </c>
      <c r="O416" s="1655">
        <v>12</v>
      </c>
      <c r="P416" s="1655" t="s">
        <v>42</v>
      </c>
      <c r="Q416" s="1655" t="s">
        <v>572</v>
      </c>
      <c r="S416" s="1655" t="s">
        <v>70</v>
      </c>
      <c r="T416" s="1655" t="s">
        <v>793</v>
      </c>
      <c r="U416" s="1655">
        <v>0</v>
      </c>
      <c r="V416" s="1655" t="s">
        <v>42</v>
      </c>
      <c r="W416" s="1655" t="s">
        <v>572</v>
      </c>
    </row>
    <row r="417" spans="1:23">
      <c r="A417" s="1655" t="s">
        <v>70</v>
      </c>
      <c r="B417" s="1655" t="s">
        <v>794</v>
      </c>
      <c r="C417" s="1655">
        <v>9</v>
      </c>
      <c r="D417" s="1655" t="s">
        <v>42</v>
      </c>
      <c r="E417" s="1655" t="s">
        <v>572</v>
      </c>
      <c r="G417" s="1655" t="s">
        <v>70</v>
      </c>
      <c r="H417" s="1655" t="s">
        <v>794</v>
      </c>
      <c r="I417" s="1655">
        <v>12</v>
      </c>
      <c r="J417" s="1655" t="s">
        <v>42</v>
      </c>
      <c r="K417" s="1655" t="s">
        <v>572</v>
      </c>
      <c r="M417" s="1655" t="s">
        <v>70</v>
      </c>
      <c r="N417" s="1655" t="s">
        <v>794</v>
      </c>
      <c r="O417" s="1655">
        <v>1</v>
      </c>
      <c r="P417" s="1655" t="s">
        <v>42</v>
      </c>
      <c r="Q417" s="1655" t="s">
        <v>572</v>
      </c>
      <c r="S417" s="1655" t="s">
        <v>70</v>
      </c>
      <c r="T417" s="1655" t="s">
        <v>794</v>
      </c>
      <c r="U417" s="1655">
        <v>0</v>
      </c>
      <c r="V417" s="1655" t="s">
        <v>42</v>
      </c>
      <c r="W417" s="1655" t="s">
        <v>572</v>
      </c>
    </row>
    <row r="418" spans="1:23">
      <c r="A418" s="1655" t="s">
        <v>70</v>
      </c>
      <c r="B418" s="1655" t="s">
        <v>795</v>
      </c>
      <c r="C418" s="1655">
        <v>12</v>
      </c>
      <c r="D418" s="1655" t="s">
        <v>42</v>
      </c>
      <c r="E418" s="1655" t="s">
        <v>572</v>
      </c>
      <c r="G418" s="1655" t="s">
        <v>70</v>
      </c>
      <c r="H418" s="1655" t="s">
        <v>795</v>
      </c>
      <c r="I418" s="1655">
        <v>0</v>
      </c>
      <c r="J418" s="1655" t="s">
        <v>42</v>
      </c>
      <c r="K418" s="1655" t="s">
        <v>572</v>
      </c>
      <c r="M418" s="1655" t="s">
        <v>70</v>
      </c>
      <c r="N418" s="1655" t="s">
        <v>795</v>
      </c>
      <c r="O418" s="1655">
        <v>1</v>
      </c>
      <c r="P418" s="1655" t="s">
        <v>42</v>
      </c>
      <c r="Q418" s="1655" t="s">
        <v>572</v>
      </c>
      <c r="S418" s="1655" t="s">
        <v>70</v>
      </c>
      <c r="T418" s="1655" t="s">
        <v>795</v>
      </c>
      <c r="U418" s="1655">
        <v>0</v>
      </c>
      <c r="V418" s="1655" t="s">
        <v>42</v>
      </c>
      <c r="W418" s="1655" t="s">
        <v>572</v>
      </c>
    </row>
    <row r="419" spans="1:23">
      <c r="A419" s="1655" t="s">
        <v>70</v>
      </c>
      <c r="B419" s="1655" t="s">
        <v>796</v>
      </c>
      <c r="C419" s="1655">
        <v>12</v>
      </c>
      <c r="D419" s="1655" t="s">
        <v>42</v>
      </c>
      <c r="E419" s="1655" t="s">
        <v>572</v>
      </c>
      <c r="G419" s="1655" t="s">
        <v>70</v>
      </c>
      <c r="H419" s="1655" t="s">
        <v>796</v>
      </c>
      <c r="I419" s="1655">
        <v>0</v>
      </c>
      <c r="J419" s="1655" t="s">
        <v>42</v>
      </c>
      <c r="K419" s="1655" t="s">
        <v>572</v>
      </c>
      <c r="M419" s="1655" t="s">
        <v>70</v>
      </c>
      <c r="N419" s="1655" t="s">
        <v>796</v>
      </c>
      <c r="O419" s="1655">
        <v>6</v>
      </c>
      <c r="P419" s="1655" t="s">
        <v>42</v>
      </c>
      <c r="Q419" s="1655" t="s">
        <v>572</v>
      </c>
      <c r="S419" s="1655" t="s">
        <v>70</v>
      </c>
      <c r="T419" s="1655" t="s">
        <v>796</v>
      </c>
      <c r="U419" s="1655">
        <v>0</v>
      </c>
      <c r="V419" s="1655" t="s">
        <v>42</v>
      </c>
      <c r="W419" s="1655" t="s">
        <v>572</v>
      </c>
    </row>
    <row r="420" spans="1:23">
      <c r="A420" s="1655" t="s">
        <v>70</v>
      </c>
      <c r="B420" s="1655" t="s">
        <v>1643</v>
      </c>
      <c r="C420" s="1655">
        <v>0</v>
      </c>
      <c r="D420" s="1655" t="s">
        <v>42</v>
      </c>
      <c r="E420" s="1655" t="s">
        <v>572</v>
      </c>
      <c r="G420" s="1655" t="s">
        <v>70</v>
      </c>
      <c r="H420" s="1655" t="s">
        <v>1643</v>
      </c>
      <c r="I420" s="1655">
        <v>0</v>
      </c>
      <c r="J420" s="1655" t="s">
        <v>42</v>
      </c>
      <c r="K420" s="1655" t="s">
        <v>572</v>
      </c>
      <c r="M420" s="1655" t="s">
        <v>70</v>
      </c>
      <c r="N420" s="1655" t="s">
        <v>1643</v>
      </c>
      <c r="O420" s="1655">
        <v>1</v>
      </c>
      <c r="P420" s="1655" t="s">
        <v>42</v>
      </c>
      <c r="Q420" s="1655" t="s">
        <v>572</v>
      </c>
      <c r="S420" s="1655" t="s">
        <v>70</v>
      </c>
      <c r="T420" s="1655" t="s">
        <v>1643</v>
      </c>
      <c r="U420" s="1655">
        <v>0</v>
      </c>
      <c r="V420" s="1655" t="s">
        <v>42</v>
      </c>
      <c r="W420" s="1655" t="s">
        <v>572</v>
      </c>
    </row>
    <row r="421" spans="1:23">
      <c r="A421" s="1655" t="s">
        <v>70</v>
      </c>
      <c r="B421" s="1655" t="s">
        <v>1644</v>
      </c>
      <c r="C421" s="1655">
        <v>0</v>
      </c>
      <c r="D421" s="1655" t="s">
        <v>42</v>
      </c>
      <c r="E421" s="1655" t="s">
        <v>572</v>
      </c>
      <c r="G421" s="1655" t="s">
        <v>70</v>
      </c>
      <c r="H421" s="1655" t="s">
        <v>1644</v>
      </c>
      <c r="I421" s="1655">
        <v>0</v>
      </c>
      <c r="J421" s="1655" t="s">
        <v>42</v>
      </c>
      <c r="K421" s="1655" t="s">
        <v>572</v>
      </c>
      <c r="M421" s="1655" t="s">
        <v>70</v>
      </c>
      <c r="N421" s="1655" t="s">
        <v>1644</v>
      </c>
      <c r="O421" s="1655">
        <v>12</v>
      </c>
      <c r="P421" s="1655" t="s">
        <v>42</v>
      </c>
      <c r="Q421" s="1655" t="s">
        <v>572</v>
      </c>
      <c r="S421" s="1655" t="s">
        <v>70</v>
      </c>
      <c r="T421" s="1655" t="s">
        <v>1644</v>
      </c>
      <c r="U421" s="1655">
        <v>0</v>
      </c>
      <c r="V421" s="1655" t="s">
        <v>42</v>
      </c>
      <c r="W421" s="1655" t="s">
        <v>572</v>
      </c>
    </row>
    <row r="422" spans="1:23">
      <c r="A422" s="1655" t="s">
        <v>70</v>
      </c>
      <c r="B422" s="1655" t="s">
        <v>797</v>
      </c>
      <c r="C422" s="1655">
        <v>0</v>
      </c>
      <c r="D422" s="1655" t="s">
        <v>42</v>
      </c>
      <c r="E422" s="1655" t="s">
        <v>572</v>
      </c>
      <c r="G422" s="1655" t="s">
        <v>70</v>
      </c>
      <c r="H422" s="1655" t="s">
        <v>797</v>
      </c>
      <c r="I422" s="1655">
        <v>0</v>
      </c>
      <c r="J422" s="1655" t="s">
        <v>42</v>
      </c>
      <c r="K422" s="1655" t="s">
        <v>572</v>
      </c>
      <c r="M422" s="1655" t="s">
        <v>70</v>
      </c>
      <c r="N422" s="1655" t="s">
        <v>797</v>
      </c>
      <c r="O422" s="1655">
        <v>12</v>
      </c>
      <c r="P422" s="1655" t="s">
        <v>42</v>
      </c>
      <c r="Q422" s="1655" t="s">
        <v>572</v>
      </c>
      <c r="S422" s="1655" t="s">
        <v>70</v>
      </c>
      <c r="T422" s="1655" t="s">
        <v>797</v>
      </c>
      <c r="U422" s="1655">
        <v>0</v>
      </c>
      <c r="V422" s="1655" t="s">
        <v>42</v>
      </c>
      <c r="W422" s="1655" t="s">
        <v>572</v>
      </c>
    </row>
    <row r="423" spans="1:23">
      <c r="A423" s="1655" t="s">
        <v>70</v>
      </c>
      <c r="B423" s="1655" t="s">
        <v>798</v>
      </c>
      <c r="C423" s="1655">
        <v>0</v>
      </c>
      <c r="D423" s="1655" t="s">
        <v>42</v>
      </c>
      <c r="E423" s="1655" t="s">
        <v>572</v>
      </c>
      <c r="G423" s="1655" t="s">
        <v>70</v>
      </c>
      <c r="H423" s="1655" t="s">
        <v>798</v>
      </c>
      <c r="I423" s="1655">
        <v>0</v>
      </c>
      <c r="J423" s="1655" t="s">
        <v>42</v>
      </c>
      <c r="K423" s="1655" t="s">
        <v>572</v>
      </c>
      <c r="M423" s="1655" t="s">
        <v>70</v>
      </c>
      <c r="N423" s="1655" t="s">
        <v>798</v>
      </c>
      <c r="O423" s="1655">
        <v>0</v>
      </c>
      <c r="P423" s="1655" t="s">
        <v>42</v>
      </c>
      <c r="Q423" s="1655" t="s">
        <v>572</v>
      </c>
      <c r="S423" s="1655" t="s">
        <v>70</v>
      </c>
      <c r="T423" s="1655" t="s">
        <v>798</v>
      </c>
      <c r="U423" s="1655">
        <v>0</v>
      </c>
      <c r="V423" s="1655" t="s">
        <v>42</v>
      </c>
      <c r="W423" s="1655" t="s">
        <v>572</v>
      </c>
    </row>
    <row r="424" spans="1:23">
      <c r="A424" s="1655" t="s">
        <v>70</v>
      </c>
      <c r="B424" s="1655" t="s">
        <v>799</v>
      </c>
      <c r="C424" s="1655">
        <v>0</v>
      </c>
      <c r="D424" s="1655" t="s">
        <v>42</v>
      </c>
      <c r="E424" s="1655" t="s">
        <v>572</v>
      </c>
      <c r="G424" s="1655" t="s">
        <v>70</v>
      </c>
      <c r="H424" s="1655" t="s">
        <v>799</v>
      </c>
      <c r="I424" s="1655">
        <v>0</v>
      </c>
      <c r="J424" s="1655" t="s">
        <v>42</v>
      </c>
      <c r="K424" s="1655" t="s">
        <v>572</v>
      </c>
      <c r="M424" s="1655" t="s">
        <v>70</v>
      </c>
      <c r="N424" s="1655" t="s">
        <v>799</v>
      </c>
      <c r="O424" s="1655">
        <v>0</v>
      </c>
      <c r="P424" s="1655" t="s">
        <v>42</v>
      </c>
      <c r="Q424" s="1655" t="s">
        <v>572</v>
      </c>
      <c r="S424" s="1655" t="s">
        <v>70</v>
      </c>
      <c r="T424" s="1655" t="s">
        <v>799</v>
      </c>
      <c r="U424" s="1655">
        <v>0</v>
      </c>
      <c r="V424" s="1655" t="s">
        <v>42</v>
      </c>
      <c r="W424" s="1655" t="s">
        <v>572</v>
      </c>
    </row>
    <row r="425" spans="1:23">
      <c r="A425" s="1655" t="s">
        <v>70</v>
      </c>
      <c r="B425" s="1655" t="s">
        <v>800</v>
      </c>
      <c r="C425" s="1655">
        <v>0</v>
      </c>
      <c r="D425" s="1655" t="s">
        <v>42</v>
      </c>
      <c r="E425" s="1655" t="s">
        <v>572</v>
      </c>
      <c r="G425" s="1655" t="s">
        <v>70</v>
      </c>
      <c r="H425" s="1655" t="s">
        <v>800</v>
      </c>
      <c r="I425" s="1655">
        <v>0</v>
      </c>
      <c r="J425" s="1655" t="s">
        <v>42</v>
      </c>
      <c r="K425" s="1655" t="s">
        <v>572</v>
      </c>
      <c r="M425" s="1655" t="s">
        <v>70</v>
      </c>
      <c r="N425" s="1655" t="s">
        <v>800</v>
      </c>
      <c r="O425" s="1655">
        <v>0</v>
      </c>
      <c r="P425" s="1655" t="s">
        <v>42</v>
      </c>
      <c r="Q425" s="1655" t="s">
        <v>572</v>
      </c>
      <c r="S425" s="1655" t="s">
        <v>70</v>
      </c>
      <c r="T425" s="1655" t="s">
        <v>800</v>
      </c>
      <c r="U425" s="1655">
        <v>0</v>
      </c>
      <c r="V425" s="1655" t="s">
        <v>42</v>
      </c>
      <c r="W425" s="1655" t="s">
        <v>572</v>
      </c>
    </row>
    <row r="426" spans="1:23">
      <c r="A426" s="1655" t="s">
        <v>70</v>
      </c>
      <c r="B426" s="1655" t="s">
        <v>801</v>
      </c>
      <c r="C426" s="1655">
        <v>26</v>
      </c>
      <c r="D426" s="1655" t="s">
        <v>42</v>
      </c>
      <c r="E426" s="1655" t="s">
        <v>572</v>
      </c>
      <c r="G426" s="1655" t="s">
        <v>70</v>
      </c>
      <c r="H426" s="1655" t="s">
        <v>801</v>
      </c>
      <c r="I426" s="1655">
        <v>24</v>
      </c>
      <c r="J426" s="1655" t="s">
        <v>42</v>
      </c>
      <c r="K426" s="1655" t="s">
        <v>572</v>
      </c>
      <c r="M426" s="1655" t="s">
        <v>70</v>
      </c>
      <c r="N426" s="1655" t="s">
        <v>801</v>
      </c>
      <c r="O426" s="1655">
        <v>24</v>
      </c>
      <c r="P426" s="1655" t="s">
        <v>42</v>
      </c>
      <c r="Q426" s="1655" t="s">
        <v>572</v>
      </c>
      <c r="S426" s="1655" t="s">
        <v>70</v>
      </c>
      <c r="T426" s="1655" t="s">
        <v>801</v>
      </c>
      <c r="U426" s="1655">
        <v>0</v>
      </c>
      <c r="V426" s="1655" t="s">
        <v>42</v>
      </c>
      <c r="W426" s="1655" t="s">
        <v>572</v>
      </c>
    </row>
    <row r="427" spans="1:23">
      <c r="A427" s="1655" t="s">
        <v>70</v>
      </c>
      <c r="B427" s="1655" t="s">
        <v>802</v>
      </c>
      <c r="C427" s="1655">
        <v>12</v>
      </c>
      <c r="D427" s="1655" t="s">
        <v>42</v>
      </c>
      <c r="E427" s="1655" t="s">
        <v>572</v>
      </c>
      <c r="G427" s="1655" t="s">
        <v>70</v>
      </c>
      <c r="H427" s="1655" t="s">
        <v>802</v>
      </c>
      <c r="I427" s="1655">
        <v>12</v>
      </c>
      <c r="J427" s="1655" t="s">
        <v>42</v>
      </c>
      <c r="K427" s="1655" t="s">
        <v>572</v>
      </c>
      <c r="M427" s="1655" t="s">
        <v>70</v>
      </c>
      <c r="N427" s="1655" t="s">
        <v>802</v>
      </c>
      <c r="O427" s="1655">
        <v>12</v>
      </c>
      <c r="P427" s="1655" t="s">
        <v>42</v>
      </c>
      <c r="Q427" s="1655" t="s">
        <v>572</v>
      </c>
      <c r="S427" s="1655" t="s">
        <v>70</v>
      </c>
      <c r="T427" s="1655" t="s">
        <v>802</v>
      </c>
      <c r="U427" s="1655">
        <v>0</v>
      </c>
      <c r="V427" s="1655" t="s">
        <v>42</v>
      </c>
      <c r="W427" s="1655" t="s">
        <v>572</v>
      </c>
    </row>
    <row r="428" spans="1:23">
      <c r="A428" s="1655" t="s">
        <v>70</v>
      </c>
      <c r="B428" s="1655" t="s">
        <v>803</v>
      </c>
      <c r="C428" s="1655">
        <v>24</v>
      </c>
      <c r="D428" s="1655" t="s">
        <v>42</v>
      </c>
      <c r="E428" s="1655" t="s">
        <v>572</v>
      </c>
      <c r="G428" s="1655" t="s">
        <v>70</v>
      </c>
      <c r="H428" s="1655" t="s">
        <v>803</v>
      </c>
      <c r="I428" s="1655">
        <v>52</v>
      </c>
      <c r="J428" s="1655" t="s">
        <v>42</v>
      </c>
      <c r="K428" s="1655" t="s">
        <v>572</v>
      </c>
      <c r="M428" s="1655" t="s">
        <v>70</v>
      </c>
      <c r="N428" s="1655" t="s">
        <v>803</v>
      </c>
      <c r="O428" s="1655">
        <v>24</v>
      </c>
      <c r="P428" s="1655" t="s">
        <v>42</v>
      </c>
      <c r="Q428" s="1655" t="s">
        <v>572</v>
      </c>
      <c r="S428" s="1655" t="s">
        <v>70</v>
      </c>
      <c r="T428" s="1655" t="s">
        <v>803</v>
      </c>
      <c r="U428" s="1655">
        <v>0</v>
      </c>
      <c r="V428" s="1655" t="s">
        <v>42</v>
      </c>
      <c r="W428" s="1655" t="s">
        <v>572</v>
      </c>
    </row>
    <row r="429" spans="1:23">
      <c r="A429" s="1655" t="s">
        <v>70</v>
      </c>
      <c r="B429" s="1655" t="s">
        <v>804</v>
      </c>
      <c r="C429" s="1655">
        <v>0</v>
      </c>
      <c r="D429" s="1655" t="s">
        <v>42</v>
      </c>
      <c r="E429" s="1655" t="s">
        <v>572</v>
      </c>
      <c r="G429" s="1655" t="s">
        <v>70</v>
      </c>
      <c r="H429" s="1655" t="s">
        <v>804</v>
      </c>
      <c r="I429" s="1655">
        <v>0</v>
      </c>
      <c r="J429" s="1655" t="s">
        <v>42</v>
      </c>
      <c r="K429" s="1655" t="s">
        <v>572</v>
      </c>
      <c r="M429" s="1655" t="s">
        <v>70</v>
      </c>
      <c r="N429" s="1655" t="s">
        <v>804</v>
      </c>
      <c r="O429" s="1655">
        <v>12</v>
      </c>
      <c r="P429" s="1655" t="s">
        <v>42</v>
      </c>
      <c r="Q429" s="1655" t="s">
        <v>572</v>
      </c>
      <c r="S429" s="1655" t="s">
        <v>70</v>
      </c>
      <c r="T429" s="1655" t="s">
        <v>804</v>
      </c>
      <c r="U429" s="1655">
        <v>0</v>
      </c>
      <c r="V429" s="1655" t="s">
        <v>42</v>
      </c>
      <c r="W429" s="1655" t="s">
        <v>572</v>
      </c>
    </row>
    <row r="430" spans="1:23">
      <c r="A430" s="1655" t="s">
        <v>70</v>
      </c>
      <c r="B430" s="1655" t="s">
        <v>805</v>
      </c>
      <c r="C430" s="1655">
        <v>0</v>
      </c>
      <c r="D430" s="1655" t="s">
        <v>42</v>
      </c>
      <c r="E430" s="1655" t="s">
        <v>572</v>
      </c>
      <c r="G430" s="1655" t="s">
        <v>70</v>
      </c>
      <c r="H430" s="1655" t="s">
        <v>805</v>
      </c>
      <c r="I430" s="1655">
        <v>0</v>
      </c>
      <c r="J430" s="1655" t="s">
        <v>42</v>
      </c>
      <c r="K430" s="1655" t="s">
        <v>572</v>
      </c>
      <c r="M430" s="1655" t="s">
        <v>70</v>
      </c>
      <c r="N430" s="1655" t="s">
        <v>805</v>
      </c>
      <c r="O430" s="1655">
        <v>0</v>
      </c>
      <c r="P430" s="1655" t="s">
        <v>42</v>
      </c>
      <c r="Q430" s="1655" t="s">
        <v>572</v>
      </c>
      <c r="S430" s="1655" t="s">
        <v>70</v>
      </c>
      <c r="T430" s="1655" t="s">
        <v>805</v>
      </c>
      <c r="U430" s="1655">
        <v>0</v>
      </c>
      <c r="V430" s="1655" t="s">
        <v>42</v>
      </c>
      <c r="W430" s="1655" t="s">
        <v>572</v>
      </c>
    </row>
    <row r="431" spans="1:23">
      <c r="A431" s="1655" t="s">
        <v>70</v>
      </c>
      <c r="B431" s="1655" t="s">
        <v>806</v>
      </c>
      <c r="C431" s="1655">
        <v>0</v>
      </c>
      <c r="D431" s="1655" t="s">
        <v>42</v>
      </c>
      <c r="E431" s="1655" t="s">
        <v>572</v>
      </c>
      <c r="G431" s="1655" t="s">
        <v>70</v>
      </c>
      <c r="H431" s="1655" t="s">
        <v>806</v>
      </c>
      <c r="I431" s="1655">
        <v>0</v>
      </c>
      <c r="J431" s="1655" t="s">
        <v>42</v>
      </c>
      <c r="K431" s="1655" t="s">
        <v>572</v>
      </c>
      <c r="M431" s="1655" t="s">
        <v>70</v>
      </c>
      <c r="N431" s="1655" t="s">
        <v>806</v>
      </c>
      <c r="O431" s="1655">
        <v>0</v>
      </c>
      <c r="P431" s="1655" t="s">
        <v>42</v>
      </c>
      <c r="Q431" s="1655" t="s">
        <v>572</v>
      </c>
      <c r="S431" s="1655" t="s">
        <v>70</v>
      </c>
      <c r="T431" s="1655" t="s">
        <v>806</v>
      </c>
      <c r="U431" s="1655">
        <v>0</v>
      </c>
      <c r="V431" s="1655" t="s">
        <v>42</v>
      </c>
      <c r="W431" s="1655" t="s">
        <v>572</v>
      </c>
    </row>
    <row r="432" spans="1:23">
      <c r="A432" s="1655" t="s">
        <v>70</v>
      </c>
      <c r="B432" s="1655" t="s">
        <v>1645</v>
      </c>
      <c r="C432" s="1655">
        <v>0</v>
      </c>
      <c r="D432" s="1655" t="s">
        <v>42</v>
      </c>
      <c r="E432" s="1655" t="s">
        <v>572</v>
      </c>
      <c r="G432" s="1655" t="s">
        <v>70</v>
      </c>
      <c r="H432" s="1655" t="s">
        <v>1645</v>
      </c>
      <c r="I432" s="1655">
        <v>0</v>
      </c>
      <c r="J432" s="1655" t="s">
        <v>42</v>
      </c>
      <c r="K432" s="1655" t="s">
        <v>572</v>
      </c>
      <c r="M432" s="1655" t="s">
        <v>70</v>
      </c>
      <c r="N432" s="1655" t="s">
        <v>1645</v>
      </c>
      <c r="O432" s="1655">
        <v>0</v>
      </c>
      <c r="P432" s="1655" t="s">
        <v>42</v>
      </c>
      <c r="Q432" s="1655" t="s">
        <v>572</v>
      </c>
      <c r="S432" s="1655" t="s">
        <v>70</v>
      </c>
      <c r="T432" s="1655" t="s">
        <v>1645</v>
      </c>
      <c r="U432" s="1655">
        <v>0</v>
      </c>
      <c r="V432" s="1655" t="s">
        <v>42</v>
      </c>
      <c r="W432" s="1655" t="s">
        <v>572</v>
      </c>
    </row>
    <row r="433" spans="1:23">
      <c r="A433" s="1655" t="s">
        <v>70</v>
      </c>
      <c r="B433" s="1655" t="s">
        <v>1646</v>
      </c>
      <c r="C433" s="1655">
        <v>0</v>
      </c>
      <c r="D433" s="1655" t="s">
        <v>42</v>
      </c>
      <c r="E433" s="1655" t="s">
        <v>572</v>
      </c>
      <c r="G433" s="1655" t="s">
        <v>70</v>
      </c>
      <c r="H433" s="1655" t="s">
        <v>1646</v>
      </c>
      <c r="I433" s="1655">
        <v>0</v>
      </c>
      <c r="J433" s="1655" t="s">
        <v>42</v>
      </c>
      <c r="K433" s="1655" t="s">
        <v>572</v>
      </c>
      <c r="M433" s="1655" t="s">
        <v>70</v>
      </c>
      <c r="N433" s="1655" t="s">
        <v>1646</v>
      </c>
      <c r="O433" s="1655">
        <v>0</v>
      </c>
      <c r="P433" s="1655" t="s">
        <v>42</v>
      </c>
      <c r="Q433" s="1655" t="s">
        <v>572</v>
      </c>
      <c r="S433" s="1655" t="s">
        <v>70</v>
      </c>
      <c r="T433" s="1655" t="s">
        <v>1646</v>
      </c>
      <c r="U433" s="1655">
        <v>0</v>
      </c>
      <c r="V433" s="1655" t="s">
        <v>42</v>
      </c>
      <c r="W433" s="1655" t="s">
        <v>572</v>
      </c>
    </row>
    <row r="434" spans="1:23">
      <c r="A434" s="1655" t="s">
        <v>70</v>
      </c>
      <c r="B434" s="1655" t="s">
        <v>807</v>
      </c>
      <c r="C434" s="1655">
        <v>0</v>
      </c>
      <c r="D434" s="1655" t="s">
        <v>42</v>
      </c>
      <c r="E434" s="1655" t="s">
        <v>572</v>
      </c>
      <c r="G434" s="1655" t="s">
        <v>70</v>
      </c>
      <c r="H434" s="1655" t="s">
        <v>807</v>
      </c>
      <c r="I434" s="1655">
        <v>0</v>
      </c>
      <c r="J434" s="1655" t="s">
        <v>42</v>
      </c>
      <c r="K434" s="1655" t="s">
        <v>572</v>
      </c>
      <c r="M434" s="1655" t="s">
        <v>70</v>
      </c>
      <c r="N434" s="1655" t="s">
        <v>807</v>
      </c>
      <c r="O434" s="1655">
        <v>0</v>
      </c>
      <c r="P434" s="1655" t="s">
        <v>42</v>
      </c>
      <c r="Q434" s="1655" t="s">
        <v>572</v>
      </c>
      <c r="S434" s="1655" t="s">
        <v>70</v>
      </c>
      <c r="T434" s="1655" t="s">
        <v>807</v>
      </c>
      <c r="U434" s="1655">
        <v>0</v>
      </c>
      <c r="V434" s="1655" t="s">
        <v>42</v>
      </c>
      <c r="W434" s="1655" t="s">
        <v>572</v>
      </c>
    </row>
    <row r="435" spans="1:23">
      <c r="A435" s="1655" t="s">
        <v>70</v>
      </c>
      <c r="B435" s="1655" t="s">
        <v>808</v>
      </c>
      <c r="C435" s="1655">
        <v>0</v>
      </c>
      <c r="D435" s="1655" t="s">
        <v>42</v>
      </c>
      <c r="E435" s="1655" t="s">
        <v>572</v>
      </c>
      <c r="G435" s="1655" t="s">
        <v>70</v>
      </c>
      <c r="H435" s="1655" t="s">
        <v>808</v>
      </c>
      <c r="I435" s="1655">
        <v>0</v>
      </c>
      <c r="J435" s="1655" t="s">
        <v>42</v>
      </c>
      <c r="K435" s="1655" t="s">
        <v>572</v>
      </c>
      <c r="M435" s="1655" t="s">
        <v>70</v>
      </c>
      <c r="N435" s="1655" t="s">
        <v>808</v>
      </c>
      <c r="O435" s="1655">
        <v>0</v>
      </c>
      <c r="P435" s="1655" t="s">
        <v>42</v>
      </c>
      <c r="Q435" s="1655" t="s">
        <v>572</v>
      </c>
      <c r="S435" s="1655" t="s">
        <v>70</v>
      </c>
      <c r="T435" s="1655" t="s">
        <v>808</v>
      </c>
      <c r="U435" s="1655">
        <v>0</v>
      </c>
      <c r="V435" s="1655" t="s">
        <v>42</v>
      </c>
      <c r="W435" s="1655" t="s">
        <v>572</v>
      </c>
    </row>
    <row r="436" spans="1:23">
      <c r="A436" s="1655" t="s">
        <v>70</v>
      </c>
      <c r="B436" s="1655" t="s">
        <v>809</v>
      </c>
      <c r="C436" s="1655">
        <v>0</v>
      </c>
      <c r="D436" s="1655" t="s">
        <v>42</v>
      </c>
      <c r="E436" s="1655" t="s">
        <v>572</v>
      </c>
      <c r="G436" s="1655" t="s">
        <v>70</v>
      </c>
      <c r="H436" s="1655" t="s">
        <v>809</v>
      </c>
      <c r="I436" s="1655">
        <v>0</v>
      </c>
      <c r="J436" s="1655" t="s">
        <v>42</v>
      </c>
      <c r="K436" s="1655" t="s">
        <v>572</v>
      </c>
      <c r="M436" s="1655" t="s">
        <v>70</v>
      </c>
      <c r="N436" s="1655" t="s">
        <v>809</v>
      </c>
      <c r="O436" s="1655">
        <v>0</v>
      </c>
      <c r="P436" s="1655" t="s">
        <v>42</v>
      </c>
      <c r="Q436" s="1655" t="s">
        <v>572</v>
      </c>
      <c r="S436" s="1655" t="s">
        <v>70</v>
      </c>
      <c r="T436" s="1655" t="s">
        <v>809</v>
      </c>
      <c r="U436" s="1655">
        <v>0</v>
      </c>
      <c r="V436" s="1655" t="s">
        <v>42</v>
      </c>
      <c r="W436" s="1655" t="s">
        <v>572</v>
      </c>
    </row>
    <row r="437" spans="1:23">
      <c r="A437" s="1655" t="s">
        <v>70</v>
      </c>
      <c r="B437" s="1655" t="s">
        <v>1647</v>
      </c>
      <c r="C437" s="1655">
        <v>12</v>
      </c>
      <c r="D437" s="1655" t="s">
        <v>42</v>
      </c>
      <c r="E437" s="1655" t="s">
        <v>572</v>
      </c>
      <c r="G437" s="1655" t="s">
        <v>70</v>
      </c>
      <c r="H437" s="1655" t="s">
        <v>1647</v>
      </c>
      <c r="I437" s="1655">
        <v>12</v>
      </c>
      <c r="J437" s="1655" t="s">
        <v>42</v>
      </c>
      <c r="K437" s="1655" t="s">
        <v>572</v>
      </c>
      <c r="M437" s="1655" t="s">
        <v>70</v>
      </c>
      <c r="N437" s="1655" t="s">
        <v>1647</v>
      </c>
      <c r="O437" s="1655">
        <v>12</v>
      </c>
      <c r="P437" s="1655" t="s">
        <v>42</v>
      </c>
      <c r="Q437" s="1655" t="s">
        <v>572</v>
      </c>
      <c r="S437" s="1655" t="s">
        <v>70</v>
      </c>
      <c r="T437" s="1655" t="s">
        <v>1647</v>
      </c>
      <c r="U437" s="1655">
        <v>0</v>
      </c>
      <c r="V437" s="1655" t="s">
        <v>42</v>
      </c>
      <c r="W437" s="1655" t="s">
        <v>572</v>
      </c>
    </row>
    <row r="438" spans="1:23">
      <c r="A438" s="1655" t="s">
        <v>70</v>
      </c>
      <c r="B438" s="1655" t="s">
        <v>810</v>
      </c>
      <c r="C438" s="1655">
        <v>12</v>
      </c>
      <c r="D438" s="1655" t="s">
        <v>42</v>
      </c>
      <c r="E438" s="1655" t="s">
        <v>572</v>
      </c>
      <c r="G438" s="1655" t="s">
        <v>70</v>
      </c>
      <c r="H438" s="1655" t="s">
        <v>810</v>
      </c>
      <c r="I438" s="1655">
        <v>12</v>
      </c>
      <c r="J438" s="1655" t="s">
        <v>42</v>
      </c>
      <c r="K438" s="1655" t="s">
        <v>572</v>
      </c>
      <c r="M438" s="1655" t="s">
        <v>70</v>
      </c>
      <c r="N438" s="1655" t="s">
        <v>810</v>
      </c>
      <c r="O438" s="1655">
        <v>12</v>
      </c>
      <c r="P438" s="1655" t="s">
        <v>42</v>
      </c>
      <c r="Q438" s="1655" t="s">
        <v>572</v>
      </c>
      <c r="S438" s="1655" t="s">
        <v>70</v>
      </c>
      <c r="T438" s="1655" t="s">
        <v>810</v>
      </c>
      <c r="U438" s="1655">
        <v>0</v>
      </c>
      <c r="V438" s="1655" t="s">
        <v>42</v>
      </c>
      <c r="W438" s="1655" t="s">
        <v>572</v>
      </c>
    </row>
    <row r="439" spans="1:23">
      <c r="A439" s="1655" t="s">
        <v>70</v>
      </c>
      <c r="B439" s="1655" t="s">
        <v>811</v>
      </c>
      <c r="C439" s="1655">
        <v>12</v>
      </c>
      <c r="D439" s="1655" t="s">
        <v>42</v>
      </c>
      <c r="E439" s="1655" t="s">
        <v>572</v>
      </c>
      <c r="G439" s="1655" t="s">
        <v>70</v>
      </c>
      <c r="H439" s="1655" t="s">
        <v>811</v>
      </c>
      <c r="I439" s="1655">
        <v>12</v>
      </c>
      <c r="J439" s="1655" t="s">
        <v>42</v>
      </c>
      <c r="K439" s="1655" t="s">
        <v>572</v>
      </c>
      <c r="M439" s="1655" t="s">
        <v>70</v>
      </c>
      <c r="N439" s="1655" t="s">
        <v>811</v>
      </c>
      <c r="O439" s="1655">
        <v>12</v>
      </c>
      <c r="P439" s="1655" t="s">
        <v>42</v>
      </c>
      <c r="Q439" s="1655" t="s">
        <v>572</v>
      </c>
      <c r="S439" s="1655" t="s">
        <v>70</v>
      </c>
      <c r="T439" s="1655" t="s">
        <v>811</v>
      </c>
      <c r="U439" s="1655">
        <v>0</v>
      </c>
      <c r="V439" s="1655" t="s">
        <v>42</v>
      </c>
      <c r="W439" s="1655" t="s">
        <v>572</v>
      </c>
    </row>
    <row r="440" spans="1:23">
      <c r="A440" s="1655" t="s">
        <v>70</v>
      </c>
      <c r="B440" s="1655" t="s">
        <v>812</v>
      </c>
      <c r="C440" s="1655">
        <v>1</v>
      </c>
      <c r="D440" s="1655" t="s">
        <v>42</v>
      </c>
      <c r="E440" s="1655" t="s">
        <v>572</v>
      </c>
      <c r="G440" s="1655" t="s">
        <v>70</v>
      </c>
      <c r="H440" s="1655" t="s">
        <v>812</v>
      </c>
      <c r="I440" s="1655">
        <v>12</v>
      </c>
      <c r="J440" s="1655" t="s">
        <v>42</v>
      </c>
      <c r="K440" s="1655" t="s">
        <v>572</v>
      </c>
      <c r="M440" s="1655" t="s">
        <v>70</v>
      </c>
      <c r="N440" s="1655" t="s">
        <v>812</v>
      </c>
      <c r="O440" s="1655">
        <v>1</v>
      </c>
      <c r="P440" s="1655" t="s">
        <v>42</v>
      </c>
      <c r="Q440" s="1655" t="s">
        <v>572</v>
      </c>
      <c r="S440" s="1655" t="s">
        <v>70</v>
      </c>
      <c r="T440" s="1655" t="s">
        <v>812</v>
      </c>
      <c r="U440" s="1655">
        <v>0</v>
      </c>
      <c r="V440" s="1655" t="s">
        <v>42</v>
      </c>
      <c r="W440" s="1655" t="s">
        <v>572</v>
      </c>
    </row>
    <row r="441" spans="1:23">
      <c r="A441" s="1655" t="s">
        <v>70</v>
      </c>
      <c r="B441" s="1655" t="s">
        <v>813</v>
      </c>
      <c r="C441" s="1655">
        <v>12</v>
      </c>
      <c r="D441" s="1655" t="s">
        <v>42</v>
      </c>
      <c r="E441" s="1655" t="s">
        <v>572</v>
      </c>
      <c r="G441" s="1655" t="s">
        <v>70</v>
      </c>
      <c r="H441" s="1655" t="s">
        <v>813</v>
      </c>
      <c r="I441" s="1655">
        <v>1</v>
      </c>
      <c r="J441" s="1655" t="s">
        <v>42</v>
      </c>
      <c r="K441" s="1655" t="s">
        <v>572</v>
      </c>
      <c r="M441" s="1655" t="s">
        <v>70</v>
      </c>
      <c r="N441" s="1655" t="s">
        <v>813</v>
      </c>
      <c r="O441" s="1655">
        <v>12</v>
      </c>
      <c r="P441" s="1655" t="s">
        <v>42</v>
      </c>
      <c r="Q441" s="1655" t="s">
        <v>572</v>
      </c>
      <c r="S441" s="1655" t="s">
        <v>70</v>
      </c>
      <c r="T441" s="1655" t="s">
        <v>813</v>
      </c>
      <c r="U441" s="1655">
        <v>0</v>
      </c>
      <c r="V441" s="1655" t="s">
        <v>42</v>
      </c>
      <c r="W441" s="1655" t="s">
        <v>572</v>
      </c>
    </row>
    <row r="442" spans="1:23">
      <c r="A442" s="1655" t="s">
        <v>70</v>
      </c>
      <c r="B442" s="1655" t="s">
        <v>814</v>
      </c>
      <c r="C442" s="1655">
        <v>0</v>
      </c>
      <c r="D442" s="1655" t="s">
        <v>42</v>
      </c>
      <c r="E442" s="1655" t="s">
        <v>572</v>
      </c>
      <c r="G442" s="1655" t="s">
        <v>70</v>
      </c>
      <c r="H442" s="1655" t="s">
        <v>814</v>
      </c>
      <c r="I442" s="1655">
        <v>0</v>
      </c>
      <c r="J442" s="1655" t="s">
        <v>42</v>
      </c>
      <c r="K442" s="1655" t="s">
        <v>572</v>
      </c>
      <c r="M442" s="1655" t="s">
        <v>70</v>
      </c>
      <c r="N442" s="1655" t="s">
        <v>814</v>
      </c>
      <c r="O442" s="1655">
        <v>0</v>
      </c>
      <c r="P442" s="1655" t="s">
        <v>42</v>
      </c>
      <c r="Q442" s="1655" t="s">
        <v>572</v>
      </c>
      <c r="S442" s="1655" t="s">
        <v>70</v>
      </c>
      <c r="T442" s="1655" t="s">
        <v>814</v>
      </c>
      <c r="U442" s="1655">
        <v>0</v>
      </c>
      <c r="V442" s="1655" t="s">
        <v>42</v>
      </c>
      <c r="W442" s="1655" t="s">
        <v>572</v>
      </c>
    </row>
    <row r="443" spans="1:23">
      <c r="A443" s="1655" t="s">
        <v>70</v>
      </c>
      <c r="B443" s="1655" t="s">
        <v>815</v>
      </c>
      <c r="C443" s="1655">
        <v>12</v>
      </c>
      <c r="D443" s="1655" t="s">
        <v>42</v>
      </c>
      <c r="E443" s="1655" t="s">
        <v>572</v>
      </c>
      <c r="G443" s="1655" t="s">
        <v>70</v>
      </c>
      <c r="H443" s="1655" t="s">
        <v>815</v>
      </c>
      <c r="I443" s="1655">
        <v>0</v>
      </c>
      <c r="J443" s="1655" t="s">
        <v>42</v>
      </c>
      <c r="K443" s="1655" t="s">
        <v>572</v>
      </c>
      <c r="M443" s="1655" t="s">
        <v>70</v>
      </c>
      <c r="N443" s="1655" t="s">
        <v>815</v>
      </c>
      <c r="O443" s="1655">
        <v>12</v>
      </c>
      <c r="P443" s="1655" t="s">
        <v>42</v>
      </c>
      <c r="Q443" s="1655" t="s">
        <v>572</v>
      </c>
      <c r="S443" s="1655" t="s">
        <v>70</v>
      </c>
      <c r="T443" s="1655" t="s">
        <v>815</v>
      </c>
      <c r="U443" s="1655">
        <v>0</v>
      </c>
      <c r="V443" s="1655" t="s">
        <v>42</v>
      </c>
      <c r="W443" s="1655" t="s">
        <v>572</v>
      </c>
    </row>
    <row r="444" spans="1:23">
      <c r="A444" s="1655" t="s">
        <v>70</v>
      </c>
      <c r="B444" s="1655" t="s">
        <v>816</v>
      </c>
      <c r="C444" s="1655">
        <v>12</v>
      </c>
      <c r="D444" s="1655" t="s">
        <v>42</v>
      </c>
      <c r="E444" s="1655" t="s">
        <v>572</v>
      </c>
      <c r="G444" s="1655" t="s">
        <v>70</v>
      </c>
      <c r="H444" s="1655" t="s">
        <v>816</v>
      </c>
      <c r="I444" s="1655">
        <v>0</v>
      </c>
      <c r="J444" s="1655" t="s">
        <v>42</v>
      </c>
      <c r="K444" s="1655" t="s">
        <v>572</v>
      </c>
      <c r="M444" s="1655" t="s">
        <v>70</v>
      </c>
      <c r="N444" s="1655" t="s">
        <v>816</v>
      </c>
      <c r="O444" s="1655">
        <v>12</v>
      </c>
      <c r="P444" s="1655" t="s">
        <v>42</v>
      </c>
      <c r="Q444" s="1655" t="s">
        <v>572</v>
      </c>
      <c r="S444" s="1655" t="s">
        <v>70</v>
      </c>
      <c r="T444" s="1655" t="s">
        <v>816</v>
      </c>
      <c r="U444" s="1655">
        <v>0</v>
      </c>
      <c r="V444" s="1655" t="s">
        <v>42</v>
      </c>
      <c r="W444" s="1655" t="s">
        <v>572</v>
      </c>
    </row>
    <row r="445" spans="1:23">
      <c r="A445" s="1655" t="s">
        <v>70</v>
      </c>
      <c r="B445" s="1655" t="s">
        <v>817</v>
      </c>
      <c r="C445" s="1655">
        <v>12</v>
      </c>
      <c r="D445" s="1655" t="s">
        <v>42</v>
      </c>
      <c r="E445" s="1655" t="s">
        <v>572</v>
      </c>
      <c r="G445" s="1655" t="s">
        <v>70</v>
      </c>
      <c r="H445" s="1655" t="s">
        <v>817</v>
      </c>
      <c r="I445" s="1655">
        <v>0</v>
      </c>
      <c r="J445" s="1655" t="s">
        <v>42</v>
      </c>
      <c r="K445" s="1655" t="s">
        <v>572</v>
      </c>
      <c r="M445" s="1655" t="s">
        <v>70</v>
      </c>
      <c r="N445" s="1655" t="s">
        <v>817</v>
      </c>
      <c r="O445" s="1655">
        <v>12</v>
      </c>
      <c r="P445" s="1655" t="s">
        <v>42</v>
      </c>
      <c r="Q445" s="1655" t="s">
        <v>572</v>
      </c>
      <c r="S445" s="1655" t="s">
        <v>70</v>
      </c>
      <c r="T445" s="1655" t="s">
        <v>817</v>
      </c>
      <c r="U445" s="1655">
        <v>0</v>
      </c>
      <c r="V445" s="1655" t="s">
        <v>42</v>
      </c>
      <c r="W445" s="1655" t="s">
        <v>572</v>
      </c>
    </row>
    <row r="446" spans="1:23">
      <c r="A446" s="1655" t="s">
        <v>70</v>
      </c>
      <c r="B446" s="1655" t="s">
        <v>818</v>
      </c>
      <c r="C446" s="1655">
        <v>0</v>
      </c>
      <c r="D446" s="1655" t="s">
        <v>42</v>
      </c>
      <c r="E446" s="1655" t="s">
        <v>572</v>
      </c>
      <c r="G446" s="1655" t="s">
        <v>70</v>
      </c>
      <c r="H446" s="1655" t="s">
        <v>818</v>
      </c>
      <c r="I446" s="1655">
        <v>0</v>
      </c>
      <c r="J446" s="1655" t="s">
        <v>42</v>
      </c>
      <c r="K446" s="1655" t="s">
        <v>572</v>
      </c>
      <c r="M446" s="1655" t="s">
        <v>70</v>
      </c>
      <c r="N446" s="1655" t="s">
        <v>818</v>
      </c>
      <c r="O446" s="1655">
        <v>0</v>
      </c>
      <c r="P446" s="1655" t="s">
        <v>42</v>
      </c>
      <c r="Q446" s="1655" t="s">
        <v>572</v>
      </c>
      <c r="S446" s="1655" t="s">
        <v>70</v>
      </c>
      <c r="T446" s="1655" t="s">
        <v>818</v>
      </c>
      <c r="U446" s="1655">
        <v>0</v>
      </c>
      <c r="V446" s="1655" t="s">
        <v>42</v>
      </c>
      <c r="W446" s="1655" t="s">
        <v>572</v>
      </c>
    </row>
    <row r="447" spans="1:23">
      <c r="A447" s="1655" t="s">
        <v>70</v>
      </c>
      <c r="B447" s="1655" t="s">
        <v>1648</v>
      </c>
      <c r="C447" s="1655">
        <v>0</v>
      </c>
      <c r="D447" s="1655" t="s">
        <v>42</v>
      </c>
      <c r="E447" s="1655" t="s">
        <v>572</v>
      </c>
      <c r="G447" s="1655" t="s">
        <v>70</v>
      </c>
      <c r="H447" s="1655" t="s">
        <v>1648</v>
      </c>
      <c r="I447" s="1655">
        <v>0</v>
      </c>
      <c r="J447" s="1655" t="s">
        <v>42</v>
      </c>
      <c r="K447" s="1655" t="s">
        <v>572</v>
      </c>
      <c r="M447" s="1655" t="s">
        <v>70</v>
      </c>
      <c r="N447" s="1655" t="s">
        <v>1648</v>
      </c>
      <c r="O447" s="1655">
        <v>0</v>
      </c>
      <c r="P447" s="1655" t="s">
        <v>42</v>
      </c>
      <c r="Q447" s="1655" t="s">
        <v>572</v>
      </c>
      <c r="S447" s="1655" t="s">
        <v>70</v>
      </c>
      <c r="T447" s="1655" t="s">
        <v>1648</v>
      </c>
      <c r="U447" s="1655">
        <v>0</v>
      </c>
      <c r="V447" s="1655" t="s">
        <v>42</v>
      </c>
      <c r="W447" s="1655" t="s">
        <v>572</v>
      </c>
    </row>
    <row r="448" spans="1:23">
      <c r="A448" s="1655" t="s">
        <v>70</v>
      </c>
      <c r="B448" s="1655" t="s">
        <v>1649</v>
      </c>
      <c r="C448" s="1655">
        <v>0</v>
      </c>
      <c r="D448" s="1655" t="s">
        <v>42</v>
      </c>
      <c r="E448" s="1655" t="s">
        <v>572</v>
      </c>
      <c r="G448" s="1655" t="s">
        <v>70</v>
      </c>
      <c r="H448" s="1655" t="s">
        <v>1649</v>
      </c>
      <c r="I448" s="1655">
        <v>0</v>
      </c>
      <c r="J448" s="1655" t="s">
        <v>42</v>
      </c>
      <c r="K448" s="1655" t="s">
        <v>572</v>
      </c>
      <c r="M448" s="1655" t="s">
        <v>70</v>
      </c>
      <c r="N448" s="1655" t="s">
        <v>1649</v>
      </c>
      <c r="O448" s="1655">
        <v>1</v>
      </c>
      <c r="P448" s="1655" t="s">
        <v>42</v>
      </c>
      <c r="Q448" s="1655" t="s">
        <v>572</v>
      </c>
      <c r="S448" s="1655" t="s">
        <v>70</v>
      </c>
      <c r="T448" s="1655" t="s">
        <v>1649</v>
      </c>
      <c r="U448" s="1655">
        <v>0</v>
      </c>
      <c r="V448" s="1655" t="s">
        <v>42</v>
      </c>
      <c r="W448" s="1655" t="s">
        <v>572</v>
      </c>
    </row>
    <row r="449" spans="1:23">
      <c r="A449" s="1655" t="s">
        <v>70</v>
      </c>
      <c r="B449" s="1655" t="s">
        <v>819</v>
      </c>
      <c r="C449" s="1655">
        <v>12</v>
      </c>
      <c r="D449" s="1655" t="s">
        <v>42</v>
      </c>
      <c r="E449" s="1655" t="s">
        <v>572</v>
      </c>
      <c r="G449" s="1655" t="s">
        <v>70</v>
      </c>
      <c r="H449" s="1655" t="s">
        <v>819</v>
      </c>
      <c r="I449" s="1655">
        <v>0</v>
      </c>
      <c r="J449" s="1655" t="s">
        <v>42</v>
      </c>
      <c r="K449" s="1655" t="s">
        <v>572</v>
      </c>
      <c r="M449" s="1655" t="s">
        <v>70</v>
      </c>
      <c r="N449" s="1655" t="s">
        <v>819</v>
      </c>
      <c r="O449" s="1655">
        <v>12</v>
      </c>
      <c r="P449" s="1655" t="s">
        <v>42</v>
      </c>
      <c r="Q449" s="1655" t="s">
        <v>572</v>
      </c>
      <c r="S449" s="1655" t="s">
        <v>70</v>
      </c>
      <c r="T449" s="1655" t="s">
        <v>819</v>
      </c>
      <c r="U449" s="1655">
        <v>0</v>
      </c>
      <c r="V449" s="1655" t="s">
        <v>42</v>
      </c>
      <c r="W449" s="1655" t="s">
        <v>572</v>
      </c>
    </row>
    <row r="450" spans="1:23">
      <c r="A450" s="1655" t="s">
        <v>70</v>
      </c>
      <c r="B450" s="1655" t="s">
        <v>820</v>
      </c>
      <c r="C450" s="1655">
        <v>12</v>
      </c>
      <c r="D450" s="1655" t="s">
        <v>42</v>
      </c>
      <c r="E450" s="1655" t="s">
        <v>572</v>
      </c>
      <c r="G450" s="1655" t="s">
        <v>70</v>
      </c>
      <c r="H450" s="1655" t="s">
        <v>820</v>
      </c>
      <c r="I450" s="1655">
        <v>0</v>
      </c>
      <c r="J450" s="1655" t="s">
        <v>42</v>
      </c>
      <c r="K450" s="1655" t="s">
        <v>572</v>
      </c>
      <c r="M450" s="1655" t="s">
        <v>70</v>
      </c>
      <c r="N450" s="1655" t="s">
        <v>820</v>
      </c>
      <c r="O450" s="1655">
        <v>6</v>
      </c>
      <c r="P450" s="1655" t="s">
        <v>42</v>
      </c>
      <c r="Q450" s="1655" t="s">
        <v>572</v>
      </c>
      <c r="S450" s="1655" t="s">
        <v>70</v>
      </c>
      <c r="T450" s="1655" t="s">
        <v>820</v>
      </c>
      <c r="U450" s="1655">
        <v>0</v>
      </c>
      <c r="V450" s="1655" t="s">
        <v>42</v>
      </c>
      <c r="W450" s="1655" t="s">
        <v>572</v>
      </c>
    </row>
    <row r="451" spans="1:23">
      <c r="A451" s="1655" t="s">
        <v>70</v>
      </c>
      <c r="B451" s="1655" t="s">
        <v>821</v>
      </c>
      <c r="C451" s="1655">
        <v>1</v>
      </c>
      <c r="D451" s="1655" t="s">
        <v>42</v>
      </c>
      <c r="E451" s="1655" t="s">
        <v>572</v>
      </c>
      <c r="G451" s="1655" t="s">
        <v>70</v>
      </c>
      <c r="H451" s="1655" t="s">
        <v>821</v>
      </c>
      <c r="I451" s="1655">
        <v>0</v>
      </c>
      <c r="J451" s="1655" t="s">
        <v>42</v>
      </c>
      <c r="K451" s="1655" t="s">
        <v>572</v>
      </c>
      <c r="M451" s="1655" t="s">
        <v>70</v>
      </c>
      <c r="N451" s="1655" t="s">
        <v>821</v>
      </c>
      <c r="O451" s="1655">
        <v>9</v>
      </c>
      <c r="P451" s="1655" t="s">
        <v>42</v>
      </c>
      <c r="Q451" s="1655" t="s">
        <v>572</v>
      </c>
      <c r="S451" s="1655" t="s">
        <v>70</v>
      </c>
      <c r="T451" s="1655" t="s">
        <v>821</v>
      </c>
      <c r="U451" s="1655">
        <v>0</v>
      </c>
      <c r="V451" s="1655" t="s">
        <v>42</v>
      </c>
      <c r="W451" s="1655" t="s">
        <v>572</v>
      </c>
    </row>
    <row r="452" spans="1:23">
      <c r="A452" s="1655" t="s">
        <v>70</v>
      </c>
      <c r="B452" s="1655" t="s">
        <v>822</v>
      </c>
      <c r="C452" s="1655">
        <v>1</v>
      </c>
      <c r="D452" s="1655" t="s">
        <v>42</v>
      </c>
      <c r="E452" s="1655" t="s">
        <v>572</v>
      </c>
      <c r="G452" s="1655" t="s">
        <v>70</v>
      </c>
      <c r="H452" s="1655" t="s">
        <v>822</v>
      </c>
      <c r="I452" s="1655">
        <v>0</v>
      </c>
      <c r="J452" s="1655" t="s">
        <v>42</v>
      </c>
      <c r="K452" s="1655" t="s">
        <v>572</v>
      </c>
      <c r="M452" s="1655" t="s">
        <v>70</v>
      </c>
      <c r="N452" s="1655" t="s">
        <v>822</v>
      </c>
      <c r="O452" s="1655">
        <v>12</v>
      </c>
      <c r="P452" s="1655" t="s">
        <v>42</v>
      </c>
      <c r="Q452" s="1655" t="s">
        <v>572</v>
      </c>
      <c r="S452" s="1655" t="s">
        <v>70</v>
      </c>
      <c r="T452" s="1655" t="s">
        <v>822</v>
      </c>
      <c r="U452" s="1655">
        <v>0</v>
      </c>
      <c r="V452" s="1655" t="s">
        <v>42</v>
      </c>
      <c r="W452" s="1655" t="s">
        <v>572</v>
      </c>
    </row>
    <row r="453" spans="1:23">
      <c r="A453" s="1655" t="s">
        <v>70</v>
      </c>
      <c r="B453" s="1655" t="s">
        <v>823</v>
      </c>
      <c r="C453" s="1655">
        <v>0</v>
      </c>
      <c r="D453" s="1655" t="s">
        <v>42</v>
      </c>
      <c r="E453" s="1655" t="s">
        <v>572</v>
      </c>
      <c r="G453" s="1655" t="s">
        <v>70</v>
      </c>
      <c r="H453" s="1655" t="s">
        <v>823</v>
      </c>
      <c r="I453" s="1655">
        <v>0</v>
      </c>
      <c r="J453" s="1655" t="s">
        <v>42</v>
      </c>
      <c r="K453" s="1655" t="s">
        <v>572</v>
      </c>
      <c r="M453" s="1655" t="s">
        <v>70</v>
      </c>
      <c r="N453" s="1655" t="s">
        <v>823</v>
      </c>
      <c r="O453" s="1655">
        <v>12</v>
      </c>
      <c r="P453" s="1655" t="s">
        <v>42</v>
      </c>
      <c r="Q453" s="1655" t="s">
        <v>572</v>
      </c>
      <c r="S453" s="1655" t="s">
        <v>70</v>
      </c>
      <c r="T453" s="1655" t="s">
        <v>823</v>
      </c>
      <c r="U453" s="1655">
        <v>0</v>
      </c>
      <c r="V453" s="1655" t="s">
        <v>42</v>
      </c>
      <c r="W453" s="1655" t="s">
        <v>572</v>
      </c>
    </row>
    <row r="454" spans="1:23">
      <c r="A454" s="1655" t="s">
        <v>70</v>
      </c>
      <c r="B454" s="1655" t="s">
        <v>824</v>
      </c>
      <c r="C454" s="1655">
        <v>0</v>
      </c>
      <c r="D454" s="1655" t="s">
        <v>42</v>
      </c>
      <c r="E454" s="1655" t="s">
        <v>572</v>
      </c>
      <c r="G454" s="1655" t="s">
        <v>70</v>
      </c>
      <c r="H454" s="1655" t="s">
        <v>824</v>
      </c>
      <c r="I454" s="1655">
        <v>0</v>
      </c>
      <c r="J454" s="1655" t="s">
        <v>42</v>
      </c>
      <c r="K454" s="1655" t="s">
        <v>572</v>
      </c>
      <c r="M454" s="1655" t="s">
        <v>70</v>
      </c>
      <c r="N454" s="1655" t="s">
        <v>824</v>
      </c>
      <c r="O454" s="1655">
        <v>0</v>
      </c>
      <c r="P454" s="1655" t="s">
        <v>42</v>
      </c>
      <c r="Q454" s="1655" t="s">
        <v>572</v>
      </c>
      <c r="S454" s="1655" t="s">
        <v>70</v>
      </c>
      <c r="T454" s="1655" t="s">
        <v>824</v>
      </c>
      <c r="U454" s="1655">
        <v>0</v>
      </c>
      <c r="V454" s="1655" t="s">
        <v>42</v>
      </c>
      <c r="W454" s="1655" t="s">
        <v>572</v>
      </c>
    </row>
    <row r="455" spans="1:23">
      <c r="A455" s="1655" t="s">
        <v>70</v>
      </c>
      <c r="B455" s="1655" t="s">
        <v>825</v>
      </c>
      <c r="C455" s="1655">
        <v>0</v>
      </c>
      <c r="D455" s="1655" t="s">
        <v>42</v>
      </c>
      <c r="E455" s="1655" t="s">
        <v>572</v>
      </c>
      <c r="G455" s="1655" t="s">
        <v>70</v>
      </c>
      <c r="H455" s="1655" t="s">
        <v>825</v>
      </c>
      <c r="I455" s="1655">
        <v>0</v>
      </c>
      <c r="J455" s="1655" t="s">
        <v>42</v>
      </c>
      <c r="K455" s="1655" t="s">
        <v>572</v>
      </c>
      <c r="M455" s="1655" t="s">
        <v>70</v>
      </c>
      <c r="N455" s="1655" t="s">
        <v>825</v>
      </c>
      <c r="O455" s="1655">
        <v>0</v>
      </c>
      <c r="P455" s="1655" t="s">
        <v>42</v>
      </c>
      <c r="Q455" s="1655" t="s">
        <v>572</v>
      </c>
      <c r="S455" s="1655" t="s">
        <v>70</v>
      </c>
      <c r="T455" s="1655" t="s">
        <v>825</v>
      </c>
      <c r="U455" s="1655">
        <v>0</v>
      </c>
      <c r="V455" s="1655" t="s">
        <v>42</v>
      </c>
      <c r="W455" s="1655" t="s">
        <v>572</v>
      </c>
    </row>
    <row r="456" spans="1:23">
      <c r="A456" s="1655" t="s">
        <v>70</v>
      </c>
      <c r="B456" s="1655" t="s">
        <v>826</v>
      </c>
      <c r="C456" s="1655">
        <v>0</v>
      </c>
      <c r="D456" s="1655" t="s">
        <v>42</v>
      </c>
      <c r="E456" s="1655" t="s">
        <v>572</v>
      </c>
      <c r="G456" s="1655" t="s">
        <v>70</v>
      </c>
      <c r="H456" s="1655" t="s">
        <v>826</v>
      </c>
      <c r="I456" s="1655">
        <v>0</v>
      </c>
      <c r="J456" s="1655" t="s">
        <v>42</v>
      </c>
      <c r="K456" s="1655" t="s">
        <v>572</v>
      </c>
      <c r="M456" s="1655" t="s">
        <v>70</v>
      </c>
      <c r="N456" s="1655" t="s">
        <v>826</v>
      </c>
      <c r="O456" s="1655">
        <v>0</v>
      </c>
      <c r="P456" s="1655" t="s">
        <v>42</v>
      </c>
      <c r="Q456" s="1655" t="s">
        <v>572</v>
      </c>
      <c r="S456" s="1655" t="s">
        <v>70</v>
      </c>
      <c r="T456" s="1655" t="s">
        <v>826</v>
      </c>
      <c r="U456" s="1655">
        <v>0</v>
      </c>
      <c r="V456" s="1655" t="s">
        <v>42</v>
      </c>
      <c r="W456" s="1655" t="s">
        <v>572</v>
      </c>
    </row>
    <row r="457" spans="1:23">
      <c r="A457" s="1655" t="s">
        <v>70</v>
      </c>
      <c r="B457" s="1655" t="s">
        <v>1650</v>
      </c>
      <c r="C457" s="1655">
        <v>0</v>
      </c>
      <c r="D457" s="1655" t="s">
        <v>42</v>
      </c>
      <c r="E457" s="1655" t="s">
        <v>572</v>
      </c>
      <c r="G457" s="1655" t="s">
        <v>70</v>
      </c>
      <c r="H457" s="1655" t="s">
        <v>1650</v>
      </c>
      <c r="I457" s="1655">
        <v>0</v>
      </c>
      <c r="J457" s="1655" t="s">
        <v>42</v>
      </c>
      <c r="K457" s="1655" t="s">
        <v>572</v>
      </c>
      <c r="M457" s="1655" t="s">
        <v>70</v>
      </c>
      <c r="N457" s="1655" t="s">
        <v>1650</v>
      </c>
      <c r="O457" s="1655">
        <v>0</v>
      </c>
      <c r="P457" s="1655" t="s">
        <v>42</v>
      </c>
      <c r="Q457" s="1655" t="s">
        <v>572</v>
      </c>
      <c r="S457" s="1655" t="s">
        <v>70</v>
      </c>
      <c r="T457" s="1655" t="s">
        <v>1650</v>
      </c>
      <c r="U457" s="1655">
        <v>0</v>
      </c>
      <c r="V457" s="1655" t="s">
        <v>42</v>
      </c>
      <c r="W457" s="1655" t="s">
        <v>572</v>
      </c>
    </row>
    <row r="458" spans="1:23">
      <c r="A458" s="1655" t="s">
        <v>70</v>
      </c>
      <c r="B458" s="1655" t="s">
        <v>1651</v>
      </c>
      <c r="C458" s="1655">
        <v>0</v>
      </c>
      <c r="D458" s="1655" t="s">
        <v>42</v>
      </c>
      <c r="E458" s="1655" t="s">
        <v>572</v>
      </c>
      <c r="G458" s="1655" t="s">
        <v>70</v>
      </c>
      <c r="H458" s="1655" t="s">
        <v>1651</v>
      </c>
      <c r="I458" s="1655">
        <v>0</v>
      </c>
      <c r="J458" s="1655" t="s">
        <v>42</v>
      </c>
      <c r="K458" s="1655" t="s">
        <v>572</v>
      </c>
      <c r="M458" s="1655" t="s">
        <v>70</v>
      </c>
      <c r="N458" s="1655" t="s">
        <v>1651</v>
      </c>
      <c r="O458" s="1655">
        <v>0</v>
      </c>
      <c r="P458" s="1655" t="s">
        <v>42</v>
      </c>
      <c r="Q458" s="1655" t="s">
        <v>572</v>
      </c>
      <c r="S458" s="1655" t="s">
        <v>70</v>
      </c>
      <c r="T458" s="1655" t="s">
        <v>1651</v>
      </c>
      <c r="U458" s="1655">
        <v>0</v>
      </c>
      <c r="V458" s="1655" t="s">
        <v>42</v>
      </c>
      <c r="W458" s="1655" t="s">
        <v>572</v>
      </c>
    </row>
    <row r="459" spans="1:23">
      <c r="A459" s="1655" t="s">
        <v>70</v>
      </c>
      <c r="B459" s="1655" t="s">
        <v>1652</v>
      </c>
      <c r="C459" s="1655">
        <v>0</v>
      </c>
      <c r="D459" s="1655" t="s">
        <v>42</v>
      </c>
      <c r="E459" s="1655" t="s">
        <v>572</v>
      </c>
      <c r="G459" s="1655" t="s">
        <v>70</v>
      </c>
      <c r="H459" s="1655" t="s">
        <v>1652</v>
      </c>
      <c r="I459" s="1655">
        <v>0</v>
      </c>
      <c r="J459" s="1655" t="s">
        <v>42</v>
      </c>
      <c r="K459" s="1655" t="s">
        <v>572</v>
      </c>
      <c r="M459" s="1655" t="s">
        <v>70</v>
      </c>
      <c r="N459" s="1655" t="s">
        <v>1652</v>
      </c>
      <c r="O459" s="1655">
        <v>0</v>
      </c>
      <c r="P459" s="1655" t="s">
        <v>42</v>
      </c>
      <c r="Q459" s="1655" t="s">
        <v>572</v>
      </c>
      <c r="S459" s="1655" t="s">
        <v>70</v>
      </c>
      <c r="T459" s="1655" t="s">
        <v>1652</v>
      </c>
      <c r="U459" s="1655">
        <v>0</v>
      </c>
      <c r="V459" s="1655" t="s">
        <v>42</v>
      </c>
      <c r="W459" s="1655" t="s">
        <v>572</v>
      </c>
    </row>
    <row r="460" spans="1:23">
      <c r="A460" s="1655" t="s">
        <v>70</v>
      </c>
      <c r="B460" s="1655" t="s">
        <v>1653</v>
      </c>
      <c r="C460" s="1655">
        <v>0</v>
      </c>
      <c r="D460" s="1655" t="s">
        <v>42</v>
      </c>
      <c r="E460" s="1655" t="s">
        <v>572</v>
      </c>
      <c r="G460" s="1655" t="s">
        <v>70</v>
      </c>
      <c r="H460" s="1655" t="s">
        <v>1653</v>
      </c>
      <c r="I460" s="1655">
        <v>0</v>
      </c>
      <c r="J460" s="1655" t="s">
        <v>42</v>
      </c>
      <c r="K460" s="1655" t="s">
        <v>572</v>
      </c>
      <c r="M460" s="1655" t="s">
        <v>70</v>
      </c>
      <c r="N460" s="1655" t="s">
        <v>1653</v>
      </c>
      <c r="O460" s="1655">
        <v>0</v>
      </c>
      <c r="P460" s="1655" t="s">
        <v>42</v>
      </c>
      <c r="Q460" s="1655" t="s">
        <v>572</v>
      </c>
      <c r="S460" s="1655" t="s">
        <v>70</v>
      </c>
      <c r="T460" s="1655" t="s">
        <v>1653</v>
      </c>
      <c r="U460" s="1655">
        <v>0</v>
      </c>
      <c r="V460" s="1655" t="s">
        <v>42</v>
      </c>
      <c r="W460" s="1655" t="s">
        <v>572</v>
      </c>
    </row>
    <row r="461" spans="1:23">
      <c r="A461" s="1655" t="s">
        <v>70</v>
      </c>
      <c r="B461" s="1655" t="s">
        <v>1654</v>
      </c>
      <c r="C461" s="1655">
        <v>0</v>
      </c>
      <c r="D461" s="1655" t="s">
        <v>42</v>
      </c>
      <c r="E461" s="1655" t="s">
        <v>572</v>
      </c>
      <c r="G461" s="1655" t="s">
        <v>70</v>
      </c>
      <c r="H461" s="1655" t="s">
        <v>1654</v>
      </c>
      <c r="I461" s="1655">
        <v>0</v>
      </c>
      <c r="J461" s="1655" t="s">
        <v>42</v>
      </c>
      <c r="K461" s="1655" t="s">
        <v>572</v>
      </c>
      <c r="M461" s="1655" t="s">
        <v>70</v>
      </c>
      <c r="N461" s="1655" t="s">
        <v>1654</v>
      </c>
      <c r="O461" s="1655">
        <v>0</v>
      </c>
      <c r="P461" s="1655" t="s">
        <v>42</v>
      </c>
      <c r="Q461" s="1655" t="s">
        <v>572</v>
      </c>
      <c r="S461" s="1655" t="s">
        <v>70</v>
      </c>
      <c r="T461" s="1655" t="s">
        <v>1654</v>
      </c>
      <c r="U461" s="1655">
        <v>0</v>
      </c>
      <c r="V461" s="1655" t="s">
        <v>42</v>
      </c>
      <c r="W461" s="1655" t="s">
        <v>572</v>
      </c>
    </row>
    <row r="462" spans="1:23">
      <c r="A462" s="1655" t="s">
        <v>70</v>
      </c>
      <c r="B462" s="1655" t="s">
        <v>1655</v>
      </c>
      <c r="C462" s="1655">
        <v>0</v>
      </c>
      <c r="D462" s="1655" t="s">
        <v>42</v>
      </c>
      <c r="E462" s="1655" t="s">
        <v>572</v>
      </c>
      <c r="G462" s="1655" t="s">
        <v>70</v>
      </c>
      <c r="H462" s="1655" t="s">
        <v>1655</v>
      </c>
      <c r="I462" s="1655">
        <v>0</v>
      </c>
      <c r="J462" s="1655" t="s">
        <v>42</v>
      </c>
      <c r="K462" s="1655" t="s">
        <v>572</v>
      </c>
      <c r="M462" s="1655" t="s">
        <v>70</v>
      </c>
      <c r="N462" s="1655" t="s">
        <v>1655</v>
      </c>
      <c r="O462" s="1655">
        <v>0</v>
      </c>
      <c r="P462" s="1655" t="s">
        <v>42</v>
      </c>
      <c r="Q462" s="1655" t="s">
        <v>572</v>
      </c>
      <c r="S462" s="1655" t="s">
        <v>70</v>
      </c>
      <c r="T462" s="1655" t="s">
        <v>1655</v>
      </c>
      <c r="U462" s="1655">
        <v>0</v>
      </c>
      <c r="V462" s="1655" t="s">
        <v>42</v>
      </c>
      <c r="W462" s="1655" t="s">
        <v>572</v>
      </c>
    </row>
    <row r="463" spans="1:23">
      <c r="A463" s="1655" t="s">
        <v>70</v>
      </c>
      <c r="B463" s="1655" t="s">
        <v>1656</v>
      </c>
      <c r="C463" s="1655">
        <v>0</v>
      </c>
      <c r="D463" s="1655" t="s">
        <v>42</v>
      </c>
      <c r="E463" s="1655" t="s">
        <v>572</v>
      </c>
      <c r="G463" s="1655" t="s">
        <v>70</v>
      </c>
      <c r="H463" s="1655" t="s">
        <v>1656</v>
      </c>
      <c r="I463" s="1655">
        <v>0</v>
      </c>
      <c r="J463" s="1655" t="s">
        <v>42</v>
      </c>
      <c r="K463" s="1655" t="s">
        <v>572</v>
      </c>
      <c r="M463" s="1655" t="s">
        <v>70</v>
      </c>
      <c r="N463" s="1655" t="s">
        <v>1656</v>
      </c>
      <c r="O463" s="1655">
        <v>0</v>
      </c>
      <c r="P463" s="1655" t="s">
        <v>42</v>
      </c>
      <c r="Q463" s="1655" t="s">
        <v>572</v>
      </c>
      <c r="S463" s="1655" t="s">
        <v>70</v>
      </c>
      <c r="T463" s="1655" t="s">
        <v>1656</v>
      </c>
      <c r="U463" s="1655">
        <v>0</v>
      </c>
      <c r="V463" s="1655" t="s">
        <v>42</v>
      </c>
      <c r="W463" s="1655" t="s">
        <v>572</v>
      </c>
    </row>
    <row r="464" spans="1:23">
      <c r="A464" s="1655" t="s">
        <v>70</v>
      </c>
      <c r="B464" s="1655" t="s">
        <v>1657</v>
      </c>
      <c r="C464" s="1655">
        <v>0</v>
      </c>
      <c r="D464" s="1655" t="s">
        <v>42</v>
      </c>
      <c r="E464" s="1655" t="s">
        <v>572</v>
      </c>
      <c r="G464" s="1655" t="s">
        <v>70</v>
      </c>
      <c r="H464" s="1655" t="s">
        <v>1657</v>
      </c>
      <c r="I464" s="1655">
        <v>0</v>
      </c>
      <c r="J464" s="1655" t="s">
        <v>42</v>
      </c>
      <c r="K464" s="1655" t="s">
        <v>572</v>
      </c>
      <c r="M464" s="1655" t="s">
        <v>70</v>
      </c>
      <c r="N464" s="1655" t="s">
        <v>1657</v>
      </c>
      <c r="O464" s="1655">
        <v>0</v>
      </c>
      <c r="P464" s="1655" t="s">
        <v>42</v>
      </c>
      <c r="Q464" s="1655" t="s">
        <v>572</v>
      </c>
      <c r="S464" s="1655" t="s">
        <v>70</v>
      </c>
      <c r="T464" s="1655" t="s">
        <v>1657</v>
      </c>
      <c r="U464" s="1655">
        <v>0</v>
      </c>
      <c r="V464" s="1655" t="s">
        <v>42</v>
      </c>
      <c r="W464" s="1655" t="s">
        <v>572</v>
      </c>
    </row>
    <row r="465" spans="1:23">
      <c r="A465" s="1655" t="s">
        <v>70</v>
      </c>
      <c r="B465" s="1655" t="s">
        <v>1658</v>
      </c>
      <c r="C465" s="1655">
        <v>0</v>
      </c>
      <c r="D465" s="1655" t="s">
        <v>42</v>
      </c>
      <c r="E465" s="1655" t="s">
        <v>572</v>
      </c>
      <c r="G465" s="1655" t="s">
        <v>70</v>
      </c>
      <c r="H465" s="1655" t="s">
        <v>1658</v>
      </c>
      <c r="I465" s="1655">
        <v>0</v>
      </c>
      <c r="J465" s="1655" t="s">
        <v>42</v>
      </c>
      <c r="K465" s="1655" t="s">
        <v>572</v>
      </c>
      <c r="M465" s="1655" t="s">
        <v>70</v>
      </c>
      <c r="N465" s="1655" t="s">
        <v>1658</v>
      </c>
      <c r="O465" s="1655">
        <v>0</v>
      </c>
      <c r="P465" s="1655" t="s">
        <v>42</v>
      </c>
      <c r="Q465" s="1655" t="s">
        <v>572</v>
      </c>
      <c r="S465" s="1655" t="s">
        <v>70</v>
      </c>
      <c r="T465" s="1655" t="s">
        <v>1658</v>
      </c>
      <c r="U465" s="1655">
        <v>0</v>
      </c>
      <c r="V465" s="1655" t="s">
        <v>42</v>
      </c>
      <c r="W465" s="1655" t="s">
        <v>572</v>
      </c>
    </row>
    <row r="466" spans="1:23">
      <c r="A466" s="1655" t="s">
        <v>70</v>
      </c>
      <c r="B466" s="1655" t="s">
        <v>1659</v>
      </c>
      <c r="C466" s="1655">
        <v>0</v>
      </c>
      <c r="D466" s="1655" t="s">
        <v>42</v>
      </c>
      <c r="E466" s="1655" t="s">
        <v>572</v>
      </c>
      <c r="G466" s="1655" t="s">
        <v>70</v>
      </c>
      <c r="H466" s="1655" t="s">
        <v>1659</v>
      </c>
      <c r="I466" s="1655">
        <v>0</v>
      </c>
      <c r="J466" s="1655" t="s">
        <v>42</v>
      </c>
      <c r="K466" s="1655" t="s">
        <v>572</v>
      </c>
      <c r="M466" s="1655" t="s">
        <v>70</v>
      </c>
      <c r="N466" s="1655" t="s">
        <v>1659</v>
      </c>
      <c r="O466" s="1655">
        <v>0</v>
      </c>
      <c r="P466" s="1655" t="s">
        <v>42</v>
      </c>
      <c r="Q466" s="1655" t="s">
        <v>572</v>
      </c>
      <c r="S466" s="1655" t="s">
        <v>70</v>
      </c>
      <c r="T466" s="1655" t="s">
        <v>1659</v>
      </c>
      <c r="U466" s="1655">
        <v>0</v>
      </c>
      <c r="V466" s="1655" t="s">
        <v>42</v>
      </c>
      <c r="W466" s="1655" t="s">
        <v>572</v>
      </c>
    </row>
    <row r="467" spans="1:23">
      <c r="A467" s="1655" t="s">
        <v>70</v>
      </c>
      <c r="B467" s="1655" t="s">
        <v>1660</v>
      </c>
      <c r="C467" s="1655">
        <v>0</v>
      </c>
      <c r="D467" s="1655" t="s">
        <v>42</v>
      </c>
      <c r="E467" s="1655" t="s">
        <v>572</v>
      </c>
      <c r="G467" s="1655" t="s">
        <v>70</v>
      </c>
      <c r="H467" s="1655" t="s">
        <v>1660</v>
      </c>
      <c r="I467" s="1655">
        <v>0</v>
      </c>
      <c r="J467" s="1655" t="s">
        <v>42</v>
      </c>
      <c r="K467" s="1655" t="s">
        <v>572</v>
      </c>
      <c r="M467" s="1655" t="s">
        <v>70</v>
      </c>
      <c r="N467" s="1655" t="s">
        <v>1660</v>
      </c>
      <c r="O467" s="1655">
        <v>0</v>
      </c>
      <c r="P467" s="1655" t="s">
        <v>42</v>
      </c>
      <c r="Q467" s="1655" t="s">
        <v>572</v>
      </c>
      <c r="S467" s="1655" t="s">
        <v>70</v>
      </c>
      <c r="T467" s="1655" t="s">
        <v>1660</v>
      </c>
      <c r="U467" s="1655">
        <v>0</v>
      </c>
      <c r="V467" s="1655" t="s">
        <v>42</v>
      </c>
      <c r="W467" s="1655" t="s">
        <v>572</v>
      </c>
    </row>
    <row r="468" spans="1:23">
      <c r="A468" s="1655" t="s">
        <v>70</v>
      </c>
      <c r="B468" s="1655" t="s">
        <v>1661</v>
      </c>
      <c r="C468" s="1655">
        <v>0</v>
      </c>
      <c r="D468" s="1655" t="s">
        <v>42</v>
      </c>
      <c r="E468" s="1655" t="s">
        <v>572</v>
      </c>
      <c r="G468" s="1655" t="s">
        <v>70</v>
      </c>
      <c r="H468" s="1655" t="s">
        <v>1661</v>
      </c>
      <c r="I468" s="1655">
        <v>0</v>
      </c>
      <c r="J468" s="1655" t="s">
        <v>42</v>
      </c>
      <c r="K468" s="1655" t="s">
        <v>572</v>
      </c>
      <c r="M468" s="1655" t="s">
        <v>70</v>
      </c>
      <c r="N468" s="1655" t="s">
        <v>1661</v>
      </c>
      <c r="O468" s="1655">
        <v>0</v>
      </c>
      <c r="P468" s="1655" t="s">
        <v>42</v>
      </c>
      <c r="Q468" s="1655" t="s">
        <v>572</v>
      </c>
      <c r="S468" s="1655" t="s">
        <v>70</v>
      </c>
      <c r="T468" s="1655" t="s">
        <v>1661</v>
      </c>
      <c r="U468" s="1655">
        <v>0</v>
      </c>
      <c r="V468" s="1655" t="s">
        <v>42</v>
      </c>
      <c r="W468" s="1655" t="s">
        <v>572</v>
      </c>
    </row>
    <row r="469" spans="1:23">
      <c r="A469" s="1655" t="s">
        <v>70</v>
      </c>
      <c r="B469" s="1655" t="s">
        <v>1662</v>
      </c>
      <c r="C469" s="1655">
        <v>0</v>
      </c>
      <c r="D469" s="1655" t="s">
        <v>42</v>
      </c>
      <c r="E469" s="1655" t="s">
        <v>572</v>
      </c>
      <c r="G469" s="1655" t="s">
        <v>70</v>
      </c>
      <c r="H469" s="1655" t="s">
        <v>1662</v>
      </c>
      <c r="I469" s="1655">
        <v>0</v>
      </c>
      <c r="J469" s="1655" t="s">
        <v>42</v>
      </c>
      <c r="K469" s="1655" t="s">
        <v>572</v>
      </c>
      <c r="M469" s="1655" t="s">
        <v>70</v>
      </c>
      <c r="N469" s="1655" t="s">
        <v>1662</v>
      </c>
      <c r="O469" s="1655">
        <v>0</v>
      </c>
      <c r="P469" s="1655" t="s">
        <v>42</v>
      </c>
      <c r="Q469" s="1655" t="s">
        <v>572</v>
      </c>
      <c r="S469" s="1655" t="s">
        <v>70</v>
      </c>
      <c r="T469" s="1655" t="s">
        <v>1662</v>
      </c>
      <c r="U469" s="1655">
        <v>0</v>
      </c>
      <c r="V469" s="1655" t="s">
        <v>42</v>
      </c>
      <c r="W469" s="1655" t="s">
        <v>572</v>
      </c>
    </row>
    <row r="470" spans="1:23">
      <c r="A470" s="1655" t="s">
        <v>70</v>
      </c>
      <c r="B470" s="1655" t="s">
        <v>1663</v>
      </c>
      <c r="C470" s="1655">
        <v>0</v>
      </c>
      <c r="D470" s="1655" t="s">
        <v>42</v>
      </c>
      <c r="E470" s="1655" t="s">
        <v>572</v>
      </c>
      <c r="G470" s="1655" t="s">
        <v>70</v>
      </c>
      <c r="H470" s="1655" t="s">
        <v>1663</v>
      </c>
      <c r="I470" s="1655">
        <v>0</v>
      </c>
      <c r="J470" s="1655" t="s">
        <v>42</v>
      </c>
      <c r="K470" s="1655" t="s">
        <v>572</v>
      </c>
      <c r="M470" s="1655" t="s">
        <v>70</v>
      </c>
      <c r="N470" s="1655" t="s">
        <v>1663</v>
      </c>
      <c r="O470" s="1655">
        <v>0</v>
      </c>
      <c r="P470" s="1655" t="s">
        <v>42</v>
      </c>
      <c r="Q470" s="1655" t="s">
        <v>572</v>
      </c>
      <c r="S470" s="1655" t="s">
        <v>70</v>
      </c>
      <c r="T470" s="1655" t="s">
        <v>1663</v>
      </c>
      <c r="U470" s="1655">
        <v>0</v>
      </c>
      <c r="V470" s="1655" t="s">
        <v>42</v>
      </c>
      <c r="W470" s="1655" t="s">
        <v>572</v>
      </c>
    </row>
    <row r="471" spans="1:23">
      <c r="A471" s="1655" t="s">
        <v>70</v>
      </c>
      <c r="B471" s="1655" t="s">
        <v>1664</v>
      </c>
      <c r="C471" s="1655">
        <v>0</v>
      </c>
      <c r="D471" s="1655" t="s">
        <v>42</v>
      </c>
      <c r="E471" s="1655" t="s">
        <v>572</v>
      </c>
      <c r="G471" s="1655" t="s">
        <v>70</v>
      </c>
      <c r="H471" s="1655" t="s">
        <v>1664</v>
      </c>
      <c r="I471" s="1655">
        <v>0</v>
      </c>
      <c r="J471" s="1655" t="s">
        <v>42</v>
      </c>
      <c r="K471" s="1655" t="s">
        <v>572</v>
      </c>
      <c r="M471" s="1655" t="s">
        <v>70</v>
      </c>
      <c r="N471" s="1655" t="s">
        <v>1664</v>
      </c>
      <c r="O471" s="1655">
        <v>0</v>
      </c>
      <c r="P471" s="1655" t="s">
        <v>42</v>
      </c>
      <c r="Q471" s="1655" t="s">
        <v>572</v>
      </c>
      <c r="S471" s="1655" t="s">
        <v>70</v>
      </c>
      <c r="T471" s="1655" t="s">
        <v>1664</v>
      </c>
      <c r="U471" s="1655">
        <v>0</v>
      </c>
      <c r="V471" s="1655" t="s">
        <v>42</v>
      </c>
      <c r="W471" s="1655" t="s">
        <v>572</v>
      </c>
    </row>
    <row r="472" spans="1:23">
      <c r="A472" s="1655" t="s">
        <v>70</v>
      </c>
      <c r="B472" s="1655" t="s">
        <v>1665</v>
      </c>
      <c r="C472" s="1655">
        <v>0</v>
      </c>
      <c r="D472" s="1655" t="s">
        <v>42</v>
      </c>
      <c r="E472" s="1655" t="s">
        <v>572</v>
      </c>
      <c r="G472" s="1655" t="s">
        <v>70</v>
      </c>
      <c r="H472" s="1655" t="s">
        <v>1665</v>
      </c>
      <c r="I472" s="1655">
        <v>0</v>
      </c>
      <c r="J472" s="1655" t="s">
        <v>42</v>
      </c>
      <c r="K472" s="1655" t="s">
        <v>572</v>
      </c>
      <c r="M472" s="1655" t="s">
        <v>70</v>
      </c>
      <c r="N472" s="1655" t="s">
        <v>1665</v>
      </c>
      <c r="O472" s="1655">
        <v>0</v>
      </c>
      <c r="P472" s="1655" t="s">
        <v>42</v>
      </c>
      <c r="Q472" s="1655" t="s">
        <v>572</v>
      </c>
      <c r="S472" s="1655" t="s">
        <v>70</v>
      </c>
      <c r="T472" s="1655" t="s">
        <v>1665</v>
      </c>
      <c r="U472" s="1655">
        <v>0</v>
      </c>
      <c r="V472" s="1655" t="s">
        <v>42</v>
      </c>
      <c r="W472" s="1655" t="s">
        <v>572</v>
      </c>
    </row>
    <row r="473" spans="1:23">
      <c r="A473" s="1655" t="s">
        <v>70</v>
      </c>
      <c r="B473" s="1655" t="s">
        <v>1666</v>
      </c>
      <c r="C473" s="1655">
        <v>0</v>
      </c>
      <c r="D473" s="1655" t="s">
        <v>42</v>
      </c>
      <c r="E473" s="1655" t="s">
        <v>572</v>
      </c>
      <c r="G473" s="1655" t="s">
        <v>70</v>
      </c>
      <c r="H473" s="1655" t="s">
        <v>1666</v>
      </c>
      <c r="I473" s="1655">
        <v>0</v>
      </c>
      <c r="J473" s="1655" t="s">
        <v>42</v>
      </c>
      <c r="K473" s="1655" t="s">
        <v>572</v>
      </c>
      <c r="M473" s="1655" t="s">
        <v>70</v>
      </c>
      <c r="N473" s="1655" t="s">
        <v>1666</v>
      </c>
      <c r="O473" s="1655">
        <v>0</v>
      </c>
      <c r="P473" s="1655" t="s">
        <v>42</v>
      </c>
      <c r="Q473" s="1655" t="s">
        <v>572</v>
      </c>
      <c r="S473" s="1655" t="s">
        <v>70</v>
      </c>
      <c r="T473" s="1655" t="s">
        <v>1666</v>
      </c>
      <c r="U473" s="1655">
        <v>0</v>
      </c>
      <c r="V473" s="1655" t="s">
        <v>42</v>
      </c>
      <c r="W473" s="1655" t="s">
        <v>572</v>
      </c>
    </row>
    <row r="474" spans="1:23">
      <c r="A474" s="1655" t="s">
        <v>70</v>
      </c>
      <c r="B474" s="1655" t="s">
        <v>1667</v>
      </c>
      <c r="C474" s="1655">
        <v>0</v>
      </c>
      <c r="D474" s="1655" t="s">
        <v>42</v>
      </c>
      <c r="E474" s="1655" t="s">
        <v>572</v>
      </c>
      <c r="G474" s="1655" t="s">
        <v>70</v>
      </c>
      <c r="H474" s="1655" t="s">
        <v>1667</v>
      </c>
      <c r="I474" s="1655">
        <v>0</v>
      </c>
      <c r="J474" s="1655" t="s">
        <v>42</v>
      </c>
      <c r="K474" s="1655" t="s">
        <v>572</v>
      </c>
      <c r="M474" s="1655" t="s">
        <v>70</v>
      </c>
      <c r="N474" s="1655" t="s">
        <v>1667</v>
      </c>
      <c r="O474" s="1655">
        <v>0</v>
      </c>
      <c r="P474" s="1655" t="s">
        <v>42</v>
      </c>
      <c r="Q474" s="1655" t="s">
        <v>572</v>
      </c>
      <c r="S474" s="1655" t="s">
        <v>70</v>
      </c>
      <c r="T474" s="1655" t="s">
        <v>1667</v>
      </c>
      <c r="U474" s="1655">
        <v>0</v>
      </c>
      <c r="V474" s="1655" t="s">
        <v>42</v>
      </c>
      <c r="W474" s="1655" t="s">
        <v>572</v>
      </c>
    </row>
    <row r="475" spans="1:23">
      <c r="A475" s="1655" t="s">
        <v>70</v>
      </c>
      <c r="B475" s="1655" t="s">
        <v>1668</v>
      </c>
      <c r="C475" s="1655">
        <v>0</v>
      </c>
      <c r="D475" s="1655" t="s">
        <v>42</v>
      </c>
      <c r="E475" s="1655" t="s">
        <v>572</v>
      </c>
      <c r="G475" s="1655" t="s">
        <v>70</v>
      </c>
      <c r="H475" s="1655" t="s">
        <v>1668</v>
      </c>
      <c r="I475" s="1655">
        <v>0</v>
      </c>
      <c r="J475" s="1655" t="s">
        <v>42</v>
      </c>
      <c r="K475" s="1655" t="s">
        <v>572</v>
      </c>
      <c r="M475" s="1655" t="s">
        <v>70</v>
      </c>
      <c r="N475" s="1655" t="s">
        <v>1668</v>
      </c>
      <c r="O475" s="1655">
        <v>0</v>
      </c>
      <c r="P475" s="1655" t="s">
        <v>42</v>
      </c>
      <c r="Q475" s="1655" t="s">
        <v>572</v>
      </c>
      <c r="S475" s="1655" t="s">
        <v>70</v>
      </c>
      <c r="T475" s="1655" t="s">
        <v>1668</v>
      </c>
      <c r="U475" s="1655">
        <v>0</v>
      </c>
      <c r="V475" s="1655" t="s">
        <v>42</v>
      </c>
      <c r="W475" s="1655" t="s">
        <v>572</v>
      </c>
    </row>
    <row r="476" spans="1:23">
      <c r="A476" s="1655" t="s">
        <v>70</v>
      </c>
      <c r="B476" s="1655" t="s">
        <v>1669</v>
      </c>
      <c r="C476" s="1655">
        <v>0</v>
      </c>
      <c r="D476" s="1655" t="s">
        <v>42</v>
      </c>
      <c r="E476" s="1655" t="s">
        <v>572</v>
      </c>
      <c r="G476" s="1655" t="s">
        <v>70</v>
      </c>
      <c r="H476" s="1655" t="s">
        <v>1669</v>
      </c>
      <c r="I476" s="1655">
        <v>0</v>
      </c>
      <c r="J476" s="1655" t="s">
        <v>42</v>
      </c>
      <c r="K476" s="1655" t="s">
        <v>572</v>
      </c>
      <c r="M476" s="1655" t="s">
        <v>70</v>
      </c>
      <c r="N476" s="1655" t="s">
        <v>1669</v>
      </c>
      <c r="O476" s="1655">
        <v>0</v>
      </c>
      <c r="P476" s="1655" t="s">
        <v>42</v>
      </c>
      <c r="Q476" s="1655" t="s">
        <v>572</v>
      </c>
      <c r="S476" s="1655" t="s">
        <v>70</v>
      </c>
      <c r="T476" s="1655" t="s">
        <v>1669</v>
      </c>
      <c r="U476" s="1655">
        <v>0</v>
      </c>
      <c r="V476" s="1655" t="s">
        <v>42</v>
      </c>
      <c r="W476" s="1655" t="s">
        <v>572</v>
      </c>
    </row>
    <row r="477" spans="1:23">
      <c r="A477" s="1655" t="s">
        <v>70</v>
      </c>
      <c r="B477" s="1655" t="s">
        <v>1670</v>
      </c>
      <c r="C477" s="1655">
        <v>0</v>
      </c>
      <c r="D477" s="1655" t="s">
        <v>42</v>
      </c>
      <c r="E477" s="1655" t="s">
        <v>572</v>
      </c>
      <c r="G477" s="1655" t="s">
        <v>70</v>
      </c>
      <c r="H477" s="1655" t="s">
        <v>1670</v>
      </c>
      <c r="I477" s="1655">
        <v>0</v>
      </c>
      <c r="J477" s="1655" t="s">
        <v>42</v>
      </c>
      <c r="K477" s="1655" t="s">
        <v>572</v>
      </c>
      <c r="M477" s="1655" t="s">
        <v>70</v>
      </c>
      <c r="N477" s="1655" t="s">
        <v>1670</v>
      </c>
      <c r="O477" s="1655">
        <v>0</v>
      </c>
      <c r="P477" s="1655" t="s">
        <v>42</v>
      </c>
      <c r="Q477" s="1655" t="s">
        <v>572</v>
      </c>
      <c r="S477" s="1655" t="s">
        <v>70</v>
      </c>
      <c r="T477" s="1655" t="s">
        <v>1670</v>
      </c>
      <c r="U477" s="1655">
        <v>0</v>
      </c>
      <c r="V477" s="1655" t="s">
        <v>42</v>
      </c>
      <c r="W477" s="1655" t="s">
        <v>572</v>
      </c>
    </row>
    <row r="478" spans="1:23">
      <c r="A478" s="1655" t="s">
        <v>70</v>
      </c>
      <c r="B478" s="1655" t="s">
        <v>1671</v>
      </c>
      <c r="C478" s="1655">
        <v>0</v>
      </c>
      <c r="D478" s="1655" t="s">
        <v>42</v>
      </c>
      <c r="E478" s="1655" t="s">
        <v>572</v>
      </c>
      <c r="G478" s="1655" t="s">
        <v>70</v>
      </c>
      <c r="H478" s="1655" t="s">
        <v>1671</v>
      </c>
      <c r="I478" s="1655">
        <v>0</v>
      </c>
      <c r="J478" s="1655" t="s">
        <v>42</v>
      </c>
      <c r="K478" s="1655" t="s">
        <v>572</v>
      </c>
      <c r="M478" s="1655" t="s">
        <v>70</v>
      </c>
      <c r="N478" s="1655" t="s">
        <v>1671</v>
      </c>
      <c r="O478" s="1655">
        <v>0</v>
      </c>
      <c r="P478" s="1655" t="s">
        <v>42</v>
      </c>
      <c r="Q478" s="1655" t="s">
        <v>572</v>
      </c>
      <c r="S478" s="1655" t="s">
        <v>70</v>
      </c>
      <c r="T478" s="1655" t="s">
        <v>1671</v>
      </c>
      <c r="U478" s="1655">
        <v>0</v>
      </c>
      <c r="V478" s="1655" t="s">
        <v>42</v>
      </c>
      <c r="W478" s="1655" t="s">
        <v>572</v>
      </c>
    </row>
    <row r="479" spans="1:23">
      <c r="A479" s="1655" t="s">
        <v>70</v>
      </c>
      <c r="B479" s="1655" t="s">
        <v>1672</v>
      </c>
      <c r="C479" s="1655">
        <v>0</v>
      </c>
      <c r="D479" s="1655" t="s">
        <v>42</v>
      </c>
      <c r="E479" s="1655" t="s">
        <v>572</v>
      </c>
      <c r="G479" s="1655" t="s">
        <v>70</v>
      </c>
      <c r="H479" s="1655" t="s">
        <v>1672</v>
      </c>
      <c r="I479" s="1655">
        <v>0</v>
      </c>
      <c r="J479" s="1655" t="s">
        <v>42</v>
      </c>
      <c r="K479" s="1655" t="s">
        <v>572</v>
      </c>
      <c r="M479" s="1655" t="s">
        <v>70</v>
      </c>
      <c r="N479" s="1655" t="s">
        <v>1672</v>
      </c>
      <c r="O479" s="1655">
        <v>0</v>
      </c>
      <c r="P479" s="1655" t="s">
        <v>42</v>
      </c>
      <c r="Q479" s="1655" t="s">
        <v>572</v>
      </c>
      <c r="S479" s="1655" t="s">
        <v>70</v>
      </c>
      <c r="T479" s="1655" t="s">
        <v>1672</v>
      </c>
      <c r="U479" s="1655">
        <v>0</v>
      </c>
      <c r="V479" s="1655" t="s">
        <v>42</v>
      </c>
      <c r="W479" s="1655" t="s">
        <v>572</v>
      </c>
    </row>
    <row r="480" spans="1:23">
      <c r="A480" s="1655" t="s">
        <v>70</v>
      </c>
      <c r="B480" s="1655" t="s">
        <v>1673</v>
      </c>
      <c r="C480" s="1655">
        <v>0</v>
      </c>
      <c r="D480" s="1655" t="s">
        <v>42</v>
      </c>
      <c r="E480" s="1655" t="s">
        <v>572</v>
      </c>
      <c r="G480" s="1655" t="s">
        <v>70</v>
      </c>
      <c r="H480" s="1655" t="s">
        <v>1673</v>
      </c>
      <c r="I480" s="1655">
        <v>0</v>
      </c>
      <c r="J480" s="1655" t="s">
        <v>42</v>
      </c>
      <c r="K480" s="1655" t="s">
        <v>572</v>
      </c>
      <c r="M480" s="1655" t="s">
        <v>70</v>
      </c>
      <c r="N480" s="1655" t="s">
        <v>1673</v>
      </c>
      <c r="O480" s="1655">
        <v>0</v>
      </c>
      <c r="P480" s="1655" t="s">
        <v>42</v>
      </c>
      <c r="Q480" s="1655" t="s">
        <v>572</v>
      </c>
      <c r="S480" s="1655" t="s">
        <v>70</v>
      </c>
      <c r="T480" s="1655" t="s">
        <v>1673</v>
      </c>
      <c r="U480" s="1655">
        <v>0</v>
      </c>
      <c r="V480" s="1655" t="s">
        <v>42</v>
      </c>
      <c r="W480" s="1655" t="s">
        <v>572</v>
      </c>
    </row>
    <row r="481" spans="1:23">
      <c r="A481" s="1655" t="s">
        <v>70</v>
      </c>
      <c r="B481" s="1655" t="s">
        <v>1674</v>
      </c>
      <c r="C481" s="1655">
        <v>0</v>
      </c>
      <c r="D481" s="1655" t="s">
        <v>42</v>
      </c>
      <c r="E481" s="1655" t="s">
        <v>572</v>
      </c>
      <c r="G481" s="1655" t="s">
        <v>70</v>
      </c>
      <c r="H481" s="1655" t="s">
        <v>1674</v>
      </c>
      <c r="I481" s="1655">
        <v>0</v>
      </c>
      <c r="J481" s="1655" t="s">
        <v>42</v>
      </c>
      <c r="K481" s="1655" t="s">
        <v>572</v>
      </c>
      <c r="M481" s="1655" t="s">
        <v>70</v>
      </c>
      <c r="N481" s="1655" t="s">
        <v>1674</v>
      </c>
      <c r="O481" s="1655">
        <v>0</v>
      </c>
      <c r="P481" s="1655" t="s">
        <v>42</v>
      </c>
      <c r="Q481" s="1655" t="s">
        <v>572</v>
      </c>
      <c r="S481" s="1655" t="s">
        <v>70</v>
      </c>
      <c r="T481" s="1655" t="s">
        <v>1674</v>
      </c>
      <c r="U481" s="1655">
        <v>0</v>
      </c>
      <c r="V481" s="1655" t="s">
        <v>42</v>
      </c>
      <c r="W481" s="1655" t="s">
        <v>572</v>
      </c>
    </row>
    <row r="482" spans="1:23">
      <c r="A482" s="1655" t="s">
        <v>70</v>
      </c>
      <c r="B482" s="1655" t="s">
        <v>1675</v>
      </c>
      <c r="C482" s="1655">
        <v>0</v>
      </c>
      <c r="D482" s="1655" t="s">
        <v>42</v>
      </c>
      <c r="E482" s="1655" t="s">
        <v>572</v>
      </c>
      <c r="G482" s="1655" t="s">
        <v>70</v>
      </c>
      <c r="H482" s="1655" t="s">
        <v>1675</v>
      </c>
      <c r="I482" s="1655">
        <v>0</v>
      </c>
      <c r="J482" s="1655" t="s">
        <v>42</v>
      </c>
      <c r="K482" s="1655" t="s">
        <v>572</v>
      </c>
      <c r="M482" s="1655" t="s">
        <v>70</v>
      </c>
      <c r="N482" s="1655" t="s">
        <v>1675</v>
      </c>
      <c r="O482" s="1655">
        <v>0</v>
      </c>
      <c r="P482" s="1655" t="s">
        <v>42</v>
      </c>
      <c r="Q482" s="1655" t="s">
        <v>572</v>
      </c>
      <c r="S482" s="1655" t="s">
        <v>70</v>
      </c>
      <c r="T482" s="1655" t="s">
        <v>1675</v>
      </c>
      <c r="U482" s="1655">
        <v>0</v>
      </c>
      <c r="V482" s="1655" t="s">
        <v>42</v>
      </c>
      <c r="W482" s="1655" t="s">
        <v>572</v>
      </c>
    </row>
    <row r="483" spans="1:23">
      <c r="A483" s="1655" t="s">
        <v>70</v>
      </c>
      <c r="B483" s="1655" t="s">
        <v>1676</v>
      </c>
      <c r="C483" s="1655">
        <v>0</v>
      </c>
      <c r="D483" s="1655" t="s">
        <v>42</v>
      </c>
      <c r="E483" s="1655" t="s">
        <v>572</v>
      </c>
      <c r="G483" s="1655" t="s">
        <v>70</v>
      </c>
      <c r="H483" s="1655" t="s">
        <v>1676</v>
      </c>
      <c r="I483" s="1655">
        <v>0</v>
      </c>
      <c r="J483" s="1655" t="s">
        <v>42</v>
      </c>
      <c r="K483" s="1655" t="s">
        <v>572</v>
      </c>
      <c r="M483" s="1655" t="s">
        <v>70</v>
      </c>
      <c r="N483" s="1655" t="s">
        <v>1676</v>
      </c>
      <c r="O483" s="1655">
        <v>0</v>
      </c>
      <c r="P483" s="1655" t="s">
        <v>42</v>
      </c>
      <c r="Q483" s="1655" t="s">
        <v>572</v>
      </c>
      <c r="S483" s="1655" t="s">
        <v>70</v>
      </c>
      <c r="T483" s="1655" t="s">
        <v>1676</v>
      </c>
      <c r="U483" s="1655">
        <v>0</v>
      </c>
      <c r="V483" s="1655" t="s">
        <v>42</v>
      </c>
      <c r="W483" s="1655" t="s">
        <v>572</v>
      </c>
    </row>
    <row r="484" spans="1:23">
      <c r="A484" s="1655" t="s">
        <v>70</v>
      </c>
      <c r="B484" s="1655" t="s">
        <v>1677</v>
      </c>
      <c r="C484" s="1655">
        <v>0</v>
      </c>
      <c r="D484" s="1655" t="s">
        <v>42</v>
      </c>
      <c r="E484" s="1655" t="s">
        <v>572</v>
      </c>
      <c r="G484" s="1655" t="s">
        <v>70</v>
      </c>
      <c r="H484" s="1655" t="s">
        <v>1677</v>
      </c>
      <c r="I484" s="1655">
        <v>0</v>
      </c>
      <c r="J484" s="1655" t="s">
        <v>42</v>
      </c>
      <c r="K484" s="1655" t="s">
        <v>572</v>
      </c>
      <c r="M484" s="1655" t="s">
        <v>70</v>
      </c>
      <c r="N484" s="1655" t="s">
        <v>1677</v>
      </c>
      <c r="O484" s="1655">
        <v>0</v>
      </c>
      <c r="P484" s="1655" t="s">
        <v>42</v>
      </c>
      <c r="Q484" s="1655" t="s">
        <v>572</v>
      </c>
      <c r="S484" s="1655" t="s">
        <v>70</v>
      </c>
      <c r="T484" s="1655" t="s">
        <v>1677</v>
      </c>
      <c r="U484" s="1655">
        <v>0</v>
      </c>
      <c r="V484" s="1655" t="s">
        <v>42</v>
      </c>
      <c r="W484" s="1655" t="s">
        <v>572</v>
      </c>
    </row>
    <row r="485" spans="1:23">
      <c r="A485" s="1655" t="s">
        <v>70</v>
      </c>
      <c r="B485" s="1655" t="s">
        <v>1678</v>
      </c>
      <c r="C485" s="1655">
        <v>0</v>
      </c>
      <c r="D485" s="1655" t="s">
        <v>42</v>
      </c>
      <c r="E485" s="1655" t="s">
        <v>572</v>
      </c>
      <c r="G485" s="1655" t="s">
        <v>70</v>
      </c>
      <c r="H485" s="1655" t="s">
        <v>1678</v>
      </c>
      <c r="I485" s="1655">
        <v>0</v>
      </c>
      <c r="J485" s="1655" t="s">
        <v>42</v>
      </c>
      <c r="K485" s="1655" t="s">
        <v>572</v>
      </c>
      <c r="M485" s="1655" t="s">
        <v>70</v>
      </c>
      <c r="N485" s="1655" t="s">
        <v>1678</v>
      </c>
      <c r="O485" s="1655">
        <v>0</v>
      </c>
      <c r="P485" s="1655" t="s">
        <v>42</v>
      </c>
      <c r="Q485" s="1655" t="s">
        <v>572</v>
      </c>
      <c r="S485" s="1655" t="s">
        <v>70</v>
      </c>
      <c r="T485" s="1655" t="s">
        <v>1678</v>
      </c>
      <c r="U485" s="1655">
        <v>0</v>
      </c>
      <c r="V485" s="1655" t="s">
        <v>42</v>
      </c>
      <c r="W485" s="1655" t="s">
        <v>572</v>
      </c>
    </row>
    <row r="486" spans="1:23">
      <c r="A486" s="1655" t="s">
        <v>70</v>
      </c>
      <c r="B486" s="1655" t="s">
        <v>1679</v>
      </c>
      <c r="C486" s="1655">
        <v>0</v>
      </c>
      <c r="D486" s="1655" t="s">
        <v>42</v>
      </c>
      <c r="E486" s="1655" t="s">
        <v>572</v>
      </c>
      <c r="G486" s="1655" t="s">
        <v>70</v>
      </c>
      <c r="H486" s="1655" t="s">
        <v>1679</v>
      </c>
      <c r="I486" s="1655">
        <v>0</v>
      </c>
      <c r="J486" s="1655" t="s">
        <v>42</v>
      </c>
      <c r="K486" s="1655" t="s">
        <v>572</v>
      </c>
      <c r="M486" s="1655" t="s">
        <v>70</v>
      </c>
      <c r="N486" s="1655" t="s">
        <v>1679</v>
      </c>
      <c r="O486" s="1655">
        <v>0</v>
      </c>
      <c r="P486" s="1655" t="s">
        <v>42</v>
      </c>
      <c r="Q486" s="1655" t="s">
        <v>572</v>
      </c>
      <c r="S486" s="1655" t="s">
        <v>70</v>
      </c>
      <c r="T486" s="1655" t="s">
        <v>1679</v>
      </c>
      <c r="U486" s="1655">
        <v>0</v>
      </c>
      <c r="V486" s="1655" t="s">
        <v>42</v>
      </c>
      <c r="W486" s="1655" t="s">
        <v>572</v>
      </c>
    </row>
    <row r="487" spans="1:23">
      <c r="A487" s="1655" t="s">
        <v>70</v>
      </c>
      <c r="B487" s="1655" t="s">
        <v>1680</v>
      </c>
      <c r="C487" s="1655">
        <v>0</v>
      </c>
      <c r="D487" s="1655" t="s">
        <v>42</v>
      </c>
      <c r="E487" s="1655" t="s">
        <v>572</v>
      </c>
      <c r="G487" s="1655" t="s">
        <v>70</v>
      </c>
      <c r="H487" s="1655" t="s">
        <v>1680</v>
      </c>
      <c r="I487" s="1655">
        <v>0</v>
      </c>
      <c r="J487" s="1655" t="s">
        <v>42</v>
      </c>
      <c r="K487" s="1655" t="s">
        <v>572</v>
      </c>
      <c r="M487" s="1655" t="s">
        <v>70</v>
      </c>
      <c r="N487" s="1655" t="s">
        <v>1680</v>
      </c>
      <c r="O487" s="1655">
        <v>0</v>
      </c>
      <c r="P487" s="1655" t="s">
        <v>42</v>
      </c>
      <c r="Q487" s="1655" t="s">
        <v>572</v>
      </c>
      <c r="S487" s="1655" t="s">
        <v>70</v>
      </c>
      <c r="T487" s="1655" t="s">
        <v>1680</v>
      </c>
      <c r="U487" s="1655">
        <v>0</v>
      </c>
      <c r="V487" s="1655" t="s">
        <v>42</v>
      </c>
      <c r="W487" s="1655" t="s">
        <v>572</v>
      </c>
    </row>
    <row r="488" spans="1:23">
      <c r="A488" s="1655" t="s">
        <v>70</v>
      </c>
      <c r="B488" s="1655" t="s">
        <v>1681</v>
      </c>
      <c r="C488" s="1655">
        <v>0</v>
      </c>
      <c r="D488" s="1655" t="s">
        <v>42</v>
      </c>
      <c r="E488" s="1655" t="s">
        <v>572</v>
      </c>
      <c r="G488" s="1655" t="s">
        <v>70</v>
      </c>
      <c r="H488" s="1655" t="s">
        <v>1681</v>
      </c>
      <c r="I488" s="1655">
        <v>0</v>
      </c>
      <c r="J488" s="1655" t="s">
        <v>42</v>
      </c>
      <c r="K488" s="1655" t="s">
        <v>572</v>
      </c>
      <c r="M488" s="1655" t="s">
        <v>70</v>
      </c>
      <c r="N488" s="1655" t="s">
        <v>1681</v>
      </c>
      <c r="O488" s="1655">
        <v>0</v>
      </c>
      <c r="P488" s="1655" t="s">
        <v>42</v>
      </c>
      <c r="Q488" s="1655" t="s">
        <v>572</v>
      </c>
      <c r="S488" s="1655" t="s">
        <v>70</v>
      </c>
      <c r="T488" s="1655" t="s">
        <v>1681</v>
      </c>
      <c r="U488" s="1655">
        <v>0</v>
      </c>
      <c r="V488" s="1655" t="s">
        <v>42</v>
      </c>
      <c r="W488" s="1655" t="s">
        <v>572</v>
      </c>
    </row>
    <row r="489" spans="1:23">
      <c r="A489" s="1655" t="s">
        <v>70</v>
      </c>
      <c r="B489" s="1655" t="s">
        <v>1682</v>
      </c>
      <c r="C489" s="1655">
        <v>0</v>
      </c>
      <c r="D489" s="1655" t="s">
        <v>42</v>
      </c>
      <c r="E489" s="1655" t="s">
        <v>572</v>
      </c>
      <c r="G489" s="1655" t="s">
        <v>70</v>
      </c>
      <c r="H489" s="1655" t="s">
        <v>1682</v>
      </c>
      <c r="I489" s="1655">
        <v>0</v>
      </c>
      <c r="J489" s="1655" t="s">
        <v>42</v>
      </c>
      <c r="K489" s="1655" t="s">
        <v>572</v>
      </c>
      <c r="M489" s="1655" t="s">
        <v>70</v>
      </c>
      <c r="N489" s="1655" t="s">
        <v>1682</v>
      </c>
      <c r="O489" s="1655">
        <v>0</v>
      </c>
      <c r="P489" s="1655" t="s">
        <v>42</v>
      </c>
      <c r="Q489" s="1655" t="s">
        <v>572</v>
      </c>
      <c r="S489" s="1655" t="s">
        <v>70</v>
      </c>
      <c r="T489" s="1655" t="s">
        <v>1682</v>
      </c>
      <c r="U489" s="1655">
        <v>0</v>
      </c>
      <c r="V489" s="1655" t="s">
        <v>42</v>
      </c>
      <c r="W489" s="1655" t="s">
        <v>572</v>
      </c>
    </row>
    <row r="490" spans="1:23">
      <c r="A490" s="1655" t="s">
        <v>70</v>
      </c>
      <c r="B490" s="1655" t="s">
        <v>1683</v>
      </c>
      <c r="C490" s="1655">
        <v>0</v>
      </c>
      <c r="D490" s="1655" t="s">
        <v>42</v>
      </c>
      <c r="E490" s="1655" t="s">
        <v>572</v>
      </c>
      <c r="G490" s="1655" t="s">
        <v>70</v>
      </c>
      <c r="H490" s="1655" t="s">
        <v>1683</v>
      </c>
      <c r="I490" s="1655">
        <v>0</v>
      </c>
      <c r="J490" s="1655" t="s">
        <v>42</v>
      </c>
      <c r="K490" s="1655" t="s">
        <v>572</v>
      </c>
      <c r="M490" s="1655" t="s">
        <v>70</v>
      </c>
      <c r="N490" s="1655" t="s">
        <v>1683</v>
      </c>
      <c r="O490" s="1655">
        <v>0</v>
      </c>
      <c r="P490" s="1655" t="s">
        <v>42</v>
      </c>
      <c r="Q490" s="1655" t="s">
        <v>572</v>
      </c>
      <c r="S490" s="1655" t="s">
        <v>70</v>
      </c>
      <c r="T490" s="1655" t="s">
        <v>1683</v>
      </c>
      <c r="U490" s="1655">
        <v>0</v>
      </c>
      <c r="V490" s="1655" t="s">
        <v>42</v>
      </c>
      <c r="W490" s="1655" t="s">
        <v>572</v>
      </c>
    </row>
    <row r="491" spans="1:23">
      <c r="A491" s="1655" t="s">
        <v>70</v>
      </c>
      <c r="B491" s="1655" t="s">
        <v>1684</v>
      </c>
      <c r="C491" s="1655">
        <v>0</v>
      </c>
      <c r="D491" s="1655" t="s">
        <v>42</v>
      </c>
      <c r="E491" s="1655" t="s">
        <v>572</v>
      </c>
      <c r="G491" s="1655" t="s">
        <v>70</v>
      </c>
      <c r="H491" s="1655" t="s">
        <v>1684</v>
      </c>
      <c r="I491" s="1655">
        <v>0</v>
      </c>
      <c r="J491" s="1655" t="s">
        <v>42</v>
      </c>
      <c r="K491" s="1655" t="s">
        <v>572</v>
      </c>
      <c r="M491" s="1655" t="s">
        <v>70</v>
      </c>
      <c r="N491" s="1655" t="s">
        <v>1684</v>
      </c>
      <c r="O491" s="1655">
        <v>0</v>
      </c>
      <c r="P491" s="1655" t="s">
        <v>42</v>
      </c>
      <c r="Q491" s="1655" t="s">
        <v>572</v>
      </c>
      <c r="S491" s="1655" t="s">
        <v>70</v>
      </c>
      <c r="T491" s="1655" t="s">
        <v>1684</v>
      </c>
      <c r="U491" s="1655">
        <v>0</v>
      </c>
      <c r="V491" s="1655" t="s">
        <v>42</v>
      </c>
      <c r="W491" s="1655" t="s">
        <v>572</v>
      </c>
    </row>
    <row r="492" spans="1:23">
      <c r="A492" s="1655" t="s">
        <v>70</v>
      </c>
      <c r="B492" s="1655" t="s">
        <v>1685</v>
      </c>
      <c r="C492" s="1655">
        <v>0</v>
      </c>
      <c r="D492" s="1655" t="s">
        <v>42</v>
      </c>
      <c r="E492" s="1655" t="s">
        <v>572</v>
      </c>
      <c r="G492" s="1655" t="s">
        <v>70</v>
      </c>
      <c r="H492" s="1655" t="s">
        <v>1685</v>
      </c>
      <c r="I492" s="1655">
        <v>0</v>
      </c>
      <c r="J492" s="1655" t="s">
        <v>42</v>
      </c>
      <c r="K492" s="1655" t="s">
        <v>572</v>
      </c>
      <c r="M492" s="1655" t="s">
        <v>70</v>
      </c>
      <c r="N492" s="1655" t="s">
        <v>1685</v>
      </c>
      <c r="O492" s="1655">
        <v>0</v>
      </c>
      <c r="P492" s="1655" t="s">
        <v>42</v>
      </c>
      <c r="Q492" s="1655" t="s">
        <v>572</v>
      </c>
      <c r="S492" s="1655" t="s">
        <v>70</v>
      </c>
      <c r="T492" s="1655" t="s">
        <v>1685</v>
      </c>
      <c r="U492" s="1655">
        <v>0</v>
      </c>
      <c r="V492" s="1655" t="s">
        <v>42</v>
      </c>
      <c r="W492" s="1655" t="s">
        <v>572</v>
      </c>
    </row>
    <row r="493" spans="1:23">
      <c r="A493" s="1655" t="s">
        <v>70</v>
      </c>
      <c r="B493" s="1655" t="s">
        <v>1686</v>
      </c>
      <c r="C493" s="1655">
        <v>0</v>
      </c>
      <c r="D493" s="1655" t="s">
        <v>42</v>
      </c>
      <c r="E493" s="1655" t="s">
        <v>572</v>
      </c>
      <c r="G493" s="1655" t="s">
        <v>70</v>
      </c>
      <c r="H493" s="1655" t="s">
        <v>1686</v>
      </c>
      <c r="I493" s="1655">
        <v>0</v>
      </c>
      <c r="J493" s="1655" t="s">
        <v>42</v>
      </c>
      <c r="K493" s="1655" t="s">
        <v>572</v>
      </c>
      <c r="M493" s="1655" t="s">
        <v>70</v>
      </c>
      <c r="N493" s="1655" t="s">
        <v>1686</v>
      </c>
      <c r="O493" s="1655">
        <v>0</v>
      </c>
      <c r="P493" s="1655" t="s">
        <v>42</v>
      </c>
      <c r="Q493" s="1655" t="s">
        <v>572</v>
      </c>
      <c r="S493" s="1655" t="s">
        <v>70</v>
      </c>
      <c r="T493" s="1655" t="s">
        <v>1686</v>
      </c>
      <c r="U493" s="1655">
        <v>0</v>
      </c>
      <c r="V493" s="1655" t="s">
        <v>42</v>
      </c>
      <c r="W493" s="1655" t="s">
        <v>572</v>
      </c>
    </row>
    <row r="494" spans="1:23">
      <c r="A494" s="1655" t="s">
        <v>70</v>
      </c>
      <c r="B494" s="1655" t="s">
        <v>1687</v>
      </c>
      <c r="C494" s="1655">
        <v>0</v>
      </c>
      <c r="D494" s="1655" t="s">
        <v>42</v>
      </c>
      <c r="E494" s="1655" t="s">
        <v>572</v>
      </c>
      <c r="G494" s="1655" t="s">
        <v>70</v>
      </c>
      <c r="H494" s="1655" t="s">
        <v>1687</v>
      </c>
      <c r="I494" s="1655">
        <v>0</v>
      </c>
      <c r="J494" s="1655" t="s">
        <v>42</v>
      </c>
      <c r="K494" s="1655" t="s">
        <v>572</v>
      </c>
      <c r="M494" s="1655" t="s">
        <v>70</v>
      </c>
      <c r="N494" s="1655" t="s">
        <v>1687</v>
      </c>
      <c r="O494" s="1655">
        <v>0</v>
      </c>
      <c r="P494" s="1655" t="s">
        <v>42</v>
      </c>
      <c r="Q494" s="1655" t="s">
        <v>572</v>
      </c>
      <c r="S494" s="1655" t="s">
        <v>70</v>
      </c>
      <c r="T494" s="1655" t="s">
        <v>1687</v>
      </c>
      <c r="U494" s="1655">
        <v>0</v>
      </c>
      <c r="V494" s="1655" t="s">
        <v>42</v>
      </c>
      <c r="W494" s="1655" t="s">
        <v>572</v>
      </c>
    </row>
    <row r="495" spans="1:23">
      <c r="A495" s="1655" t="s">
        <v>70</v>
      </c>
      <c r="B495" s="1655" t="s">
        <v>1688</v>
      </c>
      <c r="C495" s="1655">
        <v>0</v>
      </c>
      <c r="D495" s="1655" t="s">
        <v>42</v>
      </c>
      <c r="E495" s="1655" t="s">
        <v>572</v>
      </c>
      <c r="G495" s="1655" t="s">
        <v>70</v>
      </c>
      <c r="H495" s="1655" t="s">
        <v>1688</v>
      </c>
      <c r="I495" s="1655">
        <v>0</v>
      </c>
      <c r="J495" s="1655" t="s">
        <v>42</v>
      </c>
      <c r="K495" s="1655" t="s">
        <v>572</v>
      </c>
      <c r="M495" s="1655" t="s">
        <v>70</v>
      </c>
      <c r="N495" s="1655" t="s">
        <v>1688</v>
      </c>
      <c r="O495" s="1655">
        <v>0</v>
      </c>
      <c r="P495" s="1655" t="s">
        <v>42</v>
      </c>
      <c r="Q495" s="1655" t="s">
        <v>572</v>
      </c>
      <c r="S495" s="1655" t="s">
        <v>70</v>
      </c>
      <c r="T495" s="1655" t="s">
        <v>1688</v>
      </c>
      <c r="U495" s="1655">
        <v>0</v>
      </c>
      <c r="V495" s="1655" t="s">
        <v>42</v>
      </c>
      <c r="W495" s="1655" t="s">
        <v>572</v>
      </c>
    </row>
    <row r="496" spans="1:23">
      <c r="A496" s="1655" t="s">
        <v>70</v>
      </c>
      <c r="B496" s="1655" t="s">
        <v>1689</v>
      </c>
      <c r="C496" s="1655">
        <v>0</v>
      </c>
      <c r="D496" s="1655" t="s">
        <v>42</v>
      </c>
      <c r="E496" s="1655" t="s">
        <v>572</v>
      </c>
      <c r="G496" s="1655" t="s">
        <v>70</v>
      </c>
      <c r="H496" s="1655" t="s">
        <v>1689</v>
      </c>
      <c r="I496" s="1655">
        <v>0</v>
      </c>
      <c r="J496" s="1655" t="s">
        <v>42</v>
      </c>
      <c r="K496" s="1655" t="s">
        <v>572</v>
      </c>
      <c r="M496" s="1655" t="s">
        <v>70</v>
      </c>
      <c r="N496" s="1655" t="s">
        <v>1689</v>
      </c>
      <c r="O496" s="1655">
        <v>0</v>
      </c>
      <c r="P496" s="1655" t="s">
        <v>42</v>
      </c>
      <c r="Q496" s="1655" t="s">
        <v>572</v>
      </c>
      <c r="S496" s="1655" t="s">
        <v>70</v>
      </c>
      <c r="T496" s="1655" t="s">
        <v>1689</v>
      </c>
      <c r="U496" s="1655">
        <v>0</v>
      </c>
      <c r="V496" s="1655" t="s">
        <v>42</v>
      </c>
      <c r="W496" s="1655" t="s">
        <v>572</v>
      </c>
    </row>
    <row r="497" spans="1:23">
      <c r="A497" s="1655" t="s">
        <v>70</v>
      </c>
      <c r="B497" s="1655" t="s">
        <v>1690</v>
      </c>
      <c r="C497" s="1655">
        <v>0</v>
      </c>
      <c r="D497" s="1655" t="s">
        <v>42</v>
      </c>
      <c r="E497" s="1655" t="s">
        <v>572</v>
      </c>
      <c r="G497" s="1655" t="s">
        <v>70</v>
      </c>
      <c r="H497" s="1655" t="s">
        <v>1690</v>
      </c>
      <c r="I497" s="1655">
        <v>0</v>
      </c>
      <c r="J497" s="1655" t="s">
        <v>42</v>
      </c>
      <c r="K497" s="1655" t="s">
        <v>572</v>
      </c>
      <c r="M497" s="1655" t="s">
        <v>70</v>
      </c>
      <c r="N497" s="1655" t="s">
        <v>1690</v>
      </c>
      <c r="O497" s="1655">
        <v>0</v>
      </c>
      <c r="P497" s="1655" t="s">
        <v>42</v>
      </c>
      <c r="Q497" s="1655" t="s">
        <v>572</v>
      </c>
      <c r="S497" s="1655" t="s">
        <v>70</v>
      </c>
      <c r="T497" s="1655" t="s">
        <v>1690</v>
      </c>
      <c r="U497" s="1655">
        <v>0</v>
      </c>
      <c r="V497" s="1655" t="s">
        <v>42</v>
      </c>
      <c r="W497" s="1655" t="s">
        <v>572</v>
      </c>
    </row>
    <row r="498" spans="1:23">
      <c r="A498" s="1655" t="s">
        <v>70</v>
      </c>
      <c r="B498" s="1655" t="s">
        <v>1691</v>
      </c>
      <c r="C498" s="1655">
        <v>0</v>
      </c>
      <c r="D498" s="1655" t="s">
        <v>42</v>
      </c>
      <c r="E498" s="1655" t="s">
        <v>572</v>
      </c>
      <c r="G498" s="1655" t="s">
        <v>70</v>
      </c>
      <c r="H498" s="1655" t="s">
        <v>1691</v>
      </c>
      <c r="I498" s="1655">
        <v>0</v>
      </c>
      <c r="J498" s="1655" t="s">
        <v>42</v>
      </c>
      <c r="K498" s="1655" t="s">
        <v>572</v>
      </c>
      <c r="M498" s="1655" t="s">
        <v>70</v>
      </c>
      <c r="N498" s="1655" t="s">
        <v>1691</v>
      </c>
      <c r="O498" s="1655">
        <v>0</v>
      </c>
      <c r="P498" s="1655" t="s">
        <v>42</v>
      </c>
      <c r="Q498" s="1655" t="s">
        <v>572</v>
      </c>
      <c r="S498" s="1655" t="s">
        <v>70</v>
      </c>
      <c r="T498" s="1655" t="s">
        <v>1691</v>
      </c>
      <c r="U498" s="1655">
        <v>0</v>
      </c>
      <c r="V498" s="1655" t="s">
        <v>42</v>
      </c>
      <c r="W498" s="1655" t="s">
        <v>572</v>
      </c>
    </row>
    <row r="499" spans="1:23">
      <c r="A499" s="1655" t="s">
        <v>70</v>
      </c>
      <c r="B499" s="1655" t="s">
        <v>829</v>
      </c>
      <c r="C499" s="1655" t="s">
        <v>42</v>
      </c>
      <c r="D499" s="1655" t="s">
        <v>42</v>
      </c>
      <c r="E499" s="1655" t="s">
        <v>569</v>
      </c>
      <c r="G499" s="1655" t="s">
        <v>70</v>
      </c>
      <c r="H499" s="1655" t="s">
        <v>829</v>
      </c>
      <c r="I499" s="1655" t="s">
        <v>42</v>
      </c>
      <c r="J499" s="1655" t="s">
        <v>42</v>
      </c>
      <c r="K499" s="1655" t="s">
        <v>569</v>
      </c>
      <c r="M499" s="1655" t="s">
        <v>70</v>
      </c>
      <c r="N499" s="1655" t="s">
        <v>829</v>
      </c>
      <c r="O499" s="1655" t="s">
        <v>42</v>
      </c>
      <c r="P499" s="1655" t="s">
        <v>42</v>
      </c>
      <c r="Q499" s="1655" t="s">
        <v>569</v>
      </c>
      <c r="S499" s="1655" t="s">
        <v>70</v>
      </c>
      <c r="T499" s="1655" t="s">
        <v>829</v>
      </c>
      <c r="U499" s="1655" t="s">
        <v>42</v>
      </c>
      <c r="V499" s="1655" t="s">
        <v>42</v>
      </c>
      <c r="W499" s="1655" t="s">
        <v>569</v>
      </c>
    </row>
    <row r="500" spans="1:23">
      <c r="A500" s="1655" t="s">
        <v>70</v>
      </c>
      <c r="B500" s="1655" t="s">
        <v>1195</v>
      </c>
      <c r="C500" s="1655" t="s">
        <v>42</v>
      </c>
      <c r="D500" s="1655" t="s">
        <v>42</v>
      </c>
      <c r="E500" s="1655" t="s">
        <v>569</v>
      </c>
      <c r="G500" s="1655" t="s">
        <v>70</v>
      </c>
      <c r="H500" s="1655" t="s">
        <v>1195</v>
      </c>
      <c r="I500" s="1655" t="s">
        <v>42</v>
      </c>
      <c r="J500" s="1655" t="s">
        <v>42</v>
      </c>
      <c r="K500" s="1655" t="s">
        <v>569</v>
      </c>
      <c r="M500" s="1655" t="s">
        <v>70</v>
      </c>
      <c r="N500" s="1655" t="s">
        <v>1195</v>
      </c>
      <c r="O500" s="1655" t="s">
        <v>43</v>
      </c>
      <c r="P500" s="1655" t="s">
        <v>42</v>
      </c>
      <c r="Q500" s="1655" t="s">
        <v>569</v>
      </c>
      <c r="S500" s="1655" t="s">
        <v>70</v>
      </c>
      <c r="T500" s="1655" t="s">
        <v>1195</v>
      </c>
      <c r="U500" s="1655" t="s">
        <v>42</v>
      </c>
      <c r="V500" s="1655" t="s">
        <v>42</v>
      </c>
      <c r="W500" s="1655" t="s">
        <v>569</v>
      </c>
    </row>
    <row r="501" spans="1:23">
      <c r="A501" s="1655" t="s">
        <v>70</v>
      </c>
      <c r="B501" s="1655" t="s">
        <v>1196</v>
      </c>
      <c r="C501" s="1655" t="s">
        <v>42</v>
      </c>
      <c r="D501" s="1655" t="s">
        <v>42</v>
      </c>
      <c r="E501" s="1655" t="s">
        <v>569</v>
      </c>
      <c r="G501" s="1655" t="s">
        <v>70</v>
      </c>
      <c r="H501" s="1655" t="s">
        <v>1196</v>
      </c>
      <c r="I501" s="1655" t="s">
        <v>42</v>
      </c>
      <c r="J501" s="1655" t="s">
        <v>42</v>
      </c>
      <c r="K501" s="1655" t="s">
        <v>569</v>
      </c>
      <c r="M501" s="1655" t="s">
        <v>70</v>
      </c>
      <c r="N501" s="1655" t="s">
        <v>1196</v>
      </c>
      <c r="O501" s="1655" t="s">
        <v>43</v>
      </c>
      <c r="P501" s="1655" t="s">
        <v>42</v>
      </c>
      <c r="Q501" s="1655" t="s">
        <v>569</v>
      </c>
      <c r="S501" s="1655" t="s">
        <v>70</v>
      </c>
      <c r="T501" s="1655" t="s">
        <v>1196</v>
      </c>
      <c r="U501" s="1655" t="s">
        <v>42</v>
      </c>
      <c r="V501" s="1655" t="s">
        <v>42</v>
      </c>
      <c r="W501" s="1655" t="s">
        <v>569</v>
      </c>
    </row>
    <row r="502" spans="1:23">
      <c r="A502" s="1655" t="s">
        <v>70</v>
      </c>
      <c r="B502" s="1655" t="s">
        <v>830</v>
      </c>
      <c r="C502" s="1655" t="s">
        <v>42</v>
      </c>
      <c r="D502" s="1655" t="s">
        <v>42</v>
      </c>
      <c r="E502" s="1655" t="s">
        <v>569</v>
      </c>
      <c r="G502" s="1655" t="s">
        <v>70</v>
      </c>
      <c r="H502" s="1655" t="s">
        <v>830</v>
      </c>
      <c r="I502" s="1655" t="s">
        <v>43</v>
      </c>
      <c r="J502" s="1655" t="s">
        <v>42</v>
      </c>
      <c r="K502" s="1655" t="s">
        <v>569</v>
      </c>
      <c r="M502" s="1655" t="s">
        <v>70</v>
      </c>
      <c r="N502" s="1655" t="s">
        <v>830</v>
      </c>
      <c r="O502" s="1655" t="s">
        <v>43</v>
      </c>
      <c r="P502" s="1655" t="s">
        <v>42</v>
      </c>
      <c r="Q502" s="1655" t="s">
        <v>569</v>
      </c>
      <c r="S502" s="1655" t="s">
        <v>70</v>
      </c>
      <c r="T502" s="1655" t="s">
        <v>830</v>
      </c>
      <c r="U502" s="1655" t="s">
        <v>42</v>
      </c>
      <c r="V502" s="1655" t="s">
        <v>42</v>
      </c>
      <c r="W502" s="1655" t="s">
        <v>569</v>
      </c>
    </row>
    <row r="503" spans="1:23">
      <c r="A503" s="1655" t="s">
        <v>70</v>
      </c>
      <c r="B503" s="1655" t="s">
        <v>831</v>
      </c>
      <c r="C503" s="1655" t="s">
        <v>42</v>
      </c>
      <c r="D503" s="1655" t="s">
        <v>42</v>
      </c>
      <c r="E503" s="1655" t="s">
        <v>569</v>
      </c>
      <c r="G503" s="1655" t="s">
        <v>70</v>
      </c>
      <c r="H503" s="1655" t="s">
        <v>831</v>
      </c>
      <c r="I503" s="1655" t="s">
        <v>43</v>
      </c>
      <c r="J503" s="1655" t="s">
        <v>42</v>
      </c>
      <c r="K503" s="1655" t="s">
        <v>569</v>
      </c>
      <c r="M503" s="1655" t="s">
        <v>70</v>
      </c>
      <c r="N503" s="1655" t="s">
        <v>831</v>
      </c>
      <c r="O503" s="1655" t="s">
        <v>43</v>
      </c>
      <c r="P503" s="1655" t="s">
        <v>42</v>
      </c>
      <c r="Q503" s="1655" t="s">
        <v>569</v>
      </c>
      <c r="S503" s="1655" t="s">
        <v>70</v>
      </c>
      <c r="T503" s="1655" t="s">
        <v>831</v>
      </c>
      <c r="U503" s="1655" t="s">
        <v>42</v>
      </c>
      <c r="V503" s="1655" t="s">
        <v>42</v>
      </c>
      <c r="W503" s="1655" t="s">
        <v>569</v>
      </c>
    </row>
    <row r="504" spans="1:23">
      <c r="A504" s="1655" t="s">
        <v>70</v>
      </c>
      <c r="B504" s="1655" t="s">
        <v>832</v>
      </c>
      <c r="C504" s="1655" t="s">
        <v>42</v>
      </c>
      <c r="D504" s="1655" t="s">
        <v>42</v>
      </c>
      <c r="E504" s="1655" t="s">
        <v>569</v>
      </c>
      <c r="G504" s="1655" t="s">
        <v>70</v>
      </c>
      <c r="H504" s="1655" t="s">
        <v>832</v>
      </c>
      <c r="I504" s="1655" t="s">
        <v>43</v>
      </c>
      <c r="J504" s="1655" t="s">
        <v>42</v>
      </c>
      <c r="K504" s="1655" t="s">
        <v>569</v>
      </c>
      <c r="M504" s="1655" t="s">
        <v>70</v>
      </c>
      <c r="N504" s="1655" t="s">
        <v>832</v>
      </c>
      <c r="O504" s="1655" t="s">
        <v>43</v>
      </c>
      <c r="P504" s="1655" t="s">
        <v>42</v>
      </c>
      <c r="Q504" s="1655" t="s">
        <v>569</v>
      </c>
      <c r="S504" s="1655" t="s">
        <v>70</v>
      </c>
      <c r="T504" s="1655" t="s">
        <v>832</v>
      </c>
      <c r="U504" s="1655" t="s">
        <v>42</v>
      </c>
      <c r="V504" s="1655" t="s">
        <v>42</v>
      </c>
      <c r="W504" s="1655" t="s">
        <v>569</v>
      </c>
    </row>
    <row r="505" spans="1:23">
      <c r="A505" s="1655" t="s">
        <v>70</v>
      </c>
      <c r="B505" s="1655" t="s">
        <v>833</v>
      </c>
      <c r="C505" s="1655" t="s">
        <v>42</v>
      </c>
      <c r="D505" s="1655" t="s">
        <v>42</v>
      </c>
      <c r="E505" s="1655" t="s">
        <v>569</v>
      </c>
      <c r="G505" s="1655" t="s">
        <v>70</v>
      </c>
      <c r="H505" s="1655" t="s">
        <v>833</v>
      </c>
      <c r="I505" s="1655" t="s">
        <v>43</v>
      </c>
      <c r="J505" s="1655" t="s">
        <v>42</v>
      </c>
      <c r="K505" s="1655" t="s">
        <v>569</v>
      </c>
      <c r="M505" s="1655" t="s">
        <v>70</v>
      </c>
      <c r="N505" s="1655" t="s">
        <v>833</v>
      </c>
      <c r="O505" s="1655" t="s">
        <v>43</v>
      </c>
      <c r="P505" s="1655" t="s">
        <v>42</v>
      </c>
      <c r="Q505" s="1655" t="s">
        <v>569</v>
      </c>
      <c r="S505" s="1655" t="s">
        <v>70</v>
      </c>
      <c r="T505" s="1655" t="s">
        <v>833</v>
      </c>
      <c r="U505" s="1655" t="s">
        <v>42</v>
      </c>
      <c r="V505" s="1655" t="s">
        <v>42</v>
      </c>
      <c r="W505" s="1655" t="s">
        <v>569</v>
      </c>
    </row>
    <row r="506" spans="1:23">
      <c r="A506" s="1655" t="s">
        <v>70</v>
      </c>
      <c r="B506" s="1655" t="s">
        <v>834</v>
      </c>
      <c r="C506" s="1655" t="s">
        <v>42</v>
      </c>
      <c r="D506" s="1655" t="s">
        <v>42</v>
      </c>
      <c r="E506" s="1655" t="s">
        <v>569</v>
      </c>
      <c r="G506" s="1655" t="s">
        <v>70</v>
      </c>
      <c r="H506" s="1655" t="s">
        <v>834</v>
      </c>
      <c r="I506" s="1655" t="s">
        <v>43</v>
      </c>
      <c r="J506" s="1655" t="s">
        <v>42</v>
      </c>
      <c r="K506" s="1655" t="s">
        <v>569</v>
      </c>
      <c r="M506" s="1655" t="s">
        <v>70</v>
      </c>
      <c r="N506" s="1655" t="s">
        <v>834</v>
      </c>
      <c r="O506" s="1655" t="s">
        <v>43</v>
      </c>
      <c r="P506" s="1655" t="s">
        <v>42</v>
      </c>
      <c r="Q506" s="1655" t="s">
        <v>569</v>
      </c>
      <c r="S506" s="1655" t="s">
        <v>70</v>
      </c>
      <c r="T506" s="1655" t="s">
        <v>834</v>
      </c>
      <c r="U506" s="1655" t="s">
        <v>42</v>
      </c>
      <c r="V506" s="1655" t="s">
        <v>42</v>
      </c>
      <c r="W506" s="1655" t="s">
        <v>569</v>
      </c>
    </row>
    <row r="507" spans="1:23">
      <c r="A507" s="1655" t="s">
        <v>70</v>
      </c>
      <c r="B507" s="1655" t="s">
        <v>835</v>
      </c>
      <c r="C507" s="1655" t="s">
        <v>42</v>
      </c>
      <c r="D507" s="1655" t="s">
        <v>42</v>
      </c>
      <c r="E507" s="1655" t="s">
        <v>569</v>
      </c>
      <c r="G507" s="1655" t="s">
        <v>70</v>
      </c>
      <c r="H507" s="1655" t="s">
        <v>835</v>
      </c>
      <c r="I507" s="1655" t="s">
        <v>43</v>
      </c>
      <c r="J507" s="1655" t="s">
        <v>42</v>
      </c>
      <c r="K507" s="1655" t="s">
        <v>569</v>
      </c>
      <c r="M507" s="1655" t="s">
        <v>70</v>
      </c>
      <c r="N507" s="1655" t="s">
        <v>835</v>
      </c>
      <c r="O507" s="1655" t="s">
        <v>43</v>
      </c>
      <c r="P507" s="1655" t="s">
        <v>42</v>
      </c>
      <c r="Q507" s="1655" t="s">
        <v>569</v>
      </c>
      <c r="S507" s="1655" t="s">
        <v>70</v>
      </c>
      <c r="T507" s="1655" t="s">
        <v>835</v>
      </c>
      <c r="U507" s="1655" t="s">
        <v>42</v>
      </c>
      <c r="V507" s="1655" t="s">
        <v>42</v>
      </c>
      <c r="W507" s="1655" t="s">
        <v>569</v>
      </c>
    </row>
    <row r="508" spans="1:23">
      <c r="A508" s="1655" t="s">
        <v>70</v>
      </c>
      <c r="B508" s="1655" t="s">
        <v>836</v>
      </c>
      <c r="C508" s="1655" t="s">
        <v>42</v>
      </c>
      <c r="D508" s="1655" t="s">
        <v>42</v>
      </c>
      <c r="E508" s="1655" t="s">
        <v>569</v>
      </c>
      <c r="G508" s="1655" t="s">
        <v>70</v>
      </c>
      <c r="H508" s="1655" t="s">
        <v>836</v>
      </c>
      <c r="I508" s="1655" t="s">
        <v>43</v>
      </c>
      <c r="J508" s="1655" t="s">
        <v>42</v>
      </c>
      <c r="K508" s="1655" t="s">
        <v>569</v>
      </c>
      <c r="M508" s="1655" t="s">
        <v>70</v>
      </c>
      <c r="N508" s="1655" t="s">
        <v>836</v>
      </c>
      <c r="O508" s="1655" t="s">
        <v>43</v>
      </c>
      <c r="P508" s="1655" t="s">
        <v>42</v>
      </c>
      <c r="Q508" s="1655" t="s">
        <v>569</v>
      </c>
      <c r="S508" s="1655" t="s">
        <v>70</v>
      </c>
      <c r="T508" s="1655" t="s">
        <v>836</v>
      </c>
      <c r="U508" s="1655" t="s">
        <v>42</v>
      </c>
      <c r="V508" s="1655" t="s">
        <v>42</v>
      </c>
      <c r="W508" s="1655" t="s">
        <v>569</v>
      </c>
    </row>
    <row r="509" spans="1:23">
      <c r="A509" s="1655" t="s">
        <v>70</v>
      </c>
      <c r="B509" s="1655" t="s">
        <v>837</v>
      </c>
      <c r="C509" s="1655" t="s">
        <v>42</v>
      </c>
      <c r="D509" s="1655" t="s">
        <v>42</v>
      </c>
      <c r="E509" s="1655" t="s">
        <v>569</v>
      </c>
      <c r="G509" s="1655" t="s">
        <v>70</v>
      </c>
      <c r="H509" s="1655" t="s">
        <v>837</v>
      </c>
      <c r="I509" s="1655" t="s">
        <v>43</v>
      </c>
      <c r="J509" s="1655" t="s">
        <v>42</v>
      </c>
      <c r="K509" s="1655" t="s">
        <v>569</v>
      </c>
      <c r="M509" s="1655" t="s">
        <v>70</v>
      </c>
      <c r="N509" s="1655" t="s">
        <v>837</v>
      </c>
      <c r="O509" s="1655" t="s">
        <v>43</v>
      </c>
      <c r="P509" s="1655" t="s">
        <v>42</v>
      </c>
      <c r="Q509" s="1655" t="s">
        <v>569</v>
      </c>
      <c r="S509" s="1655" t="s">
        <v>70</v>
      </c>
      <c r="T509" s="1655" t="s">
        <v>837</v>
      </c>
      <c r="U509" s="1655" t="s">
        <v>42</v>
      </c>
      <c r="V509" s="1655" t="s">
        <v>42</v>
      </c>
      <c r="W509" s="1655" t="s">
        <v>569</v>
      </c>
    </row>
    <row r="510" spans="1:23">
      <c r="A510" s="1655" t="s">
        <v>70</v>
      </c>
      <c r="B510" s="1655" t="s">
        <v>1692</v>
      </c>
      <c r="C510" s="1655" t="s">
        <v>42</v>
      </c>
      <c r="D510" s="1655" t="s">
        <v>42</v>
      </c>
      <c r="E510" s="1655" t="s">
        <v>569</v>
      </c>
      <c r="G510" s="1655" t="s">
        <v>70</v>
      </c>
      <c r="H510" s="1655" t="s">
        <v>1692</v>
      </c>
      <c r="I510" s="1655" t="s">
        <v>42</v>
      </c>
      <c r="J510" s="1655" t="s">
        <v>42</v>
      </c>
      <c r="K510" s="1655" t="s">
        <v>569</v>
      </c>
      <c r="M510" s="1655" t="s">
        <v>70</v>
      </c>
      <c r="N510" s="1655" t="s">
        <v>1692</v>
      </c>
      <c r="O510" s="1655" t="s">
        <v>42</v>
      </c>
      <c r="P510" s="1655" t="s">
        <v>42</v>
      </c>
      <c r="Q510" s="1655" t="s">
        <v>569</v>
      </c>
      <c r="S510" s="1655" t="s">
        <v>70</v>
      </c>
      <c r="T510" s="1655" t="s">
        <v>1692</v>
      </c>
      <c r="U510" s="1655" t="s">
        <v>42</v>
      </c>
      <c r="V510" s="1655" t="s">
        <v>42</v>
      </c>
      <c r="W510" s="1655" t="s">
        <v>569</v>
      </c>
    </row>
    <row r="511" spans="1:23">
      <c r="A511" s="1655" t="s">
        <v>70</v>
      </c>
      <c r="B511" s="1655" t="s">
        <v>1693</v>
      </c>
      <c r="C511" s="1655" t="s">
        <v>42</v>
      </c>
      <c r="D511" s="1655" t="s">
        <v>42</v>
      </c>
      <c r="E511" s="1655" t="s">
        <v>569</v>
      </c>
      <c r="G511" s="1655" t="s">
        <v>70</v>
      </c>
      <c r="H511" s="1655" t="s">
        <v>1693</v>
      </c>
      <c r="I511" s="1655" t="s">
        <v>42</v>
      </c>
      <c r="J511" s="1655" t="s">
        <v>42</v>
      </c>
      <c r="K511" s="1655" t="s">
        <v>569</v>
      </c>
      <c r="M511" s="1655" t="s">
        <v>70</v>
      </c>
      <c r="N511" s="1655" t="s">
        <v>1693</v>
      </c>
      <c r="O511" s="1655" t="s">
        <v>42</v>
      </c>
      <c r="P511" s="1655" t="s">
        <v>42</v>
      </c>
      <c r="Q511" s="1655" t="s">
        <v>569</v>
      </c>
      <c r="S511" s="1655" t="s">
        <v>70</v>
      </c>
      <c r="T511" s="1655" t="s">
        <v>1693</v>
      </c>
      <c r="U511" s="1655" t="s">
        <v>42</v>
      </c>
      <c r="V511" s="1655" t="s">
        <v>42</v>
      </c>
      <c r="W511" s="1655" t="s">
        <v>569</v>
      </c>
    </row>
    <row r="512" spans="1:23">
      <c r="A512" s="1655" t="s">
        <v>70</v>
      </c>
      <c r="B512" s="1655" t="s">
        <v>838</v>
      </c>
      <c r="C512" s="1655" t="s">
        <v>42</v>
      </c>
      <c r="D512" s="1655" t="s">
        <v>42</v>
      </c>
      <c r="E512" s="1655" t="s">
        <v>569</v>
      </c>
      <c r="G512" s="1655" t="s">
        <v>70</v>
      </c>
      <c r="H512" s="1655" t="s">
        <v>838</v>
      </c>
      <c r="I512" s="1655" t="s">
        <v>42</v>
      </c>
      <c r="J512" s="1655" t="s">
        <v>42</v>
      </c>
      <c r="K512" s="1655" t="s">
        <v>569</v>
      </c>
      <c r="M512" s="1655" t="s">
        <v>70</v>
      </c>
      <c r="N512" s="1655" t="s">
        <v>838</v>
      </c>
      <c r="O512" s="1655" t="s">
        <v>42</v>
      </c>
      <c r="P512" s="1655" t="s">
        <v>42</v>
      </c>
      <c r="Q512" s="1655" t="s">
        <v>569</v>
      </c>
      <c r="S512" s="1655" t="s">
        <v>70</v>
      </c>
      <c r="T512" s="1655" t="s">
        <v>838</v>
      </c>
      <c r="U512" s="1655" t="s">
        <v>42</v>
      </c>
      <c r="V512" s="1655" t="s">
        <v>42</v>
      </c>
      <c r="W512" s="1655" t="s">
        <v>569</v>
      </c>
    </row>
    <row r="513" spans="1:23">
      <c r="A513" s="1655" t="s">
        <v>70</v>
      </c>
      <c r="B513" s="1655" t="s">
        <v>839</v>
      </c>
      <c r="C513" s="1655" t="s">
        <v>42</v>
      </c>
      <c r="D513" s="1655" t="s">
        <v>42</v>
      </c>
      <c r="E513" s="1655" t="s">
        <v>569</v>
      </c>
      <c r="G513" s="1655" t="s">
        <v>70</v>
      </c>
      <c r="H513" s="1655" t="s">
        <v>839</v>
      </c>
      <c r="I513" s="1655" t="s">
        <v>42</v>
      </c>
      <c r="J513" s="1655" t="s">
        <v>42</v>
      </c>
      <c r="K513" s="1655" t="s">
        <v>569</v>
      </c>
      <c r="M513" s="1655" t="s">
        <v>70</v>
      </c>
      <c r="N513" s="1655" t="s">
        <v>839</v>
      </c>
      <c r="O513" s="1655" t="s">
        <v>42</v>
      </c>
      <c r="P513" s="1655" t="s">
        <v>42</v>
      </c>
      <c r="Q513" s="1655" t="s">
        <v>569</v>
      </c>
      <c r="S513" s="1655" t="s">
        <v>70</v>
      </c>
      <c r="T513" s="1655" t="s">
        <v>839</v>
      </c>
      <c r="U513" s="1655" t="s">
        <v>42</v>
      </c>
      <c r="V513" s="1655" t="s">
        <v>42</v>
      </c>
      <c r="W513" s="1655" t="s">
        <v>569</v>
      </c>
    </row>
    <row r="514" spans="1:23">
      <c r="A514" s="1655" t="s">
        <v>70</v>
      </c>
      <c r="B514" s="1655" t="s">
        <v>840</v>
      </c>
      <c r="C514" s="1655" t="s">
        <v>42</v>
      </c>
      <c r="D514" s="1655" t="s">
        <v>42</v>
      </c>
      <c r="E514" s="1655" t="s">
        <v>569</v>
      </c>
      <c r="G514" s="1655" t="s">
        <v>70</v>
      </c>
      <c r="H514" s="1655" t="s">
        <v>840</v>
      </c>
      <c r="I514" s="1655" t="s">
        <v>42</v>
      </c>
      <c r="J514" s="1655" t="s">
        <v>42</v>
      </c>
      <c r="K514" s="1655" t="s">
        <v>569</v>
      </c>
      <c r="M514" s="1655" t="s">
        <v>70</v>
      </c>
      <c r="N514" s="1655" t="s">
        <v>840</v>
      </c>
      <c r="O514" s="1655" t="s">
        <v>42</v>
      </c>
      <c r="P514" s="1655" t="s">
        <v>42</v>
      </c>
      <c r="Q514" s="1655" t="s">
        <v>569</v>
      </c>
      <c r="S514" s="1655" t="s">
        <v>70</v>
      </c>
      <c r="T514" s="1655" t="s">
        <v>840</v>
      </c>
      <c r="U514" s="1655" t="s">
        <v>42</v>
      </c>
      <c r="V514" s="1655" t="s">
        <v>42</v>
      </c>
      <c r="W514" s="1655" t="s">
        <v>569</v>
      </c>
    </row>
    <row r="515" spans="1:23">
      <c r="A515" s="1655" t="s">
        <v>70</v>
      </c>
      <c r="B515" s="1655" t="s">
        <v>1694</v>
      </c>
      <c r="C515" s="1655" t="s">
        <v>42</v>
      </c>
      <c r="D515" s="1655" t="s">
        <v>42</v>
      </c>
      <c r="E515" s="1655" t="s">
        <v>569</v>
      </c>
      <c r="G515" s="1655" t="s">
        <v>70</v>
      </c>
      <c r="H515" s="1655" t="s">
        <v>1694</v>
      </c>
      <c r="I515" s="1655" t="s">
        <v>42</v>
      </c>
      <c r="J515" s="1655" t="s">
        <v>42</v>
      </c>
      <c r="K515" s="1655" t="s">
        <v>569</v>
      </c>
      <c r="M515" s="1655" t="s">
        <v>70</v>
      </c>
      <c r="N515" s="1655" t="s">
        <v>1694</v>
      </c>
      <c r="O515" s="1655" t="s">
        <v>42</v>
      </c>
      <c r="P515" s="1655" t="s">
        <v>42</v>
      </c>
      <c r="Q515" s="1655" t="s">
        <v>569</v>
      </c>
      <c r="S515" s="1655" t="s">
        <v>70</v>
      </c>
      <c r="T515" s="1655" t="s">
        <v>1694</v>
      </c>
      <c r="U515" s="1655" t="s">
        <v>42</v>
      </c>
      <c r="V515" s="1655" t="s">
        <v>42</v>
      </c>
      <c r="W515" s="1655" t="s">
        <v>569</v>
      </c>
    </row>
    <row r="516" spans="1:23">
      <c r="A516" s="1655" t="s">
        <v>70</v>
      </c>
      <c r="B516" s="1655" t="s">
        <v>1695</v>
      </c>
      <c r="C516" s="1655" t="s">
        <v>42</v>
      </c>
      <c r="D516" s="1655" t="s">
        <v>42</v>
      </c>
      <c r="E516" s="1655" t="s">
        <v>569</v>
      </c>
      <c r="G516" s="1655" t="s">
        <v>70</v>
      </c>
      <c r="H516" s="1655" t="s">
        <v>1695</v>
      </c>
      <c r="I516" s="1655" t="s">
        <v>42</v>
      </c>
      <c r="J516" s="1655" t="s">
        <v>42</v>
      </c>
      <c r="K516" s="1655" t="s">
        <v>569</v>
      </c>
      <c r="M516" s="1655" t="s">
        <v>70</v>
      </c>
      <c r="N516" s="1655" t="s">
        <v>1695</v>
      </c>
      <c r="O516" s="1655" t="s">
        <v>42</v>
      </c>
      <c r="P516" s="1655" t="s">
        <v>42</v>
      </c>
      <c r="Q516" s="1655" t="s">
        <v>569</v>
      </c>
      <c r="S516" s="1655" t="s">
        <v>70</v>
      </c>
      <c r="T516" s="1655" t="s">
        <v>1695</v>
      </c>
      <c r="U516" s="1655" t="s">
        <v>42</v>
      </c>
      <c r="V516" s="1655" t="s">
        <v>42</v>
      </c>
      <c r="W516" s="1655" t="s">
        <v>569</v>
      </c>
    </row>
    <row r="517" spans="1:23">
      <c r="A517" s="1655" t="s">
        <v>70</v>
      </c>
      <c r="B517" s="1655" t="s">
        <v>841</v>
      </c>
      <c r="C517" s="1655" t="s">
        <v>42</v>
      </c>
      <c r="D517" s="1655" t="s">
        <v>42</v>
      </c>
      <c r="E517" s="1655" t="s">
        <v>569</v>
      </c>
      <c r="G517" s="1655" t="s">
        <v>70</v>
      </c>
      <c r="H517" s="1655" t="s">
        <v>841</v>
      </c>
      <c r="I517" s="1655" t="s">
        <v>42</v>
      </c>
      <c r="J517" s="1655" t="s">
        <v>42</v>
      </c>
      <c r="K517" s="1655" t="s">
        <v>569</v>
      </c>
      <c r="M517" s="1655" t="s">
        <v>70</v>
      </c>
      <c r="N517" s="1655" t="s">
        <v>841</v>
      </c>
      <c r="O517" s="1655" t="s">
        <v>42</v>
      </c>
      <c r="P517" s="1655" t="s">
        <v>42</v>
      </c>
      <c r="Q517" s="1655" t="s">
        <v>569</v>
      </c>
      <c r="S517" s="1655" t="s">
        <v>70</v>
      </c>
      <c r="T517" s="1655" t="s">
        <v>841</v>
      </c>
      <c r="U517" s="1655" t="s">
        <v>42</v>
      </c>
      <c r="V517" s="1655" t="s">
        <v>42</v>
      </c>
      <c r="W517" s="1655" t="s">
        <v>569</v>
      </c>
    </row>
    <row r="518" spans="1:23">
      <c r="A518" s="1655" t="s">
        <v>70</v>
      </c>
      <c r="B518" s="1655" t="s">
        <v>842</v>
      </c>
      <c r="C518" s="1655" t="s">
        <v>42</v>
      </c>
      <c r="D518" s="1655" t="s">
        <v>42</v>
      </c>
      <c r="E518" s="1655" t="s">
        <v>569</v>
      </c>
      <c r="G518" s="1655" t="s">
        <v>70</v>
      </c>
      <c r="H518" s="1655" t="s">
        <v>842</v>
      </c>
      <c r="I518" s="1655" t="s">
        <v>42</v>
      </c>
      <c r="J518" s="1655" t="s">
        <v>42</v>
      </c>
      <c r="K518" s="1655" t="s">
        <v>569</v>
      </c>
      <c r="M518" s="1655" t="s">
        <v>70</v>
      </c>
      <c r="N518" s="1655" t="s">
        <v>842</v>
      </c>
      <c r="O518" s="1655" t="s">
        <v>42</v>
      </c>
      <c r="P518" s="1655" t="s">
        <v>42</v>
      </c>
      <c r="Q518" s="1655" t="s">
        <v>569</v>
      </c>
      <c r="S518" s="1655" t="s">
        <v>70</v>
      </c>
      <c r="T518" s="1655" t="s">
        <v>842</v>
      </c>
      <c r="U518" s="1655" t="s">
        <v>42</v>
      </c>
      <c r="V518" s="1655" t="s">
        <v>42</v>
      </c>
      <c r="W518" s="1655" t="s">
        <v>569</v>
      </c>
    </row>
    <row r="519" spans="1:23">
      <c r="A519" s="1655" t="s">
        <v>70</v>
      </c>
      <c r="B519" s="1655" t="s">
        <v>843</v>
      </c>
      <c r="C519" s="1655" t="s">
        <v>43</v>
      </c>
      <c r="D519" s="1655" t="s">
        <v>42</v>
      </c>
      <c r="E519" s="1655" t="s">
        <v>569</v>
      </c>
      <c r="G519" s="1655" t="s">
        <v>70</v>
      </c>
      <c r="H519" s="1655" t="s">
        <v>843</v>
      </c>
      <c r="I519" s="1655" t="s">
        <v>42</v>
      </c>
      <c r="J519" s="1655" t="s">
        <v>42</v>
      </c>
      <c r="K519" s="1655" t="s">
        <v>569</v>
      </c>
      <c r="M519" s="1655" t="s">
        <v>70</v>
      </c>
      <c r="N519" s="1655" t="s">
        <v>843</v>
      </c>
      <c r="O519" s="1655" t="s">
        <v>42</v>
      </c>
      <c r="P519" s="1655" t="s">
        <v>42</v>
      </c>
      <c r="Q519" s="1655" t="s">
        <v>569</v>
      </c>
      <c r="S519" s="1655" t="s">
        <v>70</v>
      </c>
      <c r="T519" s="1655" t="s">
        <v>843</v>
      </c>
      <c r="U519" s="1655" t="s">
        <v>42</v>
      </c>
      <c r="V519" s="1655" t="s">
        <v>42</v>
      </c>
      <c r="W519" s="1655" t="s">
        <v>569</v>
      </c>
    </row>
    <row r="520" spans="1:23">
      <c r="A520" s="1655" t="s">
        <v>70</v>
      </c>
      <c r="B520" s="1655" t="s">
        <v>1696</v>
      </c>
      <c r="C520" s="1655" t="s">
        <v>42</v>
      </c>
      <c r="D520" s="1655" t="s">
        <v>42</v>
      </c>
      <c r="E520" s="1655" t="s">
        <v>569</v>
      </c>
      <c r="G520" s="1655" t="s">
        <v>70</v>
      </c>
      <c r="H520" s="1655" t="s">
        <v>1696</v>
      </c>
      <c r="I520" s="1655" t="s">
        <v>42</v>
      </c>
      <c r="J520" s="1655" t="s">
        <v>42</v>
      </c>
      <c r="K520" s="1655" t="s">
        <v>569</v>
      </c>
      <c r="M520" s="1655" t="s">
        <v>70</v>
      </c>
      <c r="N520" s="1655" t="s">
        <v>1696</v>
      </c>
      <c r="O520" s="1655" t="s">
        <v>42</v>
      </c>
      <c r="P520" s="1655" t="s">
        <v>42</v>
      </c>
      <c r="Q520" s="1655" t="s">
        <v>569</v>
      </c>
      <c r="S520" s="1655" t="s">
        <v>70</v>
      </c>
      <c r="T520" s="1655" t="s">
        <v>1696</v>
      </c>
      <c r="U520" s="1655" t="s">
        <v>42</v>
      </c>
      <c r="V520" s="1655" t="s">
        <v>42</v>
      </c>
      <c r="W520" s="1655" t="s">
        <v>569</v>
      </c>
    </row>
    <row r="521" spans="1:23">
      <c r="A521" s="1655" t="s">
        <v>70</v>
      </c>
      <c r="B521" s="1655" t="s">
        <v>844</v>
      </c>
      <c r="C521" s="1655" t="s">
        <v>42</v>
      </c>
      <c r="D521" s="1655" t="s">
        <v>42</v>
      </c>
      <c r="E521" s="1655" t="s">
        <v>569</v>
      </c>
      <c r="G521" s="1655" t="s">
        <v>70</v>
      </c>
      <c r="H521" s="1655" t="s">
        <v>844</v>
      </c>
      <c r="I521" s="1655" t="s">
        <v>42</v>
      </c>
      <c r="J521" s="1655" t="s">
        <v>42</v>
      </c>
      <c r="K521" s="1655" t="s">
        <v>569</v>
      </c>
      <c r="M521" s="1655" t="s">
        <v>70</v>
      </c>
      <c r="N521" s="1655" t="s">
        <v>844</v>
      </c>
      <c r="O521" s="1655" t="s">
        <v>42</v>
      </c>
      <c r="P521" s="1655" t="s">
        <v>42</v>
      </c>
      <c r="Q521" s="1655" t="s">
        <v>569</v>
      </c>
      <c r="S521" s="1655" t="s">
        <v>70</v>
      </c>
      <c r="T521" s="1655" t="s">
        <v>844</v>
      </c>
      <c r="U521" s="1655" t="s">
        <v>42</v>
      </c>
      <c r="V521" s="1655" t="s">
        <v>42</v>
      </c>
      <c r="W521" s="1655" t="s">
        <v>569</v>
      </c>
    </row>
    <row r="522" spans="1:23">
      <c r="A522" s="1655" t="s">
        <v>70</v>
      </c>
      <c r="B522" s="1655" t="s">
        <v>845</v>
      </c>
      <c r="C522" s="1655" t="s">
        <v>42</v>
      </c>
      <c r="D522" s="1655" t="s">
        <v>42</v>
      </c>
      <c r="E522" s="1655" t="s">
        <v>569</v>
      </c>
      <c r="G522" s="1655" t="s">
        <v>70</v>
      </c>
      <c r="H522" s="1655" t="s">
        <v>845</v>
      </c>
      <c r="I522" s="1655" t="s">
        <v>42</v>
      </c>
      <c r="J522" s="1655" t="s">
        <v>42</v>
      </c>
      <c r="K522" s="1655" t="s">
        <v>569</v>
      </c>
      <c r="M522" s="1655" t="s">
        <v>70</v>
      </c>
      <c r="N522" s="1655" t="s">
        <v>845</v>
      </c>
      <c r="O522" s="1655" t="s">
        <v>42</v>
      </c>
      <c r="P522" s="1655" t="s">
        <v>42</v>
      </c>
      <c r="Q522" s="1655" t="s">
        <v>569</v>
      </c>
      <c r="S522" s="1655" t="s">
        <v>70</v>
      </c>
      <c r="T522" s="1655" t="s">
        <v>845</v>
      </c>
      <c r="U522" s="1655" t="s">
        <v>42</v>
      </c>
      <c r="V522" s="1655" t="s">
        <v>42</v>
      </c>
      <c r="W522" s="1655" t="s">
        <v>569</v>
      </c>
    </row>
    <row r="523" spans="1:23">
      <c r="A523" s="1655" t="s">
        <v>70</v>
      </c>
      <c r="B523" s="1655" t="s">
        <v>846</v>
      </c>
      <c r="C523" s="1655" t="s">
        <v>42</v>
      </c>
      <c r="D523" s="1655" t="s">
        <v>42</v>
      </c>
      <c r="E523" s="1655" t="s">
        <v>569</v>
      </c>
      <c r="G523" s="1655" t="s">
        <v>70</v>
      </c>
      <c r="H523" s="1655" t="s">
        <v>846</v>
      </c>
      <c r="I523" s="1655" t="s">
        <v>42</v>
      </c>
      <c r="J523" s="1655" t="s">
        <v>42</v>
      </c>
      <c r="K523" s="1655" t="s">
        <v>569</v>
      </c>
      <c r="M523" s="1655" t="s">
        <v>70</v>
      </c>
      <c r="N523" s="1655" t="s">
        <v>846</v>
      </c>
      <c r="O523" s="1655" t="s">
        <v>42</v>
      </c>
      <c r="P523" s="1655" t="s">
        <v>42</v>
      </c>
      <c r="Q523" s="1655" t="s">
        <v>569</v>
      </c>
      <c r="S523" s="1655" t="s">
        <v>70</v>
      </c>
      <c r="T523" s="1655" t="s">
        <v>846</v>
      </c>
      <c r="U523" s="1655" t="s">
        <v>42</v>
      </c>
      <c r="V523" s="1655" t="s">
        <v>42</v>
      </c>
      <c r="W523" s="1655" t="s">
        <v>569</v>
      </c>
    </row>
    <row r="524" spans="1:23">
      <c r="A524" s="1655" t="s">
        <v>70</v>
      </c>
      <c r="B524" s="1655" t="s">
        <v>847</v>
      </c>
      <c r="C524" s="1655" t="s">
        <v>42</v>
      </c>
      <c r="D524" s="1655" t="s">
        <v>42</v>
      </c>
      <c r="E524" s="1655" t="s">
        <v>569</v>
      </c>
      <c r="G524" s="1655" t="s">
        <v>70</v>
      </c>
      <c r="H524" s="1655" t="s">
        <v>847</v>
      </c>
      <c r="I524" s="1655" t="s">
        <v>42</v>
      </c>
      <c r="J524" s="1655" t="s">
        <v>42</v>
      </c>
      <c r="K524" s="1655" t="s">
        <v>569</v>
      </c>
      <c r="M524" s="1655" t="s">
        <v>70</v>
      </c>
      <c r="N524" s="1655" t="s">
        <v>847</v>
      </c>
      <c r="O524" s="1655" t="s">
        <v>42</v>
      </c>
      <c r="P524" s="1655" t="s">
        <v>42</v>
      </c>
      <c r="Q524" s="1655" t="s">
        <v>569</v>
      </c>
      <c r="S524" s="1655" t="s">
        <v>70</v>
      </c>
      <c r="T524" s="1655" t="s">
        <v>847</v>
      </c>
      <c r="U524" s="1655" t="s">
        <v>42</v>
      </c>
      <c r="V524" s="1655" t="s">
        <v>42</v>
      </c>
      <c r="W524" s="1655" t="s">
        <v>569</v>
      </c>
    </row>
    <row r="525" spans="1:23">
      <c r="A525" s="1655" t="s">
        <v>70</v>
      </c>
      <c r="B525" s="1655" t="s">
        <v>1697</v>
      </c>
      <c r="C525" s="1655" t="s">
        <v>42</v>
      </c>
      <c r="D525" s="1655" t="s">
        <v>42</v>
      </c>
      <c r="E525" s="1655" t="s">
        <v>569</v>
      </c>
      <c r="G525" s="1655" t="s">
        <v>70</v>
      </c>
      <c r="H525" s="1655" t="s">
        <v>1697</v>
      </c>
      <c r="I525" s="1655" t="s">
        <v>42</v>
      </c>
      <c r="J525" s="1655" t="s">
        <v>42</v>
      </c>
      <c r="K525" s="1655" t="s">
        <v>569</v>
      </c>
      <c r="M525" s="1655" t="s">
        <v>70</v>
      </c>
      <c r="N525" s="1655" t="s">
        <v>1697</v>
      </c>
      <c r="O525" s="1655" t="s">
        <v>42</v>
      </c>
      <c r="P525" s="1655" t="s">
        <v>42</v>
      </c>
      <c r="Q525" s="1655" t="s">
        <v>569</v>
      </c>
      <c r="S525" s="1655" t="s">
        <v>70</v>
      </c>
      <c r="T525" s="1655" t="s">
        <v>1697</v>
      </c>
      <c r="U525" s="1655" t="s">
        <v>42</v>
      </c>
      <c r="V525" s="1655" t="s">
        <v>42</v>
      </c>
      <c r="W525" s="1655" t="s">
        <v>569</v>
      </c>
    </row>
    <row r="526" spans="1:23">
      <c r="A526" s="1655" t="s">
        <v>70</v>
      </c>
      <c r="B526" s="1655" t="s">
        <v>1698</v>
      </c>
      <c r="C526" s="1655" t="s">
        <v>42</v>
      </c>
      <c r="D526" s="1655" t="s">
        <v>42</v>
      </c>
      <c r="E526" s="1655" t="s">
        <v>569</v>
      </c>
      <c r="G526" s="1655" t="s">
        <v>70</v>
      </c>
      <c r="H526" s="1655" t="s">
        <v>1698</v>
      </c>
      <c r="I526" s="1655" t="s">
        <v>42</v>
      </c>
      <c r="J526" s="1655" t="s">
        <v>42</v>
      </c>
      <c r="K526" s="1655" t="s">
        <v>569</v>
      </c>
      <c r="M526" s="1655" t="s">
        <v>70</v>
      </c>
      <c r="N526" s="1655" t="s">
        <v>1698</v>
      </c>
      <c r="O526" s="1655" t="s">
        <v>42</v>
      </c>
      <c r="P526" s="1655" t="s">
        <v>42</v>
      </c>
      <c r="Q526" s="1655" t="s">
        <v>569</v>
      </c>
      <c r="S526" s="1655" t="s">
        <v>70</v>
      </c>
      <c r="T526" s="1655" t="s">
        <v>1698</v>
      </c>
      <c r="U526" s="1655" t="s">
        <v>42</v>
      </c>
      <c r="V526" s="1655" t="s">
        <v>42</v>
      </c>
      <c r="W526" s="1655" t="s">
        <v>569</v>
      </c>
    </row>
    <row r="527" spans="1:23">
      <c r="A527" s="1655" t="s">
        <v>70</v>
      </c>
      <c r="B527" s="1655" t="s">
        <v>848</v>
      </c>
      <c r="C527" s="1655" t="s">
        <v>42</v>
      </c>
      <c r="D527" s="1655" t="s">
        <v>42</v>
      </c>
      <c r="E527" s="1655" t="s">
        <v>569</v>
      </c>
      <c r="G527" s="1655" t="s">
        <v>70</v>
      </c>
      <c r="H527" s="1655" t="s">
        <v>848</v>
      </c>
      <c r="I527" s="1655" t="s">
        <v>42</v>
      </c>
      <c r="J527" s="1655" t="s">
        <v>42</v>
      </c>
      <c r="K527" s="1655" t="s">
        <v>569</v>
      </c>
      <c r="M527" s="1655" t="s">
        <v>70</v>
      </c>
      <c r="N527" s="1655" t="s">
        <v>848</v>
      </c>
      <c r="O527" s="1655" t="s">
        <v>43</v>
      </c>
      <c r="P527" s="1655" t="s">
        <v>42</v>
      </c>
      <c r="Q527" s="1655" t="s">
        <v>569</v>
      </c>
      <c r="S527" s="1655" t="s">
        <v>70</v>
      </c>
      <c r="T527" s="1655" t="s">
        <v>848</v>
      </c>
      <c r="U527" s="1655" t="s">
        <v>42</v>
      </c>
      <c r="V527" s="1655" t="s">
        <v>42</v>
      </c>
      <c r="W527" s="1655" t="s">
        <v>569</v>
      </c>
    </row>
    <row r="528" spans="1:23">
      <c r="A528" s="1655" t="s">
        <v>70</v>
      </c>
      <c r="B528" s="1655" t="s">
        <v>849</v>
      </c>
      <c r="C528" s="1655" t="s">
        <v>42</v>
      </c>
      <c r="D528" s="1655" t="s">
        <v>42</v>
      </c>
      <c r="E528" s="1655" t="s">
        <v>569</v>
      </c>
      <c r="G528" s="1655" t="s">
        <v>70</v>
      </c>
      <c r="H528" s="1655" t="s">
        <v>849</v>
      </c>
      <c r="I528" s="1655" t="s">
        <v>42</v>
      </c>
      <c r="J528" s="1655" t="s">
        <v>42</v>
      </c>
      <c r="K528" s="1655" t="s">
        <v>569</v>
      </c>
      <c r="M528" s="1655" t="s">
        <v>70</v>
      </c>
      <c r="N528" s="1655" t="s">
        <v>849</v>
      </c>
      <c r="O528" s="1655" t="s">
        <v>42</v>
      </c>
      <c r="P528" s="1655" t="s">
        <v>42</v>
      </c>
      <c r="Q528" s="1655" t="s">
        <v>569</v>
      </c>
      <c r="S528" s="1655" t="s">
        <v>70</v>
      </c>
      <c r="T528" s="1655" t="s">
        <v>849</v>
      </c>
      <c r="U528" s="1655" t="s">
        <v>42</v>
      </c>
      <c r="V528" s="1655" t="s">
        <v>42</v>
      </c>
      <c r="W528" s="1655" t="s">
        <v>569</v>
      </c>
    </row>
    <row r="529" spans="1:23">
      <c r="A529" s="1655" t="s">
        <v>70</v>
      </c>
      <c r="B529" s="1655" t="s">
        <v>850</v>
      </c>
      <c r="C529" s="1655" t="s">
        <v>42</v>
      </c>
      <c r="D529" s="1655" t="s">
        <v>42</v>
      </c>
      <c r="E529" s="1655" t="s">
        <v>569</v>
      </c>
      <c r="G529" s="1655" t="s">
        <v>70</v>
      </c>
      <c r="H529" s="1655" t="s">
        <v>850</v>
      </c>
      <c r="I529" s="1655" t="s">
        <v>42</v>
      </c>
      <c r="J529" s="1655" t="s">
        <v>42</v>
      </c>
      <c r="K529" s="1655" t="s">
        <v>569</v>
      </c>
      <c r="M529" s="1655" t="s">
        <v>70</v>
      </c>
      <c r="N529" s="1655" t="s">
        <v>850</v>
      </c>
      <c r="O529" s="1655" t="s">
        <v>42</v>
      </c>
      <c r="P529" s="1655" t="s">
        <v>42</v>
      </c>
      <c r="Q529" s="1655" t="s">
        <v>569</v>
      </c>
      <c r="S529" s="1655" t="s">
        <v>70</v>
      </c>
      <c r="T529" s="1655" t="s">
        <v>850</v>
      </c>
      <c r="U529" s="1655" t="s">
        <v>42</v>
      </c>
      <c r="V529" s="1655" t="s">
        <v>42</v>
      </c>
      <c r="W529" s="1655" t="s">
        <v>569</v>
      </c>
    </row>
    <row r="530" spans="1:23">
      <c r="A530" s="1655" t="s">
        <v>70</v>
      </c>
      <c r="B530" s="1655" t="s">
        <v>851</v>
      </c>
      <c r="C530" s="1655" t="s">
        <v>42</v>
      </c>
      <c r="D530" s="1655" t="s">
        <v>42</v>
      </c>
      <c r="E530" s="1655" t="s">
        <v>569</v>
      </c>
      <c r="G530" s="1655" t="s">
        <v>70</v>
      </c>
      <c r="H530" s="1655" t="s">
        <v>851</v>
      </c>
      <c r="I530" s="1655" t="s">
        <v>42</v>
      </c>
      <c r="J530" s="1655" t="s">
        <v>42</v>
      </c>
      <c r="K530" s="1655" t="s">
        <v>569</v>
      </c>
      <c r="M530" s="1655" t="s">
        <v>70</v>
      </c>
      <c r="N530" s="1655" t="s">
        <v>851</v>
      </c>
      <c r="O530" s="1655" t="s">
        <v>42</v>
      </c>
      <c r="P530" s="1655" t="s">
        <v>42</v>
      </c>
      <c r="Q530" s="1655" t="s">
        <v>569</v>
      </c>
      <c r="S530" s="1655" t="s">
        <v>70</v>
      </c>
      <c r="T530" s="1655" t="s">
        <v>851</v>
      </c>
      <c r="U530" s="1655" t="s">
        <v>42</v>
      </c>
      <c r="V530" s="1655" t="s">
        <v>42</v>
      </c>
      <c r="W530" s="1655" t="s">
        <v>569</v>
      </c>
    </row>
    <row r="531" spans="1:23">
      <c r="A531" s="1655" t="s">
        <v>70</v>
      </c>
      <c r="B531" s="1655" t="s">
        <v>852</v>
      </c>
      <c r="C531" s="1655" t="s">
        <v>42</v>
      </c>
      <c r="D531" s="1655" t="s">
        <v>42</v>
      </c>
      <c r="E531" s="1655" t="s">
        <v>569</v>
      </c>
      <c r="G531" s="1655" t="s">
        <v>70</v>
      </c>
      <c r="H531" s="1655" t="s">
        <v>852</v>
      </c>
      <c r="I531" s="1655" t="s">
        <v>42</v>
      </c>
      <c r="J531" s="1655" t="s">
        <v>42</v>
      </c>
      <c r="K531" s="1655" t="s">
        <v>569</v>
      </c>
      <c r="M531" s="1655" t="s">
        <v>70</v>
      </c>
      <c r="N531" s="1655" t="s">
        <v>852</v>
      </c>
      <c r="O531" s="1655" t="s">
        <v>42</v>
      </c>
      <c r="P531" s="1655" t="s">
        <v>42</v>
      </c>
      <c r="Q531" s="1655" t="s">
        <v>569</v>
      </c>
      <c r="S531" s="1655" t="s">
        <v>70</v>
      </c>
      <c r="T531" s="1655" t="s">
        <v>852</v>
      </c>
      <c r="U531" s="1655" t="s">
        <v>42</v>
      </c>
      <c r="V531" s="1655" t="s">
        <v>42</v>
      </c>
      <c r="W531" s="1655" t="s">
        <v>569</v>
      </c>
    </row>
    <row r="532" spans="1:23">
      <c r="A532" s="1655" t="s">
        <v>70</v>
      </c>
      <c r="B532" s="1655" t="s">
        <v>853</v>
      </c>
      <c r="C532" s="1655" t="s">
        <v>42</v>
      </c>
      <c r="D532" s="1655" t="s">
        <v>42</v>
      </c>
      <c r="E532" s="1655" t="s">
        <v>569</v>
      </c>
      <c r="G532" s="1655" t="s">
        <v>70</v>
      </c>
      <c r="H532" s="1655" t="s">
        <v>853</v>
      </c>
      <c r="I532" s="1655" t="s">
        <v>42</v>
      </c>
      <c r="J532" s="1655" t="s">
        <v>42</v>
      </c>
      <c r="K532" s="1655" t="s">
        <v>569</v>
      </c>
      <c r="M532" s="1655" t="s">
        <v>70</v>
      </c>
      <c r="N532" s="1655" t="s">
        <v>853</v>
      </c>
      <c r="O532" s="1655" t="s">
        <v>42</v>
      </c>
      <c r="P532" s="1655" t="s">
        <v>42</v>
      </c>
      <c r="Q532" s="1655" t="s">
        <v>569</v>
      </c>
      <c r="S532" s="1655" t="s">
        <v>70</v>
      </c>
      <c r="T532" s="1655" t="s">
        <v>853</v>
      </c>
      <c r="U532" s="1655" t="s">
        <v>42</v>
      </c>
      <c r="V532" s="1655" t="s">
        <v>42</v>
      </c>
      <c r="W532" s="1655" t="s">
        <v>569</v>
      </c>
    </row>
    <row r="533" spans="1:23">
      <c r="A533" s="1655" t="s">
        <v>70</v>
      </c>
      <c r="B533" s="1655" t="s">
        <v>854</v>
      </c>
      <c r="C533" s="1655" t="s">
        <v>42</v>
      </c>
      <c r="D533" s="1655" t="s">
        <v>42</v>
      </c>
      <c r="E533" s="1655" t="s">
        <v>569</v>
      </c>
      <c r="G533" s="1655" t="s">
        <v>70</v>
      </c>
      <c r="H533" s="1655" t="s">
        <v>854</v>
      </c>
      <c r="I533" s="1655" t="s">
        <v>42</v>
      </c>
      <c r="J533" s="1655" t="s">
        <v>42</v>
      </c>
      <c r="K533" s="1655" t="s">
        <v>569</v>
      </c>
      <c r="M533" s="1655" t="s">
        <v>70</v>
      </c>
      <c r="N533" s="1655" t="s">
        <v>854</v>
      </c>
      <c r="O533" s="1655" t="s">
        <v>42</v>
      </c>
      <c r="P533" s="1655" t="s">
        <v>42</v>
      </c>
      <c r="Q533" s="1655" t="s">
        <v>569</v>
      </c>
      <c r="S533" s="1655" t="s">
        <v>70</v>
      </c>
      <c r="T533" s="1655" t="s">
        <v>854</v>
      </c>
      <c r="U533" s="1655" t="s">
        <v>42</v>
      </c>
      <c r="V533" s="1655" t="s">
        <v>42</v>
      </c>
      <c r="W533" s="1655" t="s">
        <v>569</v>
      </c>
    </row>
    <row r="534" spans="1:23">
      <c r="A534" s="1655" t="s">
        <v>70</v>
      </c>
      <c r="B534" s="1655" t="s">
        <v>855</v>
      </c>
      <c r="C534" s="1655" t="s">
        <v>42</v>
      </c>
      <c r="D534" s="1655" t="s">
        <v>42</v>
      </c>
      <c r="E534" s="1655" t="s">
        <v>569</v>
      </c>
      <c r="G534" s="1655" t="s">
        <v>70</v>
      </c>
      <c r="H534" s="1655" t="s">
        <v>855</v>
      </c>
      <c r="I534" s="1655" t="s">
        <v>42</v>
      </c>
      <c r="J534" s="1655" t="s">
        <v>42</v>
      </c>
      <c r="K534" s="1655" t="s">
        <v>569</v>
      </c>
      <c r="M534" s="1655" t="s">
        <v>70</v>
      </c>
      <c r="N534" s="1655" t="s">
        <v>855</v>
      </c>
      <c r="O534" s="1655" t="s">
        <v>42</v>
      </c>
      <c r="P534" s="1655" t="s">
        <v>42</v>
      </c>
      <c r="Q534" s="1655" t="s">
        <v>569</v>
      </c>
      <c r="S534" s="1655" t="s">
        <v>70</v>
      </c>
      <c r="T534" s="1655" t="s">
        <v>855</v>
      </c>
      <c r="U534" s="1655" t="s">
        <v>42</v>
      </c>
      <c r="V534" s="1655" t="s">
        <v>42</v>
      </c>
      <c r="W534" s="1655" t="s">
        <v>569</v>
      </c>
    </row>
    <row r="535" spans="1:23">
      <c r="A535" s="1655" t="s">
        <v>70</v>
      </c>
      <c r="B535" s="1655" t="s">
        <v>856</v>
      </c>
      <c r="C535" s="1655" t="s">
        <v>42</v>
      </c>
      <c r="D535" s="1655" t="s">
        <v>42</v>
      </c>
      <c r="E535" s="1655" t="s">
        <v>569</v>
      </c>
      <c r="G535" s="1655" t="s">
        <v>70</v>
      </c>
      <c r="H535" s="1655" t="s">
        <v>856</v>
      </c>
      <c r="I535" s="1655" t="s">
        <v>42</v>
      </c>
      <c r="J535" s="1655" t="s">
        <v>42</v>
      </c>
      <c r="K535" s="1655" t="s">
        <v>569</v>
      </c>
      <c r="M535" s="1655" t="s">
        <v>70</v>
      </c>
      <c r="N535" s="1655" t="s">
        <v>856</v>
      </c>
      <c r="O535" s="1655" t="s">
        <v>42</v>
      </c>
      <c r="P535" s="1655" t="s">
        <v>42</v>
      </c>
      <c r="Q535" s="1655" t="s">
        <v>569</v>
      </c>
      <c r="S535" s="1655" t="s">
        <v>70</v>
      </c>
      <c r="T535" s="1655" t="s">
        <v>856</v>
      </c>
      <c r="U535" s="1655" t="s">
        <v>42</v>
      </c>
      <c r="V535" s="1655" t="s">
        <v>42</v>
      </c>
      <c r="W535" s="1655" t="s">
        <v>569</v>
      </c>
    </row>
    <row r="536" spans="1:23">
      <c r="A536" s="1655" t="s">
        <v>70</v>
      </c>
      <c r="B536" s="1655" t="s">
        <v>857</v>
      </c>
      <c r="C536" s="1655" t="s">
        <v>42</v>
      </c>
      <c r="D536" s="1655" t="s">
        <v>42</v>
      </c>
      <c r="E536" s="1655" t="s">
        <v>569</v>
      </c>
      <c r="G536" s="1655" t="s">
        <v>70</v>
      </c>
      <c r="H536" s="1655" t="s">
        <v>857</v>
      </c>
      <c r="I536" s="1655" t="s">
        <v>42</v>
      </c>
      <c r="J536" s="1655" t="s">
        <v>42</v>
      </c>
      <c r="K536" s="1655" t="s">
        <v>569</v>
      </c>
      <c r="M536" s="1655" t="s">
        <v>70</v>
      </c>
      <c r="N536" s="1655" t="s">
        <v>857</v>
      </c>
      <c r="O536" s="1655" t="s">
        <v>42</v>
      </c>
      <c r="P536" s="1655" t="s">
        <v>42</v>
      </c>
      <c r="Q536" s="1655" t="s">
        <v>569</v>
      </c>
      <c r="S536" s="1655" t="s">
        <v>70</v>
      </c>
      <c r="T536" s="1655" t="s">
        <v>857</v>
      </c>
      <c r="U536" s="1655" t="s">
        <v>42</v>
      </c>
      <c r="V536" s="1655" t="s">
        <v>42</v>
      </c>
      <c r="W536" s="1655" t="s">
        <v>569</v>
      </c>
    </row>
    <row r="537" spans="1:23">
      <c r="A537" s="1655" t="s">
        <v>70</v>
      </c>
      <c r="B537" s="1655" t="s">
        <v>1699</v>
      </c>
      <c r="C537" s="1655" t="s">
        <v>42</v>
      </c>
      <c r="D537" s="1655" t="s">
        <v>42</v>
      </c>
      <c r="E537" s="1655" t="s">
        <v>569</v>
      </c>
      <c r="G537" s="1655" t="s">
        <v>70</v>
      </c>
      <c r="H537" s="1655" t="s">
        <v>1699</v>
      </c>
      <c r="I537" s="1655" t="s">
        <v>42</v>
      </c>
      <c r="J537" s="1655" t="s">
        <v>42</v>
      </c>
      <c r="K537" s="1655" t="s">
        <v>569</v>
      </c>
      <c r="M537" s="1655" t="s">
        <v>70</v>
      </c>
      <c r="N537" s="1655" t="s">
        <v>1699</v>
      </c>
      <c r="O537" s="1655" t="s">
        <v>42</v>
      </c>
      <c r="P537" s="1655" t="s">
        <v>42</v>
      </c>
      <c r="Q537" s="1655" t="s">
        <v>569</v>
      </c>
      <c r="S537" s="1655" t="s">
        <v>70</v>
      </c>
      <c r="T537" s="1655" t="s">
        <v>1699</v>
      </c>
      <c r="U537" s="1655" t="s">
        <v>42</v>
      </c>
      <c r="V537" s="1655" t="s">
        <v>42</v>
      </c>
      <c r="W537" s="1655" t="s">
        <v>569</v>
      </c>
    </row>
    <row r="538" spans="1:23">
      <c r="A538" s="1655" t="s">
        <v>70</v>
      </c>
      <c r="B538" s="1655" t="s">
        <v>1700</v>
      </c>
      <c r="C538" s="1655" t="s">
        <v>42</v>
      </c>
      <c r="D538" s="1655" t="s">
        <v>42</v>
      </c>
      <c r="E538" s="1655" t="s">
        <v>569</v>
      </c>
      <c r="G538" s="1655" t="s">
        <v>70</v>
      </c>
      <c r="H538" s="1655" t="s">
        <v>1700</v>
      </c>
      <c r="I538" s="1655" t="s">
        <v>42</v>
      </c>
      <c r="J538" s="1655" t="s">
        <v>42</v>
      </c>
      <c r="K538" s="1655" t="s">
        <v>569</v>
      </c>
      <c r="M538" s="1655" t="s">
        <v>70</v>
      </c>
      <c r="N538" s="1655" t="s">
        <v>1700</v>
      </c>
      <c r="O538" s="1655" t="s">
        <v>42</v>
      </c>
      <c r="P538" s="1655" t="s">
        <v>42</v>
      </c>
      <c r="Q538" s="1655" t="s">
        <v>569</v>
      </c>
      <c r="S538" s="1655" t="s">
        <v>70</v>
      </c>
      <c r="T538" s="1655" t="s">
        <v>1700</v>
      </c>
      <c r="U538" s="1655" t="s">
        <v>42</v>
      </c>
      <c r="V538" s="1655" t="s">
        <v>42</v>
      </c>
      <c r="W538" s="1655" t="s">
        <v>569</v>
      </c>
    </row>
    <row r="539" spans="1:23">
      <c r="A539" s="1655" t="s">
        <v>70</v>
      </c>
      <c r="B539" s="1655" t="s">
        <v>858</v>
      </c>
      <c r="C539" s="1655" t="s">
        <v>42</v>
      </c>
      <c r="D539" s="1655" t="s">
        <v>42</v>
      </c>
      <c r="E539" s="1655" t="s">
        <v>569</v>
      </c>
      <c r="G539" s="1655" t="s">
        <v>70</v>
      </c>
      <c r="H539" s="1655" t="s">
        <v>858</v>
      </c>
      <c r="I539" s="1655" t="s">
        <v>42</v>
      </c>
      <c r="J539" s="1655" t="s">
        <v>42</v>
      </c>
      <c r="K539" s="1655" t="s">
        <v>569</v>
      </c>
      <c r="M539" s="1655" t="s">
        <v>70</v>
      </c>
      <c r="N539" s="1655" t="s">
        <v>858</v>
      </c>
      <c r="O539" s="1655" t="s">
        <v>42</v>
      </c>
      <c r="P539" s="1655" t="s">
        <v>42</v>
      </c>
      <c r="Q539" s="1655" t="s">
        <v>569</v>
      </c>
      <c r="S539" s="1655" t="s">
        <v>70</v>
      </c>
      <c r="T539" s="1655" t="s">
        <v>858</v>
      </c>
      <c r="U539" s="1655" t="s">
        <v>42</v>
      </c>
      <c r="V539" s="1655" t="s">
        <v>42</v>
      </c>
      <c r="W539" s="1655" t="s">
        <v>569</v>
      </c>
    </row>
    <row r="540" spans="1:23">
      <c r="A540" s="1655" t="s">
        <v>70</v>
      </c>
      <c r="B540" s="1655" t="s">
        <v>859</v>
      </c>
      <c r="C540" s="1655" t="s">
        <v>42</v>
      </c>
      <c r="D540" s="1655" t="s">
        <v>42</v>
      </c>
      <c r="E540" s="1655" t="s">
        <v>569</v>
      </c>
      <c r="G540" s="1655" t="s">
        <v>70</v>
      </c>
      <c r="H540" s="1655" t="s">
        <v>859</v>
      </c>
      <c r="I540" s="1655" t="s">
        <v>42</v>
      </c>
      <c r="J540" s="1655" t="s">
        <v>42</v>
      </c>
      <c r="K540" s="1655" t="s">
        <v>569</v>
      </c>
      <c r="M540" s="1655" t="s">
        <v>70</v>
      </c>
      <c r="N540" s="1655" t="s">
        <v>859</v>
      </c>
      <c r="O540" s="1655" t="s">
        <v>42</v>
      </c>
      <c r="P540" s="1655" t="s">
        <v>42</v>
      </c>
      <c r="Q540" s="1655" t="s">
        <v>569</v>
      </c>
      <c r="S540" s="1655" t="s">
        <v>70</v>
      </c>
      <c r="T540" s="1655" t="s">
        <v>859</v>
      </c>
      <c r="U540" s="1655" t="s">
        <v>42</v>
      </c>
      <c r="V540" s="1655" t="s">
        <v>42</v>
      </c>
      <c r="W540" s="1655" t="s">
        <v>569</v>
      </c>
    </row>
    <row r="541" spans="1:23">
      <c r="A541" s="1655" t="s">
        <v>70</v>
      </c>
      <c r="B541" s="1655" t="s">
        <v>860</v>
      </c>
      <c r="C541" s="1655" t="s">
        <v>42</v>
      </c>
      <c r="D541" s="1655" t="s">
        <v>42</v>
      </c>
      <c r="E541" s="1655" t="s">
        <v>569</v>
      </c>
      <c r="G541" s="1655" t="s">
        <v>70</v>
      </c>
      <c r="H541" s="1655" t="s">
        <v>860</v>
      </c>
      <c r="I541" s="1655" t="s">
        <v>42</v>
      </c>
      <c r="J541" s="1655" t="s">
        <v>42</v>
      </c>
      <c r="K541" s="1655" t="s">
        <v>569</v>
      </c>
      <c r="M541" s="1655" t="s">
        <v>70</v>
      </c>
      <c r="N541" s="1655" t="s">
        <v>860</v>
      </c>
      <c r="O541" s="1655" t="s">
        <v>42</v>
      </c>
      <c r="P541" s="1655" t="s">
        <v>42</v>
      </c>
      <c r="Q541" s="1655" t="s">
        <v>569</v>
      </c>
      <c r="S541" s="1655" t="s">
        <v>70</v>
      </c>
      <c r="T541" s="1655" t="s">
        <v>860</v>
      </c>
      <c r="U541" s="1655" t="s">
        <v>42</v>
      </c>
      <c r="V541" s="1655" t="s">
        <v>42</v>
      </c>
      <c r="W541" s="1655" t="s">
        <v>569</v>
      </c>
    </row>
    <row r="542" spans="1:23">
      <c r="A542" s="1655" t="s">
        <v>70</v>
      </c>
      <c r="B542" s="1655" t="s">
        <v>1701</v>
      </c>
      <c r="C542" s="1655" t="s">
        <v>42</v>
      </c>
      <c r="D542" s="1655" t="s">
        <v>42</v>
      </c>
      <c r="E542" s="1655" t="s">
        <v>569</v>
      </c>
      <c r="G542" s="1655" t="s">
        <v>70</v>
      </c>
      <c r="H542" s="1655" t="s">
        <v>1701</v>
      </c>
      <c r="I542" s="1655" t="s">
        <v>42</v>
      </c>
      <c r="J542" s="1655" t="s">
        <v>42</v>
      </c>
      <c r="K542" s="1655" t="s">
        <v>569</v>
      </c>
      <c r="M542" s="1655" t="s">
        <v>70</v>
      </c>
      <c r="N542" s="1655" t="s">
        <v>1701</v>
      </c>
      <c r="O542" s="1655" t="s">
        <v>42</v>
      </c>
      <c r="P542" s="1655" t="s">
        <v>42</v>
      </c>
      <c r="Q542" s="1655" t="s">
        <v>569</v>
      </c>
      <c r="S542" s="1655" t="s">
        <v>70</v>
      </c>
      <c r="T542" s="1655" t="s">
        <v>1701</v>
      </c>
      <c r="U542" s="1655" t="s">
        <v>42</v>
      </c>
      <c r="V542" s="1655" t="s">
        <v>42</v>
      </c>
      <c r="W542" s="1655" t="s">
        <v>569</v>
      </c>
    </row>
    <row r="543" spans="1:23">
      <c r="A543" s="1655" t="s">
        <v>70</v>
      </c>
      <c r="B543" s="1655" t="s">
        <v>861</v>
      </c>
      <c r="C543" s="1655" t="s">
        <v>42</v>
      </c>
      <c r="D543" s="1655" t="s">
        <v>42</v>
      </c>
      <c r="E543" s="1655" t="s">
        <v>569</v>
      </c>
      <c r="G543" s="1655" t="s">
        <v>70</v>
      </c>
      <c r="H543" s="1655" t="s">
        <v>861</v>
      </c>
      <c r="I543" s="1655" t="s">
        <v>42</v>
      </c>
      <c r="J543" s="1655" t="s">
        <v>42</v>
      </c>
      <c r="K543" s="1655" t="s">
        <v>569</v>
      </c>
      <c r="M543" s="1655" t="s">
        <v>70</v>
      </c>
      <c r="N543" s="1655" t="s">
        <v>861</v>
      </c>
      <c r="O543" s="1655" t="s">
        <v>42</v>
      </c>
      <c r="P543" s="1655" t="s">
        <v>42</v>
      </c>
      <c r="Q543" s="1655" t="s">
        <v>569</v>
      </c>
      <c r="S543" s="1655" t="s">
        <v>70</v>
      </c>
      <c r="T543" s="1655" t="s">
        <v>861</v>
      </c>
      <c r="U543" s="1655" t="s">
        <v>42</v>
      </c>
      <c r="V543" s="1655" t="s">
        <v>42</v>
      </c>
      <c r="W543" s="1655" t="s">
        <v>569</v>
      </c>
    </row>
    <row r="544" spans="1:23">
      <c r="A544" s="1655" t="s">
        <v>70</v>
      </c>
      <c r="B544" s="1655" t="s">
        <v>862</v>
      </c>
      <c r="C544" s="1655" t="s">
        <v>42</v>
      </c>
      <c r="D544" s="1655" t="s">
        <v>42</v>
      </c>
      <c r="E544" s="1655" t="s">
        <v>569</v>
      </c>
      <c r="G544" s="1655" t="s">
        <v>70</v>
      </c>
      <c r="H544" s="1655" t="s">
        <v>862</v>
      </c>
      <c r="I544" s="1655" t="s">
        <v>42</v>
      </c>
      <c r="J544" s="1655" t="s">
        <v>42</v>
      </c>
      <c r="K544" s="1655" t="s">
        <v>569</v>
      </c>
      <c r="M544" s="1655" t="s">
        <v>70</v>
      </c>
      <c r="N544" s="1655" t="s">
        <v>862</v>
      </c>
      <c r="O544" s="1655" t="s">
        <v>42</v>
      </c>
      <c r="P544" s="1655" t="s">
        <v>42</v>
      </c>
      <c r="Q544" s="1655" t="s">
        <v>569</v>
      </c>
      <c r="S544" s="1655" t="s">
        <v>70</v>
      </c>
      <c r="T544" s="1655" t="s">
        <v>862</v>
      </c>
      <c r="U544" s="1655" t="s">
        <v>42</v>
      </c>
      <c r="V544" s="1655" t="s">
        <v>42</v>
      </c>
      <c r="W544" s="1655" t="s">
        <v>569</v>
      </c>
    </row>
    <row r="545" spans="1:23">
      <c r="A545" s="1655" t="s">
        <v>70</v>
      </c>
      <c r="B545" s="1655" t="s">
        <v>863</v>
      </c>
      <c r="C545" s="1655" t="s">
        <v>43</v>
      </c>
      <c r="D545" s="1655" t="s">
        <v>42</v>
      </c>
      <c r="E545" s="1655" t="s">
        <v>569</v>
      </c>
      <c r="G545" s="1655" t="s">
        <v>70</v>
      </c>
      <c r="H545" s="1655" t="s">
        <v>863</v>
      </c>
      <c r="I545" s="1655" t="s">
        <v>42</v>
      </c>
      <c r="J545" s="1655" t="s">
        <v>42</v>
      </c>
      <c r="K545" s="1655" t="s">
        <v>569</v>
      </c>
      <c r="M545" s="1655" t="s">
        <v>70</v>
      </c>
      <c r="N545" s="1655" t="s">
        <v>863</v>
      </c>
      <c r="O545" s="1655" t="s">
        <v>43</v>
      </c>
      <c r="P545" s="1655" t="s">
        <v>42</v>
      </c>
      <c r="Q545" s="1655" t="s">
        <v>569</v>
      </c>
      <c r="S545" s="1655" t="s">
        <v>70</v>
      </c>
      <c r="T545" s="1655" t="s">
        <v>863</v>
      </c>
      <c r="U545" s="1655" t="s">
        <v>42</v>
      </c>
      <c r="V545" s="1655" t="s">
        <v>42</v>
      </c>
      <c r="W545" s="1655" t="s">
        <v>569</v>
      </c>
    </row>
    <row r="546" spans="1:23">
      <c r="A546" s="1655" t="s">
        <v>70</v>
      </c>
      <c r="B546" s="1655" t="s">
        <v>864</v>
      </c>
      <c r="C546" s="1655" t="s">
        <v>42</v>
      </c>
      <c r="D546" s="1655" t="s">
        <v>42</v>
      </c>
      <c r="E546" s="1655" t="s">
        <v>569</v>
      </c>
      <c r="G546" s="1655" t="s">
        <v>70</v>
      </c>
      <c r="H546" s="1655" t="s">
        <v>864</v>
      </c>
      <c r="I546" s="1655" t="s">
        <v>42</v>
      </c>
      <c r="J546" s="1655" t="s">
        <v>42</v>
      </c>
      <c r="K546" s="1655" t="s">
        <v>569</v>
      </c>
      <c r="M546" s="1655" t="s">
        <v>70</v>
      </c>
      <c r="N546" s="1655" t="s">
        <v>864</v>
      </c>
      <c r="O546" s="1655" t="s">
        <v>42</v>
      </c>
      <c r="P546" s="1655" t="s">
        <v>42</v>
      </c>
      <c r="Q546" s="1655" t="s">
        <v>569</v>
      </c>
      <c r="S546" s="1655" t="s">
        <v>70</v>
      </c>
      <c r="T546" s="1655" t="s">
        <v>864</v>
      </c>
      <c r="U546" s="1655" t="s">
        <v>42</v>
      </c>
      <c r="V546" s="1655" t="s">
        <v>42</v>
      </c>
      <c r="W546" s="1655" t="s">
        <v>569</v>
      </c>
    </row>
    <row r="547" spans="1:23">
      <c r="A547" s="1655" t="s">
        <v>70</v>
      </c>
      <c r="B547" s="1655" t="s">
        <v>865</v>
      </c>
      <c r="C547" s="1655" t="s">
        <v>42</v>
      </c>
      <c r="D547" s="1655" t="s">
        <v>42</v>
      </c>
      <c r="E547" s="1655" t="s">
        <v>569</v>
      </c>
      <c r="G547" s="1655" t="s">
        <v>70</v>
      </c>
      <c r="H547" s="1655" t="s">
        <v>865</v>
      </c>
      <c r="I547" s="1655" t="s">
        <v>42</v>
      </c>
      <c r="J547" s="1655" t="s">
        <v>42</v>
      </c>
      <c r="K547" s="1655" t="s">
        <v>569</v>
      </c>
      <c r="M547" s="1655" t="s">
        <v>70</v>
      </c>
      <c r="N547" s="1655" t="s">
        <v>865</v>
      </c>
      <c r="O547" s="1655" t="s">
        <v>43</v>
      </c>
      <c r="P547" s="1655" t="s">
        <v>42</v>
      </c>
      <c r="Q547" s="1655" t="s">
        <v>569</v>
      </c>
      <c r="S547" s="1655" t="s">
        <v>70</v>
      </c>
      <c r="T547" s="1655" t="s">
        <v>865</v>
      </c>
      <c r="U547" s="1655" t="s">
        <v>42</v>
      </c>
      <c r="V547" s="1655" t="s">
        <v>42</v>
      </c>
      <c r="W547" s="1655" t="s">
        <v>569</v>
      </c>
    </row>
    <row r="548" spans="1:23">
      <c r="A548" s="1655" t="s">
        <v>70</v>
      </c>
      <c r="B548" s="1655" t="s">
        <v>866</v>
      </c>
      <c r="C548" s="1655" t="s">
        <v>42</v>
      </c>
      <c r="D548" s="1655" t="s">
        <v>42</v>
      </c>
      <c r="E548" s="1655" t="s">
        <v>569</v>
      </c>
      <c r="G548" s="1655" t="s">
        <v>70</v>
      </c>
      <c r="H548" s="1655" t="s">
        <v>866</v>
      </c>
      <c r="I548" s="1655" t="s">
        <v>42</v>
      </c>
      <c r="J548" s="1655" t="s">
        <v>42</v>
      </c>
      <c r="K548" s="1655" t="s">
        <v>569</v>
      </c>
      <c r="M548" s="1655" t="s">
        <v>70</v>
      </c>
      <c r="N548" s="1655" t="s">
        <v>866</v>
      </c>
      <c r="O548" s="1655" t="s">
        <v>42</v>
      </c>
      <c r="P548" s="1655" t="s">
        <v>42</v>
      </c>
      <c r="Q548" s="1655" t="s">
        <v>569</v>
      </c>
      <c r="S548" s="1655" t="s">
        <v>70</v>
      </c>
      <c r="T548" s="1655" t="s">
        <v>866</v>
      </c>
      <c r="U548" s="1655" t="s">
        <v>42</v>
      </c>
      <c r="V548" s="1655" t="s">
        <v>42</v>
      </c>
      <c r="W548" s="1655" t="s">
        <v>569</v>
      </c>
    </row>
    <row r="549" spans="1:23">
      <c r="A549" s="1655" t="s">
        <v>70</v>
      </c>
      <c r="B549" s="1655" t="s">
        <v>867</v>
      </c>
      <c r="C549" s="1655" t="s">
        <v>42</v>
      </c>
      <c r="D549" s="1655" t="s">
        <v>42</v>
      </c>
      <c r="E549" s="1655" t="s">
        <v>569</v>
      </c>
      <c r="G549" s="1655" t="s">
        <v>70</v>
      </c>
      <c r="H549" s="1655" t="s">
        <v>867</v>
      </c>
      <c r="I549" s="1655" t="s">
        <v>42</v>
      </c>
      <c r="J549" s="1655" t="s">
        <v>42</v>
      </c>
      <c r="K549" s="1655" t="s">
        <v>569</v>
      </c>
      <c r="M549" s="1655" t="s">
        <v>70</v>
      </c>
      <c r="N549" s="1655" t="s">
        <v>867</v>
      </c>
      <c r="O549" s="1655" t="s">
        <v>43</v>
      </c>
      <c r="P549" s="1655" t="s">
        <v>42</v>
      </c>
      <c r="Q549" s="1655" t="s">
        <v>569</v>
      </c>
      <c r="S549" s="1655" t="s">
        <v>70</v>
      </c>
      <c r="T549" s="1655" t="s">
        <v>867</v>
      </c>
      <c r="U549" s="1655" t="s">
        <v>42</v>
      </c>
      <c r="V549" s="1655" t="s">
        <v>42</v>
      </c>
      <c r="W549" s="1655" t="s">
        <v>569</v>
      </c>
    </row>
    <row r="550" spans="1:23">
      <c r="A550" s="1655" t="s">
        <v>70</v>
      </c>
      <c r="B550" s="1655" t="s">
        <v>868</v>
      </c>
      <c r="C550" s="1655" t="s">
        <v>42</v>
      </c>
      <c r="D550" s="1655" t="s">
        <v>42</v>
      </c>
      <c r="E550" s="1655" t="s">
        <v>569</v>
      </c>
      <c r="G550" s="1655" t="s">
        <v>70</v>
      </c>
      <c r="H550" s="1655" t="s">
        <v>868</v>
      </c>
      <c r="I550" s="1655" t="s">
        <v>42</v>
      </c>
      <c r="J550" s="1655" t="s">
        <v>42</v>
      </c>
      <c r="K550" s="1655" t="s">
        <v>569</v>
      </c>
      <c r="M550" s="1655" t="s">
        <v>70</v>
      </c>
      <c r="N550" s="1655" t="s">
        <v>868</v>
      </c>
      <c r="O550" s="1655" t="s">
        <v>42</v>
      </c>
      <c r="P550" s="1655" t="s">
        <v>42</v>
      </c>
      <c r="Q550" s="1655" t="s">
        <v>569</v>
      </c>
      <c r="S550" s="1655" t="s">
        <v>70</v>
      </c>
      <c r="T550" s="1655" t="s">
        <v>868</v>
      </c>
      <c r="U550" s="1655" t="s">
        <v>42</v>
      </c>
      <c r="V550" s="1655" t="s">
        <v>42</v>
      </c>
      <c r="W550" s="1655" t="s">
        <v>569</v>
      </c>
    </row>
    <row r="551" spans="1:23">
      <c r="A551" s="1655" t="s">
        <v>70</v>
      </c>
      <c r="B551" s="1655" t="s">
        <v>869</v>
      </c>
      <c r="C551" s="1655" t="s">
        <v>42</v>
      </c>
      <c r="D551" s="1655" t="s">
        <v>42</v>
      </c>
      <c r="E551" s="1655" t="s">
        <v>569</v>
      </c>
      <c r="G551" s="1655" t="s">
        <v>70</v>
      </c>
      <c r="H551" s="1655" t="s">
        <v>869</v>
      </c>
      <c r="I551" s="1655" t="s">
        <v>42</v>
      </c>
      <c r="J551" s="1655" t="s">
        <v>42</v>
      </c>
      <c r="K551" s="1655" t="s">
        <v>569</v>
      </c>
      <c r="M551" s="1655" t="s">
        <v>70</v>
      </c>
      <c r="N551" s="1655" t="s">
        <v>869</v>
      </c>
      <c r="O551" s="1655" t="s">
        <v>43</v>
      </c>
      <c r="P551" s="1655" t="s">
        <v>42</v>
      </c>
      <c r="Q551" s="1655" t="s">
        <v>569</v>
      </c>
      <c r="S551" s="1655" t="s">
        <v>70</v>
      </c>
      <c r="T551" s="1655" t="s">
        <v>869</v>
      </c>
      <c r="U551" s="1655" t="s">
        <v>42</v>
      </c>
      <c r="V551" s="1655" t="s">
        <v>42</v>
      </c>
      <c r="W551" s="1655" t="s">
        <v>569</v>
      </c>
    </row>
    <row r="552" spans="1:23">
      <c r="A552" s="1655" t="s">
        <v>70</v>
      </c>
      <c r="B552" s="1655" t="s">
        <v>1702</v>
      </c>
      <c r="C552" s="1655" t="s">
        <v>42</v>
      </c>
      <c r="D552" s="1655" t="s">
        <v>42</v>
      </c>
      <c r="E552" s="1655" t="s">
        <v>569</v>
      </c>
      <c r="G552" s="1655" t="s">
        <v>70</v>
      </c>
      <c r="H552" s="1655" t="s">
        <v>1702</v>
      </c>
      <c r="I552" s="1655" t="s">
        <v>42</v>
      </c>
      <c r="J552" s="1655" t="s">
        <v>42</v>
      </c>
      <c r="K552" s="1655" t="s">
        <v>569</v>
      </c>
      <c r="M552" s="1655" t="s">
        <v>70</v>
      </c>
      <c r="N552" s="1655" t="s">
        <v>1702</v>
      </c>
      <c r="O552" s="1655" t="s">
        <v>43</v>
      </c>
      <c r="P552" s="1655" t="s">
        <v>42</v>
      </c>
      <c r="Q552" s="1655" t="s">
        <v>569</v>
      </c>
      <c r="S552" s="1655" t="s">
        <v>70</v>
      </c>
      <c r="T552" s="1655" t="s">
        <v>1702</v>
      </c>
      <c r="U552" s="1655" t="s">
        <v>42</v>
      </c>
      <c r="V552" s="1655" t="s">
        <v>42</v>
      </c>
      <c r="W552" s="1655" t="s">
        <v>569</v>
      </c>
    </row>
    <row r="553" spans="1:23">
      <c r="A553" s="1655" t="s">
        <v>70</v>
      </c>
      <c r="B553" s="1655" t="s">
        <v>1703</v>
      </c>
      <c r="C553" s="1655" t="s">
        <v>42</v>
      </c>
      <c r="D553" s="1655" t="s">
        <v>42</v>
      </c>
      <c r="E553" s="1655" t="s">
        <v>569</v>
      </c>
      <c r="G553" s="1655" t="s">
        <v>70</v>
      </c>
      <c r="H553" s="1655" t="s">
        <v>1703</v>
      </c>
      <c r="I553" s="1655" t="s">
        <v>42</v>
      </c>
      <c r="J553" s="1655" t="s">
        <v>42</v>
      </c>
      <c r="K553" s="1655" t="s">
        <v>569</v>
      </c>
      <c r="M553" s="1655" t="s">
        <v>70</v>
      </c>
      <c r="N553" s="1655" t="s">
        <v>1703</v>
      </c>
      <c r="O553" s="1655" t="s">
        <v>42</v>
      </c>
      <c r="P553" s="1655" t="s">
        <v>42</v>
      </c>
      <c r="Q553" s="1655" t="s">
        <v>569</v>
      </c>
      <c r="S553" s="1655" t="s">
        <v>70</v>
      </c>
      <c r="T553" s="1655" t="s">
        <v>1703</v>
      </c>
      <c r="U553" s="1655" t="s">
        <v>42</v>
      </c>
      <c r="V553" s="1655" t="s">
        <v>42</v>
      </c>
      <c r="W553" s="1655" t="s">
        <v>569</v>
      </c>
    </row>
    <row r="554" spans="1:23">
      <c r="A554" s="1655" t="s">
        <v>70</v>
      </c>
      <c r="B554" s="1655" t="s">
        <v>870</v>
      </c>
      <c r="C554" s="1655" t="s">
        <v>42</v>
      </c>
      <c r="D554" s="1655" t="s">
        <v>42</v>
      </c>
      <c r="E554" s="1655" t="s">
        <v>569</v>
      </c>
      <c r="G554" s="1655" t="s">
        <v>70</v>
      </c>
      <c r="H554" s="1655" t="s">
        <v>870</v>
      </c>
      <c r="I554" s="1655" t="s">
        <v>42</v>
      </c>
      <c r="J554" s="1655" t="s">
        <v>42</v>
      </c>
      <c r="K554" s="1655" t="s">
        <v>569</v>
      </c>
      <c r="M554" s="1655" t="s">
        <v>70</v>
      </c>
      <c r="N554" s="1655" t="s">
        <v>870</v>
      </c>
      <c r="O554" s="1655" t="s">
        <v>42</v>
      </c>
      <c r="P554" s="1655" t="s">
        <v>42</v>
      </c>
      <c r="Q554" s="1655" t="s">
        <v>569</v>
      </c>
      <c r="S554" s="1655" t="s">
        <v>70</v>
      </c>
      <c r="T554" s="1655" t="s">
        <v>870</v>
      </c>
      <c r="U554" s="1655" t="s">
        <v>42</v>
      </c>
      <c r="V554" s="1655" t="s">
        <v>42</v>
      </c>
      <c r="W554" s="1655" t="s">
        <v>569</v>
      </c>
    </row>
    <row r="555" spans="1:23">
      <c r="A555" s="1655" t="s">
        <v>70</v>
      </c>
      <c r="B555" s="1655" t="s">
        <v>871</v>
      </c>
      <c r="C555" s="1655" t="s">
        <v>42</v>
      </c>
      <c r="D555" s="1655" t="s">
        <v>42</v>
      </c>
      <c r="E555" s="1655" t="s">
        <v>569</v>
      </c>
      <c r="G555" s="1655" t="s">
        <v>70</v>
      </c>
      <c r="H555" s="1655" t="s">
        <v>871</v>
      </c>
      <c r="I555" s="1655" t="s">
        <v>42</v>
      </c>
      <c r="J555" s="1655" t="s">
        <v>42</v>
      </c>
      <c r="K555" s="1655" t="s">
        <v>569</v>
      </c>
      <c r="M555" s="1655" t="s">
        <v>70</v>
      </c>
      <c r="N555" s="1655" t="s">
        <v>871</v>
      </c>
      <c r="O555" s="1655" t="s">
        <v>42</v>
      </c>
      <c r="P555" s="1655" t="s">
        <v>42</v>
      </c>
      <c r="Q555" s="1655" t="s">
        <v>569</v>
      </c>
      <c r="S555" s="1655" t="s">
        <v>70</v>
      </c>
      <c r="T555" s="1655" t="s">
        <v>871</v>
      </c>
      <c r="U555" s="1655" t="s">
        <v>42</v>
      </c>
      <c r="V555" s="1655" t="s">
        <v>42</v>
      </c>
      <c r="W555" s="1655" t="s">
        <v>569</v>
      </c>
    </row>
    <row r="556" spans="1:23">
      <c r="A556" s="1655" t="s">
        <v>70</v>
      </c>
      <c r="B556" s="1655" t="s">
        <v>872</v>
      </c>
      <c r="C556" s="1655" t="s">
        <v>42</v>
      </c>
      <c r="D556" s="1655" t="s">
        <v>42</v>
      </c>
      <c r="E556" s="1655" t="s">
        <v>569</v>
      </c>
      <c r="G556" s="1655" t="s">
        <v>70</v>
      </c>
      <c r="H556" s="1655" t="s">
        <v>872</v>
      </c>
      <c r="I556" s="1655" t="s">
        <v>42</v>
      </c>
      <c r="J556" s="1655" t="s">
        <v>42</v>
      </c>
      <c r="K556" s="1655" t="s">
        <v>569</v>
      </c>
      <c r="M556" s="1655" t="s">
        <v>70</v>
      </c>
      <c r="N556" s="1655" t="s">
        <v>872</v>
      </c>
      <c r="O556" s="1655" t="s">
        <v>42</v>
      </c>
      <c r="P556" s="1655" t="s">
        <v>42</v>
      </c>
      <c r="Q556" s="1655" t="s">
        <v>569</v>
      </c>
      <c r="S556" s="1655" t="s">
        <v>70</v>
      </c>
      <c r="T556" s="1655" t="s">
        <v>872</v>
      </c>
      <c r="U556" s="1655" t="s">
        <v>42</v>
      </c>
      <c r="V556" s="1655" t="s">
        <v>42</v>
      </c>
      <c r="W556" s="1655" t="s">
        <v>569</v>
      </c>
    </row>
    <row r="557" spans="1:23">
      <c r="A557" s="1655" t="s">
        <v>70</v>
      </c>
      <c r="B557" s="1655" t="s">
        <v>873</v>
      </c>
      <c r="C557" s="1655" t="s">
        <v>42</v>
      </c>
      <c r="D557" s="1655" t="s">
        <v>42</v>
      </c>
      <c r="E557" s="1655" t="s">
        <v>569</v>
      </c>
      <c r="G557" s="1655" t="s">
        <v>70</v>
      </c>
      <c r="H557" s="1655" t="s">
        <v>873</v>
      </c>
      <c r="I557" s="1655" t="s">
        <v>42</v>
      </c>
      <c r="J557" s="1655" t="s">
        <v>42</v>
      </c>
      <c r="K557" s="1655" t="s">
        <v>569</v>
      </c>
      <c r="M557" s="1655" t="s">
        <v>70</v>
      </c>
      <c r="N557" s="1655" t="s">
        <v>873</v>
      </c>
      <c r="O557" s="1655" t="s">
        <v>42</v>
      </c>
      <c r="P557" s="1655" t="s">
        <v>42</v>
      </c>
      <c r="Q557" s="1655" t="s">
        <v>569</v>
      </c>
      <c r="S557" s="1655" t="s">
        <v>70</v>
      </c>
      <c r="T557" s="1655" t="s">
        <v>873</v>
      </c>
      <c r="U557" s="1655" t="s">
        <v>42</v>
      </c>
      <c r="V557" s="1655" t="s">
        <v>42</v>
      </c>
      <c r="W557" s="1655" t="s">
        <v>569</v>
      </c>
    </row>
    <row r="558" spans="1:23">
      <c r="A558" s="1655" t="s">
        <v>70</v>
      </c>
      <c r="B558" s="1655" t="s">
        <v>874</v>
      </c>
      <c r="C558" s="1655" t="s">
        <v>42</v>
      </c>
      <c r="D558" s="1655" t="s">
        <v>42</v>
      </c>
      <c r="E558" s="1655" t="s">
        <v>569</v>
      </c>
      <c r="G558" s="1655" t="s">
        <v>70</v>
      </c>
      <c r="H558" s="1655" t="s">
        <v>874</v>
      </c>
      <c r="I558" s="1655" t="s">
        <v>42</v>
      </c>
      <c r="J558" s="1655" t="s">
        <v>42</v>
      </c>
      <c r="K558" s="1655" t="s">
        <v>569</v>
      </c>
      <c r="M558" s="1655" t="s">
        <v>70</v>
      </c>
      <c r="N558" s="1655" t="s">
        <v>874</v>
      </c>
      <c r="O558" s="1655" t="s">
        <v>42</v>
      </c>
      <c r="P558" s="1655" t="s">
        <v>42</v>
      </c>
      <c r="Q558" s="1655" t="s">
        <v>569</v>
      </c>
      <c r="S558" s="1655" t="s">
        <v>70</v>
      </c>
      <c r="T558" s="1655" t="s">
        <v>874</v>
      </c>
      <c r="U558" s="1655" t="s">
        <v>42</v>
      </c>
      <c r="V558" s="1655" t="s">
        <v>42</v>
      </c>
      <c r="W558" s="1655" t="s">
        <v>569</v>
      </c>
    </row>
    <row r="559" spans="1:23">
      <c r="A559" s="1655" t="s">
        <v>70</v>
      </c>
      <c r="B559" s="1655" t="s">
        <v>875</v>
      </c>
      <c r="C559" s="1655" t="s">
        <v>42</v>
      </c>
      <c r="D559" s="1655" t="s">
        <v>42</v>
      </c>
      <c r="E559" s="1655" t="s">
        <v>569</v>
      </c>
      <c r="G559" s="1655" t="s">
        <v>70</v>
      </c>
      <c r="H559" s="1655" t="s">
        <v>875</v>
      </c>
      <c r="I559" s="1655" t="s">
        <v>42</v>
      </c>
      <c r="J559" s="1655" t="s">
        <v>42</v>
      </c>
      <c r="K559" s="1655" t="s">
        <v>569</v>
      </c>
      <c r="M559" s="1655" t="s">
        <v>70</v>
      </c>
      <c r="N559" s="1655" t="s">
        <v>875</v>
      </c>
      <c r="O559" s="1655" t="s">
        <v>42</v>
      </c>
      <c r="P559" s="1655" t="s">
        <v>42</v>
      </c>
      <c r="Q559" s="1655" t="s">
        <v>569</v>
      </c>
      <c r="S559" s="1655" t="s">
        <v>70</v>
      </c>
      <c r="T559" s="1655" t="s">
        <v>875</v>
      </c>
      <c r="U559" s="1655" t="s">
        <v>42</v>
      </c>
      <c r="V559" s="1655" t="s">
        <v>42</v>
      </c>
      <c r="W559" s="1655" t="s">
        <v>569</v>
      </c>
    </row>
    <row r="560" spans="1:23">
      <c r="A560" s="1655" t="s">
        <v>70</v>
      </c>
      <c r="B560" s="1655" t="s">
        <v>876</v>
      </c>
      <c r="C560" s="1655" t="s">
        <v>42</v>
      </c>
      <c r="D560" s="1655" t="s">
        <v>42</v>
      </c>
      <c r="E560" s="1655" t="s">
        <v>569</v>
      </c>
      <c r="G560" s="1655" t="s">
        <v>70</v>
      </c>
      <c r="H560" s="1655" t="s">
        <v>876</v>
      </c>
      <c r="I560" s="1655" t="s">
        <v>42</v>
      </c>
      <c r="J560" s="1655" t="s">
        <v>42</v>
      </c>
      <c r="K560" s="1655" t="s">
        <v>569</v>
      </c>
      <c r="M560" s="1655" t="s">
        <v>70</v>
      </c>
      <c r="N560" s="1655" t="s">
        <v>876</v>
      </c>
      <c r="O560" s="1655" t="s">
        <v>42</v>
      </c>
      <c r="P560" s="1655" t="s">
        <v>42</v>
      </c>
      <c r="Q560" s="1655" t="s">
        <v>569</v>
      </c>
      <c r="S560" s="1655" t="s">
        <v>70</v>
      </c>
      <c r="T560" s="1655" t="s">
        <v>876</v>
      </c>
      <c r="U560" s="1655" t="s">
        <v>42</v>
      </c>
      <c r="V560" s="1655" t="s">
        <v>42</v>
      </c>
      <c r="W560" s="1655" t="s">
        <v>569</v>
      </c>
    </row>
    <row r="561" spans="1:23">
      <c r="A561" s="1655" t="s">
        <v>70</v>
      </c>
      <c r="B561" s="1655" t="s">
        <v>877</v>
      </c>
      <c r="C561" s="1655" t="s">
        <v>42</v>
      </c>
      <c r="D561" s="1655" t="s">
        <v>42</v>
      </c>
      <c r="E561" s="1655" t="s">
        <v>569</v>
      </c>
      <c r="G561" s="1655" t="s">
        <v>70</v>
      </c>
      <c r="H561" s="1655" t="s">
        <v>877</v>
      </c>
      <c r="I561" s="1655" t="s">
        <v>42</v>
      </c>
      <c r="J561" s="1655" t="s">
        <v>42</v>
      </c>
      <c r="K561" s="1655" t="s">
        <v>569</v>
      </c>
      <c r="M561" s="1655" t="s">
        <v>70</v>
      </c>
      <c r="N561" s="1655" t="s">
        <v>877</v>
      </c>
      <c r="O561" s="1655" t="s">
        <v>42</v>
      </c>
      <c r="P561" s="1655" t="s">
        <v>42</v>
      </c>
      <c r="Q561" s="1655" t="s">
        <v>569</v>
      </c>
      <c r="S561" s="1655" t="s">
        <v>70</v>
      </c>
      <c r="T561" s="1655" t="s">
        <v>877</v>
      </c>
      <c r="U561" s="1655" t="s">
        <v>42</v>
      </c>
      <c r="V561" s="1655" t="s">
        <v>42</v>
      </c>
      <c r="W561" s="1655" t="s">
        <v>569</v>
      </c>
    </row>
    <row r="562" spans="1:23">
      <c r="A562" s="1655" t="s">
        <v>70</v>
      </c>
      <c r="B562" s="1655" t="s">
        <v>1704</v>
      </c>
      <c r="C562" s="1655" t="s">
        <v>42</v>
      </c>
      <c r="D562" s="1655" t="s">
        <v>42</v>
      </c>
      <c r="E562" s="1655" t="s">
        <v>569</v>
      </c>
      <c r="G562" s="1655" t="s">
        <v>70</v>
      </c>
      <c r="H562" s="1655" t="s">
        <v>1704</v>
      </c>
      <c r="I562" s="1655" t="s">
        <v>42</v>
      </c>
      <c r="J562" s="1655" t="s">
        <v>42</v>
      </c>
      <c r="K562" s="1655" t="s">
        <v>569</v>
      </c>
      <c r="M562" s="1655" t="s">
        <v>70</v>
      </c>
      <c r="N562" s="1655" t="s">
        <v>1704</v>
      </c>
      <c r="O562" s="1655" t="s">
        <v>42</v>
      </c>
      <c r="P562" s="1655" t="s">
        <v>42</v>
      </c>
      <c r="Q562" s="1655" t="s">
        <v>569</v>
      </c>
      <c r="S562" s="1655" t="s">
        <v>70</v>
      </c>
      <c r="T562" s="1655" t="s">
        <v>1704</v>
      </c>
      <c r="U562" s="1655" t="s">
        <v>42</v>
      </c>
      <c r="V562" s="1655" t="s">
        <v>42</v>
      </c>
      <c r="W562" s="1655" t="s">
        <v>569</v>
      </c>
    </row>
    <row r="563" spans="1:23">
      <c r="A563" s="1655" t="s">
        <v>70</v>
      </c>
      <c r="B563" s="1655" t="s">
        <v>1705</v>
      </c>
      <c r="C563" s="1655" t="s">
        <v>42</v>
      </c>
      <c r="D563" s="1655" t="s">
        <v>42</v>
      </c>
      <c r="E563" s="1655" t="s">
        <v>569</v>
      </c>
      <c r="G563" s="1655" t="s">
        <v>70</v>
      </c>
      <c r="H563" s="1655" t="s">
        <v>1705</v>
      </c>
      <c r="I563" s="1655" t="s">
        <v>42</v>
      </c>
      <c r="J563" s="1655" t="s">
        <v>42</v>
      </c>
      <c r="K563" s="1655" t="s">
        <v>569</v>
      </c>
      <c r="M563" s="1655" t="s">
        <v>70</v>
      </c>
      <c r="N563" s="1655" t="s">
        <v>1705</v>
      </c>
      <c r="O563" s="1655" t="s">
        <v>42</v>
      </c>
      <c r="P563" s="1655" t="s">
        <v>42</v>
      </c>
      <c r="Q563" s="1655" t="s">
        <v>569</v>
      </c>
      <c r="S563" s="1655" t="s">
        <v>70</v>
      </c>
      <c r="T563" s="1655" t="s">
        <v>1705</v>
      </c>
      <c r="U563" s="1655" t="s">
        <v>42</v>
      </c>
      <c r="V563" s="1655" t="s">
        <v>42</v>
      </c>
      <c r="W563" s="1655" t="s">
        <v>569</v>
      </c>
    </row>
    <row r="564" spans="1:23">
      <c r="A564" s="1655" t="s">
        <v>70</v>
      </c>
      <c r="B564" s="1655" t="s">
        <v>1706</v>
      </c>
      <c r="C564" s="1655" t="s">
        <v>42</v>
      </c>
      <c r="D564" s="1655" t="s">
        <v>42</v>
      </c>
      <c r="E564" s="1655" t="s">
        <v>569</v>
      </c>
      <c r="G564" s="1655" t="s">
        <v>70</v>
      </c>
      <c r="H564" s="1655" t="s">
        <v>1706</v>
      </c>
      <c r="I564" s="1655" t="s">
        <v>42</v>
      </c>
      <c r="J564" s="1655" t="s">
        <v>42</v>
      </c>
      <c r="K564" s="1655" t="s">
        <v>569</v>
      </c>
      <c r="M564" s="1655" t="s">
        <v>70</v>
      </c>
      <c r="N564" s="1655" t="s">
        <v>1706</v>
      </c>
      <c r="O564" s="1655" t="s">
        <v>42</v>
      </c>
      <c r="P564" s="1655" t="s">
        <v>42</v>
      </c>
      <c r="Q564" s="1655" t="s">
        <v>569</v>
      </c>
      <c r="S564" s="1655" t="s">
        <v>70</v>
      </c>
      <c r="T564" s="1655" t="s">
        <v>1706</v>
      </c>
      <c r="U564" s="1655" t="s">
        <v>42</v>
      </c>
      <c r="V564" s="1655" t="s">
        <v>42</v>
      </c>
      <c r="W564" s="1655" t="s">
        <v>569</v>
      </c>
    </row>
    <row r="565" spans="1:23">
      <c r="A565" s="1655" t="s">
        <v>70</v>
      </c>
      <c r="B565" s="1655" t="s">
        <v>1707</v>
      </c>
      <c r="C565" s="1655" t="s">
        <v>42</v>
      </c>
      <c r="D565" s="1655" t="s">
        <v>42</v>
      </c>
      <c r="E565" s="1655" t="s">
        <v>569</v>
      </c>
      <c r="G565" s="1655" t="s">
        <v>70</v>
      </c>
      <c r="H565" s="1655" t="s">
        <v>1707</v>
      </c>
      <c r="I565" s="1655" t="s">
        <v>42</v>
      </c>
      <c r="J565" s="1655" t="s">
        <v>42</v>
      </c>
      <c r="K565" s="1655" t="s">
        <v>569</v>
      </c>
      <c r="M565" s="1655" t="s">
        <v>70</v>
      </c>
      <c r="N565" s="1655" t="s">
        <v>1707</v>
      </c>
      <c r="O565" s="1655" t="s">
        <v>42</v>
      </c>
      <c r="P565" s="1655" t="s">
        <v>42</v>
      </c>
      <c r="Q565" s="1655" t="s">
        <v>569</v>
      </c>
      <c r="S565" s="1655" t="s">
        <v>70</v>
      </c>
      <c r="T565" s="1655" t="s">
        <v>1707</v>
      </c>
      <c r="U565" s="1655" t="s">
        <v>42</v>
      </c>
      <c r="V565" s="1655" t="s">
        <v>42</v>
      </c>
      <c r="W565" s="1655" t="s">
        <v>569</v>
      </c>
    </row>
    <row r="566" spans="1:23">
      <c r="A566" s="1655" t="s">
        <v>70</v>
      </c>
      <c r="B566" s="1655" t="s">
        <v>1708</v>
      </c>
      <c r="C566" s="1655" t="s">
        <v>42</v>
      </c>
      <c r="D566" s="1655" t="s">
        <v>42</v>
      </c>
      <c r="E566" s="1655" t="s">
        <v>569</v>
      </c>
      <c r="G566" s="1655" t="s">
        <v>70</v>
      </c>
      <c r="H566" s="1655" t="s">
        <v>1708</v>
      </c>
      <c r="I566" s="1655" t="s">
        <v>42</v>
      </c>
      <c r="J566" s="1655" t="s">
        <v>42</v>
      </c>
      <c r="K566" s="1655" t="s">
        <v>569</v>
      </c>
      <c r="M566" s="1655" t="s">
        <v>70</v>
      </c>
      <c r="N566" s="1655" t="s">
        <v>1708</v>
      </c>
      <c r="O566" s="1655" t="s">
        <v>42</v>
      </c>
      <c r="P566" s="1655" t="s">
        <v>42</v>
      </c>
      <c r="Q566" s="1655" t="s">
        <v>569</v>
      </c>
      <c r="S566" s="1655" t="s">
        <v>70</v>
      </c>
      <c r="T566" s="1655" t="s">
        <v>1708</v>
      </c>
      <c r="U566" s="1655" t="s">
        <v>42</v>
      </c>
      <c r="V566" s="1655" t="s">
        <v>42</v>
      </c>
      <c r="W566" s="1655" t="s">
        <v>569</v>
      </c>
    </row>
    <row r="567" spans="1:23">
      <c r="A567" s="1655" t="s">
        <v>70</v>
      </c>
      <c r="B567" s="1655" t="s">
        <v>1709</v>
      </c>
      <c r="C567" s="1655" t="s">
        <v>42</v>
      </c>
      <c r="D567" s="1655" t="s">
        <v>42</v>
      </c>
      <c r="E567" s="1655" t="s">
        <v>569</v>
      </c>
      <c r="G567" s="1655" t="s">
        <v>70</v>
      </c>
      <c r="H567" s="1655" t="s">
        <v>1709</v>
      </c>
      <c r="I567" s="1655" t="s">
        <v>42</v>
      </c>
      <c r="J567" s="1655" t="s">
        <v>42</v>
      </c>
      <c r="K567" s="1655" t="s">
        <v>569</v>
      </c>
      <c r="M567" s="1655" t="s">
        <v>70</v>
      </c>
      <c r="N567" s="1655" t="s">
        <v>1709</v>
      </c>
      <c r="O567" s="1655" t="s">
        <v>42</v>
      </c>
      <c r="P567" s="1655" t="s">
        <v>42</v>
      </c>
      <c r="Q567" s="1655" t="s">
        <v>569</v>
      </c>
      <c r="S567" s="1655" t="s">
        <v>70</v>
      </c>
      <c r="T567" s="1655" t="s">
        <v>1709</v>
      </c>
      <c r="U567" s="1655" t="s">
        <v>42</v>
      </c>
      <c r="V567" s="1655" t="s">
        <v>42</v>
      </c>
      <c r="W567" s="1655" t="s">
        <v>569</v>
      </c>
    </row>
    <row r="568" spans="1:23">
      <c r="A568" s="1655" t="s">
        <v>70</v>
      </c>
      <c r="B568" s="1655" t="s">
        <v>1710</v>
      </c>
      <c r="C568" s="1655" t="s">
        <v>42</v>
      </c>
      <c r="D568" s="1655" t="s">
        <v>42</v>
      </c>
      <c r="E568" s="1655" t="s">
        <v>569</v>
      </c>
      <c r="G568" s="1655" t="s">
        <v>70</v>
      </c>
      <c r="H568" s="1655" t="s">
        <v>1710</v>
      </c>
      <c r="I568" s="1655" t="s">
        <v>42</v>
      </c>
      <c r="J568" s="1655" t="s">
        <v>42</v>
      </c>
      <c r="K568" s="1655" t="s">
        <v>569</v>
      </c>
      <c r="M568" s="1655" t="s">
        <v>70</v>
      </c>
      <c r="N568" s="1655" t="s">
        <v>1710</v>
      </c>
      <c r="O568" s="1655" t="s">
        <v>42</v>
      </c>
      <c r="P568" s="1655" t="s">
        <v>42</v>
      </c>
      <c r="Q568" s="1655" t="s">
        <v>569</v>
      </c>
      <c r="S568" s="1655" t="s">
        <v>70</v>
      </c>
      <c r="T568" s="1655" t="s">
        <v>1710</v>
      </c>
      <c r="U568" s="1655" t="s">
        <v>42</v>
      </c>
      <c r="V568" s="1655" t="s">
        <v>42</v>
      </c>
      <c r="W568" s="1655" t="s">
        <v>569</v>
      </c>
    </row>
    <row r="569" spans="1:23">
      <c r="A569" s="1655" t="s">
        <v>70</v>
      </c>
      <c r="B569" s="1655" t="s">
        <v>1711</v>
      </c>
      <c r="C569" s="1655" t="s">
        <v>42</v>
      </c>
      <c r="D569" s="1655" t="s">
        <v>42</v>
      </c>
      <c r="E569" s="1655" t="s">
        <v>569</v>
      </c>
      <c r="G569" s="1655" t="s">
        <v>70</v>
      </c>
      <c r="H569" s="1655" t="s">
        <v>1711</v>
      </c>
      <c r="I569" s="1655" t="s">
        <v>42</v>
      </c>
      <c r="J569" s="1655" t="s">
        <v>42</v>
      </c>
      <c r="K569" s="1655" t="s">
        <v>569</v>
      </c>
      <c r="M569" s="1655" t="s">
        <v>70</v>
      </c>
      <c r="N569" s="1655" t="s">
        <v>1711</v>
      </c>
      <c r="O569" s="1655" t="s">
        <v>42</v>
      </c>
      <c r="P569" s="1655" t="s">
        <v>42</v>
      </c>
      <c r="Q569" s="1655" t="s">
        <v>569</v>
      </c>
      <c r="S569" s="1655" t="s">
        <v>70</v>
      </c>
      <c r="T569" s="1655" t="s">
        <v>1711</v>
      </c>
      <c r="U569" s="1655" t="s">
        <v>42</v>
      </c>
      <c r="V569" s="1655" t="s">
        <v>42</v>
      </c>
      <c r="W569" s="1655" t="s">
        <v>569</v>
      </c>
    </row>
    <row r="570" spans="1:23">
      <c r="A570" s="1655" t="s">
        <v>70</v>
      </c>
      <c r="B570" s="1655" t="s">
        <v>1712</v>
      </c>
      <c r="C570" s="1655" t="s">
        <v>42</v>
      </c>
      <c r="D570" s="1655" t="s">
        <v>42</v>
      </c>
      <c r="E570" s="1655" t="s">
        <v>569</v>
      </c>
      <c r="G570" s="1655" t="s">
        <v>70</v>
      </c>
      <c r="H570" s="1655" t="s">
        <v>1712</v>
      </c>
      <c r="I570" s="1655" t="s">
        <v>42</v>
      </c>
      <c r="J570" s="1655" t="s">
        <v>42</v>
      </c>
      <c r="K570" s="1655" t="s">
        <v>569</v>
      </c>
      <c r="M570" s="1655" t="s">
        <v>70</v>
      </c>
      <c r="N570" s="1655" t="s">
        <v>1712</v>
      </c>
      <c r="O570" s="1655" t="s">
        <v>42</v>
      </c>
      <c r="P570" s="1655" t="s">
        <v>42</v>
      </c>
      <c r="Q570" s="1655" t="s">
        <v>569</v>
      </c>
      <c r="S570" s="1655" t="s">
        <v>70</v>
      </c>
      <c r="T570" s="1655" t="s">
        <v>1712</v>
      </c>
      <c r="U570" s="1655" t="s">
        <v>42</v>
      </c>
      <c r="V570" s="1655" t="s">
        <v>42</v>
      </c>
      <c r="W570" s="1655" t="s">
        <v>569</v>
      </c>
    </row>
    <row r="571" spans="1:23">
      <c r="A571" s="1655" t="s">
        <v>70</v>
      </c>
      <c r="B571" s="1655" t="s">
        <v>1713</v>
      </c>
      <c r="C571" s="1655" t="s">
        <v>42</v>
      </c>
      <c r="D571" s="1655" t="s">
        <v>42</v>
      </c>
      <c r="E571" s="1655" t="s">
        <v>569</v>
      </c>
      <c r="G571" s="1655" t="s">
        <v>70</v>
      </c>
      <c r="H571" s="1655" t="s">
        <v>1713</v>
      </c>
      <c r="I571" s="1655" t="s">
        <v>42</v>
      </c>
      <c r="J571" s="1655" t="s">
        <v>42</v>
      </c>
      <c r="K571" s="1655" t="s">
        <v>569</v>
      </c>
      <c r="M571" s="1655" t="s">
        <v>70</v>
      </c>
      <c r="N571" s="1655" t="s">
        <v>1713</v>
      </c>
      <c r="O571" s="1655" t="s">
        <v>42</v>
      </c>
      <c r="P571" s="1655" t="s">
        <v>42</v>
      </c>
      <c r="Q571" s="1655" t="s">
        <v>569</v>
      </c>
      <c r="S571" s="1655" t="s">
        <v>70</v>
      </c>
      <c r="T571" s="1655" t="s">
        <v>1713</v>
      </c>
      <c r="U571" s="1655" t="s">
        <v>42</v>
      </c>
      <c r="V571" s="1655" t="s">
        <v>42</v>
      </c>
      <c r="W571" s="1655" t="s">
        <v>569</v>
      </c>
    </row>
    <row r="572" spans="1:23">
      <c r="A572" s="1655" t="s">
        <v>70</v>
      </c>
      <c r="B572" s="1655" t="s">
        <v>1714</v>
      </c>
      <c r="C572" s="1655" t="s">
        <v>42</v>
      </c>
      <c r="D572" s="1655" t="s">
        <v>42</v>
      </c>
      <c r="E572" s="1655" t="s">
        <v>569</v>
      </c>
      <c r="G572" s="1655" t="s">
        <v>70</v>
      </c>
      <c r="H572" s="1655" t="s">
        <v>1714</v>
      </c>
      <c r="I572" s="1655" t="s">
        <v>42</v>
      </c>
      <c r="J572" s="1655" t="s">
        <v>42</v>
      </c>
      <c r="K572" s="1655" t="s">
        <v>569</v>
      </c>
      <c r="M572" s="1655" t="s">
        <v>70</v>
      </c>
      <c r="N572" s="1655" t="s">
        <v>1714</v>
      </c>
      <c r="O572" s="1655" t="s">
        <v>42</v>
      </c>
      <c r="P572" s="1655" t="s">
        <v>42</v>
      </c>
      <c r="Q572" s="1655" t="s">
        <v>569</v>
      </c>
      <c r="S572" s="1655" t="s">
        <v>70</v>
      </c>
      <c r="T572" s="1655" t="s">
        <v>1714</v>
      </c>
      <c r="U572" s="1655" t="s">
        <v>42</v>
      </c>
      <c r="V572" s="1655" t="s">
        <v>42</v>
      </c>
      <c r="W572" s="1655" t="s">
        <v>569</v>
      </c>
    </row>
    <row r="573" spans="1:23">
      <c r="A573" s="1655" t="s">
        <v>70</v>
      </c>
      <c r="B573" s="1655" t="s">
        <v>1715</v>
      </c>
      <c r="C573" s="1655" t="s">
        <v>42</v>
      </c>
      <c r="D573" s="1655" t="s">
        <v>42</v>
      </c>
      <c r="E573" s="1655" t="s">
        <v>569</v>
      </c>
      <c r="G573" s="1655" t="s">
        <v>70</v>
      </c>
      <c r="H573" s="1655" t="s">
        <v>1715</v>
      </c>
      <c r="I573" s="1655" t="s">
        <v>42</v>
      </c>
      <c r="J573" s="1655" t="s">
        <v>42</v>
      </c>
      <c r="K573" s="1655" t="s">
        <v>569</v>
      </c>
      <c r="M573" s="1655" t="s">
        <v>70</v>
      </c>
      <c r="N573" s="1655" t="s">
        <v>1715</v>
      </c>
      <c r="O573" s="1655" t="s">
        <v>42</v>
      </c>
      <c r="P573" s="1655" t="s">
        <v>42</v>
      </c>
      <c r="Q573" s="1655" t="s">
        <v>569</v>
      </c>
      <c r="S573" s="1655" t="s">
        <v>70</v>
      </c>
      <c r="T573" s="1655" t="s">
        <v>1715</v>
      </c>
      <c r="U573" s="1655" t="s">
        <v>42</v>
      </c>
      <c r="V573" s="1655" t="s">
        <v>42</v>
      </c>
      <c r="W573" s="1655" t="s">
        <v>569</v>
      </c>
    </row>
    <row r="574" spans="1:23">
      <c r="A574" s="1655" t="s">
        <v>70</v>
      </c>
      <c r="B574" s="1655" t="s">
        <v>1716</v>
      </c>
      <c r="C574" s="1655" t="s">
        <v>42</v>
      </c>
      <c r="D574" s="1655" t="s">
        <v>42</v>
      </c>
      <c r="E574" s="1655" t="s">
        <v>569</v>
      </c>
      <c r="G574" s="1655" t="s">
        <v>70</v>
      </c>
      <c r="H574" s="1655" t="s">
        <v>1716</v>
      </c>
      <c r="I574" s="1655" t="s">
        <v>42</v>
      </c>
      <c r="J574" s="1655" t="s">
        <v>42</v>
      </c>
      <c r="K574" s="1655" t="s">
        <v>569</v>
      </c>
      <c r="M574" s="1655" t="s">
        <v>70</v>
      </c>
      <c r="N574" s="1655" t="s">
        <v>1716</v>
      </c>
      <c r="O574" s="1655" t="s">
        <v>42</v>
      </c>
      <c r="P574" s="1655" t="s">
        <v>42</v>
      </c>
      <c r="Q574" s="1655" t="s">
        <v>569</v>
      </c>
      <c r="S574" s="1655" t="s">
        <v>70</v>
      </c>
      <c r="T574" s="1655" t="s">
        <v>1716</v>
      </c>
      <c r="U574" s="1655" t="s">
        <v>42</v>
      </c>
      <c r="V574" s="1655" t="s">
        <v>42</v>
      </c>
      <c r="W574" s="1655" t="s">
        <v>569</v>
      </c>
    </row>
    <row r="575" spans="1:23">
      <c r="A575" s="1655" t="s">
        <v>70</v>
      </c>
      <c r="B575" s="1655" t="s">
        <v>1717</v>
      </c>
      <c r="C575" s="1655" t="s">
        <v>42</v>
      </c>
      <c r="D575" s="1655" t="s">
        <v>42</v>
      </c>
      <c r="E575" s="1655" t="s">
        <v>569</v>
      </c>
      <c r="G575" s="1655" t="s">
        <v>70</v>
      </c>
      <c r="H575" s="1655" t="s">
        <v>1717</v>
      </c>
      <c r="I575" s="1655" t="s">
        <v>42</v>
      </c>
      <c r="J575" s="1655" t="s">
        <v>42</v>
      </c>
      <c r="K575" s="1655" t="s">
        <v>569</v>
      </c>
      <c r="M575" s="1655" t="s">
        <v>70</v>
      </c>
      <c r="N575" s="1655" t="s">
        <v>1717</v>
      </c>
      <c r="O575" s="1655" t="s">
        <v>42</v>
      </c>
      <c r="P575" s="1655" t="s">
        <v>42</v>
      </c>
      <c r="Q575" s="1655" t="s">
        <v>569</v>
      </c>
      <c r="S575" s="1655" t="s">
        <v>70</v>
      </c>
      <c r="T575" s="1655" t="s">
        <v>1717</v>
      </c>
      <c r="U575" s="1655" t="s">
        <v>42</v>
      </c>
      <c r="V575" s="1655" t="s">
        <v>42</v>
      </c>
      <c r="W575" s="1655" t="s">
        <v>569</v>
      </c>
    </row>
    <row r="576" spans="1:23">
      <c r="A576" s="1655" t="s">
        <v>70</v>
      </c>
      <c r="B576" s="1655" t="s">
        <v>1718</v>
      </c>
      <c r="C576" s="1655" t="s">
        <v>42</v>
      </c>
      <c r="D576" s="1655" t="s">
        <v>42</v>
      </c>
      <c r="E576" s="1655" t="s">
        <v>569</v>
      </c>
      <c r="G576" s="1655" t="s">
        <v>70</v>
      </c>
      <c r="H576" s="1655" t="s">
        <v>1718</v>
      </c>
      <c r="I576" s="1655" t="s">
        <v>42</v>
      </c>
      <c r="J576" s="1655" t="s">
        <v>42</v>
      </c>
      <c r="K576" s="1655" t="s">
        <v>569</v>
      </c>
      <c r="M576" s="1655" t="s">
        <v>70</v>
      </c>
      <c r="N576" s="1655" t="s">
        <v>1718</v>
      </c>
      <c r="O576" s="1655" t="s">
        <v>42</v>
      </c>
      <c r="P576" s="1655" t="s">
        <v>42</v>
      </c>
      <c r="Q576" s="1655" t="s">
        <v>569</v>
      </c>
      <c r="S576" s="1655" t="s">
        <v>70</v>
      </c>
      <c r="T576" s="1655" t="s">
        <v>1718</v>
      </c>
      <c r="U576" s="1655" t="s">
        <v>42</v>
      </c>
      <c r="V576" s="1655" t="s">
        <v>42</v>
      </c>
      <c r="W576" s="1655" t="s">
        <v>569</v>
      </c>
    </row>
    <row r="577" spans="1:23">
      <c r="A577" s="1655" t="s">
        <v>70</v>
      </c>
      <c r="B577" s="1655" t="s">
        <v>1719</v>
      </c>
      <c r="C577" s="1655" t="s">
        <v>42</v>
      </c>
      <c r="D577" s="1655" t="s">
        <v>42</v>
      </c>
      <c r="E577" s="1655" t="s">
        <v>569</v>
      </c>
      <c r="G577" s="1655" t="s">
        <v>70</v>
      </c>
      <c r="H577" s="1655" t="s">
        <v>1719</v>
      </c>
      <c r="I577" s="1655" t="s">
        <v>42</v>
      </c>
      <c r="J577" s="1655" t="s">
        <v>42</v>
      </c>
      <c r="K577" s="1655" t="s">
        <v>569</v>
      </c>
      <c r="M577" s="1655" t="s">
        <v>70</v>
      </c>
      <c r="N577" s="1655" t="s">
        <v>1719</v>
      </c>
      <c r="O577" s="1655" t="s">
        <v>42</v>
      </c>
      <c r="P577" s="1655" t="s">
        <v>42</v>
      </c>
      <c r="Q577" s="1655" t="s">
        <v>569</v>
      </c>
      <c r="S577" s="1655" t="s">
        <v>70</v>
      </c>
      <c r="T577" s="1655" t="s">
        <v>1719</v>
      </c>
      <c r="U577" s="1655" t="s">
        <v>42</v>
      </c>
      <c r="V577" s="1655" t="s">
        <v>42</v>
      </c>
      <c r="W577" s="1655" t="s">
        <v>569</v>
      </c>
    </row>
    <row r="578" spans="1:23">
      <c r="A578" s="1655" t="s">
        <v>70</v>
      </c>
      <c r="B578" s="1655" t="s">
        <v>1720</v>
      </c>
      <c r="C578" s="1655" t="s">
        <v>42</v>
      </c>
      <c r="D578" s="1655" t="s">
        <v>42</v>
      </c>
      <c r="E578" s="1655" t="s">
        <v>569</v>
      </c>
      <c r="G578" s="1655" t="s">
        <v>70</v>
      </c>
      <c r="H578" s="1655" t="s">
        <v>1720</v>
      </c>
      <c r="I578" s="1655" t="s">
        <v>42</v>
      </c>
      <c r="J578" s="1655" t="s">
        <v>42</v>
      </c>
      <c r="K578" s="1655" t="s">
        <v>569</v>
      </c>
      <c r="M578" s="1655" t="s">
        <v>70</v>
      </c>
      <c r="N578" s="1655" t="s">
        <v>1720</v>
      </c>
      <c r="O578" s="1655" t="s">
        <v>42</v>
      </c>
      <c r="P578" s="1655" t="s">
        <v>42</v>
      </c>
      <c r="Q578" s="1655" t="s">
        <v>569</v>
      </c>
      <c r="S578" s="1655" t="s">
        <v>70</v>
      </c>
      <c r="T578" s="1655" t="s">
        <v>1720</v>
      </c>
      <c r="U578" s="1655" t="s">
        <v>42</v>
      </c>
      <c r="V578" s="1655" t="s">
        <v>42</v>
      </c>
      <c r="W578" s="1655" t="s">
        <v>569</v>
      </c>
    </row>
    <row r="579" spans="1:23">
      <c r="A579" s="1655" t="s">
        <v>70</v>
      </c>
      <c r="B579" s="1655" t="s">
        <v>1721</v>
      </c>
      <c r="C579" s="1655" t="s">
        <v>42</v>
      </c>
      <c r="D579" s="1655" t="s">
        <v>42</v>
      </c>
      <c r="E579" s="1655" t="s">
        <v>569</v>
      </c>
      <c r="G579" s="1655" t="s">
        <v>70</v>
      </c>
      <c r="H579" s="1655" t="s">
        <v>1721</v>
      </c>
      <c r="I579" s="1655" t="s">
        <v>42</v>
      </c>
      <c r="J579" s="1655" t="s">
        <v>42</v>
      </c>
      <c r="K579" s="1655" t="s">
        <v>569</v>
      </c>
      <c r="M579" s="1655" t="s">
        <v>70</v>
      </c>
      <c r="N579" s="1655" t="s">
        <v>1721</v>
      </c>
      <c r="O579" s="1655" t="s">
        <v>42</v>
      </c>
      <c r="P579" s="1655" t="s">
        <v>42</v>
      </c>
      <c r="Q579" s="1655" t="s">
        <v>569</v>
      </c>
      <c r="S579" s="1655" t="s">
        <v>70</v>
      </c>
      <c r="T579" s="1655" t="s">
        <v>1721</v>
      </c>
      <c r="U579" s="1655" t="s">
        <v>42</v>
      </c>
      <c r="V579" s="1655" t="s">
        <v>42</v>
      </c>
      <c r="W579" s="1655" t="s">
        <v>569</v>
      </c>
    </row>
    <row r="580" spans="1:23">
      <c r="A580" s="1655" t="s">
        <v>70</v>
      </c>
      <c r="B580" s="1655" t="s">
        <v>1722</v>
      </c>
      <c r="C580" s="1655" t="s">
        <v>42</v>
      </c>
      <c r="D580" s="1655" t="s">
        <v>42</v>
      </c>
      <c r="E580" s="1655" t="s">
        <v>569</v>
      </c>
      <c r="G580" s="1655" t="s">
        <v>70</v>
      </c>
      <c r="H580" s="1655" t="s">
        <v>1722</v>
      </c>
      <c r="I580" s="1655" t="s">
        <v>42</v>
      </c>
      <c r="J580" s="1655" t="s">
        <v>42</v>
      </c>
      <c r="K580" s="1655" t="s">
        <v>569</v>
      </c>
      <c r="M580" s="1655" t="s">
        <v>70</v>
      </c>
      <c r="N580" s="1655" t="s">
        <v>1722</v>
      </c>
      <c r="O580" s="1655" t="s">
        <v>42</v>
      </c>
      <c r="P580" s="1655" t="s">
        <v>42</v>
      </c>
      <c r="Q580" s="1655" t="s">
        <v>569</v>
      </c>
      <c r="S580" s="1655" t="s">
        <v>70</v>
      </c>
      <c r="T580" s="1655" t="s">
        <v>1722</v>
      </c>
      <c r="U580" s="1655" t="s">
        <v>42</v>
      </c>
      <c r="V580" s="1655" t="s">
        <v>42</v>
      </c>
      <c r="W580" s="1655" t="s">
        <v>569</v>
      </c>
    </row>
    <row r="581" spans="1:23">
      <c r="A581" s="1655" t="s">
        <v>70</v>
      </c>
      <c r="B581" s="1655" t="s">
        <v>1723</v>
      </c>
      <c r="C581" s="1655" t="s">
        <v>42</v>
      </c>
      <c r="D581" s="1655" t="s">
        <v>42</v>
      </c>
      <c r="E581" s="1655" t="s">
        <v>569</v>
      </c>
      <c r="G581" s="1655" t="s">
        <v>70</v>
      </c>
      <c r="H581" s="1655" t="s">
        <v>1723</v>
      </c>
      <c r="I581" s="1655" t="s">
        <v>42</v>
      </c>
      <c r="J581" s="1655" t="s">
        <v>42</v>
      </c>
      <c r="K581" s="1655" t="s">
        <v>569</v>
      </c>
      <c r="M581" s="1655" t="s">
        <v>70</v>
      </c>
      <c r="N581" s="1655" t="s">
        <v>1723</v>
      </c>
      <c r="O581" s="1655" t="s">
        <v>42</v>
      </c>
      <c r="P581" s="1655" t="s">
        <v>42</v>
      </c>
      <c r="Q581" s="1655" t="s">
        <v>569</v>
      </c>
      <c r="S581" s="1655" t="s">
        <v>70</v>
      </c>
      <c r="T581" s="1655" t="s">
        <v>1723</v>
      </c>
      <c r="U581" s="1655" t="s">
        <v>42</v>
      </c>
      <c r="V581" s="1655" t="s">
        <v>42</v>
      </c>
      <c r="W581" s="1655" t="s">
        <v>569</v>
      </c>
    </row>
    <row r="582" spans="1:23">
      <c r="A582" s="1655" t="s">
        <v>70</v>
      </c>
      <c r="B582" s="1655" t="s">
        <v>1724</v>
      </c>
      <c r="C582" s="1655" t="s">
        <v>42</v>
      </c>
      <c r="D582" s="1655" t="s">
        <v>42</v>
      </c>
      <c r="E582" s="1655" t="s">
        <v>569</v>
      </c>
      <c r="G582" s="1655" t="s">
        <v>70</v>
      </c>
      <c r="H582" s="1655" t="s">
        <v>1724</v>
      </c>
      <c r="I582" s="1655" t="s">
        <v>42</v>
      </c>
      <c r="J582" s="1655" t="s">
        <v>42</v>
      </c>
      <c r="K582" s="1655" t="s">
        <v>569</v>
      </c>
      <c r="M582" s="1655" t="s">
        <v>70</v>
      </c>
      <c r="N582" s="1655" t="s">
        <v>1724</v>
      </c>
      <c r="O582" s="1655" t="s">
        <v>42</v>
      </c>
      <c r="P582" s="1655" t="s">
        <v>42</v>
      </c>
      <c r="Q582" s="1655" t="s">
        <v>569</v>
      </c>
      <c r="S582" s="1655" t="s">
        <v>70</v>
      </c>
      <c r="T582" s="1655" t="s">
        <v>1724</v>
      </c>
      <c r="U582" s="1655" t="s">
        <v>42</v>
      </c>
      <c r="V582" s="1655" t="s">
        <v>42</v>
      </c>
      <c r="W582" s="1655" t="s">
        <v>569</v>
      </c>
    </row>
    <row r="583" spans="1:23">
      <c r="A583" s="1655" t="s">
        <v>70</v>
      </c>
      <c r="B583" s="1655" t="s">
        <v>1725</v>
      </c>
      <c r="C583" s="1655" t="s">
        <v>42</v>
      </c>
      <c r="D583" s="1655" t="s">
        <v>42</v>
      </c>
      <c r="E583" s="1655" t="s">
        <v>569</v>
      </c>
      <c r="G583" s="1655" t="s">
        <v>70</v>
      </c>
      <c r="H583" s="1655" t="s">
        <v>1725</v>
      </c>
      <c r="I583" s="1655" t="s">
        <v>42</v>
      </c>
      <c r="J583" s="1655" t="s">
        <v>42</v>
      </c>
      <c r="K583" s="1655" t="s">
        <v>569</v>
      </c>
      <c r="M583" s="1655" t="s">
        <v>70</v>
      </c>
      <c r="N583" s="1655" t="s">
        <v>1725</v>
      </c>
      <c r="O583" s="1655" t="s">
        <v>42</v>
      </c>
      <c r="P583" s="1655" t="s">
        <v>42</v>
      </c>
      <c r="Q583" s="1655" t="s">
        <v>569</v>
      </c>
      <c r="S583" s="1655" t="s">
        <v>70</v>
      </c>
      <c r="T583" s="1655" t="s">
        <v>1725</v>
      </c>
      <c r="U583" s="1655" t="s">
        <v>42</v>
      </c>
      <c r="V583" s="1655" t="s">
        <v>42</v>
      </c>
      <c r="W583" s="1655" t="s">
        <v>569</v>
      </c>
    </row>
    <row r="584" spans="1:23">
      <c r="A584" s="1655" t="s">
        <v>70</v>
      </c>
      <c r="B584" s="1655" t="s">
        <v>1726</v>
      </c>
      <c r="C584" s="1655" t="s">
        <v>42</v>
      </c>
      <c r="D584" s="1655" t="s">
        <v>42</v>
      </c>
      <c r="E584" s="1655" t="s">
        <v>569</v>
      </c>
      <c r="G584" s="1655" t="s">
        <v>70</v>
      </c>
      <c r="H584" s="1655" t="s">
        <v>1726</v>
      </c>
      <c r="I584" s="1655" t="s">
        <v>42</v>
      </c>
      <c r="J584" s="1655" t="s">
        <v>42</v>
      </c>
      <c r="K584" s="1655" t="s">
        <v>569</v>
      </c>
      <c r="M584" s="1655" t="s">
        <v>70</v>
      </c>
      <c r="N584" s="1655" t="s">
        <v>1726</v>
      </c>
      <c r="O584" s="1655" t="s">
        <v>42</v>
      </c>
      <c r="P584" s="1655" t="s">
        <v>42</v>
      </c>
      <c r="Q584" s="1655" t="s">
        <v>569</v>
      </c>
      <c r="S584" s="1655" t="s">
        <v>70</v>
      </c>
      <c r="T584" s="1655" t="s">
        <v>1726</v>
      </c>
      <c r="U584" s="1655" t="s">
        <v>42</v>
      </c>
      <c r="V584" s="1655" t="s">
        <v>42</v>
      </c>
      <c r="W584" s="1655" t="s">
        <v>569</v>
      </c>
    </row>
    <row r="585" spans="1:23">
      <c r="A585" s="1655" t="s">
        <v>70</v>
      </c>
      <c r="B585" s="1655" t="s">
        <v>1727</v>
      </c>
      <c r="C585" s="1655" t="s">
        <v>42</v>
      </c>
      <c r="D585" s="1655" t="s">
        <v>42</v>
      </c>
      <c r="E585" s="1655" t="s">
        <v>569</v>
      </c>
      <c r="G585" s="1655" t="s">
        <v>70</v>
      </c>
      <c r="H585" s="1655" t="s">
        <v>1727</v>
      </c>
      <c r="I585" s="1655" t="s">
        <v>42</v>
      </c>
      <c r="J585" s="1655" t="s">
        <v>42</v>
      </c>
      <c r="K585" s="1655" t="s">
        <v>569</v>
      </c>
      <c r="M585" s="1655" t="s">
        <v>70</v>
      </c>
      <c r="N585" s="1655" t="s">
        <v>1727</v>
      </c>
      <c r="O585" s="1655" t="s">
        <v>42</v>
      </c>
      <c r="P585" s="1655" t="s">
        <v>42</v>
      </c>
      <c r="Q585" s="1655" t="s">
        <v>569</v>
      </c>
      <c r="S585" s="1655" t="s">
        <v>70</v>
      </c>
      <c r="T585" s="1655" t="s">
        <v>1727</v>
      </c>
      <c r="U585" s="1655" t="s">
        <v>42</v>
      </c>
      <c r="V585" s="1655" t="s">
        <v>42</v>
      </c>
      <c r="W585" s="1655" t="s">
        <v>569</v>
      </c>
    </row>
    <row r="586" spans="1:23">
      <c r="A586" s="1655" t="s">
        <v>70</v>
      </c>
      <c r="B586" s="1655" t="s">
        <v>1728</v>
      </c>
      <c r="C586" s="1655" t="s">
        <v>42</v>
      </c>
      <c r="D586" s="1655" t="s">
        <v>42</v>
      </c>
      <c r="E586" s="1655" t="s">
        <v>569</v>
      </c>
      <c r="G586" s="1655" t="s">
        <v>70</v>
      </c>
      <c r="H586" s="1655" t="s">
        <v>1728</v>
      </c>
      <c r="I586" s="1655" t="s">
        <v>42</v>
      </c>
      <c r="J586" s="1655" t="s">
        <v>42</v>
      </c>
      <c r="K586" s="1655" t="s">
        <v>569</v>
      </c>
      <c r="M586" s="1655" t="s">
        <v>70</v>
      </c>
      <c r="N586" s="1655" t="s">
        <v>1728</v>
      </c>
      <c r="O586" s="1655" t="s">
        <v>42</v>
      </c>
      <c r="P586" s="1655" t="s">
        <v>42</v>
      </c>
      <c r="Q586" s="1655" t="s">
        <v>569</v>
      </c>
      <c r="S586" s="1655" t="s">
        <v>70</v>
      </c>
      <c r="T586" s="1655" t="s">
        <v>1728</v>
      </c>
      <c r="U586" s="1655" t="s">
        <v>42</v>
      </c>
      <c r="V586" s="1655" t="s">
        <v>42</v>
      </c>
      <c r="W586" s="1655" t="s">
        <v>569</v>
      </c>
    </row>
    <row r="587" spans="1:23">
      <c r="A587" s="1655" t="s">
        <v>70</v>
      </c>
      <c r="B587" s="1655" t="s">
        <v>1729</v>
      </c>
      <c r="C587" s="1655" t="s">
        <v>42</v>
      </c>
      <c r="D587" s="1655" t="s">
        <v>42</v>
      </c>
      <c r="E587" s="1655" t="s">
        <v>569</v>
      </c>
      <c r="G587" s="1655" t="s">
        <v>70</v>
      </c>
      <c r="H587" s="1655" t="s">
        <v>1729</v>
      </c>
      <c r="I587" s="1655" t="s">
        <v>42</v>
      </c>
      <c r="J587" s="1655" t="s">
        <v>42</v>
      </c>
      <c r="K587" s="1655" t="s">
        <v>569</v>
      </c>
      <c r="M587" s="1655" t="s">
        <v>70</v>
      </c>
      <c r="N587" s="1655" t="s">
        <v>1729</v>
      </c>
      <c r="O587" s="1655" t="s">
        <v>42</v>
      </c>
      <c r="P587" s="1655" t="s">
        <v>42</v>
      </c>
      <c r="Q587" s="1655" t="s">
        <v>569</v>
      </c>
      <c r="S587" s="1655" t="s">
        <v>70</v>
      </c>
      <c r="T587" s="1655" t="s">
        <v>1729</v>
      </c>
      <c r="U587" s="1655" t="s">
        <v>42</v>
      </c>
      <c r="V587" s="1655" t="s">
        <v>42</v>
      </c>
      <c r="W587" s="1655" t="s">
        <v>569</v>
      </c>
    </row>
    <row r="588" spans="1:23">
      <c r="A588" s="1655" t="s">
        <v>70</v>
      </c>
      <c r="B588" s="1655" t="s">
        <v>1730</v>
      </c>
      <c r="C588" s="1655" t="s">
        <v>42</v>
      </c>
      <c r="D588" s="1655" t="s">
        <v>42</v>
      </c>
      <c r="E588" s="1655" t="s">
        <v>569</v>
      </c>
      <c r="G588" s="1655" t="s">
        <v>70</v>
      </c>
      <c r="H588" s="1655" t="s">
        <v>1730</v>
      </c>
      <c r="I588" s="1655" t="s">
        <v>42</v>
      </c>
      <c r="J588" s="1655" t="s">
        <v>42</v>
      </c>
      <c r="K588" s="1655" t="s">
        <v>569</v>
      </c>
      <c r="M588" s="1655" t="s">
        <v>70</v>
      </c>
      <c r="N588" s="1655" t="s">
        <v>1730</v>
      </c>
      <c r="O588" s="1655" t="s">
        <v>42</v>
      </c>
      <c r="P588" s="1655" t="s">
        <v>42</v>
      </c>
      <c r="Q588" s="1655" t="s">
        <v>569</v>
      </c>
      <c r="S588" s="1655" t="s">
        <v>70</v>
      </c>
      <c r="T588" s="1655" t="s">
        <v>1730</v>
      </c>
      <c r="U588" s="1655" t="s">
        <v>42</v>
      </c>
      <c r="V588" s="1655" t="s">
        <v>42</v>
      </c>
      <c r="W588" s="1655" t="s">
        <v>569</v>
      </c>
    </row>
    <row r="589" spans="1:23">
      <c r="A589" s="1655" t="s">
        <v>70</v>
      </c>
      <c r="B589" s="1655" t="s">
        <v>1731</v>
      </c>
      <c r="C589" s="1655" t="s">
        <v>42</v>
      </c>
      <c r="D589" s="1655" t="s">
        <v>42</v>
      </c>
      <c r="E589" s="1655" t="s">
        <v>569</v>
      </c>
      <c r="G589" s="1655" t="s">
        <v>70</v>
      </c>
      <c r="H589" s="1655" t="s">
        <v>1731</v>
      </c>
      <c r="I589" s="1655" t="s">
        <v>42</v>
      </c>
      <c r="J589" s="1655" t="s">
        <v>42</v>
      </c>
      <c r="K589" s="1655" t="s">
        <v>569</v>
      </c>
      <c r="M589" s="1655" t="s">
        <v>70</v>
      </c>
      <c r="N589" s="1655" t="s">
        <v>1731</v>
      </c>
      <c r="O589" s="1655" t="s">
        <v>42</v>
      </c>
      <c r="P589" s="1655" t="s">
        <v>42</v>
      </c>
      <c r="Q589" s="1655" t="s">
        <v>569</v>
      </c>
      <c r="S589" s="1655" t="s">
        <v>70</v>
      </c>
      <c r="T589" s="1655" t="s">
        <v>1731</v>
      </c>
      <c r="U589" s="1655" t="s">
        <v>42</v>
      </c>
      <c r="V589" s="1655" t="s">
        <v>42</v>
      </c>
      <c r="W589" s="1655" t="s">
        <v>569</v>
      </c>
    </row>
    <row r="590" spans="1:23">
      <c r="A590" s="1655" t="s">
        <v>70</v>
      </c>
      <c r="B590" s="1655" t="s">
        <v>1732</v>
      </c>
      <c r="C590" s="1655" t="s">
        <v>42</v>
      </c>
      <c r="D590" s="1655" t="s">
        <v>42</v>
      </c>
      <c r="E590" s="1655" t="s">
        <v>569</v>
      </c>
      <c r="G590" s="1655" t="s">
        <v>70</v>
      </c>
      <c r="H590" s="1655" t="s">
        <v>1732</v>
      </c>
      <c r="I590" s="1655" t="s">
        <v>42</v>
      </c>
      <c r="J590" s="1655" t="s">
        <v>42</v>
      </c>
      <c r="K590" s="1655" t="s">
        <v>569</v>
      </c>
      <c r="M590" s="1655" t="s">
        <v>70</v>
      </c>
      <c r="N590" s="1655" t="s">
        <v>1732</v>
      </c>
      <c r="O590" s="1655" t="s">
        <v>42</v>
      </c>
      <c r="P590" s="1655" t="s">
        <v>42</v>
      </c>
      <c r="Q590" s="1655" t="s">
        <v>569</v>
      </c>
      <c r="S590" s="1655" t="s">
        <v>70</v>
      </c>
      <c r="T590" s="1655" t="s">
        <v>1732</v>
      </c>
      <c r="U590" s="1655" t="s">
        <v>42</v>
      </c>
      <c r="V590" s="1655" t="s">
        <v>42</v>
      </c>
      <c r="W590" s="1655" t="s">
        <v>569</v>
      </c>
    </row>
    <row r="591" spans="1:23">
      <c r="A591" s="1655" t="s">
        <v>70</v>
      </c>
      <c r="B591" s="1655" t="s">
        <v>1733</v>
      </c>
      <c r="C591" s="1655" t="s">
        <v>42</v>
      </c>
      <c r="D591" s="1655" t="s">
        <v>42</v>
      </c>
      <c r="E591" s="1655" t="s">
        <v>569</v>
      </c>
      <c r="G591" s="1655" t="s">
        <v>70</v>
      </c>
      <c r="H591" s="1655" t="s">
        <v>1733</v>
      </c>
      <c r="I591" s="1655" t="s">
        <v>42</v>
      </c>
      <c r="J591" s="1655" t="s">
        <v>42</v>
      </c>
      <c r="K591" s="1655" t="s">
        <v>569</v>
      </c>
      <c r="M591" s="1655" t="s">
        <v>70</v>
      </c>
      <c r="N591" s="1655" t="s">
        <v>1733</v>
      </c>
      <c r="O591" s="1655" t="s">
        <v>42</v>
      </c>
      <c r="P591" s="1655" t="s">
        <v>42</v>
      </c>
      <c r="Q591" s="1655" t="s">
        <v>569</v>
      </c>
      <c r="S591" s="1655" t="s">
        <v>70</v>
      </c>
      <c r="T591" s="1655" t="s">
        <v>1733</v>
      </c>
      <c r="U591" s="1655" t="s">
        <v>42</v>
      </c>
      <c r="V591" s="1655" t="s">
        <v>42</v>
      </c>
      <c r="W591" s="1655" t="s">
        <v>569</v>
      </c>
    </row>
    <row r="592" spans="1:23">
      <c r="A592" s="1655" t="s">
        <v>70</v>
      </c>
      <c r="B592" s="1655" t="s">
        <v>1734</v>
      </c>
      <c r="C592" s="1655" t="s">
        <v>42</v>
      </c>
      <c r="D592" s="1655" t="s">
        <v>42</v>
      </c>
      <c r="E592" s="1655" t="s">
        <v>569</v>
      </c>
      <c r="G592" s="1655" t="s">
        <v>70</v>
      </c>
      <c r="H592" s="1655" t="s">
        <v>1734</v>
      </c>
      <c r="I592" s="1655" t="s">
        <v>42</v>
      </c>
      <c r="J592" s="1655" t="s">
        <v>42</v>
      </c>
      <c r="K592" s="1655" t="s">
        <v>569</v>
      </c>
      <c r="M592" s="1655" t="s">
        <v>70</v>
      </c>
      <c r="N592" s="1655" t="s">
        <v>1734</v>
      </c>
      <c r="O592" s="1655" t="s">
        <v>42</v>
      </c>
      <c r="P592" s="1655" t="s">
        <v>42</v>
      </c>
      <c r="Q592" s="1655" t="s">
        <v>569</v>
      </c>
      <c r="S592" s="1655" t="s">
        <v>70</v>
      </c>
      <c r="T592" s="1655" t="s">
        <v>1734</v>
      </c>
      <c r="U592" s="1655" t="s">
        <v>42</v>
      </c>
      <c r="V592" s="1655" t="s">
        <v>42</v>
      </c>
      <c r="W592" s="1655" t="s">
        <v>569</v>
      </c>
    </row>
    <row r="593" spans="1:23">
      <c r="A593" s="1655" t="s">
        <v>70</v>
      </c>
      <c r="B593" s="1655" t="s">
        <v>1735</v>
      </c>
      <c r="C593" s="1655" t="s">
        <v>42</v>
      </c>
      <c r="D593" s="1655" t="s">
        <v>42</v>
      </c>
      <c r="E593" s="1655" t="s">
        <v>569</v>
      </c>
      <c r="G593" s="1655" t="s">
        <v>70</v>
      </c>
      <c r="H593" s="1655" t="s">
        <v>1735</v>
      </c>
      <c r="I593" s="1655" t="s">
        <v>42</v>
      </c>
      <c r="J593" s="1655" t="s">
        <v>42</v>
      </c>
      <c r="K593" s="1655" t="s">
        <v>569</v>
      </c>
      <c r="M593" s="1655" t="s">
        <v>70</v>
      </c>
      <c r="N593" s="1655" t="s">
        <v>1735</v>
      </c>
      <c r="O593" s="1655" t="s">
        <v>42</v>
      </c>
      <c r="P593" s="1655" t="s">
        <v>42</v>
      </c>
      <c r="Q593" s="1655" t="s">
        <v>569</v>
      </c>
      <c r="S593" s="1655" t="s">
        <v>70</v>
      </c>
      <c r="T593" s="1655" t="s">
        <v>1735</v>
      </c>
      <c r="U593" s="1655" t="s">
        <v>42</v>
      </c>
      <c r="V593" s="1655" t="s">
        <v>42</v>
      </c>
      <c r="W593" s="1655" t="s">
        <v>569</v>
      </c>
    </row>
    <row r="594" spans="1:23">
      <c r="A594" s="1655" t="s">
        <v>70</v>
      </c>
      <c r="B594" s="1655" t="s">
        <v>1736</v>
      </c>
      <c r="C594" s="1655" t="s">
        <v>42</v>
      </c>
      <c r="D594" s="1655" t="s">
        <v>42</v>
      </c>
      <c r="E594" s="1655" t="s">
        <v>569</v>
      </c>
      <c r="G594" s="1655" t="s">
        <v>70</v>
      </c>
      <c r="H594" s="1655" t="s">
        <v>1736</v>
      </c>
      <c r="I594" s="1655" t="s">
        <v>42</v>
      </c>
      <c r="J594" s="1655" t="s">
        <v>42</v>
      </c>
      <c r="K594" s="1655" t="s">
        <v>569</v>
      </c>
      <c r="M594" s="1655" t="s">
        <v>70</v>
      </c>
      <c r="N594" s="1655" t="s">
        <v>1736</v>
      </c>
      <c r="O594" s="1655" t="s">
        <v>42</v>
      </c>
      <c r="P594" s="1655" t="s">
        <v>42</v>
      </c>
      <c r="Q594" s="1655" t="s">
        <v>569</v>
      </c>
      <c r="S594" s="1655" t="s">
        <v>70</v>
      </c>
      <c r="T594" s="1655" t="s">
        <v>1736</v>
      </c>
      <c r="U594" s="1655" t="s">
        <v>42</v>
      </c>
      <c r="V594" s="1655" t="s">
        <v>42</v>
      </c>
      <c r="W594" s="1655" t="s">
        <v>569</v>
      </c>
    </row>
    <row r="595" spans="1:23">
      <c r="A595" s="1655" t="s">
        <v>70</v>
      </c>
      <c r="B595" s="1655" t="s">
        <v>1737</v>
      </c>
      <c r="C595" s="1655" t="s">
        <v>42</v>
      </c>
      <c r="D595" s="1655" t="s">
        <v>42</v>
      </c>
      <c r="E595" s="1655" t="s">
        <v>569</v>
      </c>
      <c r="G595" s="1655" t="s">
        <v>70</v>
      </c>
      <c r="H595" s="1655" t="s">
        <v>1737</v>
      </c>
      <c r="I595" s="1655" t="s">
        <v>42</v>
      </c>
      <c r="J595" s="1655" t="s">
        <v>42</v>
      </c>
      <c r="K595" s="1655" t="s">
        <v>569</v>
      </c>
      <c r="M595" s="1655" t="s">
        <v>70</v>
      </c>
      <c r="N595" s="1655" t="s">
        <v>1737</v>
      </c>
      <c r="O595" s="1655" t="s">
        <v>42</v>
      </c>
      <c r="P595" s="1655" t="s">
        <v>42</v>
      </c>
      <c r="Q595" s="1655" t="s">
        <v>569</v>
      </c>
      <c r="S595" s="1655" t="s">
        <v>70</v>
      </c>
      <c r="T595" s="1655" t="s">
        <v>1737</v>
      </c>
      <c r="U595" s="1655" t="s">
        <v>42</v>
      </c>
      <c r="V595" s="1655" t="s">
        <v>42</v>
      </c>
      <c r="W595" s="1655" t="s">
        <v>569</v>
      </c>
    </row>
    <row r="596" spans="1:23">
      <c r="A596" s="1655" t="s">
        <v>70</v>
      </c>
      <c r="B596" s="1655" t="s">
        <v>1738</v>
      </c>
      <c r="C596" s="1655" t="s">
        <v>42</v>
      </c>
      <c r="D596" s="1655" t="s">
        <v>42</v>
      </c>
      <c r="E596" s="1655" t="s">
        <v>569</v>
      </c>
      <c r="G596" s="1655" t="s">
        <v>70</v>
      </c>
      <c r="H596" s="1655" t="s">
        <v>1738</v>
      </c>
      <c r="I596" s="1655" t="s">
        <v>42</v>
      </c>
      <c r="J596" s="1655" t="s">
        <v>42</v>
      </c>
      <c r="K596" s="1655" t="s">
        <v>569</v>
      </c>
      <c r="M596" s="1655" t="s">
        <v>70</v>
      </c>
      <c r="N596" s="1655" t="s">
        <v>1738</v>
      </c>
      <c r="O596" s="1655" t="s">
        <v>42</v>
      </c>
      <c r="P596" s="1655" t="s">
        <v>42</v>
      </c>
      <c r="Q596" s="1655" t="s">
        <v>569</v>
      </c>
      <c r="S596" s="1655" t="s">
        <v>70</v>
      </c>
      <c r="T596" s="1655" t="s">
        <v>1738</v>
      </c>
      <c r="U596" s="1655" t="s">
        <v>42</v>
      </c>
      <c r="V596" s="1655" t="s">
        <v>42</v>
      </c>
      <c r="W596" s="1655" t="s">
        <v>569</v>
      </c>
    </row>
    <row r="597" spans="1:23">
      <c r="A597" s="1655" t="s">
        <v>70</v>
      </c>
      <c r="B597" s="1655" t="s">
        <v>1739</v>
      </c>
      <c r="C597" s="1655" t="s">
        <v>42</v>
      </c>
      <c r="D597" s="1655" t="s">
        <v>42</v>
      </c>
      <c r="E597" s="1655" t="s">
        <v>569</v>
      </c>
      <c r="G597" s="1655" t="s">
        <v>70</v>
      </c>
      <c r="H597" s="1655" t="s">
        <v>1739</v>
      </c>
      <c r="I597" s="1655" t="s">
        <v>42</v>
      </c>
      <c r="J597" s="1655" t="s">
        <v>42</v>
      </c>
      <c r="K597" s="1655" t="s">
        <v>569</v>
      </c>
      <c r="M597" s="1655" t="s">
        <v>70</v>
      </c>
      <c r="N597" s="1655" t="s">
        <v>1739</v>
      </c>
      <c r="O597" s="1655" t="s">
        <v>42</v>
      </c>
      <c r="P597" s="1655" t="s">
        <v>42</v>
      </c>
      <c r="Q597" s="1655" t="s">
        <v>569</v>
      </c>
      <c r="S597" s="1655" t="s">
        <v>70</v>
      </c>
      <c r="T597" s="1655" t="s">
        <v>1739</v>
      </c>
      <c r="U597" s="1655" t="s">
        <v>42</v>
      </c>
      <c r="V597" s="1655" t="s">
        <v>42</v>
      </c>
      <c r="W597" s="1655" t="s">
        <v>569</v>
      </c>
    </row>
    <row r="598" spans="1:23">
      <c r="A598" s="1655" t="s">
        <v>70</v>
      </c>
      <c r="B598" s="1655" t="s">
        <v>1740</v>
      </c>
      <c r="C598" s="1655" t="s">
        <v>2306</v>
      </c>
      <c r="D598" s="1655" t="s">
        <v>42</v>
      </c>
      <c r="E598" s="1655" t="s">
        <v>569</v>
      </c>
      <c r="G598" s="1655" t="s">
        <v>70</v>
      </c>
      <c r="H598" s="1655" t="s">
        <v>1740</v>
      </c>
      <c r="I598" s="1655" t="s">
        <v>42</v>
      </c>
      <c r="J598" s="1655" t="s">
        <v>42</v>
      </c>
      <c r="K598" s="1655" t="s">
        <v>569</v>
      </c>
      <c r="M598" s="1655" t="s">
        <v>70</v>
      </c>
      <c r="N598" s="1655" t="s">
        <v>1740</v>
      </c>
      <c r="O598" s="1655" t="s">
        <v>42</v>
      </c>
      <c r="P598" s="1655" t="s">
        <v>42</v>
      </c>
      <c r="Q598" s="1655" t="s">
        <v>569</v>
      </c>
      <c r="S598" s="1655" t="s">
        <v>70</v>
      </c>
      <c r="T598" s="1655" t="s">
        <v>1740</v>
      </c>
      <c r="U598" s="1655" t="s">
        <v>42</v>
      </c>
      <c r="V598" s="1655" t="s">
        <v>42</v>
      </c>
      <c r="W598" s="1655" t="s">
        <v>569</v>
      </c>
    </row>
    <row r="599" spans="1:23">
      <c r="A599" s="1655" t="s">
        <v>70</v>
      </c>
      <c r="B599" s="1655" t="s">
        <v>1741</v>
      </c>
      <c r="C599" s="1655" t="s">
        <v>2306</v>
      </c>
      <c r="D599" s="1655" t="s">
        <v>42</v>
      </c>
      <c r="E599" s="1655" t="s">
        <v>569</v>
      </c>
      <c r="G599" s="1655" t="s">
        <v>70</v>
      </c>
      <c r="H599" s="1655" t="s">
        <v>1741</v>
      </c>
      <c r="I599" s="1655" t="s">
        <v>42</v>
      </c>
      <c r="J599" s="1655" t="s">
        <v>42</v>
      </c>
      <c r="K599" s="1655" t="s">
        <v>569</v>
      </c>
      <c r="M599" s="1655" t="s">
        <v>70</v>
      </c>
      <c r="N599" s="1655" t="s">
        <v>1741</v>
      </c>
      <c r="O599" s="1655" t="s">
        <v>42</v>
      </c>
      <c r="P599" s="1655" t="s">
        <v>42</v>
      </c>
      <c r="Q599" s="1655" t="s">
        <v>569</v>
      </c>
      <c r="S599" s="1655" t="s">
        <v>70</v>
      </c>
      <c r="T599" s="1655" t="s">
        <v>1741</v>
      </c>
      <c r="U599" s="1655" t="s">
        <v>42</v>
      </c>
      <c r="V599" s="1655" t="s">
        <v>42</v>
      </c>
      <c r="W599" s="1655" t="s">
        <v>569</v>
      </c>
    </row>
    <row r="600" spans="1:23">
      <c r="A600" s="1655" t="s">
        <v>70</v>
      </c>
      <c r="B600" s="1655" t="s">
        <v>1742</v>
      </c>
      <c r="C600" s="1655" t="s">
        <v>42</v>
      </c>
      <c r="D600" s="1655" t="s">
        <v>42</v>
      </c>
      <c r="E600" s="1655" t="s">
        <v>569</v>
      </c>
      <c r="G600" s="1655" t="s">
        <v>70</v>
      </c>
      <c r="H600" s="1655" t="s">
        <v>1742</v>
      </c>
      <c r="I600" s="1655" t="s">
        <v>42</v>
      </c>
      <c r="J600" s="1655" t="s">
        <v>42</v>
      </c>
      <c r="K600" s="1655" t="s">
        <v>569</v>
      </c>
      <c r="M600" s="1655" t="s">
        <v>70</v>
      </c>
      <c r="N600" s="1655" t="s">
        <v>1742</v>
      </c>
      <c r="O600" s="1655" t="s">
        <v>42</v>
      </c>
      <c r="P600" s="1655" t="s">
        <v>42</v>
      </c>
      <c r="Q600" s="1655" t="s">
        <v>569</v>
      </c>
      <c r="S600" s="1655" t="s">
        <v>70</v>
      </c>
      <c r="T600" s="1655" t="s">
        <v>1742</v>
      </c>
      <c r="U600" s="1655" t="s">
        <v>42</v>
      </c>
      <c r="V600" s="1655" t="s">
        <v>42</v>
      </c>
      <c r="W600" s="1655" t="s">
        <v>569</v>
      </c>
    </row>
    <row r="601" spans="1:23">
      <c r="A601" s="1655" t="s">
        <v>70</v>
      </c>
      <c r="B601" s="1655" t="s">
        <v>1743</v>
      </c>
      <c r="C601" s="1655" t="s">
        <v>42</v>
      </c>
      <c r="D601" s="1655" t="s">
        <v>42</v>
      </c>
      <c r="E601" s="1655" t="s">
        <v>569</v>
      </c>
      <c r="G601" s="1655" t="s">
        <v>70</v>
      </c>
      <c r="H601" s="1655" t="s">
        <v>1743</v>
      </c>
      <c r="I601" s="1655" t="s">
        <v>42</v>
      </c>
      <c r="J601" s="1655" t="s">
        <v>42</v>
      </c>
      <c r="K601" s="1655" t="s">
        <v>569</v>
      </c>
      <c r="M601" s="1655" t="s">
        <v>70</v>
      </c>
      <c r="N601" s="1655" t="s">
        <v>1743</v>
      </c>
      <c r="O601" s="1655" t="s">
        <v>42</v>
      </c>
      <c r="P601" s="1655" t="s">
        <v>42</v>
      </c>
      <c r="Q601" s="1655" t="s">
        <v>569</v>
      </c>
      <c r="S601" s="1655" t="s">
        <v>70</v>
      </c>
      <c r="T601" s="1655" t="s">
        <v>1743</v>
      </c>
      <c r="U601" s="1655" t="s">
        <v>42</v>
      </c>
      <c r="V601" s="1655" t="s">
        <v>42</v>
      </c>
      <c r="W601" s="1655" t="s">
        <v>569</v>
      </c>
    </row>
    <row r="602" spans="1:23">
      <c r="A602" s="1655" t="s">
        <v>70</v>
      </c>
      <c r="B602" s="1655" t="s">
        <v>1744</v>
      </c>
      <c r="C602" s="1655" t="s">
        <v>42</v>
      </c>
      <c r="D602" s="1655" t="s">
        <v>42</v>
      </c>
      <c r="E602" s="1655" t="s">
        <v>569</v>
      </c>
      <c r="G602" s="1655" t="s">
        <v>70</v>
      </c>
      <c r="H602" s="1655" t="s">
        <v>1744</v>
      </c>
      <c r="I602" s="1655" t="s">
        <v>42</v>
      </c>
      <c r="J602" s="1655" t="s">
        <v>42</v>
      </c>
      <c r="K602" s="1655" t="s">
        <v>569</v>
      </c>
      <c r="M602" s="1655" t="s">
        <v>70</v>
      </c>
      <c r="N602" s="1655" t="s">
        <v>1744</v>
      </c>
      <c r="O602" s="1655" t="s">
        <v>42</v>
      </c>
      <c r="P602" s="1655" t="s">
        <v>42</v>
      </c>
      <c r="Q602" s="1655" t="s">
        <v>569</v>
      </c>
      <c r="S602" s="1655" t="s">
        <v>70</v>
      </c>
      <c r="T602" s="1655" t="s">
        <v>1744</v>
      </c>
      <c r="U602" s="1655" t="s">
        <v>42</v>
      </c>
      <c r="V602" s="1655" t="s">
        <v>42</v>
      </c>
      <c r="W602" s="1655" t="s">
        <v>569</v>
      </c>
    </row>
    <row r="603" spans="1:23">
      <c r="A603" s="1655" t="s">
        <v>70</v>
      </c>
      <c r="B603" s="1655" t="s">
        <v>1745</v>
      </c>
      <c r="C603" s="1655" t="s">
        <v>42</v>
      </c>
      <c r="D603" s="1655" t="s">
        <v>42</v>
      </c>
      <c r="E603" s="1655" t="s">
        <v>569</v>
      </c>
      <c r="G603" s="1655" t="s">
        <v>70</v>
      </c>
      <c r="H603" s="1655" t="s">
        <v>1745</v>
      </c>
      <c r="I603" s="1655" t="s">
        <v>42</v>
      </c>
      <c r="J603" s="1655" t="s">
        <v>42</v>
      </c>
      <c r="K603" s="1655" t="s">
        <v>569</v>
      </c>
      <c r="M603" s="1655" t="s">
        <v>70</v>
      </c>
      <c r="N603" s="1655" t="s">
        <v>1745</v>
      </c>
      <c r="O603" s="1655" t="s">
        <v>42</v>
      </c>
      <c r="P603" s="1655" t="s">
        <v>42</v>
      </c>
      <c r="Q603" s="1655" t="s">
        <v>569</v>
      </c>
      <c r="S603" s="1655" t="s">
        <v>70</v>
      </c>
      <c r="T603" s="1655" t="s">
        <v>1745</v>
      </c>
      <c r="U603" s="1655" t="s">
        <v>42</v>
      </c>
      <c r="V603" s="1655" t="s">
        <v>42</v>
      </c>
      <c r="W603" s="1655" t="s">
        <v>569</v>
      </c>
    </row>
    <row r="604" spans="1:23">
      <c r="A604" s="1655" t="s">
        <v>70</v>
      </c>
      <c r="B604" s="1655" t="s">
        <v>1227</v>
      </c>
      <c r="C604" s="1655" t="s">
        <v>395</v>
      </c>
      <c r="D604" s="1655" t="s">
        <v>42</v>
      </c>
      <c r="E604" s="1655" t="s">
        <v>569</v>
      </c>
      <c r="G604" s="1655" t="s">
        <v>70</v>
      </c>
      <c r="H604" s="1655" t="s">
        <v>1227</v>
      </c>
      <c r="I604" s="1655" t="s">
        <v>395</v>
      </c>
      <c r="J604" s="1655" t="s">
        <v>42</v>
      </c>
      <c r="K604" s="1655" t="s">
        <v>569</v>
      </c>
      <c r="M604" s="1655" t="s">
        <v>70</v>
      </c>
      <c r="N604" s="1655" t="s">
        <v>1227</v>
      </c>
      <c r="O604" s="1655" t="s">
        <v>395</v>
      </c>
      <c r="P604" s="1655" t="s">
        <v>42</v>
      </c>
      <c r="Q604" s="1655" t="s">
        <v>569</v>
      </c>
      <c r="S604" s="1655" t="s">
        <v>70</v>
      </c>
      <c r="T604" s="1655" t="s">
        <v>1227</v>
      </c>
      <c r="U604" s="1655" t="s">
        <v>402</v>
      </c>
      <c r="V604" s="1655" t="s">
        <v>42</v>
      </c>
      <c r="W604" s="1655" t="s">
        <v>569</v>
      </c>
    </row>
    <row r="605" spans="1:23">
      <c r="A605" s="1655" t="s">
        <v>70</v>
      </c>
      <c r="B605" s="1655" t="s">
        <v>1228</v>
      </c>
      <c r="C605" s="1655" t="s">
        <v>395</v>
      </c>
      <c r="D605" s="1655" t="s">
        <v>42</v>
      </c>
      <c r="E605" s="1655" t="s">
        <v>569</v>
      </c>
      <c r="G605" s="1655" t="s">
        <v>70</v>
      </c>
      <c r="H605" s="1655" t="s">
        <v>1228</v>
      </c>
      <c r="I605" s="1655" t="s">
        <v>395</v>
      </c>
      <c r="J605" s="1655" t="s">
        <v>42</v>
      </c>
      <c r="K605" s="1655" t="s">
        <v>569</v>
      </c>
      <c r="M605" s="1655" t="s">
        <v>70</v>
      </c>
      <c r="N605" s="1655" t="s">
        <v>1228</v>
      </c>
      <c r="O605" s="1655" t="s">
        <v>395</v>
      </c>
      <c r="P605" s="1655" t="s">
        <v>42</v>
      </c>
      <c r="Q605" s="1655" t="s">
        <v>569</v>
      </c>
      <c r="S605" s="1655" t="s">
        <v>70</v>
      </c>
      <c r="T605" s="1655" t="s">
        <v>1228</v>
      </c>
      <c r="U605" s="1655" t="s">
        <v>402</v>
      </c>
      <c r="V605" s="1655" t="s">
        <v>42</v>
      </c>
      <c r="W605" s="1655" t="s">
        <v>569</v>
      </c>
    </row>
    <row r="606" spans="1:23">
      <c r="A606" s="1655" t="s">
        <v>70</v>
      </c>
      <c r="B606" s="1655" t="s">
        <v>1229</v>
      </c>
      <c r="C606" s="1655" t="s">
        <v>395</v>
      </c>
      <c r="D606" s="1655" t="s">
        <v>42</v>
      </c>
      <c r="E606" s="1655" t="s">
        <v>569</v>
      </c>
      <c r="G606" s="1655" t="s">
        <v>70</v>
      </c>
      <c r="H606" s="1655" t="s">
        <v>1229</v>
      </c>
      <c r="I606" s="1655" t="s">
        <v>395</v>
      </c>
      <c r="J606" s="1655" t="s">
        <v>42</v>
      </c>
      <c r="K606" s="1655" t="s">
        <v>569</v>
      </c>
      <c r="M606" s="1655" t="s">
        <v>70</v>
      </c>
      <c r="N606" s="1655" t="s">
        <v>1229</v>
      </c>
      <c r="O606" s="1655" t="s">
        <v>402</v>
      </c>
      <c r="P606" s="1655" t="s">
        <v>42</v>
      </c>
      <c r="Q606" s="1655" t="s">
        <v>569</v>
      </c>
      <c r="S606" s="1655" t="s">
        <v>70</v>
      </c>
      <c r="T606" s="1655" t="s">
        <v>1229</v>
      </c>
      <c r="U606" s="1655" t="s">
        <v>402</v>
      </c>
      <c r="V606" s="1655" t="s">
        <v>42</v>
      </c>
      <c r="W606" s="1655" t="s">
        <v>569</v>
      </c>
    </row>
    <row r="607" spans="1:23">
      <c r="A607" s="1655" t="s">
        <v>70</v>
      </c>
      <c r="B607" s="1655" t="s">
        <v>1230</v>
      </c>
      <c r="C607" s="1655" t="s">
        <v>395</v>
      </c>
      <c r="D607" s="1655" t="s">
        <v>42</v>
      </c>
      <c r="E607" s="1655" t="s">
        <v>569</v>
      </c>
      <c r="G607" s="1655" t="s">
        <v>70</v>
      </c>
      <c r="H607" s="1655" t="s">
        <v>1230</v>
      </c>
      <c r="I607" s="1655" t="s">
        <v>402</v>
      </c>
      <c r="J607" s="1655" t="s">
        <v>42</v>
      </c>
      <c r="K607" s="1655" t="s">
        <v>569</v>
      </c>
      <c r="M607" s="1655" t="s">
        <v>70</v>
      </c>
      <c r="N607" s="1655" t="s">
        <v>1230</v>
      </c>
      <c r="O607" s="1655" t="s">
        <v>402</v>
      </c>
      <c r="P607" s="1655" t="s">
        <v>42</v>
      </c>
      <c r="Q607" s="1655" t="s">
        <v>569</v>
      </c>
      <c r="S607" s="1655" t="s">
        <v>70</v>
      </c>
      <c r="T607" s="1655" t="s">
        <v>1230</v>
      </c>
      <c r="U607" s="1655" t="s">
        <v>402</v>
      </c>
      <c r="V607" s="1655" t="s">
        <v>42</v>
      </c>
      <c r="W607" s="1655" t="s">
        <v>569</v>
      </c>
    </row>
    <row r="608" spans="1:23">
      <c r="A608" s="1655" t="s">
        <v>70</v>
      </c>
      <c r="B608" s="1655" t="s">
        <v>1746</v>
      </c>
      <c r="C608" s="1655" t="s">
        <v>402</v>
      </c>
      <c r="D608" s="1655" t="s">
        <v>42</v>
      </c>
      <c r="E608" s="1655" t="s">
        <v>569</v>
      </c>
      <c r="G608" s="1655" t="s">
        <v>70</v>
      </c>
      <c r="H608" s="1655" t="s">
        <v>1746</v>
      </c>
      <c r="I608" s="1655" t="s">
        <v>402</v>
      </c>
      <c r="J608" s="1655" t="s">
        <v>42</v>
      </c>
      <c r="K608" s="1655" t="s">
        <v>569</v>
      </c>
      <c r="M608" s="1655" t="s">
        <v>70</v>
      </c>
      <c r="N608" s="1655" t="s">
        <v>1746</v>
      </c>
      <c r="O608" s="1655" t="s">
        <v>402</v>
      </c>
      <c r="P608" s="1655" t="s">
        <v>42</v>
      </c>
      <c r="Q608" s="1655" t="s">
        <v>569</v>
      </c>
      <c r="S608" s="1655" t="s">
        <v>70</v>
      </c>
      <c r="T608" s="1655" t="s">
        <v>1746</v>
      </c>
      <c r="U608" s="1655" t="s">
        <v>402</v>
      </c>
      <c r="V608" s="1655" t="s">
        <v>42</v>
      </c>
      <c r="W608" s="1655" t="s">
        <v>569</v>
      </c>
    </row>
    <row r="609" spans="1:23">
      <c r="A609" s="1655" t="s">
        <v>70</v>
      </c>
      <c r="B609" s="1655" t="s">
        <v>1747</v>
      </c>
      <c r="C609" s="1655" t="s">
        <v>402</v>
      </c>
      <c r="D609" s="1655" t="s">
        <v>42</v>
      </c>
      <c r="E609" s="1655" t="s">
        <v>569</v>
      </c>
      <c r="G609" s="1655" t="s">
        <v>70</v>
      </c>
      <c r="H609" s="1655" t="s">
        <v>1747</v>
      </c>
      <c r="I609" s="1655" t="s">
        <v>402</v>
      </c>
      <c r="J609" s="1655" t="s">
        <v>42</v>
      </c>
      <c r="K609" s="1655" t="s">
        <v>569</v>
      </c>
      <c r="M609" s="1655" t="s">
        <v>70</v>
      </c>
      <c r="N609" s="1655" t="s">
        <v>1747</v>
      </c>
      <c r="O609" s="1655" t="s">
        <v>402</v>
      </c>
      <c r="P609" s="1655" t="s">
        <v>42</v>
      </c>
      <c r="Q609" s="1655" t="s">
        <v>569</v>
      </c>
      <c r="S609" s="1655" t="s">
        <v>70</v>
      </c>
      <c r="T609" s="1655" t="s">
        <v>1747</v>
      </c>
      <c r="U609" s="1655" t="s">
        <v>402</v>
      </c>
      <c r="V609" s="1655" t="s">
        <v>42</v>
      </c>
      <c r="W609" s="1655" t="s">
        <v>569</v>
      </c>
    </row>
    <row r="610" spans="1:23">
      <c r="A610" s="1655" t="s">
        <v>70</v>
      </c>
      <c r="B610" s="1655" t="s">
        <v>1748</v>
      </c>
      <c r="C610" s="1655" t="s">
        <v>402</v>
      </c>
      <c r="D610" s="1655" t="s">
        <v>42</v>
      </c>
      <c r="E610" s="1655" t="s">
        <v>569</v>
      </c>
      <c r="G610" s="1655" t="s">
        <v>70</v>
      </c>
      <c r="H610" s="1655" t="s">
        <v>1748</v>
      </c>
      <c r="I610" s="1655" t="s">
        <v>402</v>
      </c>
      <c r="J610" s="1655" t="s">
        <v>42</v>
      </c>
      <c r="K610" s="1655" t="s">
        <v>569</v>
      </c>
      <c r="M610" s="1655" t="s">
        <v>70</v>
      </c>
      <c r="N610" s="1655" t="s">
        <v>1748</v>
      </c>
      <c r="O610" s="1655" t="s">
        <v>402</v>
      </c>
      <c r="P610" s="1655" t="s">
        <v>42</v>
      </c>
      <c r="Q610" s="1655" t="s">
        <v>569</v>
      </c>
      <c r="S610" s="1655" t="s">
        <v>70</v>
      </c>
      <c r="T610" s="1655" t="s">
        <v>1748</v>
      </c>
      <c r="U610" s="1655" t="s">
        <v>402</v>
      </c>
      <c r="V610" s="1655" t="s">
        <v>42</v>
      </c>
      <c r="W610" s="1655" t="s">
        <v>569</v>
      </c>
    </row>
    <row r="611" spans="1:23">
      <c r="A611" s="1655" t="s">
        <v>70</v>
      </c>
      <c r="B611" s="1655" t="s">
        <v>1749</v>
      </c>
      <c r="C611" s="1655" t="s">
        <v>395</v>
      </c>
      <c r="D611" s="1655" t="s">
        <v>42</v>
      </c>
      <c r="E611" s="1655" t="s">
        <v>569</v>
      </c>
      <c r="G611" s="1655" t="s">
        <v>70</v>
      </c>
      <c r="H611" s="1655" t="s">
        <v>1749</v>
      </c>
      <c r="I611" s="1655" t="s">
        <v>402</v>
      </c>
      <c r="J611" s="1655" t="s">
        <v>42</v>
      </c>
      <c r="K611" s="1655" t="s">
        <v>569</v>
      </c>
      <c r="M611" s="1655" t="s">
        <v>70</v>
      </c>
      <c r="N611" s="1655" t="s">
        <v>1749</v>
      </c>
      <c r="O611" s="1655" t="s">
        <v>402</v>
      </c>
      <c r="P611" s="1655" t="s">
        <v>42</v>
      </c>
      <c r="Q611" s="1655" t="s">
        <v>569</v>
      </c>
      <c r="S611" s="1655" t="s">
        <v>70</v>
      </c>
      <c r="T611" s="1655" t="s">
        <v>1749</v>
      </c>
      <c r="U611" s="1655" t="s">
        <v>402</v>
      </c>
      <c r="V611" s="1655" t="s">
        <v>42</v>
      </c>
      <c r="W611" s="1655" t="s">
        <v>569</v>
      </c>
    </row>
    <row r="612" spans="1:23">
      <c r="A612" s="1655" t="s">
        <v>70</v>
      </c>
      <c r="B612" s="1655" t="s">
        <v>1750</v>
      </c>
      <c r="C612" s="1655" t="s">
        <v>395</v>
      </c>
      <c r="D612" s="1655" t="s">
        <v>42</v>
      </c>
      <c r="E612" s="1655" t="s">
        <v>569</v>
      </c>
      <c r="G612" s="1655" t="s">
        <v>70</v>
      </c>
      <c r="H612" s="1655" t="s">
        <v>1750</v>
      </c>
      <c r="I612" s="1655" t="s">
        <v>402</v>
      </c>
      <c r="J612" s="1655" t="s">
        <v>42</v>
      </c>
      <c r="K612" s="1655" t="s">
        <v>569</v>
      </c>
      <c r="M612" s="1655" t="s">
        <v>70</v>
      </c>
      <c r="N612" s="1655" t="s">
        <v>1750</v>
      </c>
      <c r="O612" s="1655" t="s">
        <v>402</v>
      </c>
      <c r="P612" s="1655" t="s">
        <v>42</v>
      </c>
      <c r="Q612" s="1655" t="s">
        <v>569</v>
      </c>
      <c r="S612" s="1655" t="s">
        <v>70</v>
      </c>
      <c r="T612" s="1655" t="s">
        <v>1750</v>
      </c>
      <c r="U612" s="1655" t="s">
        <v>402</v>
      </c>
      <c r="V612" s="1655" t="s">
        <v>42</v>
      </c>
      <c r="W612" s="1655" t="s">
        <v>569</v>
      </c>
    </row>
    <row r="613" spans="1:23">
      <c r="A613" s="1655" t="s">
        <v>70</v>
      </c>
      <c r="B613" s="1655" t="s">
        <v>1751</v>
      </c>
      <c r="C613" s="1655" t="s">
        <v>402</v>
      </c>
      <c r="D613" s="1655" t="s">
        <v>42</v>
      </c>
      <c r="E613" s="1655" t="s">
        <v>569</v>
      </c>
      <c r="G613" s="1655" t="s">
        <v>70</v>
      </c>
      <c r="H613" s="1655" t="s">
        <v>1751</v>
      </c>
      <c r="I613" s="1655" t="s">
        <v>402</v>
      </c>
      <c r="J613" s="1655" t="s">
        <v>42</v>
      </c>
      <c r="K613" s="1655" t="s">
        <v>569</v>
      </c>
      <c r="M613" s="1655" t="s">
        <v>70</v>
      </c>
      <c r="N613" s="1655" t="s">
        <v>1751</v>
      </c>
      <c r="O613" s="1655" t="s">
        <v>402</v>
      </c>
      <c r="P613" s="1655" t="s">
        <v>42</v>
      </c>
      <c r="Q613" s="1655" t="s">
        <v>569</v>
      </c>
      <c r="S613" s="1655" t="s">
        <v>70</v>
      </c>
      <c r="T613" s="1655" t="s">
        <v>1751</v>
      </c>
      <c r="U613" s="1655" t="s">
        <v>402</v>
      </c>
      <c r="V613" s="1655" t="s">
        <v>42</v>
      </c>
      <c r="W613" s="1655" t="s">
        <v>569</v>
      </c>
    </row>
    <row r="614" spans="1:23">
      <c r="A614" s="1655" t="s">
        <v>70</v>
      </c>
      <c r="B614" s="1655" t="s">
        <v>1752</v>
      </c>
      <c r="C614" s="1655" t="s">
        <v>402</v>
      </c>
      <c r="D614" s="1655" t="s">
        <v>42</v>
      </c>
      <c r="E614" s="1655" t="s">
        <v>569</v>
      </c>
      <c r="G614" s="1655" t="s">
        <v>70</v>
      </c>
      <c r="H614" s="1655" t="s">
        <v>1752</v>
      </c>
      <c r="I614" s="1655" t="s">
        <v>402</v>
      </c>
      <c r="J614" s="1655" t="s">
        <v>42</v>
      </c>
      <c r="K614" s="1655" t="s">
        <v>569</v>
      </c>
      <c r="M614" s="1655" t="s">
        <v>70</v>
      </c>
      <c r="N614" s="1655" t="s">
        <v>1752</v>
      </c>
      <c r="O614" s="1655" t="s">
        <v>402</v>
      </c>
      <c r="P614" s="1655" t="s">
        <v>42</v>
      </c>
      <c r="Q614" s="1655" t="s">
        <v>569</v>
      </c>
      <c r="S614" s="1655" t="s">
        <v>70</v>
      </c>
      <c r="T614" s="1655" t="s">
        <v>1752</v>
      </c>
      <c r="U614" s="1655" t="s">
        <v>402</v>
      </c>
      <c r="V614" s="1655" t="s">
        <v>42</v>
      </c>
      <c r="W614" s="1655" t="s">
        <v>569</v>
      </c>
    </row>
    <row r="615" spans="1:23">
      <c r="A615" s="1655" t="s">
        <v>70</v>
      </c>
      <c r="B615" s="1655" t="s">
        <v>1753</v>
      </c>
      <c r="C615" s="1655" t="s">
        <v>402</v>
      </c>
      <c r="D615" s="1655" t="s">
        <v>42</v>
      </c>
      <c r="E615" s="1655" t="s">
        <v>569</v>
      </c>
      <c r="G615" s="1655" t="s">
        <v>70</v>
      </c>
      <c r="H615" s="1655" t="s">
        <v>1753</v>
      </c>
      <c r="I615" s="1655" t="s">
        <v>395</v>
      </c>
      <c r="J615" s="1655" t="s">
        <v>42</v>
      </c>
      <c r="K615" s="1655" t="s">
        <v>569</v>
      </c>
      <c r="M615" s="1655" t="s">
        <v>70</v>
      </c>
      <c r="N615" s="1655" t="s">
        <v>1753</v>
      </c>
      <c r="O615" s="1655" t="s">
        <v>395</v>
      </c>
      <c r="P615" s="1655" t="s">
        <v>42</v>
      </c>
      <c r="Q615" s="1655" t="s">
        <v>569</v>
      </c>
      <c r="S615" s="1655" t="s">
        <v>70</v>
      </c>
      <c r="T615" s="1655" t="s">
        <v>1753</v>
      </c>
      <c r="U615" s="1655" t="s">
        <v>402</v>
      </c>
      <c r="V615" s="1655" t="s">
        <v>42</v>
      </c>
      <c r="W615" s="1655" t="s">
        <v>569</v>
      </c>
    </row>
    <row r="616" spans="1:23">
      <c r="A616" s="1655" t="s">
        <v>70</v>
      </c>
      <c r="B616" s="1655" t="s">
        <v>1754</v>
      </c>
      <c r="C616" s="1655" t="s">
        <v>395</v>
      </c>
      <c r="D616" s="1655" t="s">
        <v>42</v>
      </c>
      <c r="E616" s="1655" t="s">
        <v>569</v>
      </c>
      <c r="G616" s="1655" t="s">
        <v>70</v>
      </c>
      <c r="H616" s="1655" t="s">
        <v>1754</v>
      </c>
      <c r="I616" s="1655" t="s">
        <v>395</v>
      </c>
      <c r="J616" s="1655" t="s">
        <v>42</v>
      </c>
      <c r="K616" s="1655" t="s">
        <v>569</v>
      </c>
      <c r="M616" s="1655" t="s">
        <v>70</v>
      </c>
      <c r="N616" s="1655" t="s">
        <v>1754</v>
      </c>
      <c r="O616" s="1655" t="s">
        <v>395</v>
      </c>
      <c r="P616" s="1655" t="s">
        <v>42</v>
      </c>
      <c r="Q616" s="1655" t="s">
        <v>569</v>
      </c>
      <c r="S616" s="1655" t="s">
        <v>70</v>
      </c>
      <c r="T616" s="1655" t="s">
        <v>1754</v>
      </c>
      <c r="U616" s="1655" t="s">
        <v>402</v>
      </c>
      <c r="V616" s="1655" t="s">
        <v>42</v>
      </c>
      <c r="W616" s="1655" t="s">
        <v>569</v>
      </c>
    </row>
    <row r="617" spans="1:23">
      <c r="A617" s="1655" t="s">
        <v>70</v>
      </c>
      <c r="B617" s="1655" t="s">
        <v>1755</v>
      </c>
      <c r="C617" s="1655" t="s">
        <v>395</v>
      </c>
      <c r="D617" s="1655" t="s">
        <v>42</v>
      </c>
      <c r="E617" s="1655" t="s">
        <v>569</v>
      </c>
      <c r="G617" s="1655" t="s">
        <v>70</v>
      </c>
      <c r="H617" s="1655" t="s">
        <v>1755</v>
      </c>
      <c r="I617" s="1655" t="s">
        <v>395</v>
      </c>
      <c r="J617" s="1655" t="s">
        <v>42</v>
      </c>
      <c r="K617" s="1655" t="s">
        <v>569</v>
      </c>
      <c r="M617" s="1655" t="s">
        <v>70</v>
      </c>
      <c r="N617" s="1655" t="s">
        <v>1755</v>
      </c>
      <c r="O617" s="1655" t="s">
        <v>395</v>
      </c>
      <c r="P617" s="1655" t="s">
        <v>42</v>
      </c>
      <c r="Q617" s="1655" t="s">
        <v>569</v>
      </c>
      <c r="S617" s="1655" t="s">
        <v>70</v>
      </c>
      <c r="T617" s="1655" t="s">
        <v>1755</v>
      </c>
      <c r="U617" s="1655" t="s">
        <v>402</v>
      </c>
      <c r="V617" s="1655" t="s">
        <v>42</v>
      </c>
      <c r="W617" s="1655" t="s">
        <v>569</v>
      </c>
    </row>
    <row r="618" spans="1:23">
      <c r="A618" s="1655" t="s">
        <v>70</v>
      </c>
      <c r="B618" s="1655" t="s">
        <v>1756</v>
      </c>
      <c r="C618" s="1655" t="s">
        <v>402</v>
      </c>
      <c r="D618" s="1655" t="s">
        <v>42</v>
      </c>
      <c r="E618" s="1655" t="s">
        <v>569</v>
      </c>
      <c r="G618" s="1655" t="s">
        <v>70</v>
      </c>
      <c r="H618" s="1655" t="s">
        <v>1756</v>
      </c>
      <c r="I618" s="1655" t="s">
        <v>395</v>
      </c>
      <c r="J618" s="1655" t="s">
        <v>42</v>
      </c>
      <c r="K618" s="1655" t="s">
        <v>569</v>
      </c>
      <c r="M618" s="1655" t="s">
        <v>70</v>
      </c>
      <c r="N618" s="1655" t="s">
        <v>1756</v>
      </c>
      <c r="O618" s="1655" t="s">
        <v>395</v>
      </c>
      <c r="P618" s="1655" t="s">
        <v>42</v>
      </c>
      <c r="Q618" s="1655" t="s">
        <v>569</v>
      </c>
      <c r="S618" s="1655" t="s">
        <v>70</v>
      </c>
      <c r="T618" s="1655" t="s">
        <v>1756</v>
      </c>
      <c r="U618" s="1655" t="s">
        <v>402</v>
      </c>
      <c r="V618" s="1655" t="s">
        <v>42</v>
      </c>
      <c r="W618" s="1655" t="s">
        <v>569</v>
      </c>
    </row>
    <row r="619" spans="1:23">
      <c r="A619" s="1655" t="s">
        <v>70</v>
      </c>
      <c r="B619" s="1655" t="s">
        <v>1757</v>
      </c>
      <c r="C619" s="1655" t="s">
        <v>395</v>
      </c>
      <c r="D619" s="1655" t="s">
        <v>42</v>
      </c>
      <c r="E619" s="1655" t="s">
        <v>569</v>
      </c>
      <c r="G619" s="1655" t="s">
        <v>70</v>
      </c>
      <c r="H619" s="1655" t="s">
        <v>1757</v>
      </c>
      <c r="I619" s="1655" t="s">
        <v>395</v>
      </c>
      <c r="J619" s="1655" t="s">
        <v>42</v>
      </c>
      <c r="K619" s="1655" t="s">
        <v>569</v>
      </c>
      <c r="M619" s="1655" t="s">
        <v>70</v>
      </c>
      <c r="N619" s="1655" t="s">
        <v>1757</v>
      </c>
      <c r="O619" s="1655" t="s">
        <v>395</v>
      </c>
      <c r="P619" s="1655" t="s">
        <v>42</v>
      </c>
      <c r="Q619" s="1655" t="s">
        <v>569</v>
      </c>
      <c r="S619" s="1655" t="s">
        <v>70</v>
      </c>
      <c r="T619" s="1655" t="s">
        <v>1757</v>
      </c>
      <c r="U619" s="1655" t="s">
        <v>402</v>
      </c>
      <c r="V619" s="1655" t="s">
        <v>42</v>
      </c>
      <c r="W619" s="1655" t="s">
        <v>569</v>
      </c>
    </row>
    <row r="620" spans="1:23">
      <c r="A620" s="1655" t="s">
        <v>70</v>
      </c>
      <c r="B620" s="1655" t="s">
        <v>1758</v>
      </c>
      <c r="C620" s="1655" t="s">
        <v>395</v>
      </c>
      <c r="D620" s="1655" t="s">
        <v>42</v>
      </c>
      <c r="E620" s="1655" t="s">
        <v>569</v>
      </c>
      <c r="G620" s="1655" t="s">
        <v>70</v>
      </c>
      <c r="H620" s="1655" t="s">
        <v>1758</v>
      </c>
      <c r="I620" s="1655" t="s">
        <v>395</v>
      </c>
      <c r="J620" s="1655" t="s">
        <v>42</v>
      </c>
      <c r="K620" s="1655" t="s">
        <v>569</v>
      </c>
      <c r="M620" s="1655" t="s">
        <v>70</v>
      </c>
      <c r="N620" s="1655" t="s">
        <v>1758</v>
      </c>
      <c r="O620" s="1655" t="s">
        <v>395</v>
      </c>
      <c r="P620" s="1655" t="s">
        <v>42</v>
      </c>
      <c r="Q620" s="1655" t="s">
        <v>569</v>
      </c>
      <c r="S620" s="1655" t="s">
        <v>70</v>
      </c>
      <c r="T620" s="1655" t="s">
        <v>1758</v>
      </c>
      <c r="U620" s="1655" t="s">
        <v>402</v>
      </c>
      <c r="V620" s="1655" t="s">
        <v>42</v>
      </c>
      <c r="W620" s="1655" t="s">
        <v>569</v>
      </c>
    </row>
    <row r="621" spans="1:23">
      <c r="A621" s="1655" t="s">
        <v>70</v>
      </c>
      <c r="B621" s="1655" t="s">
        <v>1759</v>
      </c>
      <c r="C621" s="1655" t="s">
        <v>395</v>
      </c>
      <c r="D621" s="1655" t="s">
        <v>42</v>
      </c>
      <c r="E621" s="1655" t="s">
        <v>569</v>
      </c>
      <c r="G621" s="1655" t="s">
        <v>70</v>
      </c>
      <c r="H621" s="1655" t="s">
        <v>1759</v>
      </c>
      <c r="I621" s="1655" t="s">
        <v>395</v>
      </c>
      <c r="J621" s="1655" t="s">
        <v>42</v>
      </c>
      <c r="K621" s="1655" t="s">
        <v>569</v>
      </c>
      <c r="M621" s="1655" t="s">
        <v>70</v>
      </c>
      <c r="N621" s="1655" t="s">
        <v>1759</v>
      </c>
      <c r="O621" s="1655" t="s">
        <v>395</v>
      </c>
      <c r="P621" s="1655" t="s">
        <v>42</v>
      </c>
      <c r="Q621" s="1655" t="s">
        <v>569</v>
      </c>
      <c r="S621" s="1655" t="s">
        <v>70</v>
      </c>
      <c r="T621" s="1655" t="s">
        <v>1759</v>
      </c>
      <c r="U621" s="1655" t="s">
        <v>402</v>
      </c>
      <c r="V621" s="1655" t="s">
        <v>42</v>
      </c>
      <c r="W621" s="1655" t="s">
        <v>569</v>
      </c>
    </row>
    <row r="622" spans="1:23">
      <c r="A622" s="1655" t="s">
        <v>70</v>
      </c>
      <c r="B622" s="1655" t="s">
        <v>1760</v>
      </c>
      <c r="C622" s="1655" t="s">
        <v>395</v>
      </c>
      <c r="D622" s="1655" t="s">
        <v>42</v>
      </c>
      <c r="E622" s="1655" t="s">
        <v>569</v>
      </c>
      <c r="G622" s="1655" t="s">
        <v>70</v>
      </c>
      <c r="H622" s="1655" t="s">
        <v>1760</v>
      </c>
      <c r="I622" s="1655" t="s">
        <v>395</v>
      </c>
      <c r="J622" s="1655" t="s">
        <v>42</v>
      </c>
      <c r="K622" s="1655" t="s">
        <v>569</v>
      </c>
      <c r="M622" s="1655" t="s">
        <v>70</v>
      </c>
      <c r="N622" s="1655" t="s">
        <v>1760</v>
      </c>
      <c r="O622" s="1655" t="s">
        <v>395</v>
      </c>
      <c r="P622" s="1655" t="s">
        <v>42</v>
      </c>
      <c r="Q622" s="1655" t="s">
        <v>569</v>
      </c>
      <c r="S622" s="1655" t="s">
        <v>70</v>
      </c>
      <c r="T622" s="1655" t="s">
        <v>1760</v>
      </c>
      <c r="U622" s="1655" t="s">
        <v>402</v>
      </c>
      <c r="V622" s="1655" t="s">
        <v>42</v>
      </c>
      <c r="W622" s="1655" t="s">
        <v>569</v>
      </c>
    </row>
    <row r="623" spans="1:23">
      <c r="A623" s="1655" t="s">
        <v>70</v>
      </c>
      <c r="B623" s="1655" t="s">
        <v>1761</v>
      </c>
      <c r="C623" s="1655" t="s">
        <v>395</v>
      </c>
      <c r="D623" s="1655" t="s">
        <v>42</v>
      </c>
      <c r="E623" s="1655" t="s">
        <v>569</v>
      </c>
      <c r="G623" s="1655" t="s">
        <v>70</v>
      </c>
      <c r="H623" s="1655" t="s">
        <v>1761</v>
      </c>
      <c r="I623" s="1655" t="s">
        <v>395</v>
      </c>
      <c r="J623" s="1655" t="s">
        <v>42</v>
      </c>
      <c r="K623" s="1655" t="s">
        <v>569</v>
      </c>
      <c r="M623" s="1655" t="s">
        <v>70</v>
      </c>
      <c r="N623" s="1655" t="s">
        <v>1761</v>
      </c>
      <c r="O623" s="1655" t="s">
        <v>395</v>
      </c>
      <c r="P623" s="1655" t="s">
        <v>42</v>
      </c>
      <c r="Q623" s="1655" t="s">
        <v>569</v>
      </c>
      <c r="S623" s="1655" t="s">
        <v>70</v>
      </c>
      <c r="T623" s="1655" t="s">
        <v>1761</v>
      </c>
      <c r="U623" s="1655" t="s">
        <v>402</v>
      </c>
      <c r="V623" s="1655" t="s">
        <v>42</v>
      </c>
      <c r="W623" s="1655" t="s">
        <v>569</v>
      </c>
    </row>
    <row r="624" spans="1:23">
      <c r="A624" s="1655" t="s">
        <v>70</v>
      </c>
      <c r="B624" s="1655" t="s">
        <v>1762</v>
      </c>
      <c r="C624" s="1655" t="s">
        <v>402</v>
      </c>
      <c r="D624" s="1655" t="s">
        <v>42</v>
      </c>
      <c r="E624" s="1655" t="s">
        <v>569</v>
      </c>
      <c r="G624" s="1655" t="s">
        <v>70</v>
      </c>
      <c r="H624" s="1655" t="s">
        <v>1762</v>
      </c>
      <c r="I624" s="1655" t="s">
        <v>395</v>
      </c>
      <c r="J624" s="1655" t="s">
        <v>42</v>
      </c>
      <c r="K624" s="1655" t="s">
        <v>569</v>
      </c>
      <c r="M624" s="1655" t="s">
        <v>70</v>
      </c>
      <c r="N624" s="1655" t="s">
        <v>1762</v>
      </c>
      <c r="O624" s="1655" t="s">
        <v>395</v>
      </c>
      <c r="P624" s="1655" t="s">
        <v>42</v>
      </c>
      <c r="Q624" s="1655" t="s">
        <v>569</v>
      </c>
      <c r="S624" s="1655" t="s">
        <v>70</v>
      </c>
      <c r="T624" s="1655" t="s">
        <v>1762</v>
      </c>
      <c r="U624" s="1655" t="s">
        <v>402</v>
      </c>
      <c r="V624" s="1655" t="s">
        <v>42</v>
      </c>
      <c r="W624" s="1655" t="s">
        <v>569</v>
      </c>
    </row>
    <row r="625" spans="1:23">
      <c r="A625" s="1655" t="s">
        <v>70</v>
      </c>
      <c r="B625" s="1655" t="s">
        <v>1763</v>
      </c>
      <c r="C625" s="1655" t="s">
        <v>395</v>
      </c>
      <c r="D625" s="1655" t="s">
        <v>42</v>
      </c>
      <c r="E625" s="1655" t="s">
        <v>569</v>
      </c>
      <c r="G625" s="1655" t="s">
        <v>70</v>
      </c>
      <c r="H625" s="1655" t="s">
        <v>1763</v>
      </c>
      <c r="I625" s="1655" t="s">
        <v>395</v>
      </c>
      <c r="J625" s="1655" t="s">
        <v>42</v>
      </c>
      <c r="K625" s="1655" t="s">
        <v>569</v>
      </c>
      <c r="M625" s="1655" t="s">
        <v>70</v>
      </c>
      <c r="N625" s="1655" t="s">
        <v>1763</v>
      </c>
      <c r="O625" s="1655" t="s">
        <v>395</v>
      </c>
      <c r="P625" s="1655" t="s">
        <v>42</v>
      </c>
      <c r="Q625" s="1655" t="s">
        <v>569</v>
      </c>
      <c r="S625" s="1655" t="s">
        <v>70</v>
      </c>
      <c r="T625" s="1655" t="s">
        <v>1763</v>
      </c>
      <c r="U625" s="1655" t="s">
        <v>402</v>
      </c>
      <c r="V625" s="1655" t="s">
        <v>42</v>
      </c>
      <c r="W625" s="1655" t="s">
        <v>569</v>
      </c>
    </row>
    <row r="626" spans="1:23">
      <c r="A626" s="1655" t="s">
        <v>70</v>
      </c>
      <c r="B626" s="1655" t="s">
        <v>1764</v>
      </c>
      <c r="C626" s="1655" t="s">
        <v>395</v>
      </c>
      <c r="D626" s="1655" t="s">
        <v>42</v>
      </c>
      <c r="E626" s="1655" t="s">
        <v>569</v>
      </c>
      <c r="G626" s="1655" t="s">
        <v>70</v>
      </c>
      <c r="H626" s="1655" t="s">
        <v>1764</v>
      </c>
      <c r="I626" s="1655" t="s">
        <v>395</v>
      </c>
      <c r="J626" s="1655" t="s">
        <v>42</v>
      </c>
      <c r="K626" s="1655" t="s">
        <v>569</v>
      </c>
      <c r="M626" s="1655" t="s">
        <v>70</v>
      </c>
      <c r="N626" s="1655" t="s">
        <v>1764</v>
      </c>
      <c r="O626" s="1655" t="s">
        <v>395</v>
      </c>
      <c r="P626" s="1655" t="s">
        <v>42</v>
      </c>
      <c r="Q626" s="1655" t="s">
        <v>569</v>
      </c>
      <c r="S626" s="1655" t="s">
        <v>70</v>
      </c>
      <c r="T626" s="1655" t="s">
        <v>1764</v>
      </c>
      <c r="U626" s="1655" t="s">
        <v>402</v>
      </c>
      <c r="V626" s="1655" t="s">
        <v>42</v>
      </c>
      <c r="W626" s="1655" t="s">
        <v>569</v>
      </c>
    </row>
    <row r="627" spans="1:23">
      <c r="A627" s="1655" t="s">
        <v>70</v>
      </c>
      <c r="B627" s="1655" t="s">
        <v>1765</v>
      </c>
      <c r="C627" s="1655" t="s">
        <v>395</v>
      </c>
      <c r="D627" s="1655" t="s">
        <v>42</v>
      </c>
      <c r="E627" s="1655" t="s">
        <v>569</v>
      </c>
      <c r="G627" s="1655" t="s">
        <v>70</v>
      </c>
      <c r="H627" s="1655" t="s">
        <v>1765</v>
      </c>
      <c r="I627" s="1655" t="s">
        <v>395</v>
      </c>
      <c r="J627" s="1655" t="s">
        <v>42</v>
      </c>
      <c r="K627" s="1655" t="s">
        <v>569</v>
      </c>
      <c r="M627" s="1655" t="s">
        <v>70</v>
      </c>
      <c r="N627" s="1655" t="s">
        <v>1765</v>
      </c>
      <c r="O627" s="1655" t="s">
        <v>395</v>
      </c>
      <c r="P627" s="1655" t="s">
        <v>42</v>
      </c>
      <c r="Q627" s="1655" t="s">
        <v>569</v>
      </c>
      <c r="S627" s="1655" t="s">
        <v>70</v>
      </c>
      <c r="T627" s="1655" t="s">
        <v>1765</v>
      </c>
      <c r="U627" s="1655" t="s">
        <v>402</v>
      </c>
      <c r="V627" s="1655" t="s">
        <v>42</v>
      </c>
      <c r="W627" s="1655" t="s">
        <v>569</v>
      </c>
    </row>
    <row r="628" spans="1:23">
      <c r="A628" s="1655" t="s">
        <v>70</v>
      </c>
      <c r="B628" s="1655" t="s">
        <v>1766</v>
      </c>
      <c r="C628" s="1655" t="s">
        <v>402</v>
      </c>
      <c r="D628" s="1655" t="s">
        <v>42</v>
      </c>
      <c r="E628" s="1655" t="s">
        <v>569</v>
      </c>
      <c r="G628" s="1655" t="s">
        <v>70</v>
      </c>
      <c r="H628" s="1655" t="s">
        <v>1766</v>
      </c>
      <c r="I628" s="1655" t="s">
        <v>395</v>
      </c>
      <c r="J628" s="1655" t="s">
        <v>42</v>
      </c>
      <c r="K628" s="1655" t="s">
        <v>569</v>
      </c>
      <c r="M628" s="1655" t="s">
        <v>70</v>
      </c>
      <c r="N628" s="1655" t="s">
        <v>1766</v>
      </c>
      <c r="O628" s="1655" t="s">
        <v>395</v>
      </c>
      <c r="P628" s="1655" t="s">
        <v>42</v>
      </c>
      <c r="Q628" s="1655" t="s">
        <v>569</v>
      </c>
      <c r="S628" s="1655" t="s">
        <v>70</v>
      </c>
      <c r="T628" s="1655" t="s">
        <v>1766</v>
      </c>
      <c r="U628" s="1655" t="s">
        <v>402</v>
      </c>
      <c r="V628" s="1655" t="s">
        <v>42</v>
      </c>
      <c r="W628" s="1655" t="s">
        <v>569</v>
      </c>
    </row>
    <row r="629" spans="1:23">
      <c r="A629" s="1655" t="s">
        <v>70</v>
      </c>
      <c r="B629" s="1655" t="s">
        <v>1767</v>
      </c>
      <c r="C629" s="1655" t="s">
        <v>402</v>
      </c>
      <c r="D629" s="1655" t="s">
        <v>42</v>
      </c>
      <c r="E629" s="1655" t="s">
        <v>569</v>
      </c>
      <c r="G629" s="1655" t="s">
        <v>70</v>
      </c>
      <c r="H629" s="1655" t="s">
        <v>1767</v>
      </c>
      <c r="I629" s="1655" t="s">
        <v>395</v>
      </c>
      <c r="J629" s="1655" t="s">
        <v>42</v>
      </c>
      <c r="K629" s="1655" t="s">
        <v>569</v>
      </c>
      <c r="M629" s="1655" t="s">
        <v>70</v>
      </c>
      <c r="N629" s="1655" t="s">
        <v>1767</v>
      </c>
      <c r="O629" s="1655" t="s">
        <v>395</v>
      </c>
      <c r="P629" s="1655" t="s">
        <v>42</v>
      </c>
      <c r="Q629" s="1655" t="s">
        <v>569</v>
      </c>
      <c r="S629" s="1655" t="s">
        <v>70</v>
      </c>
      <c r="T629" s="1655" t="s">
        <v>1767</v>
      </c>
      <c r="U629" s="1655" t="s">
        <v>402</v>
      </c>
      <c r="V629" s="1655" t="s">
        <v>42</v>
      </c>
      <c r="W629" s="1655" t="s">
        <v>569</v>
      </c>
    </row>
    <row r="630" spans="1:23">
      <c r="A630" s="1655" t="s">
        <v>70</v>
      </c>
      <c r="B630" s="1655" t="s">
        <v>1768</v>
      </c>
      <c r="C630" s="1655" t="s">
        <v>395</v>
      </c>
      <c r="D630" s="1655" t="s">
        <v>42</v>
      </c>
      <c r="E630" s="1655" t="s">
        <v>569</v>
      </c>
      <c r="G630" s="1655" t="s">
        <v>70</v>
      </c>
      <c r="H630" s="1655" t="s">
        <v>1768</v>
      </c>
      <c r="I630" s="1655" t="s">
        <v>395</v>
      </c>
      <c r="J630" s="1655" t="s">
        <v>42</v>
      </c>
      <c r="K630" s="1655" t="s">
        <v>569</v>
      </c>
      <c r="M630" s="1655" t="s">
        <v>70</v>
      </c>
      <c r="N630" s="1655" t="s">
        <v>1768</v>
      </c>
      <c r="O630" s="1655" t="s">
        <v>395</v>
      </c>
      <c r="P630" s="1655" t="s">
        <v>42</v>
      </c>
      <c r="Q630" s="1655" t="s">
        <v>569</v>
      </c>
      <c r="S630" s="1655" t="s">
        <v>70</v>
      </c>
      <c r="T630" s="1655" t="s">
        <v>1768</v>
      </c>
      <c r="U630" s="1655" t="s">
        <v>402</v>
      </c>
      <c r="V630" s="1655" t="s">
        <v>42</v>
      </c>
      <c r="W630" s="1655" t="s">
        <v>569</v>
      </c>
    </row>
    <row r="631" spans="1:23">
      <c r="A631" s="1655" t="s">
        <v>70</v>
      </c>
      <c r="B631" s="1655" t="s">
        <v>1769</v>
      </c>
      <c r="C631" s="1655" t="s">
        <v>395</v>
      </c>
      <c r="D631" s="1655" t="s">
        <v>42</v>
      </c>
      <c r="E631" s="1655" t="s">
        <v>569</v>
      </c>
      <c r="G631" s="1655" t="s">
        <v>70</v>
      </c>
      <c r="H631" s="1655" t="s">
        <v>1769</v>
      </c>
      <c r="I631" s="1655" t="s">
        <v>395</v>
      </c>
      <c r="J631" s="1655" t="s">
        <v>42</v>
      </c>
      <c r="K631" s="1655" t="s">
        <v>569</v>
      </c>
      <c r="M631" s="1655" t="s">
        <v>70</v>
      </c>
      <c r="N631" s="1655" t="s">
        <v>1769</v>
      </c>
      <c r="O631" s="1655" t="s">
        <v>395</v>
      </c>
      <c r="P631" s="1655" t="s">
        <v>42</v>
      </c>
      <c r="Q631" s="1655" t="s">
        <v>569</v>
      </c>
      <c r="S631" s="1655" t="s">
        <v>70</v>
      </c>
      <c r="T631" s="1655" t="s">
        <v>1769</v>
      </c>
      <c r="U631" s="1655" t="s">
        <v>402</v>
      </c>
      <c r="V631" s="1655" t="s">
        <v>42</v>
      </c>
      <c r="W631" s="1655" t="s">
        <v>569</v>
      </c>
    </row>
    <row r="632" spans="1:23">
      <c r="A632" s="1655" t="s">
        <v>70</v>
      </c>
      <c r="B632" s="1655" t="s">
        <v>1770</v>
      </c>
      <c r="C632" s="1655" t="s">
        <v>395</v>
      </c>
      <c r="D632" s="1655" t="s">
        <v>42</v>
      </c>
      <c r="E632" s="1655" t="s">
        <v>569</v>
      </c>
      <c r="G632" s="1655" t="s">
        <v>70</v>
      </c>
      <c r="H632" s="1655" t="s">
        <v>1770</v>
      </c>
      <c r="I632" s="1655" t="s">
        <v>395</v>
      </c>
      <c r="J632" s="1655" t="s">
        <v>42</v>
      </c>
      <c r="K632" s="1655" t="s">
        <v>569</v>
      </c>
      <c r="M632" s="1655" t="s">
        <v>70</v>
      </c>
      <c r="N632" s="1655" t="s">
        <v>1770</v>
      </c>
      <c r="O632" s="1655" t="s">
        <v>395</v>
      </c>
      <c r="P632" s="1655" t="s">
        <v>42</v>
      </c>
      <c r="Q632" s="1655" t="s">
        <v>569</v>
      </c>
      <c r="S632" s="1655" t="s">
        <v>70</v>
      </c>
      <c r="T632" s="1655" t="s">
        <v>1770</v>
      </c>
      <c r="U632" s="1655" t="s">
        <v>402</v>
      </c>
      <c r="V632" s="1655" t="s">
        <v>42</v>
      </c>
      <c r="W632" s="1655" t="s">
        <v>569</v>
      </c>
    </row>
    <row r="633" spans="1:23">
      <c r="A633" s="1655" t="s">
        <v>70</v>
      </c>
      <c r="B633" s="1655" t="s">
        <v>1771</v>
      </c>
      <c r="C633" s="1655" t="s">
        <v>395</v>
      </c>
      <c r="D633" s="1655" t="s">
        <v>42</v>
      </c>
      <c r="E633" s="1655" t="s">
        <v>569</v>
      </c>
      <c r="G633" s="1655" t="s">
        <v>70</v>
      </c>
      <c r="H633" s="1655" t="s">
        <v>1771</v>
      </c>
      <c r="I633" s="1655" t="s">
        <v>395</v>
      </c>
      <c r="J633" s="1655" t="s">
        <v>42</v>
      </c>
      <c r="K633" s="1655" t="s">
        <v>569</v>
      </c>
      <c r="M633" s="1655" t="s">
        <v>70</v>
      </c>
      <c r="N633" s="1655" t="s">
        <v>1771</v>
      </c>
      <c r="O633" s="1655" t="s">
        <v>395</v>
      </c>
      <c r="P633" s="1655" t="s">
        <v>42</v>
      </c>
      <c r="Q633" s="1655" t="s">
        <v>569</v>
      </c>
      <c r="S633" s="1655" t="s">
        <v>70</v>
      </c>
      <c r="T633" s="1655" t="s">
        <v>1771</v>
      </c>
      <c r="U633" s="1655" t="s">
        <v>402</v>
      </c>
      <c r="V633" s="1655" t="s">
        <v>42</v>
      </c>
      <c r="W633" s="1655" t="s">
        <v>569</v>
      </c>
    </row>
    <row r="634" spans="1:23">
      <c r="A634" s="1655" t="s">
        <v>70</v>
      </c>
      <c r="B634" s="1655" t="s">
        <v>1772</v>
      </c>
      <c r="C634" s="1655" t="s">
        <v>395</v>
      </c>
      <c r="D634" s="1655" t="s">
        <v>42</v>
      </c>
      <c r="E634" s="1655" t="s">
        <v>569</v>
      </c>
      <c r="G634" s="1655" t="s">
        <v>70</v>
      </c>
      <c r="H634" s="1655" t="s">
        <v>1772</v>
      </c>
      <c r="I634" s="1655" t="s">
        <v>395</v>
      </c>
      <c r="J634" s="1655" t="s">
        <v>42</v>
      </c>
      <c r="K634" s="1655" t="s">
        <v>569</v>
      </c>
      <c r="M634" s="1655" t="s">
        <v>70</v>
      </c>
      <c r="N634" s="1655" t="s">
        <v>1772</v>
      </c>
      <c r="O634" s="1655" t="s">
        <v>395</v>
      </c>
      <c r="P634" s="1655" t="s">
        <v>42</v>
      </c>
      <c r="Q634" s="1655" t="s">
        <v>569</v>
      </c>
      <c r="S634" s="1655" t="s">
        <v>70</v>
      </c>
      <c r="T634" s="1655" t="s">
        <v>1772</v>
      </c>
      <c r="U634" s="1655" t="s">
        <v>402</v>
      </c>
      <c r="V634" s="1655" t="s">
        <v>42</v>
      </c>
      <c r="W634" s="1655" t="s">
        <v>569</v>
      </c>
    </row>
    <row r="635" spans="1:23">
      <c r="A635" s="1655" t="s">
        <v>70</v>
      </c>
      <c r="B635" s="1655" t="s">
        <v>1773</v>
      </c>
      <c r="C635" s="1655" t="s">
        <v>395</v>
      </c>
      <c r="D635" s="1655" t="s">
        <v>42</v>
      </c>
      <c r="E635" s="1655" t="s">
        <v>569</v>
      </c>
      <c r="G635" s="1655" t="s">
        <v>70</v>
      </c>
      <c r="H635" s="1655" t="s">
        <v>1773</v>
      </c>
      <c r="I635" s="1655" t="s">
        <v>395</v>
      </c>
      <c r="J635" s="1655" t="s">
        <v>42</v>
      </c>
      <c r="K635" s="1655" t="s">
        <v>569</v>
      </c>
      <c r="M635" s="1655" t="s">
        <v>70</v>
      </c>
      <c r="N635" s="1655" t="s">
        <v>1773</v>
      </c>
      <c r="O635" s="1655" t="s">
        <v>395</v>
      </c>
      <c r="P635" s="1655" t="s">
        <v>42</v>
      </c>
      <c r="Q635" s="1655" t="s">
        <v>569</v>
      </c>
      <c r="S635" s="1655" t="s">
        <v>70</v>
      </c>
      <c r="T635" s="1655" t="s">
        <v>1773</v>
      </c>
      <c r="U635" s="1655" t="s">
        <v>402</v>
      </c>
      <c r="V635" s="1655" t="s">
        <v>42</v>
      </c>
      <c r="W635" s="1655" t="s">
        <v>569</v>
      </c>
    </row>
    <row r="636" spans="1:23">
      <c r="A636" s="1655" t="s">
        <v>70</v>
      </c>
      <c r="B636" s="1655" t="s">
        <v>1774</v>
      </c>
      <c r="C636" s="1655" t="s">
        <v>395</v>
      </c>
      <c r="D636" s="1655" t="s">
        <v>42</v>
      </c>
      <c r="E636" s="1655" t="s">
        <v>569</v>
      </c>
      <c r="G636" s="1655" t="s">
        <v>70</v>
      </c>
      <c r="H636" s="1655" t="s">
        <v>1774</v>
      </c>
      <c r="I636" s="1655" t="s">
        <v>395</v>
      </c>
      <c r="J636" s="1655" t="s">
        <v>42</v>
      </c>
      <c r="K636" s="1655" t="s">
        <v>569</v>
      </c>
      <c r="M636" s="1655" t="s">
        <v>70</v>
      </c>
      <c r="N636" s="1655" t="s">
        <v>1774</v>
      </c>
      <c r="O636" s="1655" t="s">
        <v>395</v>
      </c>
      <c r="P636" s="1655" t="s">
        <v>42</v>
      </c>
      <c r="Q636" s="1655" t="s">
        <v>569</v>
      </c>
      <c r="S636" s="1655" t="s">
        <v>70</v>
      </c>
      <c r="T636" s="1655" t="s">
        <v>1774</v>
      </c>
      <c r="U636" s="1655" t="s">
        <v>402</v>
      </c>
      <c r="V636" s="1655" t="s">
        <v>42</v>
      </c>
      <c r="W636" s="1655" t="s">
        <v>569</v>
      </c>
    </row>
    <row r="637" spans="1:23">
      <c r="A637" s="1655" t="s">
        <v>70</v>
      </c>
      <c r="B637" s="1655" t="s">
        <v>1775</v>
      </c>
      <c r="C637" s="1655" t="s">
        <v>402</v>
      </c>
      <c r="D637" s="1655" t="s">
        <v>42</v>
      </c>
      <c r="E637" s="1655" t="s">
        <v>569</v>
      </c>
      <c r="G637" s="1655" t="s">
        <v>70</v>
      </c>
      <c r="H637" s="1655" t="s">
        <v>1775</v>
      </c>
      <c r="I637" s="1655" t="s">
        <v>402</v>
      </c>
      <c r="J637" s="1655" t="s">
        <v>42</v>
      </c>
      <c r="K637" s="1655" t="s">
        <v>569</v>
      </c>
      <c r="M637" s="1655" t="s">
        <v>70</v>
      </c>
      <c r="N637" s="1655" t="s">
        <v>1775</v>
      </c>
      <c r="O637" s="1655" t="s">
        <v>402</v>
      </c>
      <c r="P637" s="1655" t="s">
        <v>42</v>
      </c>
      <c r="Q637" s="1655" t="s">
        <v>569</v>
      </c>
      <c r="S637" s="1655" t="s">
        <v>70</v>
      </c>
      <c r="T637" s="1655" t="s">
        <v>1775</v>
      </c>
      <c r="U637" s="1655" t="s">
        <v>402</v>
      </c>
      <c r="V637" s="1655" t="s">
        <v>42</v>
      </c>
      <c r="W637" s="1655" t="s">
        <v>569</v>
      </c>
    </row>
    <row r="638" spans="1:23">
      <c r="A638" s="1655" t="s">
        <v>70</v>
      </c>
      <c r="B638" s="1655" t="s">
        <v>1776</v>
      </c>
      <c r="C638" s="1655" t="s">
        <v>402</v>
      </c>
      <c r="D638" s="1655" t="s">
        <v>42</v>
      </c>
      <c r="E638" s="1655" t="s">
        <v>569</v>
      </c>
      <c r="G638" s="1655" t="s">
        <v>70</v>
      </c>
      <c r="H638" s="1655" t="s">
        <v>1776</v>
      </c>
      <c r="I638" s="1655" t="s">
        <v>402</v>
      </c>
      <c r="J638" s="1655" t="s">
        <v>42</v>
      </c>
      <c r="K638" s="1655" t="s">
        <v>569</v>
      </c>
      <c r="M638" s="1655" t="s">
        <v>70</v>
      </c>
      <c r="N638" s="1655" t="s">
        <v>1776</v>
      </c>
      <c r="O638" s="1655" t="s">
        <v>402</v>
      </c>
      <c r="P638" s="1655" t="s">
        <v>42</v>
      </c>
      <c r="Q638" s="1655" t="s">
        <v>569</v>
      </c>
      <c r="S638" s="1655" t="s">
        <v>70</v>
      </c>
      <c r="T638" s="1655" t="s">
        <v>1776</v>
      </c>
      <c r="U638" s="1655" t="s">
        <v>402</v>
      </c>
      <c r="V638" s="1655" t="s">
        <v>42</v>
      </c>
      <c r="W638" s="1655" t="s">
        <v>569</v>
      </c>
    </row>
    <row r="639" spans="1:23">
      <c r="A639" s="1655" t="s">
        <v>70</v>
      </c>
      <c r="B639" s="1655" t="s">
        <v>1777</v>
      </c>
      <c r="C639" s="1655" t="s">
        <v>402</v>
      </c>
      <c r="D639" s="1655" t="s">
        <v>42</v>
      </c>
      <c r="E639" s="1655" t="s">
        <v>569</v>
      </c>
      <c r="G639" s="1655" t="s">
        <v>70</v>
      </c>
      <c r="H639" s="1655" t="s">
        <v>1777</v>
      </c>
      <c r="I639" s="1655" t="s">
        <v>402</v>
      </c>
      <c r="J639" s="1655" t="s">
        <v>42</v>
      </c>
      <c r="K639" s="1655" t="s">
        <v>569</v>
      </c>
      <c r="M639" s="1655" t="s">
        <v>70</v>
      </c>
      <c r="N639" s="1655" t="s">
        <v>1777</v>
      </c>
      <c r="O639" s="1655" t="s">
        <v>402</v>
      </c>
      <c r="P639" s="1655" t="s">
        <v>42</v>
      </c>
      <c r="Q639" s="1655" t="s">
        <v>569</v>
      </c>
      <c r="S639" s="1655" t="s">
        <v>70</v>
      </c>
      <c r="T639" s="1655" t="s">
        <v>1777</v>
      </c>
      <c r="U639" s="1655" t="s">
        <v>402</v>
      </c>
      <c r="V639" s="1655" t="s">
        <v>42</v>
      </c>
      <c r="W639" s="1655" t="s">
        <v>569</v>
      </c>
    </row>
    <row r="640" spans="1:23">
      <c r="A640" s="1655" t="s">
        <v>70</v>
      </c>
      <c r="B640" s="1655" t="s">
        <v>1778</v>
      </c>
      <c r="C640" s="1655" t="s">
        <v>402</v>
      </c>
      <c r="D640" s="1655" t="s">
        <v>42</v>
      </c>
      <c r="E640" s="1655" t="s">
        <v>569</v>
      </c>
      <c r="G640" s="1655" t="s">
        <v>70</v>
      </c>
      <c r="H640" s="1655" t="s">
        <v>1778</v>
      </c>
      <c r="I640" s="1655" t="s">
        <v>402</v>
      </c>
      <c r="J640" s="1655" t="s">
        <v>42</v>
      </c>
      <c r="K640" s="1655" t="s">
        <v>569</v>
      </c>
      <c r="M640" s="1655" t="s">
        <v>70</v>
      </c>
      <c r="N640" s="1655" t="s">
        <v>1778</v>
      </c>
      <c r="O640" s="1655" t="s">
        <v>402</v>
      </c>
      <c r="P640" s="1655" t="s">
        <v>42</v>
      </c>
      <c r="Q640" s="1655" t="s">
        <v>569</v>
      </c>
      <c r="S640" s="1655" t="s">
        <v>70</v>
      </c>
      <c r="T640" s="1655" t="s">
        <v>1778</v>
      </c>
      <c r="U640" s="1655" t="s">
        <v>402</v>
      </c>
      <c r="V640" s="1655" t="s">
        <v>42</v>
      </c>
      <c r="W640" s="1655" t="s">
        <v>569</v>
      </c>
    </row>
    <row r="641" spans="1:23">
      <c r="A641" s="1655" t="s">
        <v>70</v>
      </c>
      <c r="B641" s="1655" t="s">
        <v>1779</v>
      </c>
      <c r="C641" s="1655" t="s">
        <v>402</v>
      </c>
      <c r="D641" s="1655" t="s">
        <v>42</v>
      </c>
      <c r="E641" s="1655" t="s">
        <v>569</v>
      </c>
      <c r="G641" s="1655" t="s">
        <v>70</v>
      </c>
      <c r="H641" s="1655" t="s">
        <v>1779</v>
      </c>
      <c r="I641" s="1655" t="s">
        <v>402</v>
      </c>
      <c r="J641" s="1655" t="s">
        <v>42</v>
      </c>
      <c r="K641" s="1655" t="s">
        <v>569</v>
      </c>
      <c r="M641" s="1655" t="s">
        <v>70</v>
      </c>
      <c r="N641" s="1655" t="s">
        <v>1779</v>
      </c>
      <c r="O641" s="1655" t="s">
        <v>402</v>
      </c>
      <c r="P641" s="1655" t="s">
        <v>42</v>
      </c>
      <c r="Q641" s="1655" t="s">
        <v>569</v>
      </c>
      <c r="S641" s="1655" t="s">
        <v>70</v>
      </c>
      <c r="T641" s="1655" t="s">
        <v>1779</v>
      </c>
      <c r="U641" s="1655" t="s">
        <v>402</v>
      </c>
      <c r="V641" s="1655" t="s">
        <v>42</v>
      </c>
      <c r="W641" s="1655" t="s">
        <v>569</v>
      </c>
    </row>
    <row r="642" spans="1:23">
      <c r="A642" s="1655" t="s">
        <v>70</v>
      </c>
      <c r="B642" s="1655" t="s">
        <v>1780</v>
      </c>
      <c r="C642" s="1655" t="s">
        <v>402</v>
      </c>
      <c r="D642" s="1655" t="s">
        <v>42</v>
      </c>
      <c r="E642" s="1655" t="s">
        <v>569</v>
      </c>
      <c r="G642" s="1655" t="s">
        <v>70</v>
      </c>
      <c r="H642" s="1655" t="s">
        <v>1780</v>
      </c>
      <c r="I642" s="1655" t="s">
        <v>402</v>
      </c>
      <c r="J642" s="1655" t="s">
        <v>42</v>
      </c>
      <c r="K642" s="1655" t="s">
        <v>569</v>
      </c>
      <c r="M642" s="1655" t="s">
        <v>70</v>
      </c>
      <c r="N642" s="1655" t="s">
        <v>1780</v>
      </c>
      <c r="O642" s="1655" t="s">
        <v>402</v>
      </c>
      <c r="P642" s="1655" t="s">
        <v>42</v>
      </c>
      <c r="Q642" s="1655" t="s">
        <v>569</v>
      </c>
      <c r="S642" s="1655" t="s">
        <v>70</v>
      </c>
      <c r="T642" s="1655" t="s">
        <v>1780</v>
      </c>
      <c r="U642" s="1655" t="s">
        <v>402</v>
      </c>
      <c r="V642" s="1655" t="s">
        <v>42</v>
      </c>
      <c r="W642" s="1655" t="s">
        <v>569</v>
      </c>
    </row>
    <row r="643" spans="1:23">
      <c r="A643" s="1655" t="s">
        <v>70</v>
      </c>
      <c r="B643" s="1655" t="s">
        <v>1781</v>
      </c>
      <c r="C643" s="1655" t="s">
        <v>402</v>
      </c>
      <c r="D643" s="1655" t="s">
        <v>42</v>
      </c>
      <c r="E643" s="1655" t="s">
        <v>569</v>
      </c>
      <c r="G643" s="1655" t="s">
        <v>70</v>
      </c>
      <c r="H643" s="1655" t="s">
        <v>1781</v>
      </c>
      <c r="I643" s="1655" t="s">
        <v>402</v>
      </c>
      <c r="J643" s="1655" t="s">
        <v>42</v>
      </c>
      <c r="K643" s="1655" t="s">
        <v>569</v>
      </c>
      <c r="M643" s="1655" t="s">
        <v>70</v>
      </c>
      <c r="N643" s="1655" t="s">
        <v>1781</v>
      </c>
      <c r="O643" s="1655" t="s">
        <v>402</v>
      </c>
      <c r="P643" s="1655" t="s">
        <v>42</v>
      </c>
      <c r="Q643" s="1655" t="s">
        <v>569</v>
      </c>
      <c r="S643" s="1655" t="s">
        <v>70</v>
      </c>
      <c r="T643" s="1655" t="s">
        <v>1781</v>
      </c>
      <c r="U643" s="1655" t="s">
        <v>402</v>
      </c>
      <c r="V643" s="1655" t="s">
        <v>42</v>
      </c>
      <c r="W643" s="1655" t="s">
        <v>569</v>
      </c>
    </row>
    <row r="644" spans="1:23">
      <c r="A644" s="1655" t="s">
        <v>70</v>
      </c>
      <c r="B644" s="1655" t="s">
        <v>1782</v>
      </c>
      <c r="C644" s="1655" t="s">
        <v>402</v>
      </c>
      <c r="D644" s="1655" t="s">
        <v>42</v>
      </c>
      <c r="E644" s="1655" t="s">
        <v>569</v>
      </c>
      <c r="G644" s="1655" t="s">
        <v>70</v>
      </c>
      <c r="H644" s="1655" t="s">
        <v>1782</v>
      </c>
      <c r="I644" s="1655" t="s">
        <v>402</v>
      </c>
      <c r="J644" s="1655" t="s">
        <v>42</v>
      </c>
      <c r="K644" s="1655" t="s">
        <v>569</v>
      </c>
      <c r="M644" s="1655" t="s">
        <v>70</v>
      </c>
      <c r="N644" s="1655" t="s">
        <v>1782</v>
      </c>
      <c r="O644" s="1655" t="s">
        <v>402</v>
      </c>
      <c r="P644" s="1655" t="s">
        <v>42</v>
      </c>
      <c r="Q644" s="1655" t="s">
        <v>569</v>
      </c>
      <c r="S644" s="1655" t="s">
        <v>70</v>
      </c>
      <c r="T644" s="1655" t="s">
        <v>1782</v>
      </c>
      <c r="U644" s="1655" t="s">
        <v>402</v>
      </c>
      <c r="V644" s="1655" t="s">
        <v>42</v>
      </c>
      <c r="W644" s="1655" t="s">
        <v>569</v>
      </c>
    </row>
    <row r="645" spans="1:23">
      <c r="A645" s="1655" t="s">
        <v>70</v>
      </c>
      <c r="B645" s="1655" t="s">
        <v>1783</v>
      </c>
      <c r="C645" s="1655" t="s">
        <v>402</v>
      </c>
      <c r="D645" s="1655" t="s">
        <v>42</v>
      </c>
      <c r="E645" s="1655" t="s">
        <v>569</v>
      </c>
      <c r="G645" s="1655" t="s">
        <v>70</v>
      </c>
      <c r="H645" s="1655" t="s">
        <v>1783</v>
      </c>
      <c r="I645" s="1655" t="s">
        <v>402</v>
      </c>
      <c r="J645" s="1655" t="s">
        <v>42</v>
      </c>
      <c r="K645" s="1655" t="s">
        <v>569</v>
      </c>
      <c r="M645" s="1655" t="s">
        <v>70</v>
      </c>
      <c r="N645" s="1655" t="s">
        <v>1783</v>
      </c>
      <c r="O645" s="1655" t="s">
        <v>402</v>
      </c>
      <c r="P645" s="1655" t="s">
        <v>42</v>
      </c>
      <c r="Q645" s="1655" t="s">
        <v>569</v>
      </c>
      <c r="S645" s="1655" t="s">
        <v>70</v>
      </c>
      <c r="T645" s="1655" t="s">
        <v>1783</v>
      </c>
      <c r="U645" s="1655" t="s">
        <v>402</v>
      </c>
      <c r="V645" s="1655" t="s">
        <v>42</v>
      </c>
      <c r="W645" s="1655" t="s">
        <v>569</v>
      </c>
    </row>
    <row r="646" spans="1:23">
      <c r="A646" s="1655" t="s">
        <v>70</v>
      </c>
      <c r="B646" s="1655" t="s">
        <v>1784</v>
      </c>
      <c r="C646" s="1655" t="s">
        <v>402</v>
      </c>
      <c r="D646" s="1655" t="s">
        <v>42</v>
      </c>
      <c r="E646" s="1655" t="s">
        <v>569</v>
      </c>
      <c r="G646" s="1655" t="s">
        <v>70</v>
      </c>
      <c r="H646" s="1655" t="s">
        <v>1784</v>
      </c>
      <c r="I646" s="1655" t="s">
        <v>402</v>
      </c>
      <c r="J646" s="1655" t="s">
        <v>42</v>
      </c>
      <c r="K646" s="1655" t="s">
        <v>569</v>
      </c>
      <c r="M646" s="1655" t="s">
        <v>70</v>
      </c>
      <c r="N646" s="1655" t="s">
        <v>1784</v>
      </c>
      <c r="O646" s="1655" t="s">
        <v>402</v>
      </c>
      <c r="P646" s="1655" t="s">
        <v>42</v>
      </c>
      <c r="Q646" s="1655" t="s">
        <v>569</v>
      </c>
      <c r="S646" s="1655" t="s">
        <v>70</v>
      </c>
      <c r="T646" s="1655" t="s">
        <v>1784</v>
      </c>
      <c r="U646" s="1655" t="s">
        <v>402</v>
      </c>
      <c r="V646" s="1655" t="s">
        <v>42</v>
      </c>
      <c r="W646" s="1655" t="s">
        <v>569</v>
      </c>
    </row>
    <row r="647" spans="1:23">
      <c r="A647" s="1655" t="s">
        <v>70</v>
      </c>
      <c r="B647" s="1655" t="s">
        <v>1785</v>
      </c>
      <c r="C647" s="1655" t="s">
        <v>402</v>
      </c>
      <c r="D647" s="1655" t="s">
        <v>42</v>
      </c>
      <c r="E647" s="1655" t="s">
        <v>569</v>
      </c>
      <c r="G647" s="1655" t="s">
        <v>70</v>
      </c>
      <c r="H647" s="1655" t="s">
        <v>1785</v>
      </c>
      <c r="I647" s="1655" t="s">
        <v>402</v>
      </c>
      <c r="J647" s="1655" t="s">
        <v>42</v>
      </c>
      <c r="K647" s="1655" t="s">
        <v>569</v>
      </c>
      <c r="M647" s="1655" t="s">
        <v>70</v>
      </c>
      <c r="N647" s="1655" t="s">
        <v>1785</v>
      </c>
      <c r="O647" s="1655" t="s">
        <v>402</v>
      </c>
      <c r="P647" s="1655" t="s">
        <v>42</v>
      </c>
      <c r="Q647" s="1655" t="s">
        <v>569</v>
      </c>
      <c r="S647" s="1655" t="s">
        <v>70</v>
      </c>
      <c r="T647" s="1655" t="s">
        <v>1785</v>
      </c>
      <c r="U647" s="1655" t="s">
        <v>402</v>
      </c>
      <c r="V647" s="1655" t="s">
        <v>42</v>
      </c>
      <c r="W647" s="1655" t="s">
        <v>569</v>
      </c>
    </row>
    <row r="648" spans="1:23">
      <c r="A648" s="1655" t="s">
        <v>70</v>
      </c>
      <c r="B648" s="1655" t="s">
        <v>1786</v>
      </c>
      <c r="C648" s="1655" t="s">
        <v>402</v>
      </c>
      <c r="D648" s="1655" t="s">
        <v>42</v>
      </c>
      <c r="E648" s="1655" t="s">
        <v>569</v>
      </c>
      <c r="G648" s="1655" t="s">
        <v>70</v>
      </c>
      <c r="H648" s="1655" t="s">
        <v>1786</v>
      </c>
      <c r="I648" s="1655" t="s">
        <v>402</v>
      </c>
      <c r="J648" s="1655" t="s">
        <v>42</v>
      </c>
      <c r="K648" s="1655" t="s">
        <v>569</v>
      </c>
      <c r="M648" s="1655" t="s">
        <v>70</v>
      </c>
      <c r="N648" s="1655" t="s">
        <v>1786</v>
      </c>
      <c r="O648" s="1655" t="s">
        <v>402</v>
      </c>
      <c r="P648" s="1655" t="s">
        <v>42</v>
      </c>
      <c r="Q648" s="1655" t="s">
        <v>569</v>
      </c>
      <c r="S648" s="1655" t="s">
        <v>70</v>
      </c>
      <c r="T648" s="1655" t="s">
        <v>1786</v>
      </c>
      <c r="U648" s="1655" t="s">
        <v>402</v>
      </c>
      <c r="V648" s="1655" t="s">
        <v>42</v>
      </c>
      <c r="W648" s="1655" t="s">
        <v>569</v>
      </c>
    </row>
    <row r="649" spans="1:23">
      <c r="A649" s="1655" t="s">
        <v>70</v>
      </c>
      <c r="B649" s="1655" t="s">
        <v>1787</v>
      </c>
      <c r="C649" s="1655" t="s">
        <v>402</v>
      </c>
      <c r="D649" s="1655" t="s">
        <v>42</v>
      </c>
      <c r="E649" s="1655" t="s">
        <v>569</v>
      </c>
      <c r="G649" s="1655" t="s">
        <v>70</v>
      </c>
      <c r="H649" s="1655" t="s">
        <v>1787</v>
      </c>
      <c r="I649" s="1655" t="s">
        <v>402</v>
      </c>
      <c r="J649" s="1655" t="s">
        <v>42</v>
      </c>
      <c r="K649" s="1655" t="s">
        <v>569</v>
      </c>
      <c r="M649" s="1655" t="s">
        <v>70</v>
      </c>
      <c r="N649" s="1655" t="s">
        <v>1787</v>
      </c>
      <c r="O649" s="1655" t="s">
        <v>402</v>
      </c>
      <c r="P649" s="1655" t="s">
        <v>42</v>
      </c>
      <c r="Q649" s="1655" t="s">
        <v>569</v>
      </c>
      <c r="S649" s="1655" t="s">
        <v>70</v>
      </c>
      <c r="T649" s="1655" t="s">
        <v>1787</v>
      </c>
      <c r="U649" s="1655" t="s">
        <v>402</v>
      </c>
      <c r="V649" s="1655" t="s">
        <v>42</v>
      </c>
      <c r="W649" s="1655" t="s">
        <v>569</v>
      </c>
    </row>
    <row r="650" spans="1:23">
      <c r="A650" s="1655" t="s">
        <v>70</v>
      </c>
      <c r="B650" s="1655" t="s">
        <v>1788</v>
      </c>
      <c r="C650" s="1655" t="s">
        <v>402</v>
      </c>
      <c r="D650" s="1655" t="s">
        <v>42</v>
      </c>
      <c r="E650" s="1655" t="s">
        <v>569</v>
      </c>
      <c r="G650" s="1655" t="s">
        <v>70</v>
      </c>
      <c r="H650" s="1655" t="s">
        <v>1788</v>
      </c>
      <c r="I650" s="1655" t="s">
        <v>402</v>
      </c>
      <c r="J650" s="1655" t="s">
        <v>42</v>
      </c>
      <c r="K650" s="1655" t="s">
        <v>569</v>
      </c>
      <c r="M650" s="1655" t="s">
        <v>70</v>
      </c>
      <c r="N650" s="1655" t="s">
        <v>1788</v>
      </c>
      <c r="O650" s="1655" t="s">
        <v>402</v>
      </c>
      <c r="P650" s="1655" t="s">
        <v>42</v>
      </c>
      <c r="Q650" s="1655" t="s">
        <v>569</v>
      </c>
      <c r="S650" s="1655" t="s">
        <v>70</v>
      </c>
      <c r="T650" s="1655" t="s">
        <v>1788</v>
      </c>
      <c r="U650" s="1655" t="s">
        <v>402</v>
      </c>
      <c r="V650" s="1655" t="s">
        <v>42</v>
      </c>
      <c r="W650" s="1655" t="s">
        <v>569</v>
      </c>
    </row>
    <row r="651" spans="1:23">
      <c r="A651" s="1655" t="s">
        <v>70</v>
      </c>
      <c r="B651" s="1655" t="s">
        <v>1789</v>
      </c>
      <c r="C651" s="1655" t="s">
        <v>402</v>
      </c>
      <c r="D651" s="1655" t="s">
        <v>42</v>
      </c>
      <c r="E651" s="1655" t="s">
        <v>569</v>
      </c>
      <c r="G651" s="1655" t="s">
        <v>70</v>
      </c>
      <c r="H651" s="1655" t="s">
        <v>1789</v>
      </c>
      <c r="I651" s="1655" t="s">
        <v>402</v>
      </c>
      <c r="J651" s="1655" t="s">
        <v>42</v>
      </c>
      <c r="K651" s="1655" t="s">
        <v>569</v>
      </c>
      <c r="M651" s="1655" t="s">
        <v>70</v>
      </c>
      <c r="N651" s="1655" t="s">
        <v>1789</v>
      </c>
      <c r="O651" s="1655" t="s">
        <v>402</v>
      </c>
      <c r="P651" s="1655" t="s">
        <v>42</v>
      </c>
      <c r="Q651" s="1655" t="s">
        <v>569</v>
      </c>
      <c r="S651" s="1655" t="s">
        <v>70</v>
      </c>
      <c r="T651" s="1655" t="s">
        <v>1789</v>
      </c>
      <c r="U651" s="1655" t="s">
        <v>402</v>
      </c>
      <c r="V651" s="1655" t="s">
        <v>42</v>
      </c>
      <c r="W651" s="1655" t="s">
        <v>569</v>
      </c>
    </row>
    <row r="652" spans="1:23">
      <c r="A652" s="1655" t="s">
        <v>70</v>
      </c>
      <c r="B652" s="1655" t="s">
        <v>1790</v>
      </c>
      <c r="C652" s="1655" t="s">
        <v>402</v>
      </c>
      <c r="D652" s="1655" t="s">
        <v>42</v>
      </c>
      <c r="E652" s="1655" t="s">
        <v>569</v>
      </c>
      <c r="G652" s="1655" t="s">
        <v>70</v>
      </c>
      <c r="H652" s="1655" t="s">
        <v>1790</v>
      </c>
      <c r="I652" s="1655" t="s">
        <v>402</v>
      </c>
      <c r="J652" s="1655" t="s">
        <v>42</v>
      </c>
      <c r="K652" s="1655" t="s">
        <v>569</v>
      </c>
      <c r="M652" s="1655" t="s">
        <v>70</v>
      </c>
      <c r="N652" s="1655" t="s">
        <v>1790</v>
      </c>
      <c r="O652" s="1655" t="s">
        <v>402</v>
      </c>
      <c r="P652" s="1655" t="s">
        <v>42</v>
      </c>
      <c r="Q652" s="1655" t="s">
        <v>569</v>
      </c>
      <c r="S652" s="1655" t="s">
        <v>70</v>
      </c>
      <c r="T652" s="1655" t="s">
        <v>1790</v>
      </c>
      <c r="U652" s="1655" t="s">
        <v>402</v>
      </c>
      <c r="V652" s="1655" t="s">
        <v>42</v>
      </c>
      <c r="W652" s="1655" t="s">
        <v>569</v>
      </c>
    </row>
    <row r="653" spans="1:23">
      <c r="A653" s="1655" t="s">
        <v>70</v>
      </c>
      <c r="B653" s="1655" t="s">
        <v>1791</v>
      </c>
      <c r="C653" s="1655" t="s">
        <v>395</v>
      </c>
      <c r="D653" s="1655" t="s">
        <v>42</v>
      </c>
      <c r="E653" s="1655" t="s">
        <v>569</v>
      </c>
      <c r="G653" s="1655" t="s">
        <v>70</v>
      </c>
      <c r="H653" s="1655" t="s">
        <v>1791</v>
      </c>
      <c r="I653" s="1655" t="s">
        <v>402</v>
      </c>
      <c r="J653" s="1655" t="s">
        <v>42</v>
      </c>
      <c r="K653" s="1655" t="s">
        <v>569</v>
      </c>
      <c r="M653" s="1655" t="s">
        <v>70</v>
      </c>
      <c r="N653" s="1655" t="s">
        <v>1791</v>
      </c>
      <c r="O653" s="1655" t="s">
        <v>402</v>
      </c>
      <c r="P653" s="1655" t="s">
        <v>42</v>
      </c>
      <c r="Q653" s="1655" t="s">
        <v>569</v>
      </c>
      <c r="S653" s="1655" t="s">
        <v>70</v>
      </c>
      <c r="T653" s="1655" t="s">
        <v>1791</v>
      </c>
      <c r="U653" s="1655" t="s">
        <v>402</v>
      </c>
      <c r="V653" s="1655" t="s">
        <v>42</v>
      </c>
      <c r="W653" s="1655" t="s">
        <v>569</v>
      </c>
    </row>
    <row r="654" spans="1:23">
      <c r="A654" s="1655" t="s">
        <v>70</v>
      </c>
      <c r="B654" s="1655" t="s">
        <v>1792</v>
      </c>
      <c r="C654" s="1655" t="s">
        <v>395</v>
      </c>
      <c r="D654" s="1655" t="s">
        <v>42</v>
      </c>
      <c r="E654" s="1655" t="s">
        <v>569</v>
      </c>
      <c r="G654" s="1655" t="s">
        <v>70</v>
      </c>
      <c r="H654" s="1655" t="s">
        <v>1792</v>
      </c>
      <c r="I654" s="1655" t="s">
        <v>402</v>
      </c>
      <c r="J654" s="1655" t="s">
        <v>42</v>
      </c>
      <c r="K654" s="1655" t="s">
        <v>569</v>
      </c>
      <c r="M654" s="1655" t="s">
        <v>70</v>
      </c>
      <c r="N654" s="1655" t="s">
        <v>1792</v>
      </c>
      <c r="O654" s="1655" t="s">
        <v>402</v>
      </c>
      <c r="P654" s="1655" t="s">
        <v>42</v>
      </c>
      <c r="Q654" s="1655" t="s">
        <v>569</v>
      </c>
      <c r="S654" s="1655" t="s">
        <v>70</v>
      </c>
      <c r="T654" s="1655" t="s">
        <v>1792</v>
      </c>
      <c r="U654" s="1655" t="s">
        <v>402</v>
      </c>
      <c r="V654" s="1655" t="s">
        <v>42</v>
      </c>
      <c r="W654" s="1655" t="s">
        <v>569</v>
      </c>
    </row>
    <row r="655" spans="1:23">
      <c r="A655" s="1655" t="s">
        <v>70</v>
      </c>
      <c r="B655" s="1655" t="s">
        <v>1793</v>
      </c>
      <c r="C655" s="1655" t="s">
        <v>402</v>
      </c>
      <c r="D655" s="1655" t="s">
        <v>42</v>
      </c>
      <c r="E655" s="1655" t="s">
        <v>569</v>
      </c>
      <c r="G655" s="1655" t="s">
        <v>70</v>
      </c>
      <c r="H655" s="1655" t="s">
        <v>1793</v>
      </c>
      <c r="I655" s="1655" t="s">
        <v>402</v>
      </c>
      <c r="J655" s="1655" t="s">
        <v>42</v>
      </c>
      <c r="K655" s="1655" t="s">
        <v>569</v>
      </c>
      <c r="M655" s="1655" t="s">
        <v>70</v>
      </c>
      <c r="N655" s="1655" t="s">
        <v>1793</v>
      </c>
      <c r="O655" s="1655" t="s">
        <v>402</v>
      </c>
      <c r="P655" s="1655" t="s">
        <v>42</v>
      </c>
      <c r="Q655" s="1655" t="s">
        <v>569</v>
      </c>
      <c r="S655" s="1655" t="s">
        <v>70</v>
      </c>
      <c r="T655" s="1655" t="s">
        <v>1793</v>
      </c>
      <c r="U655" s="1655" t="s">
        <v>402</v>
      </c>
      <c r="V655" s="1655" t="s">
        <v>42</v>
      </c>
      <c r="W655" s="1655" t="s">
        <v>569</v>
      </c>
    </row>
    <row r="656" spans="1:23">
      <c r="A656" s="1655" t="s">
        <v>70</v>
      </c>
      <c r="B656" s="1655" t="s">
        <v>1794</v>
      </c>
      <c r="C656" s="1655" t="s">
        <v>395</v>
      </c>
      <c r="D656" s="1655" t="s">
        <v>42</v>
      </c>
      <c r="E656" s="1655" t="s">
        <v>569</v>
      </c>
      <c r="G656" s="1655" t="s">
        <v>70</v>
      </c>
      <c r="H656" s="1655" t="s">
        <v>1794</v>
      </c>
      <c r="I656" s="1655" t="s">
        <v>402</v>
      </c>
      <c r="J656" s="1655" t="s">
        <v>42</v>
      </c>
      <c r="K656" s="1655" t="s">
        <v>569</v>
      </c>
      <c r="M656" s="1655" t="s">
        <v>70</v>
      </c>
      <c r="N656" s="1655" t="s">
        <v>1794</v>
      </c>
      <c r="O656" s="1655" t="s">
        <v>402</v>
      </c>
      <c r="P656" s="1655" t="s">
        <v>42</v>
      </c>
      <c r="Q656" s="1655" t="s">
        <v>569</v>
      </c>
      <c r="S656" s="1655" t="s">
        <v>70</v>
      </c>
      <c r="T656" s="1655" t="s">
        <v>1794</v>
      </c>
      <c r="U656" s="1655" t="s">
        <v>402</v>
      </c>
      <c r="V656" s="1655" t="s">
        <v>42</v>
      </c>
      <c r="W656" s="1655" t="s">
        <v>569</v>
      </c>
    </row>
    <row r="657" spans="1:23">
      <c r="A657" s="1655" t="s">
        <v>70</v>
      </c>
      <c r="B657" s="1655" t="s">
        <v>1795</v>
      </c>
      <c r="C657" s="1655" t="s">
        <v>395</v>
      </c>
      <c r="D657" s="1655" t="s">
        <v>42</v>
      </c>
      <c r="E657" s="1655" t="s">
        <v>569</v>
      </c>
      <c r="G657" s="1655" t="s">
        <v>70</v>
      </c>
      <c r="H657" s="1655" t="s">
        <v>1795</v>
      </c>
      <c r="I657" s="1655" t="s">
        <v>402</v>
      </c>
      <c r="J657" s="1655" t="s">
        <v>42</v>
      </c>
      <c r="K657" s="1655" t="s">
        <v>569</v>
      </c>
      <c r="M657" s="1655" t="s">
        <v>70</v>
      </c>
      <c r="N657" s="1655" t="s">
        <v>1795</v>
      </c>
      <c r="O657" s="1655" t="s">
        <v>402</v>
      </c>
      <c r="P657" s="1655" t="s">
        <v>42</v>
      </c>
      <c r="Q657" s="1655" t="s">
        <v>569</v>
      </c>
      <c r="S657" s="1655" t="s">
        <v>70</v>
      </c>
      <c r="T657" s="1655" t="s">
        <v>1795</v>
      </c>
      <c r="U657" s="1655" t="s">
        <v>402</v>
      </c>
      <c r="V657" s="1655" t="s">
        <v>42</v>
      </c>
      <c r="W657" s="1655" t="s">
        <v>569</v>
      </c>
    </row>
    <row r="658" spans="1:23">
      <c r="A658" s="1655" t="s">
        <v>70</v>
      </c>
      <c r="B658" s="1655" t="s">
        <v>1796</v>
      </c>
      <c r="C658" s="1655" t="s">
        <v>395</v>
      </c>
      <c r="D658" s="1655" t="s">
        <v>42</v>
      </c>
      <c r="E658" s="1655" t="s">
        <v>569</v>
      </c>
      <c r="G658" s="1655" t="s">
        <v>70</v>
      </c>
      <c r="H658" s="1655" t="s">
        <v>1796</v>
      </c>
      <c r="I658" s="1655" t="s">
        <v>402</v>
      </c>
      <c r="J658" s="1655" t="s">
        <v>42</v>
      </c>
      <c r="K658" s="1655" t="s">
        <v>569</v>
      </c>
      <c r="M658" s="1655" t="s">
        <v>70</v>
      </c>
      <c r="N658" s="1655" t="s">
        <v>1796</v>
      </c>
      <c r="O658" s="1655" t="s">
        <v>402</v>
      </c>
      <c r="P658" s="1655" t="s">
        <v>42</v>
      </c>
      <c r="Q658" s="1655" t="s">
        <v>569</v>
      </c>
      <c r="S658" s="1655" t="s">
        <v>70</v>
      </c>
      <c r="T658" s="1655" t="s">
        <v>1796</v>
      </c>
      <c r="U658" s="1655" t="s">
        <v>402</v>
      </c>
      <c r="V658" s="1655" t="s">
        <v>42</v>
      </c>
      <c r="W658" s="1655" t="s">
        <v>569</v>
      </c>
    </row>
    <row r="659" spans="1:23">
      <c r="A659" s="1655" t="s">
        <v>70</v>
      </c>
      <c r="B659" s="1655" t="s">
        <v>1797</v>
      </c>
      <c r="C659" s="1655" t="s">
        <v>402</v>
      </c>
      <c r="D659" s="1655" t="s">
        <v>42</v>
      </c>
      <c r="E659" s="1655" t="s">
        <v>569</v>
      </c>
      <c r="G659" s="1655" t="s">
        <v>70</v>
      </c>
      <c r="H659" s="1655" t="s">
        <v>1797</v>
      </c>
      <c r="I659" s="1655" t="s">
        <v>395</v>
      </c>
      <c r="J659" s="1655" t="s">
        <v>42</v>
      </c>
      <c r="K659" s="1655" t="s">
        <v>569</v>
      </c>
      <c r="M659" s="1655" t="s">
        <v>70</v>
      </c>
      <c r="N659" s="1655" t="s">
        <v>1797</v>
      </c>
      <c r="O659" s="1655" t="s">
        <v>402</v>
      </c>
      <c r="P659" s="1655" t="s">
        <v>42</v>
      </c>
      <c r="Q659" s="1655" t="s">
        <v>569</v>
      </c>
      <c r="S659" s="1655" t="s">
        <v>70</v>
      </c>
      <c r="T659" s="1655" t="s">
        <v>1797</v>
      </c>
      <c r="U659" s="1655" t="s">
        <v>402</v>
      </c>
      <c r="V659" s="1655" t="s">
        <v>42</v>
      </c>
      <c r="W659" s="1655" t="s">
        <v>569</v>
      </c>
    </row>
    <row r="660" spans="1:23">
      <c r="A660" s="1655" t="s">
        <v>70</v>
      </c>
      <c r="B660" s="1655" t="s">
        <v>1798</v>
      </c>
      <c r="C660" s="1655" t="s">
        <v>402</v>
      </c>
      <c r="D660" s="1655" t="s">
        <v>42</v>
      </c>
      <c r="E660" s="1655" t="s">
        <v>569</v>
      </c>
      <c r="G660" s="1655" t="s">
        <v>70</v>
      </c>
      <c r="H660" s="1655" t="s">
        <v>1798</v>
      </c>
      <c r="I660" s="1655" t="s">
        <v>395</v>
      </c>
      <c r="J660" s="1655" t="s">
        <v>42</v>
      </c>
      <c r="K660" s="1655" t="s">
        <v>569</v>
      </c>
      <c r="M660" s="1655" t="s">
        <v>70</v>
      </c>
      <c r="N660" s="1655" t="s">
        <v>1798</v>
      </c>
      <c r="O660" s="1655" t="s">
        <v>395</v>
      </c>
      <c r="P660" s="1655" t="s">
        <v>42</v>
      </c>
      <c r="Q660" s="1655" t="s">
        <v>569</v>
      </c>
      <c r="S660" s="1655" t="s">
        <v>70</v>
      </c>
      <c r="T660" s="1655" t="s">
        <v>1798</v>
      </c>
      <c r="U660" s="1655" t="s">
        <v>402</v>
      </c>
      <c r="V660" s="1655" t="s">
        <v>42</v>
      </c>
      <c r="W660" s="1655" t="s">
        <v>569</v>
      </c>
    </row>
    <row r="661" spans="1:23">
      <c r="A661" s="1655" t="s">
        <v>70</v>
      </c>
      <c r="B661" s="1655" t="s">
        <v>1799</v>
      </c>
      <c r="C661" s="1655" t="s">
        <v>402</v>
      </c>
      <c r="D661" s="1655" t="s">
        <v>42</v>
      </c>
      <c r="E661" s="1655" t="s">
        <v>569</v>
      </c>
      <c r="G661" s="1655" t="s">
        <v>70</v>
      </c>
      <c r="H661" s="1655" t="s">
        <v>1799</v>
      </c>
      <c r="I661" s="1655" t="s">
        <v>395</v>
      </c>
      <c r="J661" s="1655" t="s">
        <v>42</v>
      </c>
      <c r="K661" s="1655" t="s">
        <v>569</v>
      </c>
      <c r="M661" s="1655" t="s">
        <v>70</v>
      </c>
      <c r="N661" s="1655" t="s">
        <v>1799</v>
      </c>
      <c r="O661" s="1655" t="s">
        <v>395</v>
      </c>
      <c r="P661" s="1655" t="s">
        <v>42</v>
      </c>
      <c r="Q661" s="1655" t="s">
        <v>569</v>
      </c>
      <c r="S661" s="1655" t="s">
        <v>70</v>
      </c>
      <c r="T661" s="1655" t="s">
        <v>1799</v>
      </c>
      <c r="U661" s="1655" t="s">
        <v>402</v>
      </c>
      <c r="V661" s="1655" t="s">
        <v>42</v>
      </c>
      <c r="W661" s="1655" t="s">
        <v>569</v>
      </c>
    </row>
    <row r="662" spans="1:23">
      <c r="A662" s="1655" t="s">
        <v>70</v>
      </c>
      <c r="B662" s="1655" t="s">
        <v>1800</v>
      </c>
      <c r="C662" s="1655" t="s">
        <v>402</v>
      </c>
      <c r="D662" s="1655" t="s">
        <v>42</v>
      </c>
      <c r="E662" s="1655" t="s">
        <v>569</v>
      </c>
      <c r="G662" s="1655" t="s">
        <v>70</v>
      </c>
      <c r="H662" s="1655" t="s">
        <v>1800</v>
      </c>
      <c r="I662" s="1655" t="s">
        <v>395</v>
      </c>
      <c r="J662" s="1655" t="s">
        <v>42</v>
      </c>
      <c r="K662" s="1655" t="s">
        <v>569</v>
      </c>
      <c r="M662" s="1655" t="s">
        <v>70</v>
      </c>
      <c r="N662" s="1655" t="s">
        <v>1800</v>
      </c>
      <c r="O662" s="1655" t="s">
        <v>402</v>
      </c>
      <c r="P662" s="1655" t="s">
        <v>42</v>
      </c>
      <c r="Q662" s="1655" t="s">
        <v>569</v>
      </c>
      <c r="S662" s="1655" t="s">
        <v>70</v>
      </c>
      <c r="T662" s="1655" t="s">
        <v>1800</v>
      </c>
      <c r="U662" s="1655" t="s">
        <v>402</v>
      </c>
      <c r="V662" s="1655" t="s">
        <v>42</v>
      </c>
      <c r="W662" s="1655" t="s">
        <v>569</v>
      </c>
    </row>
    <row r="663" spans="1:23">
      <c r="A663" s="1655" t="s">
        <v>70</v>
      </c>
      <c r="B663" s="1655" t="s">
        <v>1801</v>
      </c>
      <c r="C663" s="1655" t="s">
        <v>402</v>
      </c>
      <c r="D663" s="1655" t="s">
        <v>42</v>
      </c>
      <c r="E663" s="1655" t="s">
        <v>569</v>
      </c>
      <c r="G663" s="1655" t="s">
        <v>70</v>
      </c>
      <c r="H663" s="1655" t="s">
        <v>1801</v>
      </c>
      <c r="I663" s="1655" t="s">
        <v>395</v>
      </c>
      <c r="J663" s="1655" t="s">
        <v>42</v>
      </c>
      <c r="K663" s="1655" t="s">
        <v>569</v>
      </c>
      <c r="M663" s="1655" t="s">
        <v>70</v>
      </c>
      <c r="N663" s="1655" t="s">
        <v>1801</v>
      </c>
      <c r="O663" s="1655" t="s">
        <v>402</v>
      </c>
      <c r="P663" s="1655" t="s">
        <v>42</v>
      </c>
      <c r="Q663" s="1655" t="s">
        <v>569</v>
      </c>
      <c r="S663" s="1655" t="s">
        <v>70</v>
      </c>
      <c r="T663" s="1655" t="s">
        <v>1801</v>
      </c>
      <c r="U663" s="1655" t="s">
        <v>402</v>
      </c>
      <c r="V663" s="1655" t="s">
        <v>42</v>
      </c>
      <c r="W663" s="1655" t="s">
        <v>569</v>
      </c>
    </row>
    <row r="664" spans="1:23">
      <c r="A664" s="1655" t="s">
        <v>70</v>
      </c>
      <c r="B664" s="1655" t="s">
        <v>1802</v>
      </c>
      <c r="C664" s="1655" t="s">
        <v>402</v>
      </c>
      <c r="D664" s="1655" t="s">
        <v>42</v>
      </c>
      <c r="E664" s="1655" t="s">
        <v>569</v>
      </c>
      <c r="G664" s="1655" t="s">
        <v>70</v>
      </c>
      <c r="H664" s="1655" t="s">
        <v>1802</v>
      </c>
      <c r="I664" s="1655" t="s">
        <v>395</v>
      </c>
      <c r="J664" s="1655" t="s">
        <v>42</v>
      </c>
      <c r="K664" s="1655" t="s">
        <v>569</v>
      </c>
      <c r="M664" s="1655" t="s">
        <v>70</v>
      </c>
      <c r="N664" s="1655" t="s">
        <v>1802</v>
      </c>
      <c r="O664" s="1655" t="s">
        <v>402</v>
      </c>
      <c r="P664" s="1655" t="s">
        <v>42</v>
      </c>
      <c r="Q664" s="1655" t="s">
        <v>569</v>
      </c>
      <c r="S664" s="1655" t="s">
        <v>70</v>
      </c>
      <c r="T664" s="1655" t="s">
        <v>1802</v>
      </c>
      <c r="U664" s="1655" t="s">
        <v>402</v>
      </c>
      <c r="V664" s="1655" t="s">
        <v>42</v>
      </c>
      <c r="W664" s="1655" t="s">
        <v>569</v>
      </c>
    </row>
    <row r="665" spans="1:23">
      <c r="A665" s="1655" t="s">
        <v>70</v>
      </c>
      <c r="B665" s="1655" t="s">
        <v>1803</v>
      </c>
      <c r="C665" s="1655" t="s">
        <v>402</v>
      </c>
      <c r="D665" s="1655" t="s">
        <v>42</v>
      </c>
      <c r="E665" s="1655" t="s">
        <v>569</v>
      </c>
      <c r="G665" s="1655" t="s">
        <v>70</v>
      </c>
      <c r="H665" s="1655" t="s">
        <v>1803</v>
      </c>
      <c r="I665" s="1655" t="s">
        <v>395</v>
      </c>
      <c r="J665" s="1655" t="s">
        <v>42</v>
      </c>
      <c r="K665" s="1655" t="s">
        <v>569</v>
      </c>
      <c r="M665" s="1655" t="s">
        <v>70</v>
      </c>
      <c r="N665" s="1655" t="s">
        <v>1803</v>
      </c>
      <c r="O665" s="1655" t="s">
        <v>395</v>
      </c>
      <c r="P665" s="1655" t="s">
        <v>42</v>
      </c>
      <c r="Q665" s="1655" t="s">
        <v>569</v>
      </c>
      <c r="S665" s="1655" t="s">
        <v>70</v>
      </c>
      <c r="T665" s="1655" t="s">
        <v>1803</v>
      </c>
      <c r="U665" s="1655" t="s">
        <v>402</v>
      </c>
      <c r="V665" s="1655" t="s">
        <v>42</v>
      </c>
      <c r="W665" s="1655" t="s">
        <v>569</v>
      </c>
    </row>
    <row r="666" spans="1:23">
      <c r="A666" s="1655" t="s">
        <v>70</v>
      </c>
      <c r="B666" s="1655" t="s">
        <v>1804</v>
      </c>
      <c r="C666" s="1655" t="s">
        <v>402</v>
      </c>
      <c r="D666" s="1655" t="s">
        <v>42</v>
      </c>
      <c r="E666" s="1655" t="s">
        <v>569</v>
      </c>
      <c r="G666" s="1655" t="s">
        <v>70</v>
      </c>
      <c r="H666" s="1655" t="s">
        <v>1804</v>
      </c>
      <c r="I666" s="1655" t="s">
        <v>395</v>
      </c>
      <c r="J666" s="1655" t="s">
        <v>42</v>
      </c>
      <c r="K666" s="1655" t="s">
        <v>569</v>
      </c>
      <c r="M666" s="1655" t="s">
        <v>70</v>
      </c>
      <c r="N666" s="1655" t="s">
        <v>1804</v>
      </c>
      <c r="O666" s="1655" t="s">
        <v>395</v>
      </c>
      <c r="P666" s="1655" t="s">
        <v>42</v>
      </c>
      <c r="Q666" s="1655" t="s">
        <v>569</v>
      </c>
      <c r="S666" s="1655" t="s">
        <v>70</v>
      </c>
      <c r="T666" s="1655" t="s">
        <v>1804</v>
      </c>
      <c r="U666" s="1655" t="s">
        <v>402</v>
      </c>
      <c r="V666" s="1655" t="s">
        <v>42</v>
      </c>
      <c r="W666" s="1655" t="s">
        <v>569</v>
      </c>
    </row>
    <row r="667" spans="1:23">
      <c r="A667" s="1655" t="s">
        <v>70</v>
      </c>
      <c r="B667" s="1655" t="s">
        <v>1805</v>
      </c>
      <c r="C667" s="1655" t="s">
        <v>402</v>
      </c>
      <c r="D667" s="1655" t="s">
        <v>42</v>
      </c>
      <c r="E667" s="1655" t="s">
        <v>569</v>
      </c>
      <c r="G667" s="1655" t="s">
        <v>70</v>
      </c>
      <c r="H667" s="1655" t="s">
        <v>1805</v>
      </c>
      <c r="I667" s="1655" t="s">
        <v>395</v>
      </c>
      <c r="J667" s="1655" t="s">
        <v>42</v>
      </c>
      <c r="K667" s="1655" t="s">
        <v>569</v>
      </c>
      <c r="M667" s="1655" t="s">
        <v>70</v>
      </c>
      <c r="N667" s="1655" t="s">
        <v>1805</v>
      </c>
      <c r="O667" s="1655" t="s">
        <v>395</v>
      </c>
      <c r="P667" s="1655" t="s">
        <v>42</v>
      </c>
      <c r="Q667" s="1655" t="s">
        <v>569</v>
      </c>
      <c r="S667" s="1655" t="s">
        <v>70</v>
      </c>
      <c r="T667" s="1655" t="s">
        <v>1805</v>
      </c>
      <c r="U667" s="1655" t="s">
        <v>402</v>
      </c>
      <c r="V667" s="1655" t="s">
        <v>42</v>
      </c>
      <c r="W667" s="1655" t="s">
        <v>569</v>
      </c>
    </row>
    <row r="668" spans="1:23">
      <c r="A668" s="1655" t="s">
        <v>70</v>
      </c>
      <c r="B668" s="1655" t="s">
        <v>1806</v>
      </c>
      <c r="C668" s="1655" t="s">
        <v>402</v>
      </c>
      <c r="D668" s="1655" t="s">
        <v>42</v>
      </c>
      <c r="E668" s="1655" t="s">
        <v>569</v>
      </c>
      <c r="G668" s="1655" t="s">
        <v>70</v>
      </c>
      <c r="H668" s="1655" t="s">
        <v>1806</v>
      </c>
      <c r="I668" s="1655" t="s">
        <v>395</v>
      </c>
      <c r="J668" s="1655" t="s">
        <v>42</v>
      </c>
      <c r="K668" s="1655" t="s">
        <v>569</v>
      </c>
      <c r="M668" s="1655" t="s">
        <v>70</v>
      </c>
      <c r="N668" s="1655" t="s">
        <v>1806</v>
      </c>
      <c r="O668" s="1655" t="s">
        <v>395</v>
      </c>
      <c r="P668" s="1655" t="s">
        <v>42</v>
      </c>
      <c r="Q668" s="1655" t="s">
        <v>569</v>
      </c>
      <c r="S668" s="1655" t="s">
        <v>70</v>
      </c>
      <c r="T668" s="1655" t="s">
        <v>1806</v>
      </c>
      <c r="U668" s="1655" t="s">
        <v>402</v>
      </c>
      <c r="V668" s="1655" t="s">
        <v>42</v>
      </c>
      <c r="W668" s="1655" t="s">
        <v>569</v>
      </c>
    </row>
    <row r="669" spans="1:23">
      <c r="A669" s="1655" t="s">
        <v>70</v>
      </c>
      <c r="B669" s="1655" t="s">
        <v>1807</v>
      </c>
      <c r="C669" s="1655" t="s">
        <v>402</v>
      </c>
      <c r="D669" s="1655" t="s">
        <v>42</v>
      </c>
      <c r="E669" s="1655" t="s">
        <v>569</v>
      </c>
      <c r="G669" s="1655" t="s">
        <v>70</v>
      </c>
      <c r="H669" s="1655" t="s">
        <v>1807</v>
      </c>
      <c r="I669" s="1655" t="s">
        <v>395</v>
      </c>
      <c r="J669" s="1655" t="s">
        <v>42</v>
      </c>
      <c r="K669" s="1655" t="s">
        <v>569</v>
      </c>
      <c r="M669" s="1655" t="s">
        <v>70</v>
      </c>
      <c r="N669" s="1655" t="s">
        <v>1807</v>
      </c>
      <c r="O669" s="1655" t="s">
        <v>402</v>
      </c>
      <c r="P669" s="1655" t="s">
        <v>42</v>
      </c>
      <c r="Q669" s="1655" t="s">
        <v>569</v>
      </c>
      <c r="S669" s="1655" t="s">
        <v>70</v>
      </c>
      <c r="T669" s="1655" t="s">
        <v>1807</v>
      </c>
      <c r="U669" s="1655" t="s">
        <v>402</v>
      </c>
      <c r="V669" s="1655" t="s">
        <v>42</v>
      </c>
      <c r="W669" s="1655" t="s">
        <v>569</v>
      </c>
    </row>
    <row r="670" spans="1:23">
      <c r="A670" s="1655" t="s">
        <v>70</v>
      </c>
      <c r="B670" s="1655" t="s">
        <v>1808</v>
      </c>
      <c r="C670" s="1655" t="s">
        <v>402</v>
      </c>
      <c r="D670" s="1655" t="s">
        <v>42</v>
      </c>
      <c r="E670" s="1655" t="s">
        <v>569</v>
      </c>
      <c r="G670" s="1655" t="s">
        <v>70</v>
      </c>
      <c r="H670" s="1655" t="s">
        <v>1808</v>
      </c>
      <c r="I670" s="1655" t="s">
        <v>395</v>
      </c>
      <c r="J670" s="1655" t="s">
        <v>42</v>
      </c>
      <c r="K670" s="1655" t="s">
        <v>569</v>
      </c>
      <c r="M670" s="1655" t="s">
        <v>70</v>
      </c>
      <c r="N670" s="1655" t="s">
        <v>1808</v>
      </c>
      <c r="O670" s="1655" t="s">
        <v>395</v>
      </c>
      <c r="P670" s="1655" t="s">
        <v>42</v>
      </c>
      <c r="Q670" s="1655" t="s">
        <v>569</v>
      </c>
      <c r="S670" s="1655" t="s">
        <v>70</v>
      </c>
      <c r="T670" s="1655" t="s">
        <v>1808</v>
      </c>
      <c r="U670" s="1655" t="s">
        <v>402</v>
      </c>
      <c r="V670" s="1655" t="s">
        <v>42</v>
      </c>
      <c r="W670" s="1655" t="s">
        <v>569</v>
      </c>
    </row>
    <row r="671" spans="1:23">
      <c r="A671" s="1655" t="s">
        <v>70</v>
      </c>
      <c r="B671" s="1655" t="s">
        <v>1809</v>
      </c>
      <c r="C671" s="1655" t="s">
        <v>395</v>
      </c>
      <c r="D671" s="1655" t="s">
        <v>42</v>
      </c>
      <c r="E671" s="1655" t="s">
        <v>569</v>
      </c>
      <c r="G671" s="1655" t="s">
        <v>70</v>
      </c>
      <c r="H671" s="1655" t="s">
        <v>1809</v>
      </c>
      <c r="I671" s="1655" t="s">
        <v>395</v>
      </c>
      <c r="J671" s="1655" t="s">
        <v>42</v>
      </c>
      <c r="K671" s="1655" t="s">
        <v>569</v>
      </c>
      <c r="M671" s="1655" t="s">
        <v>70</v>
      </c>
      <c r="N671" s="1655" t="s">
        <v>1809</v>
      </c>
      <c r="O671" s="1655" t="s">
        <v>395</v>
      </c>
      <c r="P671" s="1655" t="s">
        <v>42</v>
      </c>
      <c r="Q671" s="1655" t="s">
        <v>569</v>
      </c>
      <c r="S671" s="1655" t="s">
        <v>70</v>
      </c>
      <c r="T671" s="1655" t="s">
        <v>1809</v>
      </c>
      <c r="U671" s="1655" t="s">
        <v>402</v>
      </c>
      <c r="V671" s="1655" t="s">
        <v>42</v>
      </c>
      <c r="W671" s="1655" t="s">
        <v>569</v>
      </c>
    </row>
    <row r="672" spans="1:23">
      <c r="A672" s="1655" t="s">
        <v>70</v>
      </c>
      <c r="B672" s="1655" t="s">
        <v>1810</v>
      </c>
      <c r="C672" s="1655" t="s">
        <v>395</v>
      </c>
      <c r="D672" s="1655" t="s">
        <v>42</v>
      </c>
      <c r="E672" s="1655" t="s">
        <v>569</v>
      </c>
      <c r="G672" s="1655" t="s">
        <v>70</v>
      </c>
      <c r="H672" s="1655" t="s">
        <v>1810</v>
      </c>
      <c r="I672" s="1655" t="s">
        <v>395</v>
      </c>
      <c r="J672" s="1655" t="s">
        <v>42</v>
      </c>
      <c r="K672" s="1655" t="s">
        <v>569</v>
      </c>
      <c r="M672" s="1655" t="s">
        <v>70</v>
      </c>
      <c r="N672" s="1655" t="s">
        <v>1810</v>
      </c>
      <c r="O672" s="1655" t="s">
        <v>395</v>
      </c>
      <c r="P672" s="1655" t="s">
        <v>42</v>
      </c>
      <c r="Q672" s="1655" t="s">
        <v>569</v>
      </c>
      <c r="S672" s="1655" t="s">
        <v>70</v>
      </c>
      <c r="T672" s="1655" t="s">
        <v>1810</v>
      </c>
      <c r="U672" s="1655" t="s">
        <v>402</v>
      </c>
      <c r="V672" s="1655" t="s">
        <v>42</v>
      </c>
      <c r="W672" s="1655" t="s">
        <v>569</v>
      </c>
    </row>
    <row r="673" spans="1:23">
      <c r="A673" s="1655" t="s">
        <v>70</v>
      </c>
      <c r="B673" s="1655" t="s">
        <v>1811</v>
      </c>
      <c r="C673" s="1655" t="s">
        <v>395</v>
      </c>
      <c r="D673" s="1655" t="s">
        <v>42</v>
      </c>
      <c r="E673" s="1655" t="s">
        <v>569</v>
      </c>
      <c r="G673" s="1655" t="s">
        <v>70</v>
      </c>
      <c r="H673" s="1655" t="s">
        <v>1811</v>
      </c>
      <c r="I673" s="1655" t="s">
        <v>395</v>
      </c>
      <c r="J673" s="1655" t="s">
        <v>42</v>
      </c>
      <c r="K673" s="1655" t="s">
        <v>569</v>
      </c>
      <c r="M673" s="1655" t="s">
        <v>70</v>
      </c>
      <c r="N673" s="1655" t="s">
        <v>1811</v>
      </c>
      <c r="O673" s="1655" t="s">
        <v>395</v>
      </c>
      <c r="P673" s="1655" t="s">
        <v>42</v>
      </c>
      <c r="Q673" s="1655" t="s">
        <v>569</v>
      </c>
      <c r="S673" s="1655" t="s">
        <v>70</v>
      </c>
      <c r="T673" s="1655" t="s">
        <v>1811</v>
      </c>
      <c r="U673" s="1655" t="s">
        <v>402</v>
      </c>
      <c r="V673" s="1655" t="s">
        <v>42</v>
      </c>
      <c r="W673" s="1655" t="s">
        <v>569</v>
      </c>
    </row>
    <row r="674" spans="1:23">
      <c r="A674" s="1655" t="s">
        <v>70</v>
      </c>
      <c r="B674" s="1655" t="s">
        <v>1812</v>
      </c>
      <c r="C674" s="1655" t="s">
        <v>395</v>
      </c>
      <c r="D674" s="1655" t="s">
        <v>42</v>
      </c>
      <c r="E674" s="1655" t="s">
        <v>569</v>
      </c>
      <c r="G674" s="1655" t="s">
        <v>70</v>
      </c>
      <c r="H674" s="1655" t="s">
        <v>1812</v>
      </c>
      <c r="I674" s="1655" t="s">
        <v>395</v>
      </c>
      <c r="J674" s="1655" t="s">
        <v>42</v>
      </c>
      <c r="K674" s="1655" t="s">
        <v>569</v>
      </c>
      <c r="M674" s="1655" t="s">
        <v>70</v>
      </c>
      <c r="N674" s="1655" t="s">
        <v>1812</v>
      </c>
      <c r="O674" s="1655" t="s">
        <v>395</v>
      </c>
      <c r="P674" s="1655" t="s">
        <v>42</v>
      </c>
      <c r="Q674" s="1655" t="s">
        <v>569</v>
      </c>
      <c r="S674" s="1655" t="s">
        <v>70</v>
      </c>
      <c r="T674" s="1655" t="s">
        <v>1812</v>
      </c>
      <c r="U674" s="1655" t="s">
        <v>402</v>
      </c>
      <c r="V674" s="1655" t="s">
        <v>42</v>
      </c>
      <c r="W674" s="1655" t="s">
        <v>569</v>
      </c>
    </row>
    <row r="675" spans="1:23">
      <c r="A675" s="1655" t="s">
        <v>70</v>
      </c>
      <c r="B675" s="1655" t="s">
        <v>1813</v>
      </c>
      <c r="C675" s="1655" t="s">
        <v>395</v>
      </c>
      <c r="D675" s="1655" t="s">
        <v>42</v>
      </c>
      <c r="E675" s="1655" t="s">
        <v>569</v>
      </c>
      <c r="G675" s="1655" t="s">
        <v>70</v>
      </c>
      <c r="H675" s="1655" t="s">
        <v>1813</v>
      </c>
      <c r="I675" s="1655" t="s">
        <v>395</v>
      </c>
      <c r="J675" s="1655" t="s">
        <v>42</v>
      </c>
      <c r="K675" s="1655" t="s">
        <v>569</v>
      </c>
      <c r="M675" s="1655" t="s">
        <v>70</v>
      </c>
      <c r="N675" s="1655" t="s">
        <v>1813</v>
      </c>
      <c r="O675" s="1655" t="s">
        <v>395</v>
      </c>
      <c r="P675" s="1655" t="s">
        <v>42</v>
      </c>
      <c r="Q675" s="1655" t="s">
        <v>569</v>
      </c>
      <c r="S675" s="1655" t="s">
        <v>70</v>
      </c>
      <c r="T675" s="1655" t="s">
        <v>1813</v>
      </c>
      <c r="U675" s="1655" t="s">
        <v>402</v>
      </c>
      <c r="V675" s="1655" t="s">
        <v>42</v>
      </c>
      <c r="W675" s="1655" t="s">
        <v>569</v>
      </c>
    </row>
    <row r="676" spans="1:23">
      <c r="A676" s="1655" t="s">
        <v>70</v>
      </c>
      <c r="B676" s="1655" t="s">
        <v>1814</v>
      </c>
      <c r="C676" s="1655" t="s">
        <v>395</v>
      </c>
      <c r="D676" s="1655" t="s">
        <v>42</v>
      </c>
      <c r="E676" s="1655" t="s">
        <v>569</v>
      </c>
      <c r="G676" s="1655" t="s">
        <v>70</v>
      </c>
      <c r="H676" s="1655" t="s">
        <v>1814</v>
      </c>
      <c r="I676" s="1655" t="s">
        <v>395</v>
      </c>
      <c r="J676" s="1655" t="s">
        <v>42</v>
      </c>
      <c r="K676" s="1655" t="s">
        <v>569</v>
      </c>
      <c r="M676" s="1655" t="s">
        <v>70</v>
      </c>
      <c r="N676" s="1655" t="s">
        <v>1814</v>
      </c>
      <c r="O676" s="1655" t="s">
        <v>395</v>
      </c>
      <c r="P676" s="1655" t="s">
        <v>42</v>
      </c>
      <c r="Q676" s="1655" t="s">
        <v>569</v>
      </c>
      <c r="S676" s="1655" t="s">
        <v>70</v>
      </c>
      <c r="T676" s="1655" t="s">
        <v>1814</v>
      </c>
      <c r="U676" s="1655" t="s">
        <v>402</v>
      </c>
      <c r="V676" s="1655" t="s">
        <v>42</v>
      </c>
      <c r="W676" s="1655" t="s">
        <v>569</v>
      </c>
    </row>
    <row r="677" spans="1:23">
      <c r="A677" s="1655" t="s">
        <v>70</v>
      </c>
      <c r="B677" s="1655" t="s">
        <v>1815</v>
      </c>
      <c r="C677" s="1655" t="s">
        <v>395</v>
      </c>
      <c r="D677" s="1655" t="s">
        <v>42</v>
      </c>
      <c r="E677" s="1655" t="s">
        <v>569</v>
      </c>
      <c r="G677" s="1655" t="s">
        <v>70</v>
      </c>
      <c r="H677" s="1655" t="s">
        <v>1815</v>
      </c>
      <c r="I677" s="1655" t="s">
        <v>395</v>
      </c>
      <c r="J677" s="1655" t="s">
        <v>42</v>
      </c>
      <c r="K677" s="1655" t="s">
        <v>569</v>
      </c>
      <c r="M677" s="1655" t="s">
        <v>70</v>
      </c>
      <c r="N677" s="1655" t="s">
        <v>1815</v>
      </c>
      <c r="O677" s="1655" t="s">
        <v>395</v>
      </c>
      <c r="P677" s="1655" t="s">
        <v>42</v>
      </c>
      <c r="Q677" s="1655" t="s">
        <v>569</v>
      </c>
      <c r="S677" s="1655" t="s">
        <v>70</v>
      </c>
      <c r="T677" s="1655" t="s">
        <v>1815</v>
      </c>
      <c r="U677" s="1655" t="s">
        <v>402</v>
      </c>
      <c r="V677" s="1655" t="s">
        <v>42</v>
      </c>
      <c r="W677" s="1655" t="s">
        <v>569</v>
      </c>
    </row>
    <row r="678" spans="1:23">
      <c r="A678" s="1655" t="s">
        <v>70</v>
      </c>
      <c r="B678" s="1655" t="s">
        <v>1816</v>
      </c>
      <c r="C678" s="1655" t="s">
        <v>395</v>
      </c>
      <c r="D678" s="1655" t="s">
        <v>42</v>
      </c>
      <c r="E678" s="1655" t="s">
        <v>569</v>
      </c>
      <c r="G678" s="1655" t="s">
        <v>70</v>
      </c>
      <c r="H678" s="1655" t="s">
        <v>1816</v>
      </c>
      <c r="I678" s="1655" t="s">
        <v>395</v>
      </c>
      <c r="J678" s="1655" t="s">
        <v>42</v>
      </c>
      <c r="K678" s="1655" t="s">
        <v>569</v>
      </c>
      <c r="M678" s="1655" t="s">
        <v>70</v>
      </c>
      <c r="N678" s="1655" t="s">
        <v>1816</v>
      </c>
      <c r="O678" s="1655" t="s">
        <v>395</v>
      </c>
      <c r="P678" s="1655" t="s">
        <v>42</v>
      </c>
      <c r="Q678" s="1655" t="s">
        <v>569</v>
      </c>
      <c r="S678" s="1655" t="s">
        <v>70</v>
      </c>
      <c r="T678" s="1655" t="s">
        <v>1816</v>
      </c>
      <c r="U678" s="1655" t="s">
        <v>402</v>
      </c>
      <c r="V678" s="1655" t="s">
        <v>42</v>
      </c>
      <c r="W678" s="1655" t="s">
        <v>569</v>
      </c>
    </row>
    <row r="679" spans="1:23">
      <c r="A679" s="1655" t="s">
        <v>70</v>
      </c>
      <c r="B679" s="1655" t="s">
        <v>1817</v>
      </c>
      <c r="C679" s="1655" t="s">
        <v>395</v>
      </c>
      <c r="D679" s="1655" t="s">
        <v>42</v>
      </c>
      <c r="E679" s="1655" t="s">
        <v>569</v>
      </c>
      <c r="G679" s="1655" t="s">
        <v>70</v>
      </c>
      <c r="H679" s="1655" t="s">
        <v>1817</v>
      </c>
      <c r="I679" s="1655" t="s">
        <v>395</v>
      </c>
      <c r="J679" s="1655" t="s">
        <v>42</v>
      </c>
      <c r="K679" s="1655" t="s">
        <v>569</v>
      </c>
      <c r="M679" s="1655" t="s">
        <v>70</v>
      </c>
      <c r="N679" s="1655" t="s">
        <v>1817</v>
      </c>
      <c r="O679" s="1655" t="s">
        <v>395</v>
      </c>
      <c r="P679" s="1655" t="s">
        <v>42</v>
      </c>
      <c r="Q679" s="1655" t="s">
        <v>569</v>
      </c>
      <c r="S679" s="1655" t="s">
        <v>70</v>
      </c>
      <c r="T679" s="1655" t="s">
        <v>1817</v>
      </c>
      <c r="U679" s="1655" t="s">
        <v>402</v>
      </c>
      <c r="V679" s="1655" t="s">
        <v>42</v>
      </c>
      <c r="W679" s="1655" t="s">
        <v>569</v>
      </c>
    </row>
    <row r="680" spans="1:23">
      <c r="A680" s="1655" t="s">
        <v>70</v>
      </c>
      <c r="B680" s="1655" t="s">
        <v>1818</v>
      </c>
      <c r="C680" s="1655" t="s">
        <v>395</v>
      </c>
      <c r="D680" s="1655" t="s">
        <v>42</v>
      </c>
      <c r="E680" s="1655" t="s">
        <v>569</v>
      </c>
      <c r="G680" s="1655" t="s">
        <v>70</v>
      </c>
      <c r="H680" s="1655" t="s">
        <v>1818</v>
      </c>
      <c r="I680" s="1655" t="s">
        <v>395</v>
      </c>
      <c r="J680" s="1655" t="s">
        <v>42</v>
      </c>
      <c r="K680" s="1655" t="s">
        <v>569</v>
      </c>
      <c r="M680" s="1655" t="s">
        <v>70</v>
      </c>
      <c r="N680" s="1655" t="s">
        <v>1818</v>
      </c>
      <c r="O680" s="1655" t="s">
        <v>395</v>
      </c>
      <c r="P680" s="1655" t="s">
        <v>42</v>
      </c>
      <c r="Q680" s="1655" t="s">
        <v>569</v>
      </c>
      <c r="S680" s="1655" t="s">
        <v>70</v>
      </c>
      <c r="T680" s="1655" t="s">
        <v>1818</v>
      </c>
      <c r="U680" s="1655" t="s">
        <v>402</v>
      </c>
      <c r="V680" s="1655" t="s">
        <v>42</v>
      </c>
      <c r="W680" s="1655" t="s">
        <v>569</v>
      </c>
    </row>
    <row r="681" spans="1:23">
      <c r="A681" s="1655" t="s">
        <v>70</v>
      </c>
      <c r="B681" s="1655" t="s">
        <v>1819</v>
      </c>
      <c r="C681" s="1655" t="s">
        <v>395</v>
      </c>
      <c r="D681" s="1655" t="s">
        <v>42</v>
      </c>
      <c r="E681" s="1655" t="s">
        <v>569</v>
      </c>
      <c r="G681" s="1655" t="s">
        <v>70</v>
      </c>
      <c r="H681" s="1655" t="s">
        <v>1819</v>
      </c>
      <c r="I681" s="1655" t="s">
        <v>395</v>
      </c>
      <c r="J681" s="1655" t="s">
        <v>42</v>
      </c>
      <c r="K681" s="1655" t="s">
        <v>569</v>
      </c>
      <c r="M681" s="1655" t="s">
        <v>70</v>
      </c>
      <c r="N681" s="1655" t="s">
        <v>1819</v>
      </c>
      <c r="O681" s="1655" t="s">
        <v>395</v>
      </c>
      <c r="P681" s="1655" t="s">
        <v>42</v>
      </c>
      <c r="Q681" s="1655" t="s">
        <v>569</v>
      </c>
      <c r="S681" s="1655" t="s">
        <v>70</v>
      </c>
      <c r="T681" s="1655" t="s">
        <v>1819</v>
      </c>
      <c r="U681" s="1655" t="s">
        <v>402</v>
      </c>
      <c r="V681" s="1655" t="s">
        <v>42</v>
      </c>
      <c r="W681" s="1655" t="s">
        <v>569</v>
      </c>
    </row>
    <row r="682" spans="1:23">
      <c r="A682" s="1655" t="s">
        <v>70</v>
      </c>
      <c r="B682" s="1655" t="s">
        <v>1820</v>
      </c>
      <c r="C682" s="1655" t="s">
        <v>395</v>
      </c>
      <c r="D682" s="1655" t="s">
        <v>42</v>
      </c>
      <c r="E682" s="1655" t="s">
        <v>569</v>
      </c>
      <c r="G682" s="1655" t="s">
        <v>70</v>
      </c>
      <c r="H682" s="1655" t="s">
        <v>1820</v>
      </c>
      <c r="I682" s="1655" t="s">
        <v>395</v>
      </c>
      <c r="J682" s="1655" t="s">
        <v>42</v>
      </c>
      <c r="K682" s="1655" t="s">
        <v>569</v>
      </c>
      <c r="M682" s="1655" t="s">
        <v>70</v>
      </c>
      <c r="N682" s="1655" t="s">
        <v>1820</v>
      </c>
      <c r="O682" s="1655" t="s">
        <v>395</v>
      </c>
      <c r="P682" s="1655" t="s">
        <v>42</v>
      </c>
      <c r="Q682" s="1655" t="s">
        <v>569</v>
      </c>
      <c r="S682" s="1655" t="s">
        <v>70</v>
      </c>
      <c r="T682" s="1655" t="s">
        <v>1820</v>
      </c>
      <c r="U682" s="1655" t="s">
        <v>402</v>
      </c>
      <c r="V682" s="1655" t="s">
        <v>42</v>
      </c>
      <c r="W682" s="1655" t="s">
        <v>569</v>
      </c>
    </row>
    <row r="683" spans="1:23">
      <c r="A683" s="1655" t="s">
        <v>70</v>
      </c>
      <c r="B683" s="1655" t="s">
        <v>1821</v>
      </c>
      <c r="C683" s="1655" t="s">
        <v>395</v>
      </c>
      <c r="D683" s="1655" t="s">
        <v>42</v>
      </c>
      <c r="E683" s="1655" t="s">
        <v>569</v>
      </c>
      <c r="G683" s="1655" t="s">
        <v>70</v>
      </c>
      <c r="H683" s="1655" t="s">
        <v>1821</v>
      </c>
      <c r="I683" s="1655" t="s">
        <v>402</v>
      </c>
      <c r="J683" s="1655" t="s">
        <v>42</v>
      </c>
      <c r="K683" s="1655" t="s">
        <v>569</v>
      </c>
      <c r="M683" s="1655" t="s">
        <v>70</v>
      </c>
      <c r="N683" s="1655" t="s">
        <v>1821</v>
      </c>
      <c r="O683" s="1655" t="s">
        <v>402</v>
      </c>
      <c r="P683" s="1655" t="s">
        <v>42</v>
      </c>
      <c r="Q683" s="1655" t="s">
        <v>569</v>
      </c>
      <c r="S683" s="1655" t="s">
        <v>70</v>
      </c>
      <c r="T683" s="1655" t="s">
        <v>1821</v>
      </c>
      <c r="U683" s="1655" t="s">
        <v>402</v>
      </c>
      <c r="V683" s="1655" t="s">
        <v>42</v>
      </c>
      <c r="W683" s="1655" t="s">
        <v>569</v>
      </c>
    </row>
    <row r="684" spans="1:23">
      <c r="A684" s="1655" t="s">
        <v>70</v>
      </c>
      <c r="B684" s="1655" t="s">
        <v>1822</v>
      </c>
      <c r="C684" s="1655" t="s">
        <v>395</v>
      </c>
      <c r="D684" s="1655" t="s">
        <v>42</v>
      </c>
      <c r="E684" s="1655" t="s">
        <v>569</v>
      </c>
      <c r="G684" s="1655" t="s">
        <v>70</v>
      </c>
      <c r="H684" s="1655" t="s">
        <v>1822</v>
      </c>
      <c r="I684" s="1655" t="s">
        <v>402</v>
      </c>
      <c r="J684" s="1655" t="s">
        <v>42</v>
      </c>
      <c r="K684" s="1655" t="s">
        <v>569</v>
      </c>
      <c r="M684" s="1655" t="s">
        <v>70</v>
      </c>
      <c r="N684" s="1655" t="s">
        <v>1822</v>
      </c>
      <c r="O684" s="1655" t="s">
        <v>402</v>
      </c>
      <c r="P684" s="1655" t="s">
        <v>42</v>
      </c>
      <c r="Q684" s="1655" t="s">
        <v>569</v>
      </c>
      <c r="S684" s="1655" t="s">
        <v>70</v>
      </c>
      <c r="T684" s="1655" t="s">
        <v>1822</v>
      </c>
      <c r="U684" s="1655" t="s">
        <v>402</v>
      </c>
      <c r="V684" s="1655" t="s">
        <v>42</v>
      </c>
      <c r="W684" s="1655" t="s">
        <v>569</v>
      </c>
    </row>
    <row r="685" spans="1:23">
      <c r="A685" s="1655" t="s">
        <v>70</v>
      </c>
      <c r="B685" s="1655" t="s">
        <v>1823</v>
      </c>
      <c r="C685" s="1655" t="s">
        <v>395</v>
      </c>
      <c r="D685" s="1655" t="s">
        <v>42</v>
      </c>
      <c r="E685" s="1655" t="s">
        <v>569</v>
      </c>
      <c r="G685" s="1655" t="s">
        <v>70</v>
      </c>
      <c r="H685" s="1655" t="s">
        <v>1823</v>
      </c>
      <c r="I685" s="1655" t="s">
        <v>402</v>
      </c>
      <c r="J685" s="1655" t="s">
        <v>42</v>
      </c>
      <c r="K685" s="1655" t="s">
        <v>569</v>
      </c>
      <c r="M685" s="1655" t="s">
        <v>70</v>
      </c>
      <c r="N685" s="1655" t="s">
        <v>1823</v>
      </c>
      <c r="O685" s="1655" t="s">
        <v>402</v>
      </c>
      <c r="P685" s="1655" t="s">
        <v>42</v>
      </c>
      <c r="Q685" s="1655" t="s">
        <v>569</v>
      </c>
      <c r="S685" s="1655" t="s">
        <v>70</v>
      </c>
      <c r="T685" s="1655" t="s">
        <v>1823</v>
      </c>
      <c r="U685" s="1655" t="s">
        <v>402</v>
      </c>
      <c r="V685" s="1655" t="s">
        <v>42</v>
      </c>
      <c r="W685" s="1655" t="s">
        <v>569</v>
      </c>
    </row>
    <row r="686" spans="1:23">
      <c r="A686" s="1655" t="s">
        <v>70</v>
      </c>
      <c r="B686" s="1655" t="s">
        <v>1824</v>
      </c>
      <c r="C686" s="1655" t="s">
        <v>395</v>
      </c>
      <c r="D686" s="1655" t="s">
        <v>42</v>
      </c>
      <c r="E686" s="1655" t="s">
        <v>569</v>
      </c>
      <c r="G686" s="1655" t="s">
        <v>70</v>
      </c>
      <c r="H686" s="1655" t="s">
        <v>1824</v>
      </c>
      <c r="I686" s="1655" t="s">
        <v>402</v>
      </c>
      <c r="J686" s="1655" t="s">
        <v>42</v>
      </c>
      <c r="K686" s="1655" t="s">
        <v>569</v>
      </c>
      <c r="M686" s="1655" t="s">
        <v>70</v>
      </c>
      <c r="N686" s="1655" t="s">
        <v>1824</v>
      </c>
      <c r="O686" s="1655" t="s">
        <v>402</v>
      </c>
      <c r="P686" s="1655" t="s">
        <v>42</v>
      </c>
      <c r="Q686" s="1655" t="s">
        <v>569</v>
      </c>
      <c r="S686" s="1655" t="s">
        <v>70</v>
      </c>
      <c r="T686" s="1655" t="s">
        <v>1824</v>
      </c>
      <c r="U686" s="1655" t="s">
        <v>402</v>
      </c>
      <c r="V686" s="1655" t="s">
        <v>42</v>
      </c>
      <c r="W686" s="1655" t="s">
        <v>569</v>
      </c>
    </row>
    <row r="687" spans="1:23">
      <c r="A687" s="1655" t="s">
        <v>70</v>
      </c>
      <c r="B687" s="1655" t="s">
        <v>1825</v>
      </c>
      <c r="C687" s="1655" t="s">
        <v>395</v>
      </c>
      <c r="D687" s="1655" t="s">
        <v>42</v>
      </c>
      <c r="E687" s="1655" t="s">
        <v>569</v>
      </c>
      <c r="G687" s="1655" t="s">
        <v>70</v>
      </c>
      <c r="H687" s="1655" t="s">
        <v>1825</v>
      </c>
      <c r="I687" s="1655" t="s">
        <v>402</v>
      </c>
      <c r="J687" s="1655" t="s">
        <v>42</v>
      </c>
      <c r="K687" s="1655" t="s">
        <v>569</v>
      </c>
      <c r="M687" s="1655" t="s">
        <v>70</v>
      </c>
      <c r="N687" s="1655" t="s">
        <v>1825</v>
      </c>
      <c r="O687" s="1655" t="s">
        <v>402</v>
      </c>
      <c r="P687" s="1655" t="s">
        <v>42</v>
      </c>
      <c r="Q687" s="1655" t="s">
        <v>569</v>
      </c>
      <c r="S687" s="1655" t="s">
        <v>70</v>
      </c>
      <c r="T687" s="1655" t="s">
        <v>1825</v>
      </c>
      <c r="U687" s="1655" t="s">
        <v>402</v>
      </c>
      <c r="V687" s="1655" t="s">
        <v>42</v>
      </c>
      <c r="W687" s="1655" t="s">
        <v>569</v>
      </c>
    </row>
    <row r="688" spans="1:23">
      <c r="A688" s="1655" t="s">
        <v>70</v>
      </c>
      <c r="B688" s="1655" t="s">
        <v>1826</v>
      </c>
      <c r="C688" s="1655" t="s">
        <v>395</v>
      </c>
      <c r="D688" s="1655" t="s">
        <v>42</v>
      </c>
      <c r="E688" s="1655" t="s">
        <v>569</v>
      </c>
      <c r="G688" s="1655" t="s">
        <v>70</v>
      </c>
      <c r="H688" s="1655" t="s">
        <v>1826</v>
      </c>
      <c r="I688" s="1655" t="s">
        <v>402</v>
      </c>
      <c r="J688" s="1655" t="s">
        <v>42</v>
      </c>
      <c r="K688" s="1655" t="s">
        <v>569</v>
      </c>
      <c r="M688" s="1655" t="s">
        <v>70</v>
      </c>
      <c r="N688" s="1655" t="s">
        <v>1826</v>
      </c>
      <c r="O688" s="1655" t="s">
        <v>402</v>
      </c>
      <c r="P688" s="1655" t="s">
        <v>42</v>
      </c>
      <c r="Q688" s="1655" t="s">
        <v>569</v>
      </c>
      <c r="S688" s="1655" t="s">
        <v>70</v>
      </c>
      <c r="T688" s="1655" t="s">
        <v>1826</v>
      </c>
      <c r="U688" s="1655" t="s">
        <v>402</v>
      </c>
      <c r="V688" s="1655" t="s">
        <v>42</v>
      </c>
      <c r="W688" s="1655" t="s">
        <v>569</v>
      </c>
    </row>
    <row r="689" spans="1:23">
      <c r="A689" s="1655" t="s">
        <v>70</v>
      </c>
      <c r="B689" s="1655" t="s">
        <v>1827</v>
      </c>
      <c r="C689" s="1655" t="s">
        <v>395</v>
      </c>
      <c r="D689" s="1655" t="s">
        <v>42</v>
      </c>
      <c r="E689" s="1655" t="s">
        <v>569</v>
      </c>
      <c r="G689" s="1655" t="s">
        <v>70</v>
      </c>
      <c r="H689" s="1655" t="s">
        <v>1827</v>
      </c>
      <c r="I689" s="1655" t="s">
        <v>402</v>
      </c>
      <c r="J689" s="1655" t="s">
        <v>42</v>
      </c>
      <c r="K689" s="1655" t="s">
        <v>569</v>
      </c>
      <c r="M689" s="1655" t="s">
        <v>70</v>
      </c>
      <c r="N689" s="1655" t="s">
        <v>1827</v>
      </c>
      <c r="O689" s="1655" t="s">
        <v>402</v>
      </c>
      <c r="P689" s="1655" t="s">
        <v>42</v>
      </c>
      <c r="Q689" s="1655" t="s">
        <v>569</v>
      </c>
      <c r="S689" s="1655" t="s">
        <v>70</v>
      </c>
      <c r="T689" s="1655" t="s">
        <v>1827</v>
      </c>
      <c r="U689" s="1655" t="s">
        <v>402</v>
      </c>
      <c r="V689" s="1655" t="s">
        <v>42</v>
      </c>
      <c r="W689" s="1655" t="s">
        <v>569</v>
      </c>
    </row>
    <row r="690" spans="1:23">
      <c r="A690" s="1655" t="s">
        <v>70</v>
      </c>
      <c r="B690" s="1655" t="s">
        <v>1828</v>
      </c>
      <c r="C690" s="1655" t="s">
        <v>395</v>
      </c>
      <c r="D690" s="1655" t="s">
        <v>42</v>
      </c>
      <c r="E690" s="1655" t="s">
        <v>569</v>
      </c>
      <c r="G690" s="1655" t="s">
        <v>70</v>
      </c>
      <c r="H690" s="1655" t="s">
        <v>1828</v>
      </c>
      <c r="I690" s="1655" t="s">
        <v>402</v>
      </c>
      <c r="J690" s="1655" t="s">
        <v>42</v>
      </c>
      <c r="K690" s="1655" t="s">
        <v>569</v>
      </c>
      <c r="M690" s="1655" t="s">
        <v>70</v>
      </c>
      <c r="N690" s="1655" t="s">
        <v>1828</v>
      </c>
      <c r="O690" s="1655" t="s">
        <v>402</v>
      </c>
      <c r="P690" s="1655" t="s">
        <v>42</v>
      </c>
      <c r="Q690" s="1655" t="s">
        <v>569</v>
      </c>
      <c r="S690" s="1655" t="s">
        <v>70</v>
      </c>
      <c r="T690" s="1655" t="s">
        <v>1828</v>
      </c>
      <c r="U690" s="1655" t="s">
        <v>402</v>
      </c>
      <c r="V690" s="1655" t="s">
        <v>42</v>
      </c>
      <c r="W690" s="1655" t="s">
        <v>569</v>
      </c>
    </row>
    <row r="691" spans="1:23">
      <c r="A691" s="1655" t="s">
        <v>70</v>
      </c>
      <c r="B691" s="1655" t="s">
        <v>1829</v>
      </c>
      <c r="C691" s="1655" t="s">
        <v>395</v>
      </c>
      <c r="D691" s="1655" t="s">
        <v>42</v>
      </c>
      <c r="E691" s="1655" t="s">
        <v>569</v>
      </c>
      <c r="G691" s="1655" t="s">
        <v>70</v>
      </c>
      <c r="H691" s="1655" t="s">
        <v>1829</v>
      </c>
      <c r="I691" s="1655" t="s">
        <v>402</v>
      </c>
      <c r="J691" s="1655" t="s">
        <v>42</v>
      </c>
      <c r="K691" s="1655" t="s">
        <v>569</v>
      </c>
      <c r="M691" s="1655" t="s">
        <v>70</v>
      </c>
      <c r="N691" s="1655" t="s">
        <v>1829</v>
      </c>
      <c r="O691" s="1655" t="s">
        <v>402</v>
      </c>
      <c r="P691" s="1655" t="s">
        <v>42</v>
      </c>
      <c r="Q691" s="1655" t="s">
        <v>569</v>
      </c>
      <c r="S691" s="1655" t="s">
        <v>70</v>
      </c>
      <c r="T691" s="1655" t="s">
        <v>1829</v>
      </c>
      <c r="U691" s="1655" t="s">
        <v>402</v>
      </c>
      <c r="V691" s="1655" t="s">
        <v>42</v>
      </c>
      <c r="W691" s="1655" t="s">
        <v>569</v>
      </c>
    </row>
    <row r="692" spans="1:23">
      <c r="A692" s="1655" t="s">
        <v>70</v>
      </c>
      <c r="B692" s="1655" t="s">
        <v>1830</v>
      </c>
      <c r="C692" s="1655" t="s">
        <v>395</v>
      </c>
      <c r="D692" s="1655" t="s">
        <v>42</v>
      </c>
      <c r="E692" s="1655" t="s">
        <v>569</v>
      </c>
      <c r="G692" s="1655" t="s">
        <v>70</v>
      </c>
      <c r="H692" s="1655" t="s">
        <v>1830</v>
      </c>
      <c r="I692" s="1655" t="s">
        <v>402</v>
      </c>
      <c r="J692" s="1655" t="s">
        <v>42</v>
      </c>
      <c r="K692" s="1655" t="s">
        <v>569</v>
      </c>
      <c r="M692" s="1655" t="s">
        <v>70</v>
      </c>
      <c r="N692" s="1655" t="s">
        <v>1830</v>
      </c>
      <c r="O692" s="1655" t="s">
        <v>402</v>
      </c>
      <c r="P692" s="1655" t="s">
        <v>42</v>
      </c>
      <c r="Q692" s="1655" t="s">
        <v>569</v>
      </c>
      <c r="S692" s="1655" t="s">
        <v>70</v>
      </c>
      <c r="T692" s="1655" t="s">
        <v>1830</v>
      </c>
      <c r="U692" s="1655" t="s">
        <v>402</v>
      </c>
      <c r="V692" s="1655" t="s">
        <v>42</v>
      </c>
      <c r="W692" s="1655" t="s">
        <v>569</v>
      </c>
    </row>
    <row r="693" spans="1:23">
      <c r="A693" s="1655" t="s">
        <v>70</v>
      </c>
      <c r="B693" s="1655" t="s">
        <v>1831</v>
      </c>
      <c r="C693" s="1655" t="s">
        <v>395</v>
      </c>
      <c r="D693" s="1655" t="s">
        <v>42</v>
      </c>
      <c r="E693" s="1655" t="s">
        <v>569</v>
      </c>
      <c r="G693" s="1655" t="s">
        <v>70</v>
      </c>
      <c r="H693" s="1655" t="s">
        <v>1831</v>
      </c>
      <c r="I693" s="1655" t="s">
        <v>402</v>
      </c>
      <c r="J693" s="1655" t="s">
        <v>42</v>
      </c>
      <c r="K693" s="1655" t="s">
        <v>569</v>
      </c>
      <c r="M693" s="1655" t="s">
        <v>70</v>
      </c>
      <c r="N693" s="1655" t="s">
        <v>1831</v>
      </c>
      <c r="O693" s="1655" t="s">
        <v>402</v>
      </c>
      <c r="P693" s="1655" t="s">
        <v>42</v>
      </c>
      <c r="Q693" s="1655" t="s">
        <v>569</v>
      </c>
      <c r="S693" s="1655" t="s">
        <v>70</v>
      </c>
      <c r="T693" s="1655" t="s">
        <v>1831</v>
      </c>
      <c r="U693" s="1655" t="s">
        <v>402</v>
      </c>
      <c r="V693" s="1655" t="s">
        <v>42</v>
      </c>
      <c r="W693" s="1655" t="s">
        <v>569</v>
      </c>
    </row>
    <row r="694" spans="1:23">
      <c r="A694" s="1655" t="s">
        <v>70</v>
      </c>
      <c r="B694" s="1655" t="s">
        <v>1832</v>
      </c>
      <c r="C694" s="1655" t="s">
        <v>395</v>
      </c>
      <c r="D694" s="1655" t="s">
        <v>42</v>
      </c>
      <c r="E694" s="1655" t="s">
        <v>569</v>
      </c>
      <c r="G694" s="1655" t="s">
        <v>70</v>
      </c>
      <c r="H694" s="1655" t="s">
        <v>1832</v>
      </c>
      <c r="I694" s="1655" t="s">
        <v>402</v>
      </c>
      <c r="J694" s="1655" t="s">
        <v>42</v>
      </c>
      <c r="K694" s="1655" t="s">
        <v>569</v>
      </c>
      <c r="M694" s="1655" t="s">
        <v>70</v>
      </c>
      <c r="N694" s="1655" t="s">
        <v>1832</v>
      </c>
      <c r="O694" s="1655" t="s">
        <v>402</v>
      </c>
      <c r="P694" s="1655" t="s">
        <v>42</v>
      </c>
      <c r="Q694" s="1655" t="s">
        <v>569</v>
      </c>
      <c r="S694" s="1655" t="s">
        <v>70</v>
      </c>
      <c r="T694" s="1655" t="s">
        <v>1832</v>
      </c>
      <c r="U694" s="1655" t="s">
        <v>402</v>
      </c>
      <c r="V694" s="1655" t="s">
        <v>42</v>
      </c>
      <c r="W694" s="1655" t="s">
        <v>569</v>
      </c>
    </row>
    <row r="695" spans="1:23">
      <c r="A695" s="1655" t="s">
        <v>70</v>
      </c>
      <c r="B695" s="1655" t="s">
        <v>1833</v>
      </c>
      <c r="C695" s="1655" t="s">
        <v>395</v>
      </c>
      <c r="D695" s="1655" t="s">
        <v>42</v>
      </c>
      <c r="E695" s="1655" t="s">
        <v>569</v>
      </c>
      <c r="G695" s="1655" t="s">
        <v>70</v>
      </c>
      <c r="H695" s="1655" t="s">
        <v>1833</v>
      </c>
      <c r="I695" s="1655" t="s">
        <v>402</v>
      </c>
      <c r="J695" s="1655" t="s">
        <v>42</v>
      </c>
      <c r="K695" s="1655" t="s">
        <v>569</v>
      </c>
      <c r="M695" s="1655" t="s">
        <v>70</v>
      </c>
      <c r="N695" s="1655" t="s">
        <v>1833</v>
      </c>
      <c r="O695" s="1655" t="s">
        <v>402</v>
      </c>
      <c r="P695" s="1655" t="s">
        <v>42</v>
      </c>
      <c r="Q695" s="1655" t="s">
        <v>569</v>
      </c>
      <c r="S695" s="1655" t="s">
        <v>70</v>
      </c>
      <c r="T695" s="1655" t="s">
        <v>1833</v>
      </c>
      <c r="U695" s="1655" t="s">
        <v>402</v>
      </c>
      <c r="V695" s="1655" t="s">
        <v>42</v>
      </c>
      <c r="W695" s="1655" t="s">
        <v>569</v>
      </c>
    </row>
    <row r="696" spans="1:23">
      <c r="A696" s="1655" t="s">
        <v>70</v>
      </c>
      <c r="B696" s="1655" t="s">
        <v>1834</v>
      </c>
      <c r="C696" s="1655" t="s">
        <v>395</v>
      </c>
      <c r="D696" s="1655" t="s">
        <v>42</v>
      </c>
      <c r="E696" s="1655" t="s">
        <v>569</v>
      </c>
      <c r="G696" s="1655" t="s">
        <v>70</v>
      </c>
      <c r="H696" s="1655" t="s">
        <v>1834</v>
      </c>
      <c r="I696" s="1656" t="s">
        <v>402</v>
      </c>
      <c r="J696" s="1655" t="s">
        <v>42</v>
      </c>
      <c r="K696" s="1655" t="s">
        <v>569</v>
      </c>
      <c r="M696" s="1655" t="s">
        <v>70</v>
      </c>
      <c r="N696" s="1655" t="s">
        <v>1834</v>
      </c>
      <c r="O696" s="1656" t="s">
        <v>402</v>
      </c>
      <c r="P696" s="1655" t="s">
        <v>42</v>
      </c>
      <c r="Q696" s="1655" t="s">
        <v>569</v>
      </c>
      <c r="S696" s="1655" t="s">
        <v>70</v>
      </c>
      <c r="T696" s="1655" t="s">
        <v>1834</v>
      </c>
      <c r="U696" s="1656" t="s">
        <v>402</v>
      </c>
      <c r="V696" s="1655" t="s">
        <v>42</v>
      </c>
      <c r="W696" s="1655" t="s">
        <v>569</v>
      </c>
    </row>
    <row r="697" spans="1:23">
      <c r="A697" s="1655" t="s">
        <v>70</v>
      </c>
      <c r="B697" s="1655" t="s">
        <v>1835</v>
      </c>
      <c r="C697" s="1655" t="s">
        <v>395</v>
      </c>
      <c r="D697" s="1655" t="s">
        <v>42</v>
      </c>
      <c r="E697" s="1655" t="s">
        <v>569</v>
      </c>
      <c r="G697" s="1655" t="s">
        <v>70</v>
      </c>
      <c r="H697" s="1655" t="s">
        <v>1835</v>
      </c>
      <c r="I697" s="1656" t="s">
        <v>402</v>
      </c>
      <c r="J697" s="1655" t="s">
        <v>42</v>
      </c>
      <c r="K697" s="1655" t="s">
        <v>569</v>
      </c>
      <c r="M697" s="1655" t="s">
        <v>70</v>
      </c>
      <c r="N697" s="1655" t="s">
        <v>1835</v>
      </c>
      <c r="O697" s="1656" t="s">
        <v>402</v>
      </c>
      <c r="P697" s="1655" t="s">
        <v>42</v>
      </c>
      <c r="Q697" s="1655" t="s">
        <v>569</v>
      </c>
      <c r="S697" s="1655" t="s">
        <v>70</v>
      </c>
      <c r="T697" s="1655" t="s">
        <v>1835</v>
      </c>
      <c r="U697" s="1656" t="s">
        <v>402</v>
      </c>
      <c r="V697" s="1655" t="s">
        <v>42</v>
      </c>
      <c r="W697" s="1655" t="s">
        <v>569</v>
      </c>
    </row>
    <row r="698" spans="1:23">
      <c r="A698" s="1655" t="s">
        <v>70</v>
      </c>
      <c r="B698" s="1655" t="s">
        <v>1836</v>
      </c>
      <c r="C698" s="1655" t="s">
        <v>395</v>
      </c>
      <c r="D698" s="1655" t="s">
        <v>42</v>
      </c>
      <c r="E698" s="1655" t="s">
        <v>569</v>
      </c>
      <c r="G698" s="1655" t="s">
        <v>70</v>
      </c>
      <c r="H698" s="1655" t="s">
        <v>1836</v>
      </c>
      <c r="I698" s="1656" t="s">
        <v>402</v>
      </c>
      <c r="J698" s="1655" t="s">
        <v>42</v>
      </c>
      <c r="K698" s="1655" t="s">
        <v>569</v>
      </c>
      <c r="M698" s="1655" t="s">
        <v>70</v>
      </c>
      <c r="N698" s="1655" t="s">
        <v>1836</v>
      </c>
      <c r="O698" s="1656" t="s">
        <v>402</v>
      </c>
      <c r="P698" s="1655" t="s">
        <v>42</v>
      </c>
      <c r="Q698" s="1655" t="s">
        <v>569</v>
      </c>
      <c r="S698" s="1655" t="s">
        <v>70</v>
      </c>
      <c r="T698" s="1655" t="s">
        <v>1836</v>
      </c>
      <c r="U698" s="1656" t="s">
        <v>402</v>
      </c>
      <c r="V698" s="1655" t="s">
        <v>42</v>
      </c>
      <c r="W698" s="1655" t="s">
        <v>569</v>
      </c>
    </row>
    <row r="699" spans="1:23">
      <c r="A699" s="1655" t="s">
        <v>70</v>
      </c>
      <c r="B699" s="1655" t="s">
        <v>1837</v>
      </c>
      <c r="C699" s="1655" t="s">
        <v>395</v>
      </c>
      <c r="D699" s="1655" t="s">
        <v>42</v>
      </c>
      <c r="E699" s="1655" t="s">
        <v>569</v>
      </c>
      <c r="G699" s="1655" t="s">
        <v>70</v>
      </c>
      <c r="H699" s="1655" t="s">
        <v>1837</v>
      </c>
      <c r="I699" s="1656" t="s">
        <v>402</v>
      </c>
      <c r="J699" s="1655" t="s">
        <v>42</v>
      </c>
      <c r="K699" s="1655" t="s">
        <v>569</v>
      </c>
      <c r="M699" s="1655" t="s">
        <v>70</v>
      </c>
      <c r="N699" s="1655" t="s">
        <v>1837</v>
      </c>
      <c r="O699" s="1656" t="s">
        <v>402</v>
      </c>
      <c r="P699" s="1655" t="s">
        <v>42</v>
      </c>
      <c r="Q699" s="1655" t="s">
        <v>569</v>
      </c>
      <c r="S699" s="1655" t="s">
        <v>70</v>
      </c>
      <c r="T699" s="1655" t="s">
        <v>1837</v>
      </c>
      <c r="U699" s="1656" t="s">
        <v>402</v>
      </c>
      <c r="V699" s="1655" t="s">
        <v>42</v>
      </c>
      <c r="W699" s="1655" t="s">
        <v>569</v>
      </c>
    </row>
    <row r="700" spans="1:23">
      <c r="A700" s="1655" t="s">
        <v>70</v>
      </c>
      <c r="B700" s="1655" t="s">
        <v>1838</v>
      </c>
      <c r="C700" s="1656" t="s">
        <v>395</v>
      </c>
      <c r="D700" s="1655" t="s">
        <v>42</v>
      </c>
      <c r="E700" s="1655" t="s">
        <v>569</v>
      </c>
      <c r="G700" s="1655" t="s">
        <v>70</v>
      </c>
      <c r="H700" s="1655" t="s">
        <v>1838</v>
      </c>
      <c r="I700" s="1656" t="s">
        <v>402</v>
      </c>
      <c r="J700" s="1655" t="s">
        <v>42</v>
      </c>
      <c r="K700" s="1655" t="s">
        <v>569</v>
      </c>
      <c r="M700" s="1655" t="s">
        <v>70</v>
      </c>
      <c r="N700" s="1655" t="s">
        <v>1838</v>
      </c>
      <c r="O700" s="1656" t="s">
        <v>402</v>
      </c>
      <c r="P700" s="1655" t="s">
        <v>42</v>
      </c>
      <c r="Q700" s="1655" t="s">
        <v>569</v>
      </c>
      <c r="S700" s="1655" t="s">
        <v>70</v>
      </c>
      <c r="T700" s="1655" t="s">
        <v>1838</v>
      </c>
      <c r="U700" s="1656" t="s">
        <v>402</v>
      </c>
      <c r="V700" s="1655" t="s">
        <v>42</v>
      </c>
      <c r="W700" s="1655" t="s">
        <v>569</v>
      </c>
    </row>
    <row r="701" spans="1:23">
      <c r="A701" s="1655" t="s">
        <v>70</v>
      </c>
      <c r="B701" s="1655" t="s">
        <v>1839</v>
      </c>
      <c r="C701" s="1656" t="s">
        <v>395</v>
      </c>
      <c r="D701" s="1655" t="s">
        <v>42</v>
      </c>
      <c r="E701" s="1655" t="s">
        <v>569</v>
      </c>
      <c r="G701" s="1655" t="s">
        <v>70</v>
      </c>
      <c r="H701" s="1655" t="s">
        <v>1839</v>
      </c>
      <c r="I701" s="1656" t="s">
        <v>402</v>
      </c>
      <c r="J701" s="1655" t="s">
        <v>42</v>
      </c>
      <c r="K701" s="1655" t="s">
        <v>569</v>
      </c>
      <c r="M701" s="1655" t="s">
        <v>70</v>
      </c>
      <c r="N701" s="1655" t="s">
        <v>1839</v>
      </c>
      <c r="O701" s="1656" t="s">
        <v>402</v>
      </c>
      <c r="P701" s="1655" t="s">
        <v>42</v>
      </c>
      <c r="Q701" s="1655" t="s">
        <v>569</v>
      </c>
      <c r="S701" s="1655" t="s">
        <v>70</v>
      </c>
      <c r="T701" s="1655" t="s">
        <v>1839</v>
      </c>
      <c r="U701" s="1656" t="s">
        <v>402</v>
      </c>
      <c r="V701" s="1655" t="s">
        <v>42</v>
      </c>
      <c r="W701" s="1655" t="s">
        <v>569</v>
      </c>
    </row>
    <row r="702" spans="1:23">
      <c r="A702" s="1655" t="s">
        <v>70</v>
      </c>
      <c r="B702" s="1655" t="s">
        <v>1840</v>
      </c>
      <c r="C702" s="1656" t="s">
        <v>395</v>
      </c>
      <c r="D702" s="1655" t="s">
        <v>42</v>
      </c>
      <c r="E702" s="1655" t="s">
        <v>569</v>
      </c>
      <c r="G702" s="1655" t="s">
        <v>70</v>
      </c>
      <c r="H702" s="1655" t="s">
        <v>1840</v>
      </c>
      <c r="I702" s="1656" t="s">
        <v>402</v>
      </c>
      <c r="J702" s="1655" t="s">
        <v>42</v>
      </c>
      <c r="K702" s="1655" t="s">
        <v>569</v>
      </c>
      <c r="M702" s="1655" t="s">
        <v>70</v>
      </c>
      <c r="N702" s="1655" t="s">
        <v>1840</v>
      </c>
      <c r="O702" s="1656" t="s">
        <v>402</v>
      </c>
      <c r="P702" s="1655" t="s">
        <v>42</v>
      </c>
      <c r="Q702" s="1655" t="s">
        <v>569</v>
      </c>
      <c r="S702" s="1655" t="s">
        <v>70</v>
      </c>
      <c r="T702" s="1655" t="s">
        <v>1840</v>
      </c>
      <c r="U702" s="1656" t="s">
        <v>402</v>
      </c>
      <c r="V702" s="1655" t="s">
        <v>42</v>
      </c>
      <c r="W702" s="1655" t="s">
        <v>569</v>
      </c>
    </row>
    <row r="703" spans="1:23">
      <c r="A703" s="1655" t="s">
        <v>70</v>
      </c>
      <c r="B703" s="1655" t="s">
        <v>1841</v>
      </c>
      <c r="C703" s="1656" t="s">
        <v>395</v>
      </c>
      <c r="D703" s="1655" t="s">
        <v>42</v>
      </c>
      <c r="E703" s="1655" t="s">
        <v>569</v>
      </c>
      <c r="G703" s="1655" t="s">
        <v>70</v>
      </c>
      <c r="H703" s="1655" t="s">
        <v>1841</v>
      </c>
      <c r="I703" s="1656" t="s">
        <v>402</v>
      </c>
      <c r="J703" s="1655" t="s">
        <v>42</v>
      </c>
      <c r="K703" s="1655" t="s">
        <v>569</v>
      </c>
      <c r="M703" s="1655" t="s">
        <v>70</v>
      </c>
      <c r="N703" s="1655" t="s">
        <v>1841</v>
      </c>
      <c r="O703" s="1656" t="s">
        <v>402</v>
      </c>
      <c r="P703" s="1655" t="s">
        <v>42</v>
      </c>
      <c r="Q703" s="1655" t="s">
        <v>569</v>
      </c>
      <c r="S703" s="1655" t="s">
        <v>70</v>
      </c>
      <c r="T703" s="1655" t="s">
        <v>1841</v>
      </c>
      <c r="U703" s="1656" t="s">
        <v>402</v>
      </c>
      <c r="V703" s="1655" t="s">
        <v>42</v>
      </c>
      <c r="W703" s="1655" t="s">
        <v>569</v>
      </c>
    </row>
    <row r="704" spans="1:23">
      <c r="A704" s="1655" t="s">
        <v>70</v>
      </c>
      <c r="B704" s="1655" t="s">
        <v>1842</v>
      </c>
      <c r="C704" s="1656" t="s">
        <v>395</v>
      </c>
      <c r="D704" s="1655" t="s">
        <v>42</v>
      </c>
      <c r="E704" s="1655" t="s">
        <v>569</v>
      </c>
      <c r="G704" s="1655" t="s">
        <v>70</v>
      </c>
      <c r="H704" s="1655" t="s">
        <v>1842</v>
      </c>
      <c r="I704" s="1656" t="s">
        <v>402</v>
      </c>
      <c r="J704" s="1655" t="s">
        <v>42</v>
      </c>
      <c r="K704" s="1655" t="s">
        <v>569</v>
      </c>
      <c r="M704" s="1655" t="s">
        <v>70</v>
      </c>
      <c r="N704" s="1655" t="s">
        <v>1842</v>
      </c>
      <c r="O704" s="1656" t="s">
        <v>402</v>
      </c>
      <c r="P704" s="1655" t="s">
        <v>42</v>
      </c>
      <c r="Q704" s="1655" t="s">
        <v>569</v>
      </c>
      <c r="S704" s="1655" t="s">
        <v>70</v>
      </c>
      <c r="T704" s="1655" t="s">
        <v>1842</v>
      </c>
      <c r="U704" s="1656" t="s">
        <v>402</v>
      </c>
      <c r="V704" s="1655" t="s">
        <v>42</v>
      </c>
      <c r="W704" s="1655" t="s">
        <v>569</v>
      </c>
    </row>
    <row r="705" spans="1:23">
      <c r="A705" s="1655" t="s">
        <v>70</v>
      </c>
      <c r="B705" s="1655" t="s">
        <v>1843</v>
      </c>
      <c r="C705" s="1656" t="s">
        <v>395</v>
      </c>
      <c r="D705" s="1655" t="s">
        <v>42</v>
      </c>
      <c r="E705" s="1655" t="s">
        <v>569</v>
      </c>
      <c r="G705" s="1655" t="s">
        <v>70</v>
      </c>
      <c r="H705" s="1655" t="s">
        <v>1843</v>
      </c>
      <c r="I705" s="1656" t="s">
        <v>402</v>
      </c>
      <c r="J705" s="1655" t="s">
        <v>42</v>
      </c>
      <c r="K705" s="1655" t="s">
        <v>569</v>
      </c>
      <c r="M705" s="1655" t="s">
        <v>70</v>
      </c>
      <c r="N705" s="1655" t="s">
        <v>1843</v>
      </c>
      <c r="O705" s="1656" t="s">
        <v>402</v>
      </c>
      <c r="P705" s="1655" t="s">
        <v>42</v>
      </c>
      <c r="Q705" s="1655" t="s">
        <v>569</v>
      </c>
      <c r="S705" s="1655" t="s">
        <v>70</v>
      </c>
      <c r="T705" s="1655" t="s">
        <v>1843</v>
      </c>
      <c r="U705" s="1656" t="s">
        <v>402</v>
      </c>
      <c r="V705" s="1655" t="s">
        <v>42</v>
      </c>
      <c r="W705" s="1655" t="s">
        <v>569</v>
      </c>
    </row>
    <row r="706" spans="1:23">
      <c r="A706" s="1655" t="s">
        <v>70</v>
      </c>
      <c r="B706" s="1655" t="s">
        <v>1844</v>
      </c>
      <c r="C706" s="1656" t="s">
        <v>395</v>
      </c>
      <c r="D706" s="1655" t="s">
        <v>42</v>
      </c>
      <c r="E706" s="1655" t="s">
        <v>569</v>
      </c>
      <c r="G706" s="1655" t="s">
        <v>70</v>
      </c>
      <c r="H706" s="1655" t="s">
        <v>1844</v>
      </c>
      <c r="I706" s="1656" t="s">
        <v>402</v>
      </c>
      <c r="J706" s="1655" t="s">
        <v>42</v>
      </c>
      <c r="K706" s="1655" t="s">
        <v>569</v>
      </c>
      <c r="M706" s="1655" t="s">
        <v>70</v>
      </c>
      <c r="N706" s="1655" t="s">
        <v>1844</v>
      </c>
      <c r="O706" s="1656" t="s">
        <v>402</v>
      </c>
      <c r="P706" s="1655" t="s">
        <v>42</v>
      </c>
      <c r="Q706" s="1655" t="s">
        <v>569</v>
      </c>
      <c r="S706" s="1655" t="s">
        <v>70</v>
      </c>
      <c r="T706" s="1655" t="s">
        <v>1844</v>
      </c>
      <c r="U706" s="1656" t="s">
        <v>402</v>
      </c>
      <c r="V706" s="1655" t="s">
        <v>42</v>
      </c>
      <c r="W706" s="1655" t="s">
        <v>569</v>
      </c>
    </row>
    <row r="707" spans="1:23">
      <c r="A707" s="1655" t="s">
        <v>70</v>
      </c>
      <c r="B707" s="1655" t="s">
        <v>1845</v>
      </c>
      <c r="C707" s="1656" t="s">
        <v>395</v>
      </c>
      <c r="D707" s="1655" t="s">
        <v>42</v>
      </c>
      <c r="E707" s="1655" t="s">
        <v>569</v>
      </c>
      <c r="G707" s="1655" t="s">
        <v>70</v>
      </c>
      <c r="H707" s="1655" t="s">
        <v>1845</v>
      </c>
      <c r="I707" s="1656" t="s">
        <v>402</v>
      </c>
      <c r="J707" s="1655" t="s">
        <v>42</v>
      </c>
      <c r="K707" s="1655" t="s">
        <v>569</v>
      </c>
      <c r="M707" s="1655" t="s">
        <v>70</v>
      </c>
      <c r="N707" s="1655" t="s">
        <v>1845</v>
      </c>
      <c r="O707" s="1656" t="s">
        <v>402</v>
      </c>
      <c r="P707" s="1655" t="s">
        <v>42</v>
      </c>
      <c r="Q707" s="1655" t="s">
        <v>569</v>
      </c>
      <c r="S707" s="1655" t="s">
        <v>70</v>
      </c>
      <c r="T707" s="1655" t="s">
        <v>1845</v>
      </c>
      <c r="U707" s="1656" t="s">
        <v>402</v>
      </c>
      <c r="V707" s="1655" t="s">
        <v>42</v>
      </c>
      <c r="W707" s="1655" t="s">
        <v>569</v>
      </c>
    </row>
    <row r="708" spans="1:23">
      <c r="A708" s="1655" t="s">
        <v>70</v>
      </c>
      <c r="B708" s="1655" t="s">
        <v>1846</v>
      </c>
      <c r="C708" s="1656" t="s">
        <v>395</v>
      </c>
      <c r="D708" s="1655" t="s">
        <v>42</v>
      </c>
      <c r="E708" s="1655" t="s">
        <v>569</v>
      </c>
      <c r="G708" s="1655" t="s">
        <v>70</v>
      </c>
      <c r="H708" s="1655" t="s">
        <v>1846</v>
      </c>
      <c r="I708" s="1656" t="s">
        <v>402</v>
      </c>
      <c r="J708" s="1655" t="s">
        <v>42</v>
      </c>
      <c r="K708" s="1655" t="s">
        <v>569</v>
      </c>
      <c r="M708" s="1655" t="s">
        <v>70</v>
      </c>
      <c r="N708" s="1655" t="s">
        <v>1846</v>
      </c>
      <c r="O708" s="1656" t="s">
        <v>402</v>
      </c>
      <c r="P708" s="1655" t="s">
        <v>42</v>
      </c>
      <c r="Q708" s="1655" t="s">
        <v>569</v>
      </c>
      <c r="S708" s="1655" t="s">
        <v>70</v>
      </c>
      <c r="T708" s="1655" t="s">
        <v>1846</v>
      </c>
      <c r="U708" s="1656" t="s">
        <v>402</v>
      </c>
      <c r="V708" s="1655" t="s">
        <v>42</v>
      </c>
      <c r="W708" s="1655" t="s">
        <v>569</v>
      </c>
    </row>
    <row r="709" spans="1:23">
      <c r="A709" s="1655" t="s">
        <v>70</v>
      </c>
      <c r="B709" s="1655" t="s">
        <v>897</v>
      </c>
      <c r="C709" s="1656">
        <v>0</v>
      </c>
      <c r="D709" s="1655" t="s">
        <v>42</v>
      </c>
      <c r="E709" s="1655" t="s">
        <v>571</v>
      </c>
      <c r="G709" s="1655" t="s">
        <v>70</v>
      </c>
      <c r="H709" s="1655" t="s">
        <v>897</v>
      </c>
      <c r="I709" s="1656">
        <v>0</v>
      </c>
      <c r="J709" s="1655" t="s">
        <v>42</v>
      </c>
      <c r="K709" s="1655" t="s">
        <v>571</v>
      </c>
      <c r="M709" s="1655" t="s">
        <v>70</v>
      </c>
      <c r="N709" s="1655" t="s">
        <v>897</v>
      </c>
      <c r="O709" s="1656">
        <v>0</v>
      </c>
      <c r="P709" s="1655" t="s">
        <v>42</v>
      </c>
      <c r="Q709" s="1655" t="s">
        <v>571</v>
      </c>
      <c r="S709" s="1655" t="s">
        <v>70</v>
      </c>
      <c r="T709" s="1655" t="s">
        <v>897</v>
      </c>
      <c r="U709" s="1656">
        <v>0</v>
      </c>
      <c r="V709" s="1655" t="s">
        <v>42</v>
      </c>
      <c r="W709" s="1655" t="s">
        <v>571</v>
      </c>
    </row>
    <row r="710" spans="1:23">
      <c r="A710" s="1655" t="s">
        <v>70</v>
      </c>
      <c r="B710" s="1655" t="s">
        <v>898</v>
      </c>
      <c r="C710" s="1656">
        <v>0</v>
      </c>
      <c r="D710" s="1655" t="s">
        <v>42</v>
      </c>
      <c r="E710" s="1655" t="s">
        <v>571</v>
      </c>
      <c r="G710" s="1655" t="s">
        <v>70</v>
      </c>
      <c r="H710" s="1655" t="s">
        <v>898</v>
      </c>
      <c r="I710" s="1656">
        <v>0</v>
      </c>
      <c r="J710" s="1655" t="s">
        <v>42</v>
      </c>
      <c r="K710" s="1655" t="s">
        <v>571</v>
      </c>
      <c r="M710" s="1655" t="s">
        <v>70</v>
      </c>
      <c r="N710" s="1655" t="s">
        <v>898</v>
      </c>
      <c r="O710" s="1656">
        <v>0</v>
      </c>
      <c r="P710" s="1655" t="s">
        <v>42</v>
      </c>
      <c r="Q710" s="1655" t="s">
        <v>571</v>
      </c>
      <c r="S710" s="1655" t="s">
        <v>70</v>
      </c>
      <c r="T710" s="1655" t="s">
        <v>898</v>
      </c>
      <c r="U710" s="1656">
        <v>0</v>
      </c>
      <c r="V710" s="1655" t="s">
        <v>42</v>
      </c>
      <c r="W710" s="1655" t="s">
        <v>571</v>
      </c>
    </row>
    <row r="711" spans="1:23">
      <c r="A711" s="1655" t="s">
        <v>70</v>
      </c>
      <c r="B711" s="1655" t="s">
        <v>899</v>
      </c>
      <c r="C711" s="1656">
        <v>0</v>
      </c>
      <c r="D711" s="1655" t="s">
        <v>42</v>
      </c>
      <c r="E711" s="1655" t="s">
        <v>571</v>
      </c>
      <c r="G711" s="1655" t="s">
        <v>70</v>
      </c>
      <c r="H711" s="1655" t="s">
        <v>899</v>
      </c>
      <c r="I711" s="1656">
        <v>0</v>
      </c>
      <c r="J711" s="1655" t="s">
        <v>42</v>
      </c>
      <c r="K711" s="1655" t="s">
        <v>571</v>
      </c>
      <c r="M711" s="1655" t="s">
        <v>70</v>
      </c>
      <c r="N711" s="1655" t="s">
        <v>899</v>
      </c>
      <c r="O711" s="1656">
        <v>0</v>
      </c>
      <c r="P711" s="1655" t="s">
        <v>42</v>
      </c>
      <c r="Q711" s="1655" t="s">
        <v>571</v>
      </c>
      <c r="S711" s="1655" t="s">
        <v>70</v>
      </c>
      <c r="T711" s="1655" t="s">
        <v>899</v>
      </c>
      <c r="U711" s="1656">
        <v>0</v>
      </c>
      <c r="V711" s="1655" t="s">
        <v>42</v>
      </c>
      <c r="W711" s="1655" t="s">
        <v>571</v>
      </c>
    </row>
    <row r="712" spans="1:23">
      <c r="A712" s="1655" t="s">
        <v>70</v>
      </c>
      <c r="B712" s="1655" t="s">
        <v>900</v>
      </c>
      <c r="C712" s="1656">
        <v>0</v>
      </c>
      <c r="D712" s="1655" t="s">
        <v>42</v>
      </c>
      <c r="E712" s="1655" t="s">
        <v>571</v>
      </c>
      <c r="G712" s="1655" t="s">
        <v>70</v>
      </c>
      <c r="H712" s="1655" t="s">
        <v>900</v>
      </c>
      <c r="I712" s="1656">
        <v>0</v>
      </c>
      <c r="J712" s="1655" t="s">
        <v>42</v>
      </c>
      <c r="K712" s="1655" t="s">
        <v>571</v>
      </c>
      <c r="M712" s="1655" t="s">
        <v>70</v>
      </c>
      <c r="N712" s="1655" t="s">
        <v>900</v>
      </c>
      <c r="O712" s="1656">
        <v>0</v>
      </c>
      <c r="P712" s="1655" t="s">
        <v>42</v>
      </c>
      <c r="Q712" s="1655" t="s">
        <v>571</v>
      </c>
      <c r="S712" s="1655" t="s">
        <v>70</v>
      </c>
      <c r="T712" s="1655" t="s">
        <v>900</v>
      </c>
      <c r="U712" s="1656">
        <v>0</v>
      </c>
      <c r="V712" s="1655" t="s">
        <v>42</v>
      </c>
      <c r="W712" s="1655" t="s">
        <v>571</v>
      </c>
    </row>
    <row r="713" spans="1:23">
      <c r="A713" s="1655" t="s">
        <v>70</v>
      </c>
      <c r="B713" s="1655" t="s">
        <v>901</v>
      </c>
      <c r="C713" s="1656">
        <v>0</v>
      </c>
      <c r="D713" s="1655" t="s">
        <v>42</v>
      </c>
      <c r="E713" s="1655" t="s">
        <v>571</v>
      </c>
      <c r="G713" s="1655" t="s">
        <v>70</v>
      </c>
      <c r="H713" s="1655" t="s">
        <v>901</v>
      </c>
      <c r="I713" s="1656">
        <v>0</v>
      </c>
      <c r="J713" s="1655" t="s">
        <v>42</v>
      </c>
      <c r="K713" s="1655" t="s">
        <v>571</v>
      </c>
      <c r="M713" s="1655" t="s">
        <v>70</v>
      </c>
      <c r="N713" s="1655" t="s">
        <v>901</v>
      </c>
      <c r="O713" s="1656">
        <v>0</v>
      </c>
      <c r="P713" s="1655" t="s">
        <v>42</v>
      </c>
      <c r="Q713" s="1655" t="s">
        <v>571</v>
      </c>
      <c r="S713" s="1655" t="s">
        <v>70</v>
      </c>
      <c r="T713" s="1655" t="s">
        <v>901</v>
      </c>
      <c r="U713" s="1656">
        <v>0</v>
      </c>
      <c r="V713" s="1655" t="s">
        <v>42</v>
      </c>
      <c r="W713" s="1655" t="s">
        <v>571</v>
      </c>
    </row>
    <row r="714" spans="1:23">
      <c r="A714" s="1655" t="s">
        <v>70</v>
      </c>
      <c r="B714" s="1655" t="s">
        <v>902</v>
      </c>
      <c r="C714" s="1656">
        <v>0</v>
      </c>
      <c r="D714" s="1655" t="s">
        <v>42</v>
      </c>
      <c r="E714" s="1655" t="s">
        <v>571</v>
      </c>
      <c r="G714" s="1655" t="s">
        <v>70</v>
      </c>
      <c r="H714" s="1655" t="s">
        <v>902</v>
      </c>
      <c r="I714" s="1656">
        <v>0</v>
      </c>
      <c r="J714" s="1655" t="s">
        <v>42</v>
      </c>
      <c r="K714" s="1655" t="s">
        <v>571</v>
      </c>
      <c r="M714" s="1655" t="s">
        <v>70</v>
      </c>
      <c r="N714" s="1655" t="s">
        <v>902</v>
      </c>
      <c r="O714" s="1656">
        <v>0</v>
      </c>
      <c r="P714" s="1655" t="s">
        <v>42</v>
      </c>
      <c r="Q714" s="1655" t="s">
        <v>571</v>
      </c>
      <c r="S714" s="1655" t="s">
        <v>70</v>
      </c>
      <c r="T714" s="1655" t="s">
        <v>902</v>
      </c>
      <c r="U714" s="1656">
        <v>0</v>
      </c>
      <c r="V714" s="1655" t="s">
        <v>42</v>
      </c>
      <c r="W714" s="1655" t="s">
        <v>571</v>
      </c>
    </row>
    <row r="715" spans="1:23">
      <c r="A715" s="1655" t="s">
        <v>70</v>
      </c>
      <c r="B715" s="1655" t="s">
        <v>903</v>
      </c>
      <c r="C715" s="1656">
        <v>0</v>
      </c>
      <c r="D715" s="1655" t="s">
        <v>42</v>
      </c>
      <c r="E715" s="1655" t="s">
        <v>571</v>
      </c>
      <c r="G715" s="1655" t="s">
        <v>70</v>
      </c>
      <c r="H715" s="1655" t="s">
        <v>903</v>
      </c>
      <c r="I715" s="1656">
        <v>0</v>
      </c>
      <c r="J715" s="1655" t="s">
        <v>42</v>
      </c>
      <c r="K715" s="1655" t="s">
        <v>571</v>
      </c>
      <c r="M715" s="1655" t="s">
        <v>70</v>
      </c>
      <c r="N715" s="1655" t="s">
        <v>903</v>
      </c>
      <c r="O715" s="1656">
        <v>0</v>
      </c>
      <c r="P715" s="1655" t="s">
        <v>42</v>
      </c>
      <c r="Q715" s="1655" t="s">
        <v>571</v>
      </c>
      <c r="S715" s="1655" t="s">
        <v>70</v>
      </c>
      <c r="T715" s="1655" t="s">
        <v>903</v>
      </c>
      <c r="U715" s="1656">
        <v>0</v>
      </c>
      <c r="V715" s="1655" t="s">
        <v>42</v>
      </c>
      <c r="W715" s="1655" t="s">
        <v>571</v>
      </c>
    </row>
    <row r="716" spans="1:23">
      <c r="A716" s="1655" t="s">
        <v>70</v>
      </c>
      <c r="B716" s="1655" t="s">
        <v>904</v>
      </c>
      <c r="C716" s="1656">
        <v>0</v>
      </c>
      <c r="D716" s="1655" t="s">
        <v>42</v>
      </c>
      <c r="E716" s="1655" t="s">
        <v>571</v>
      </c>
      <c r="G716" s="1655" t="s">
        <v>70</v>
      </c>
      <c r="H716" s="1655" t="s">
        <v>904</v>
      </c>
      <c r="I716" s="1656">
        <v>0</v>
      </c>
      <c r="J716" s="1655" t="s">
        <v>42</v>
      </c>
      <c r="K716" s="1655" t="s">
        <v>571</v>
      </c>
      <c r="M716" s="1655" t="s">
        <v>70</v>
      </c>
      <c r="N716" s="1655" t="s">
        <v>904</v>
      </c>
      <c r="O716" s="1656">
        <v>0</v>
      </c>
      <c r="P716" s="1655" t="s">
        <v>42</v>
      </c>
      <c r="Q716" s="1655" t="s">
        <v>571</v>
      </c>
      <c r="S716" s="1655" t="s">
        <v>70</v>
      </c>
      <c r="T716" s="1655" t="s">
        <v>904</v>
      </c>
      <c r="U716" s="1656">
        <v>0</v>
      </c>
      <c r="V716" s="1655" t="s">
        <v>42</v>
      </c>
      <c r="W716" s="1655" t="s">
        <v>571</v>
      </c>
    </row>
    <row r="717" spans="1:23">
      <c r="A717" s="1655" t="s">
        <v>70</v>
      </c>
      <c r="B717" s="1655" t="s">
        <v>905</v>
      </c>
      <c r="C717" s="1656">
        <v>0</v>
      </c>
      <c r="D717" s="1655" t="s">
        <v>42</v>
      </c>
      <c r="E717" s="1655" t="s">
        <v>571</v>
      </c>
      <c r="G717" s="1655" t="s">
        <v>70</v>
      </c>
      <c r="H717" s="1655" t="s">
        <v>905</v>
      </c>
      <c r="I717" s="1656">
        <v>0</v>
      </c>
      <c r="J717" s="1655" t="s">
        <v>42</v>
      </c>
      <c r="K717" s="1655" t="s">
        <v>571</v>
      </c>
      <c r="M717" s="1655" t="s">
        <v>70</v>
      </c>
      <c r="N717" s="1655" t="s">
        <v>905</v>
      </c>
      <c r="O717" s="1656">
        <v>0</v>
      </c>
      <c r="P717" s="1655" t="s">
        <v>42</v>
      </c>
      <c r="Q717" s="1655" t="s">
        <v>571</v>
      </c>
      <c r="S717" s="1655" t="s">
        <v>70</v>
      </c>
      <c r="T717" s="1655" t="s">
        <v>905</v>
      </c>
      <c r="U717" s="1656">
        <v>0</v>
      </c>
      <c r="V717" s="1655" t="s">
        <v>42</v>
      </c>
      <c r="W717" s="1655" t="s">
        <v>571</v>
      </c>
    </row>
    <row r="718" spans="1:23">
      <c r="A718" s="1655" t="s">
        <v>70</v>
      </c>
      <c r="B718" s="1655" t="s">
        <v>1136</v>
      </c>
      <c r="C718" s="1656">
        <v>0</v>
      </c>
      <c r="D718" s="1655" t="s">
        <v>42</v>
      </c>
      <c r="E718" s="1655" t="s">
        <v>571</v>
      </c>
      <c r="G718" s="1655" t="s">
        <v>70</v>
      </c>
      <c r="H718" s="1655" t="s">
        <v>1136</v>
      </c>
      <c r="I718" s="1656">
        <v>0</v>
      </c>
      <c r="J718" s="1655" t="s">
        <v>42</v>
      </c>
      <c r="K718" s="1655" t="s">
        <v>571</v>
      </c>
      <c r="M718" s="1655" t="s">
        <v>70</v>
      </c>
      <c r="N718" s="1655" t="s">
        <v>1136</v>
      </c>
      <c r="O718" s="1656">
        <v>0</v>
      </c>
      <c r="P718" s="1655" t="s">
        <v>42</v>
      </c>
      <c r="Q718" s="1655" t="s">
        <v>571</v>
      </c>
      <c r="S718" s="1655" t="s">
        <v>70</v>
      </c>
      <c r="T718" s="1655" t="s">
        <v>1136</v>
      </c>
      <c r="U718" s="1656">
        <v>0</v>
      </c>
      <c r="V718" s="1655" t="s">
        <v>42</v>
      </c>
      <c r="W718" s="1655" t="s">
        <v>571</v>
      </c>
    </row>
    <row r="719" spans="1:23">
      <c r="A719" s="1655" t="s">
        <v>70</v>
      </c>
      <c r="B719" s="1655" t="s">
        <v>1137</v>
      </c>
      <c r="C719" s="1656">
        <v>-1300</v>
      </c>
      <c r="D719" s="1655" t="s">
        <v>42</v>
      </c>
      <c r="E719" s="1655" t="s">
        <v>571</v>
      </c>
      <c r="G719" s="1655" t="s">
        <v>70</v>
      </c>
      <c r="H719" s="1655" t="s">
        <v>1137</v>
      </c>
      <c r="I719" s="1656">
        <v>0</v>
      </c>
      <c r="J719" s="1655" t="s">
        <v>42</v>
      </c>
      <c r="K719" s="1655" t="s">
        <v>571</v>
      </c>
      <c r="M719" s="1655" t="s">
        <v>70</v>
      </c>
      <c r="N719" s="1655" t="s">
        <v>1137</v>
      </c>
      <c r="O719" s="1656">
        <v>0</v>
      </c>
      <c r="P719" s="1655" t="s">
        <v>42</v>
      </c>
      <c r="Q719" s="1655" t="s">
        <v>571</v>
      </c>
      <c r="S719" s="1655" t="s">
        <v>70</v>
      </c>
      <c r="T719" s="1655" t="s">
        <v>1137</v>
      </c>
      <c r="U719" s="1656">
        <v>0</v>
      </c>
      <c r="V719" s="1655" t="s">
        <v>42</v>
      </c>
      <c r="W719" s="1655" t="s">
        <v>571</v>
      </c>
    </row>
    <row r="720" spans="1:23">
      <c r="A720" s="1655" t="s">
        <v>70</v>
      </c>
      <c r="B720" s="1655" t="s">
        <v>906</v>
      </c>
      <c r="C720" s="1656">
        <v>0</v>
      </c>
      <c r="D720" s="1655" t="s">
        <v>42</v>
      </c>
      <c r="E720" s="1655" t="s">
        <v>571</v>
      </c>
      <c r="G720" s="1655" t="s">
        <v>70</v>
      </c>
      <c r="H720" s="1655" t="s">
        <v>906</v>
      </c>
      <c r="I720" s="1656">
        <v>0</v>
      </c>
      <c r="J720" s="1655" t="s">
        <v>42</v>
      </c>
      <c r="K720" s="1655" t="s">
        <v>571</v>
      </c>
      <c r="M720" s="1655" t="s">
        <v>70</v>
      </c>
      <c r="N720" s="1655" t="s">
        <v>906</v>
      </c>
      <c r="O720" s="1656">
        <v>0</v>
      </c>
      <c r="P720" s="1655" t="s">
        <v>42</v>
      </c>
      <c r="Q720" s="1655" t="s">
        <v>571</v>
      </c>
      <c r="S720" s="1655" t="s">
        <v>70</v>
      </c>
      <c r="T720" s="1655" t="s">
        <v>906</v>
      </c>
      <c r="U720" s="1656">
        <v>0</v>
      </c>
      <c r="V720" s="1655" t="s">
        <v>42</v>
      </c>
      <c r="W720" s="1655" t="s">
        <v>571</v>
      </c>
    </row>
    <row r="721" spans="1:23">
      <c r="A721" s="1655" t="s">
        <v>70</v>
      </c>
      <c r="B721" s="1655" t="s">
        <v>907</v>
      </c>
      <c r="C721" s="1656">
        <v>0</v>
      </c>
      <c r="D721" s="1655" t="s">
        <v>42</v>
      </c>
      <c r="E721" s="1655" t="s">
        <v>571</v>
      </c>
      <c r="G721" s="1655" t="s">
        <v>70</v>
      </c>
      <c r="H721" s="1655" t="s">
        <v>907</v>
      </c>
      <c r="I721" s="1656">
        <v>0</v>
      </c>
      <c r="J721" s="1655" t="s">
        <v>42</v>
      </c>
      <c r="K721" s="1655" t="s">
        <v>571</v>
      </c>
      <c r="M721" s="1655" t="s">
        <v>70</v>
      </c>
      <c r="N721" s="1655" t="s">
        <v>907</v>
      </c>
      <c r="O721" s="1656">
        <v>0</v>
      </c>
      <c r="P721" s="1655" t="s">
        <v>42</v>
      </c>
      <c r="Q721" s="1655" t="s">
        <v>571</v>
      </c>
      <c r="S721" s="1655" t="s">
        <v>70</v>
      </c>
      <c r="T721" s="1655" t="s">
        <v>907</v>
      </c>
      <c r="U721" s="1656">
        <v>0</v>
      </c>
      <c r="V721" s="1655" t="s">
        <v>42</v>
      </c>
      <c r="W721" s="1655" t="s">
        <v>571</v>
      </c>
    </row>
    <row r="722" spans="1:23">
      <c r="A722" s="1655" t="s">
        <v>70</v>
      </c>
      <c r="B722" s="1655" t="s">
        <v>908</v>
      </c>
      <c r="C722" s="1656">
        <v>0</v>
      </c>
      <c r="D722" s="1655" t="s">
        <v>42</v>
      </c>
      <c r="E722" s="1655" t="s">
        <v>571</v>
      </c>
      <c r="G722" s="1655" t="s">
        <v>70</v>
      </c>
      <c r="H722" s="1655" t="s">
        <v>908</v>
      </c>
      <c r="I722" s="1656">
        <v>0</v>
      </c>
      <c r="J722" s="1655" t="s">
        <v>42</v>
      </c>
      <c r="K722" s="1655" t="s">
        <v>571</v>
      </c>
      <c r="M722" s="1655" t="s">
        <v>70</v>
      </c>
      <c r="N722" s="1655" t="s">
        <v>908</v>
      </c>
      <c r="O722" s="1656">
        <v>0</v>
      </c>
      <c r="P722" s="1655" t="s">
        <v>42</v>
      </c>
      <c r="Q722" s="1655" t="s">
        <v>571</v>
      </c>
      <c r="S722" s="1655" t="s">
        <v>70</v>
      </c>
      <c r="T722" s="1655" t="s">
        <v>908</v>
      </c>
      <c r="U722" s="1656">
        <v>0</v>
      </c>
      <c r="V722" s="1655" t="s">
        <v>42</v>
      </c>
      <c r="W722" s="1655" t="s">
        <v>571</v>
      </c>
    </row>
    <row r="723" spans="1:23">
      <c r="A723" s="1655" t="s">
        <v>70</v>
      </c>
      <c r="B723" s="1655" t="s">
        <v>909</v>
      </c>
      <c r="C723" s="1656">
        <v>0</v>
      </c>
      <c r="D723" s="1655" t="s">
        <v>42</v>
      </c>
      <c r="E723" s="1655" t="s">
        <v>571</v>
      </c>
      <c r="G723" s="1655" t="s">
        <v>70</v>
      </c>
      <c r="H723" s="1655" t="s">
        <v>909</v>
      </c>
      <c r="I723" s="1656">
        <v>0</v>
      </c>
      <c r="J723" s="1655" t="s">
        <v>42</v>
      </c>
      <c r="K723" s="1655" t="s">
        <v>571</v>
      </c>
      <c r="M723" s="1655" t="s">
        <v>70</v>
      </c>
      <c r="N723" s="1655" t="s">
        <v>909</v>
      </c>
      <c r="O723" s="1656">
        <v>0</v>
      </c>
      <c r="P723" s="1655" t="s">
        <v>42</v>
      </c>
      <c r="Q723" s="1655" t="s">
        <v>571</v>
      </c>
      <c r="S723" s="1655" t="s">
        <v>70</v>
      </c>
      <c r="T723" s="1655" t="s">
        <v>909</v>
      </c>
      <c r="U723" s="1656">
        <v>0</v>
      </c>
      <c r="V723" s="1655" t="s">
        <v>42</v>
      </c>
      <c r="W723" s="1655" t="s">
        <v>571</v>
      </c>
    </row>
    <row r="724" spans="1:23">
      <c r="A724" s="1655" t="s">
        <v>70</v>
      </c>
      <c r="B724" s="1655" t="s">
        <v>910</v>
      </c>
      <c r="C724" s="1656">
        <v>0</v>
      </c>
      <c r="D724" s="1655" t="s">
        <v>42</v>
      </c>
      <c r="E724" s="1655" t="s">
        <v>571</v>
      </c>
      <c r="G724" s="1655" t="s">
        <v>70</v>
      </c>
      <c r="H724" s="1655" t="s">
        <v>910</v>
      </c>
      <c r="I724" s="1656">
        <v>0</v>
      </c>
      <c r="J724" s="1655" t="s">
        <v>42</v>
      </c>
      <c r="K724" s="1655" t="s">
        <v>571</v>
      </c>
      <c r="M724" s="1655" t="s">
        <v>70</v>
      </c>
      <c r="N724" s="1655" t="s">
        <v>910</v>
      </c>
      <c r="O724" s="1656">
        <v>0</v>
      </c>
      <c r="P724" s="1655" t="s">
        <v>42</v>
      </c>
      <c r="Q724" s="1655" t="s">
        <v>571</v>
      </c>
      <c r="S724" s="1655" t="s">
        <v>70</v>
      </c>
      <c r="T724" s="1655" t="s">
        <v>910</v>
      </c>
      <c r="U724" s="1656">
        <v>0</v>
      </c>
      <c r="V724" s="1655" t="s">
        <v>42</v>
      </c>
      <c r="W724" s="1655" t="s">
        <v>571</v>
      </c>
    </row>
    <row r="725" spans="1:23">
      <c r="A725" s="1655" t="s">
        <v>70</v>
      </c>
      <c r="B725" s="1655" t="s">
        <v>911</v>
      </c>
      <c r="C725" s="1656">
        <v>0</v>
      </c>
      <c r="D725" s="1655" t="s">
        <v>42</v>
      </c>
      <c r="E725" s="1655" t="s">
        <v>571</v>
      </c>
      <c r="G725" s="1655" t="s">
        <v>70</v>
      </c>
      <c r="H725" s="1655" t="s">
        <v>911</v>
      </c>
      <c r="I725" s="1656">
        <v>0</v>
      </c>
      <c r="J725" s="1655" t="s">
        <v>42</v>
      </c>
      <c r="K725" s="1655" t="s">
        <v>571</v>
      </c>
      <c r="M725" s="1655" t="s">
        <v>70</v>
      </c>
      <c r="N725" s="1655" t="s">
        <v>911</v>
      </c>
      <c r="O725" s="1656">
        <v>0</v>
      </c>
      <c r="P725" s="1655" t="s">
        <v>42</v>
      </c>
      <c r="Q725" s="1655" t="s">
        <v>571</v>
      </c>
      <c r="S725" s="1655" t="s">
        <v>70</v>
      </c>
      <c r="T725" s="1655" t="s">
        <v>911</v>
      </c>
      <c r="U725" s="1656">
        <v>0</v>
      </c>
      <c r="V725" s="1655" t="s">
        <v>42</v>
      </c>
      <c r="W725" s="1655" t="s">
        <v>571</v>
      </c>
    </row>
    <row r="726" spans="1:23">
      <c r="A726" s="1655" t="s">
        <v>70</v>
      </c>
      <c r="B726" s="1655" t="s">
        <v>912</v>
      </c>
      <c r="C726" s="1656">
        <v>0</v>
      </c>
      <c r="D726" s="1655" t="s">
        <v>42</v>
      </c>
      <c r="E726" s="1655" t="s">
        <v>571</v>
      </c>
      <c r="G726" s="1655" t="s">
        <v>70</v>
      </c>
      <c r="H726" s="1655" t="s">
        <v>912</v>
      </c>
      <c r="I726" s="1656">
        <v>0</v>
      </c>
      <c r="J726" s="1655" t="s">
        <v>42</v>
      </c>
      <c r="K726" s="1655" t="s">
        <v>571</v>
      </c>
      <c r="M726" s="1655" t="s">
        <v>70</v>
      </c>
      <c r="N726" s="1655" t="s">
        <v>912</v>
      </c>
      <c r="O726" s="1656">
        <v>0</v>
      </c>
      <c r="P726" s="1655" t="s">
        <v>42</v>
      </c>
      <c r="Q726" s="1655" t="s">
        <v>571</v>
      </c>
      <c r="S726" s="1655" t="s">
        <v>70</v>
      </c>
      <c r="T726" s="1655" t="s">
        <v>912</v>
      </c>
      <c r="U726" s="1656">
        <v>0</v>
      </c>
      <c r="V726" s="1655" t="s">
        <v>42</v>
      </c>
      <c r="W726" s="1655" t="s">
        <v>571</v>
      </c>
    </row>
    <row r="727" spans="1:23">
      <c r="A727" s="1655" t="s">
        <v>70</v>
      </c>
      <c r="B727" s="1655" t="s">
        <v>913</v>
      </c>
      <c r="C727" s="1656">
        <v>0</v>
      </c>
      <c r="D727" s="1655" t="s">
        <v>42</v>
      </c>
      <c r="E727" s="1655" t="s">
        <v>571</v>
      </c>
      <c r="G727" s="1655" t="s">
        <v>70</v>
      </c>
      <c r="H727" s="1655" t="s">
        <v>913</v>
      </c>
      <c r="I727" s="1656">
        <v>0</v>
      </c>
      <c r="J727" s="1655" t="s">
        <v>42</v>
      </c>
      <c r="K727" s="1655" t="s">
        <v>571</v>
      </c>
      <c r="M727" s="1655" t="s">
        <v>70</v>
      </c>
      <c r="N727" s="1655" t="s">
        <v>913</v>
      </c>
      <c r="O727" s="1656">
        <v>0</v>
      </c>
      <c r="P727" s="1655" t="s">
        <v>42</v>
      </c>
      <c r="Q727" s="1655" t="s">
        <v>571</v>
      </c>
      <c r="S727" s="1655" t="s">
        <v>70</v>
      </c>
      <c r="T727" s="1655" t="s">
        <v>913</v>
      </c>
      <c r="U727" s="1656">
        <v>0</v>
      </c>
      <c r="V727" s="1655" t="s">
        <v>42</v>
      </c>
      <c r="W727" s="1655" t="s">
        <v>571</v>
      </c>
    </row>
    <row r="728" spans="1:23">
      <c r="A728" s="1655" t="s">
        <v>70</v>
      </c>
      <c r="B728" s="1655" t="s">
        <v>914</v>
      </c>
      <c r="C728" s="1656">
        <v>0</v>
      </c>
      <c r="D728" s="1655" t="s">
        <v>42</v>
      </c>
      <c r="E728" s="1655" t="s">
        <v>571</v>
      </c>
      <c r="G728" s="1655" t="s">
        <v>70</v>
      </c>
      <c r="H728" s="1655" t="s">
        <v>914</v>
      </c>
      <c r="I728" s="1656">
        <v>0</v>
      </c>
      <c r="J728" s="1655" t="s">
        <v>42</v>
      </c>
      <c r="K728" s="1655" t="s">
        <v>571</v>
      </c>
      <c r="M728" s="1655" t="s">
        <v>70</v>
      </c>
      <c r="N728" s="1655" t="s">
        <v>914</v>
      </c>
      <c r="O728" s="1656">
        <v>0</v>
      </c>
      <c r="P728" s="1655" t="s">
        <v>42</v>
      </c>
      <c r="Q728" s="1655" t="s">
        <v>571</v>
      </c>
      <c r="S728" s="1655" t="s">
        <v>70</v>
      </c>
      <c r="T728" s="1655" t="s">
        <v>914</v>
      </c>
      <c r="U728" s="1656">
        <v>0</v>
      </c>
      <c r="V728" s="1655" t="s">
        <v>42</v>
      </c>
      <c r="W728" s="1655" t="s">
        <v>571</v>
      </c>
    </row>
    <row r="729" spans="1:23">
      <c r="A729" s="1655" t="s">
        <v>70</v>
      </c>
      <c r="B729" s="1655" t="s">
        <v>1039</v>
      </c>
      <c r="C729" s="1656">
        <v>0</v>
      </c>
      <c r="D729" s="1655" t="s">
        <v>42</v>
      </c>
      <c r="E729" s="1655" t="s">
        <v>571</v>
      </c>
      <c r="G729" s="1655" t="s">
        <v>70</v>
      </c>
      <c r="H729" s="1655" t="s">
        <v>1039</v>
      </c>
      <c r="I729" s="1656">
        <v>0</v>
      </c>
      <c r="J729" s="1655" t="s">
        <v>42</v>
      </c>
      <c r="K729" s="1655" t="s">
        <v>571</v>
      </c>
      <c r="M729" s="1655" t="s">
        <v>70</v>
      </c>
      <c r="N729" s="1655" t="s">
        <v>1039</v>
      </c>
      <c r="O729" s="1656">
        <v>0</v>
      </c>
      <c r="P729" s="1655" t="s">
        <v>42</v>
      </c>
      <c r="Q729" s="1655" t="s">
        <v>571</v>
      </c>
      <c r="S729" s="1655" t="s">
        <v>70</v>
      </c>
      <c r="T729" s="1655" t="s">
        <v>1039</v>
      </c>
      <c r="U729" s="1656">
        <v>0</v>
      </c>
      <c r="V729" s="1655" t="s">
        <v>42</v>
      </c>
      <c r="W729" s="1655" t="s">
        <v>571</v>
      </c>
    </row>
    <row r="730" spans="1:23">
      <c r="A730" s="1655" t="s">
        <v>70</v>
      </c>
      <c r="B730" s="1655" t="s">
        <v>1040</v>
      </c>
      <c r="C730" s="1656">
        <v>-800</v>
      </c>
      <c r="D730" s="1655" t="s">
        <v>42</v>
      </c>
      <c r="E730" s="1655" t="s">
        <v>571</v>
      </c>
      <c r="G730" s="1655" t="s">
        <v>70</v>
      </c>
      <c r="H730" s="1655" t="s">
        <v>1040</v>
      </c>
      <c r="I730" s="1656">
        <v>-350</v>
      </c>
      <c r="J730" s="1655" t="s">
        <v>42</v>
      </c>
      <c r="K730" s="1655" t="s">
        <v>571</v>
      </c>
      <c r="M730" s="1655" t="s">
        <v>70</v>
      </c>
      <c r="N730" s="1655" t="s">
        <v>1040</v>
      </c>
      <c r="O730" s="1656">
        <v>0</v>
      </c>
      <c r="P730" s="1655" t="s">
        <v>42</v>
      </c>
      <c r="Q730" s="1655" t="s">
        <v>571</v>
      </c>
      <c r="S730" s="1655" t="s">
        <v>70</v>
      </c>
      <c r="T730" s="1655" t="s">
        <v>1040</v>
      </c>
      <c r="U730" s="1656">
        <v>0</v>
      </c>
      <c r="V730" s="1655" t="s">
        <v>42</v>
      </c>
      <c r="W730" s="1655" t="s">
        <v>571</v>
      </c>
    </row>
    <row r="731" spans="1:23">
      <c r="A731" s="1655" t="s">
        <v>70</v>
      </c>
      <c r="B731" s="1655" t="s">
        <v>915</v>
      </c>
      <c r="C731" s="1656">
        <v>0</v>
      </c>
      <c r="D731" s="1655" t="s">
        <v>42</v>
      </c>
      <c r="E731" s="1655" t="s">
        <v>571</v>
      </c>
      <c r="G731" s="1655" t="s">
        <v>70</v>
      </c>
      <c r="H731" s="1655" t="s">
        <v>915</v>
      </c>
      <c r="I731" s="1656">
        <v>0</v>
      </c>
      <c r="J731" s="1655" t="s">
        <v>42</v>
      </c>
      <c r="K731" s="1655" t="s">
        <v>571</v>
      </c>
      <c r="M731" s="1655" t="s">
        <v>70</v>
      </c>
      <c r="N731" s="1655" t="s">
        <v>915</v>
      </c>
      <c r="O731" s="1656">
        <v>0</v>
      </c>
      <c r="P731" s="1655" t="s">
        <v>42</v>
      </c>
      <c r="Q731" s="1655" t="s">
        <v>571</v>
      </c>
      <c r="S731" s="1655" t="s">
        <v>70</v>
      </c>
      <c r="T731" s="1655" t="s">
        <v>915</v>
      </c>
      <c r="U731" s="1656">
        <v>0</v>
      </c>
      <c r="V731" s="1655" t="s">
        <v>42</v>
      </c>
      <c r="W731" s="1655" t="s">
        <v>571</v>
      </c>
    </row>
    <row r="732" spans="1:23">
      <c r="A732" s="1655" t="s">
        <v>70</v>
      </c>
      <c r="B732" s="1655" t="s">
        <v>916</v>
      </c>
      <c r="C732" s="1656">
        <v>450</v>
      </c>
      <c r="D732" s="1655" t="s">
        <v>42</v>
      </c>
      <c r="E732" s="1655" t="s">
        <v>571</v>
      </c>
      <c r="G732" s="1655" t="s">
        <v>70</v>
      </c>
      <c r="H732" s="1655" t="s">
        <v>916</v>
      </c>
      <c r="I732" s="1656">
        <v>300</v>
      </c>
      <c r="J732" s="1655" t="s">
        <v>42</v>
      </c>
      <c r="K732" s="1655" t="s">
        <v>571</v>
      </c>
      <c r="M732" s="1655" t="s">
        <v>70</v>
      </c>
      <c r="N732" s="1655" t="s">
        <v>916</v>
      </c>
      <c r="O732" s="1656">
        <v>0</v>
      </c>
      <c r="P732" s="1655" t="s">
        <v>42</v>
      </c>
      <c r="Q732" s="1655" t="s">
        <v>571</v>
      </c>
      <c r="S732" s="1655" t="s">
        <v>70</v>
      </c>
      <c r="T732" s="1655" t="s">
        <v>916</v>
      </c>
      <c r="U732" s="1656">
        <v>0</v>
      </c>
      <c r="V732" s="1655" t="s">
        <v>42</v>
      </c>
      <c r="W732" s="1655" t="s">
        <v>571</v>
      </c>
    </row>
    <row r="733" spans="1:23">
      <c r="A733" s="1655" t="s">
        <v>70</v>
      </c>
      <c r="B733" s="1655" t="s">
        <v>917</v>
      </c>
      <c r="C733" s="1656">
        <v>0</v>
      </c>
      <c r="D733" s="1655" t="s">
        <v>42</v>
      </c>
      <c r="E733" s="1655" t="s">
        <v>571</v>
      </c>
      <c r="G733" s="1655" t="s">
        <v>70</v>
      </c>
      <c r="H733" s="1655" t="s">
        <v>917</v>
      </c>
      <c r="I733" s="1656">
        <v>0</v>
      </c>
      <c r="J733" s="1655" t="s">
        <v>42</v>
      </c>
      <c r="K733" s="1655" t="s">
        <v>571</v>
      </c>
      <c r="M733" s="1655" t="s">
        <v>70</v>
      </c>
      <c r="N733" s="1655" t="s">
        <v>917</v>
      </c>
      <c r="O733" s="1656">
        <v>0</v>
      </c>
      <c r="P733" s="1655" t="s">
        <v>42</v>
      </c>
      <c r="Q733" s="1655" t="s">
        <v>571</v>
      </c>
      <c r="S733" s="1655" t="s">
        <v>70</v>
      </c>
      <c r="T733" s="1655" t="s">
        <v>917</v>
      </c>
      <c r="U733" s="1656">
        <v>0</v>
      </c>
      <c r="V733" s="1655" t="s">
        <v>42</v>
      </c>
      <c r="W733" s="1655" t="s">
        <v>571</v>
      </c>
    </row>
    <row r="734" spans="1:23">
      <c r="A734" s="1655" t="s">
        <v>70</v>
      </c>
      <c r="B734" s="1655" t="s">
        <v>918</v>
      </c>
      <c r="C734" s="1656">
        <v>0</v>
      </c>
      <c r="D734" s="1655" t="s">
        <v>42</v>
      </c>
      <c r="E734" s="1655" t="s">
        <v>571</v>
      </c>
      <c r="G734" s="1655" t="s">
        <v>70</v>
      </c>
      <c r="H734" s="1655" t="s">
        <v>918</v>
      </c>
      <c r="I734" s="1656">
        <v>50</v>
      </c>
      <c r="J734" s="1655" t="s">
        <v>42</v>
      </c>
      <c r="K734" s="1655" t="s">
        <v>571</v>
      </c>
      <c r="M734" s="1655" t="s">
        <v>70</v>
      </c>
      <c r="N734" s="1655" t="s">
        <v>918</v>
      </c>
      <c r="O734" s="1656">
        <v>0</v>
      </c>
      <c r="P734" s="1655" t="s">
        <v>42</v>
      </c>
      <c r="Q734" s="1655" t="s">
        <v>571</v>
      </c>
      <c r="S734" s="1655" t="s">
        <v>70</v>
      </c>
      <c r="T734" s="1655" t="s">
        <v>918</v>
      </c>
      <c r="U734" s="1656">
        <v>0</v>
      </c>
      <c r="V734" s="1655" t="s">
        <v>42</v>
      </c>
      <c r="W734" s="1655" t="s">
        <v>571</v>
      </c>
    </row>
    <row r="735" spans="1:23">
      <c r="A735" s="1655" t="s">
        <v>70</v>
      </c>
      <c r="B735" s="1655" t="s">
        <v>919</v>
      </c>
      <c r="C735" s="1656">
        <v>0</v>
      </c>
      <c r="D735" s="1655" t="s">
        <v>42</v>
      </c>
      <c r="E735" s="1655" t="s">
        <v>571</v>
      </c>
      <c r="G735" s="1655" t="s">
        <v>70</v>
      </c>
      <c r="H735" s="1655" t="s">
        <v>919</v>
      </c>
      <c r="I735" s="1656">
        <v>0</v>
      </c>
      <c r="J735" s="1655" t="s">
        <v>42</v>
      </c>
      <c r="K735" s="1655" t="s">
        <v>571</v>
      </c>
      <c r="M735" s="1655" t="s">
        <v>70</v>
      </c>
      <c r="N735" s="1655" t="s">
        <v>919</v>
      </c>
      <c r="O735" s="1656">
        <v>0</v>
      </c>
      <c r="P735" s="1655" t="s">
        <v>42</v>
      </c>
      <c r="Q735" s="1655" t="s">
        <v>571</v>
      </c>
      <c r="S735" s="1655" t="s">
        <v>70</v>
      </c>
      <c r="T735" s="1655" t="s">
        <v>919</v>
      </c>
      <c r="U735" s="1656">
        <v>0</v>
      </c>
      <c r="V735" s="1655" t="s">
        <v>42</v>
      </c>
      <c r="W735" s="1655" t="s">
        <v>571</v>
      </c>
    </row>
    <row r="736" spans="1:23">
      <c r="A736" s="1655" t="s">
        <v>70</v>
      </c>
      <c r="B736" s="1655" t="s">
        <v>920</v>
      </c>
      <c r="C736" s="1656">
        <v>0</v>
      </c>
      <c r="D736" s="1655" t="s">
        <v>42</v>
      </c>
      <c r="E736" s="1655" t="s">
        <v>571</v>
      </c>
      <c r="G736" s="1655" t="s">
        <v>70</v>
      </c>
      <c r="H736" s="1655" t="s">
        <v>920</v>
      </c>
      <c r="I736" s="1656">
        <v>0</v>
      </c>
      <c r="J736" s="1655" t="s">
        <v>42</v>
      </c>
      <c r="K736" s="1655" t="s">
        <v>571</v>
      </c>
      <c r="M736" s="1655" t="s">
        <v>70</v>
      </c>
      <c r="N736" s="1655" t="s">
        <v>920</v>
      </c>
      <c r="O736" s="1656">
        <v>0</v>
      </c>
      <c r="P736" s="1655" t="s">
        <v>42</v>
      </c>
      <c r="Q736" s="1655" t="s">
        <v>571</v>
      </c>
      <c r="S736" s="1655" t="s">
        <v>70</v>
      </c>
      <c r="T736" s="1655" t="s">
        <v>920</v>
      </c>
      <c r="U736" s="1656">
        <v>0</v>
      </c>
      <c r="V736" s="1655" t="s">
        <v>42</v>
      </c>
      <c r="W736" s="1655" t="s">
        <v>571</v>
      </c>
    </row>
    <row r="737" spans="1:23">
      <c r="A737" s="1655" t="s">
        <v>70</v>
      </c>
      <c r="B737" s="1655" t="s">
        <v>921</v>
      </c>
      <c r="C737" s="1656">
        <v>0</v>
      </c>
      <c r="D737" s="1655" t="s">
        <v>42</v>
      </c>
      <c r="E737" s="1655" t="s">
        <v>571</v>
      </c>
      <c r="G737" s="1655" t="s">
        <v>70</v>
      </c>
      <c r="H737" s="1655" t="s">
        <v>921</v>
      </c>
      <c r="I737" s="1656">
        <v>150</v>
      </c>
      <c r="J737" s="1655" t="s">
        <v>42</v>
      </c>
      <c r="K737" s="1655" t="s">
        <v>571</v>
      </c>
      <c r="M737" s="1655" t="s">
        <v>70</v>
      </c>
      <c r="N737" s="1655" t="s">
        <v>921</v>
      </c>
      <c r="O737" s="1656">
        <v>0</v>
      </c>
      <c r="P737" s="1655" t="s">
        <v>42</v>
      </c>
      <c r="Q737" s="1655" t="s">
        <v>571</v>
      </c>
      <c r="S737" s="1655" t="s">
        <v>70</v>
      </c>
      <c r="T737" s="1655" t="s">
        <v>921</v>
      </c>
      <c r="U737" s="1656">
        <v>0</v>
      </c>
      <c r="V737" s="1655" t="s">
        <v>42</v>
      </c>
      <c r="W737" s="1655" t="s">
        <v>571</v>
      </c>
    </row>
    <row r="738" spans="1:23">
      <c r="A738" s="1655" t="s">
        <v>70</v>
      </c>
      <c r="B738" s="1655" t="s">
        <v>922</v>
      </c>
      <c r="C738" s="1656">
        <v>0</v>
      </c>
      <c r="D738" s="1655" t="s">
        <v>42</v>
      </c>
      <c r="E738" s="1655" t="s">
        <v>571</v>
      </c>
      <c r="G738" s="1655" t="s">
        <v>70</v>
      </c>
      <c r="H738" s="1655" t="s">
        <v>922</v>
      </c>
      <c r="I738" s="1656">
        <v>0</v>
      </c>
      <c r="J738" s="1655" t="s">
        <v>42</v>
      </c>
      <c r="K738" s="1655" t="s">
        <v>571</v>
      </c>
      <c r="M738" s="1655" t="s">
        <v>70</v>
      </c>
      <c r="N738" s="1655" t="s">
        <v>922</v>
      </c>
      <c r="O738" s="1656">
        <v>0</v>
      </c>
      <c r="P738" s="1655" t="s">
        <v>42</v>
      </c>
      <c r="Q738" s="1655" t="s">
        <v>571</v>
      </c>
      <c r="S738" s="1655" t="s">
        <v>70</v>
      </c>
      <c r="T738" s="1655" t="s">
        <v>922</v>
      </c>
      <c r="U738" s="1656">
        <v>0</v>
      </c>
      <c r="V738" s="1655" t="s">
        <v>42</v>
      </c>
      <c r="W738" s="1655" t="s">
        <v>571</v>
      </c>
    </row>
    <row r="739" spans="1:23">
      <c r="A739" s="1655" t="s">
        <v>70</v>
      </c>
      <c r="B739" s="1655" t="s">
        <v>923</v>
      </c>
      <c r="C739" s="1656">
        <v>0</v>
      </c>
      <c r="D739" s="1655" t="s">
        <v>42</v>
      </c>
      <c r="E739" s="1655" t="s">
        <v>571</v>
      </c>
      <c r="G739" s="1655" t="s">
        <v>70</v>
      </c>
      <c r="H739" s="1655" t="s">
        <v>923</v>
      </c>
      <c r="I739" s="1656">
        <v>0</v>
      </c>
      <c r="J739" s="1655" t="s">
        <v>42</v>
      </c>
      <c r="K739" s="1655" t="s">
        <v>571</v>
      </c>
      <c r="M739" s="1655" t="s">
        <v>70</v>
      </c>
      <c r="N739" s="1655" t="s">
        <v>923</v>
      </c>
      <c r="O739" s="1656">
        <v>0</v>
      </c>
      <c r="P739" s="1655" t="s">
        <v>42</v>
      </c>
      <c r="Q739" s="1655" t="s">
        <v>571</v>
      </c>
      <c r="S739" s="1655" t="s">
        <v>70</v>
      </c>
      <c r="T739" s="1655" t="s">
        <v>923</v>
      </c>
      <c r="U739" s="1656">
        <v>0</v>
      </c>
      <c r="V739" s="1655" t="s">
        <v>42</v>
      </c>
      <c r="W739" s="1655" t="s">
        <v>571</v>
      </c>
    </row>
    <row r="740" spans="1:23">
      <c r="A740" s="1655" t="s">
        <v>70</v>
      </c>
      <c r="B740" s="1655" t="s">
        <v>1138</v>
      </c>
      <c r="C740" s="1656">
        <v>0</v>
      </c>
      <c r="D740" s="1655" t="s">
        <v>42</v>
      </c>
      <c r="E740" s="1655" t="s">
        <v>571</v>
      </c>
      <c r="G740" s="1655" t="s">
        <v>70</v>
      </c>
      <c r="H740" s="1655" t="s">
        <v>1138</v>
      </c>
      <c r="I740" s="1656">
        <v>0</v>
      </c>
      <c r="J740" s="1655" t="s">
        <v>42</v>
      </c>
      <c r="K740" s="1655" t="s">
        <v>571</v>
      </c>
      <c r="M740" s="1655" t="s">
        <v>70</v>
      </c>
      <c r="N740" s="1655" t="s">
        <v>1138</v>
      </c>
      <c r="O740" s="1656">
        <v>0</v>
      </c>
      <c r="P740" s="1655" t="s">
        <v>42</v>
      </c>
      <c r="Q740" s="1655" t="s">
        <v>571</v>
      </c>
      <c r="S740" s="1655" t="s">
        <v>70</v>
      </c>
      <c r="T740" s="1655" t="s">
        <v>1138</v>
      </c>
      <c r="U740" s="1656">
        <v>0</v>
      </c>
      <c r="V740" s="1655" t="s">
        <v>42</v>
      </c>
      <c r="W740" s="1655" t="s">
        <v>571</v>
      </c>
    </row>
    <row r="741" spans="1:23">
      <c r="A741" s="1655" t="s">
        <v>70</v>
      </c>
      <c r="B741" s="1655" t="s">
        <v>1139</v>
      </c>
      <c r="C741" s="1656">
        <v>0</v>
      </c>
      <c r="D741" s="1655" t="s">
        <v>42</v>
      </c>
      <c r="E741" s="1655" t="s">
        <v>571</v>
      </c>
      <c r="G741" s="1655" t="s">
        <v>70</v>
      </c>
      <c r="H741" s="1655" t="s">
        <v>1139</v>
      </c>
      <c r="I741" s="1656">
        <v>0</v>
      </c>
      <c r="J741" s="1655" t="s">
        <v>42</v>
      </c>
      <c r="K741" s="1655" t="s">
        <v>571</v>
      </c>
      <c r="M741" s="1655" t="s">
        <v>70</v>
      </c>
      <c r="N741" s="1655" t="s">
        <v>1139</v>
      </c>
      <c r="O741" s="1656">
        <v>0</v>
      </c>
      <c r="P741" s="1655" t="s">
        <v>42</v>
      </c>
      <c r="Q741" s="1655" t="s">
        <v>571</v>
      </c>
      <c r="S741" s="1655" t="s">
        <v>70</v>
      </c>
      <c r="T741" s="1655" t="s">
        <v>1139</v>
      </c>
      <c r="U741" s="1656">
        <v>0</v>
      </c>
      <c r="V741" s="1655" t="s">
        <v>42</v>
      </c>
      <c r="W741" s="1655" t="s">
        <v>571</v>
      </c>
    </row>
    <row r="742" spans="1:23">
      <c r="A742" s="1655" t="s">
        <v>70</v>
      </c>
      <c r="B742" s="1655" t="s">
        <v>926</v>
      </c>
      <c r="C742" s="1656">
        <v>0</v>
      </c>
      <c r="D742" s="1655" t="s">
        <v>42</v>
      </c>
      <c r="E742" s="1655" t="s">
        <v>571</v>
      </c>
      <c r="G742" s="1655" t="s">
        <v>70</v>
      </c>
      <c r="H742" s="1655" t="s">
        <v>926</v>
      </c>
      <c r="I742" s="1656">
        <v>0</v>
      </c>
      <c r="J742" s="1655" t="s">
        <v>42</v>
      </c>
      <c r="K742" s="1655" t="s">
        <v>571</v>
      </c>
      <c r="M742" s="1655" t="s">
        <v>70</v>
      </c>
      <c r="N742" s="1655" t="s">
        <v>926</v>
      </c>
      <c r="O742" s="1656">
        <v>0</v>
      </c>
      <c r="P742" s="1655" t="s">
        <v>42</v>
      </c>
      <c r="Q742" s="1655" t="s">
        <v>571</v>
      </c>
      <c r="S742" s="1655" t="s">
        <v>70</v>
      </c>
      <c r="T742" s="1655" t="s">
        <v>926</v>
      </c>
      <c r="U742" s="1656">
        <v>0</v>
      </c>
      <c r="V742" s="1655" t="s">
        <v>42</v>
      </c>
      <c r="W742" s="1655" t="s">
        <v>571</v>
      </c>
    </row>
    <row r="743" spans="1:23">
      <c r="A743" s="1655" t="s">
        <v>70</v>
      </c>
      <c r="B743" s="1655" t="s">
        <v>1847</v>
      </c>
      <c r="C743" s="1656">
        <v>0</v>
      </c>
      <c r="D743" s="1655" t="s">
        <v>42</v>
      </c>
      <c r="E743" s="1655" t="s">
        <v>571</v>
      </c>
      <c r="G743" s="1655" t="s">
        <v>70</v>
      </c>
      <c r="H743" s="1655" t="s">
        <v>1847</v>
      </c>
      <c r="I743" s="1656">
        <v>0</v>
      </c>
      <c r="J743" s="1655" t="s">
        <v>42</v>
      </c>
      <c r="K743" s="1655" t="s">
        <v>571</v>
      </c>
      <c r="M743" s="1655" t="s">
        <v>70</v>
      </c>
      <c r="N743" s="1655" t="s">
        <v>1847</v>
      </c>
      <c r="O743" s="1656">
        <v>0</v>
      </c>
      <c r="P743" s="1655" t="s">
        <v>42</v>
      </c>
      <c r="Q743" s="1655" t="s">
        <v>571</v>
      </c>
      <c r="S743" s="1655" t="s">
        <v>70</v>
      </c>
      <c r="T743" s="1655" t="s">
        <v>1847</v>
      </c>
      <c r="U743" s="1656">
        <v>0</v>
      </c>
      <c r="V743" s="1655" t="s">
        <v>42</v>
      </c>
      <c r="W743" s="1655" t="s">
        <v>571</v>
      </c>
    </row>
    <row r="744" spans="1:23">
      <c r="A744" s="1655" t="s">
        <v>70</v>
      </c>
      <c r="B744" s="1655" t="s">
        <v>1848</v>
      </c>
      <c r="C744" s="1656">
        <v>0</v>
      </c>
      <c r="D744" s="1655" t="s">
        <v>42</v>
      </c>
      <c r="E744" s="1655" t="s">
        <v>571</v>
      </c>
      <c r="G744" s="1655" t="s">
        <v>70</v>
      </c>
      <c r="H744" s="1655" t="s">
        <v>1848</v>
      </c>
      <c r="I744" s="1656">
        <v>0</v>
      </c>
      <c r="J744" s="1655" t="s">
        <v>42</v>
      </c>
      <c r="K744" s="1655" t="s">
        <v>571</v>
      </c>
      <c r="M744" s="1655" t="s">
        <v>70</v>
      </c>
      <c r="N744" s="1655" t="s">
        <v>1848</v>
      </c>
      <c r="O744" s="1656">
        <v>0</v>
      </c>
      <c r="P744" s="1655" t="s">
        <v>42</v>
      </c>
      <c r="Q744" s="1655" t="s">
        <v>571</v>
      </c>
      <c r="S744" s="1655" t="s">
        <v>70</v>
      </c>
      <c r="T744" s="1655" t="s">
        <v>1848</v>
      </c>
      <c r="U744" s="1656">
        <v>0</v>
      </c>
      <c r="V744" s="1655" t="s">
        <v>42</v>
      </c>
      <c r="W744" s="1655" t="s">
        <v>571</v>
      </c>
    </row>
    <row r="745" spans="1:23">
      <c r="A745" s="1655" t="s">
        <v>70</v>
      </c>
      <c r="B745" s="1655" t="s">
        <v>927</v>
      </c>
      <c r="C745" s="1656">
        <v>0</v>
      </c>
      <c r="D745" s="1655" t="s">
        <v>42</v>
      </c>
      <c r="E745" s="1655" t="s">
        <v>571</v>
      </c>
      <c r="G745" s="1655" t="s">
        <v>70</v>
      </c>
      <c r="H745" s="1655" t="s">
        <v>927</v>
      </c>
      <c r="I745" s="1656">
        <v>0</v>
      </c>
      <c r="J745" s="1655" t="s">
        <v>42</v>
      </c>
      <c r="K745" s="1655" t="s">
        <v>571</v>
      </c>
      <c r="M745" s="1655" t="s">
        <v>70</v>
      </c>
      <c r="N745" s="1655" t="s">
        <v>927</v>
      </c>
      <c r="O745" s="1656">
        <v>0</v>
      </c>
      <c r="P745" s="1655" t="s">
        <v>42</v>
      </c>
      <c r="Q745" s="1655" t="s">
        <v>571</v>
      </c>
      <c r="S745" s="1655" t="s">
        <v>70</v>
      </c>
      <c r="T745" s="1655" t="s">
        <v>927</v>
      </c>
      <c r="U745" s="1656">
        <v>0</v>
      </c>
      <c r="V745" s="1655" t="s">
        <v>42</v>
      </c>
      <c r="W745" s="1655" t="s">
        <v>571</v>
      </c>
    </row>
    <row r="746" spans="1:23">
      <c r="A746" s="1655" t="s">
        <v>70</v>
      </c>
      <c r="B746" s="1655" t="s">
        <v>928</v>
      </c>
      <c r="C746" s="1656">
        <v>0</v>
      </c>
      <c r="D746" s="1655" t="s">
        <v>42</v>
      </c>
      <c r="E746" s="1655" t="s">
        <v>571</v>
      </c>
      <c r="G746" s="1655" t="s">
        <v>70</v>
      </c>
      <c r="H746" s="1655" t="s">
        <v>928</v>
      </c>
      <c r="I746" s="1656">
        <v>0</v>
      </c>
      <c r="J746" s="1655" t="s">
        <v>42</v>
      </c>
      <c r="K746" s="1655" t="s">
        <v>571</v>
      </c>
      <c r="M746" s="1655" t="s">
        <v>70</v>
      </c>
      <c r="N746" s="1655" t="s">
        <v>928</v>
      </c>
      <c r="O746" s="1656">
        <v>0</v>
      </c>
      <c r="P746" s="1655" t="s">
        <v>42</v>
      </c>
      <c r="Q746" s="1655" t="s">
        <v>571</v>
      </c>
      <c r="S746" s="1655" t="s">
        <v>70</v>
      </c>
      <c r="T746" s="1655" t="s">
        <v>928</v>
      </c>
      <c r="U746" s="1656">
        <v>0</v>
      </c>
      <c r="V746" s="1655" t="s">
        <v>42</v>
      </c>
      <c r="W746" s="1655" t="s">
        <v>571</v>
      </c>
    </row>
    <row r="747" spans="1:23">
      <c r="A747" s="1655" t="s">
        <v>70</v>
      </c>
      <c r="B747" s="1655" t="s">
        <v>929</v>
      </c>
      <c r="C747" s="1656">
        <v>0</v>
      </c>
      <c r="D747" s="1655" t="s">
        <v>42</v>
      </c>
      <c r="E747" s="1655" t="s">
        <v>571</v>
      </c>
      <c r="G747" s="1655" t="s">
        <v>70</v>
      </c>
      <c r="H747" s="1655" t="s">
        <v>929</v>
      </c>
      <c r="I747" s="1656">
        <v>0</v>
      </c>
      <c r="J747" s="1655" t="s">
        <v>42</v>
      </c>
      <c r="K747" s="1655" t="s">
        <v>571</v>
      </c>
      <c r="M747" s="1655" t="s">
        <v>70</v>
      </c>
      <c r="N747" s="1655" t="s">
        <v>929</v>
      </c>
      <c r="O747" s="1656">
        <v>0</v>
      </c>
      <c r="P747" s="1655" t="s">
        <v>42</v>
      </c>
      <c r="Q747" s="1655" t="s">
        <v>571</v>
      </c>
      <c r="S747" s="1655" t="s">
        <v>70</v>
      </c>
      <c r="T747" s="1655" t="s">
        <v>929</v>
      </c>
      <c r="U747" s="1656">
        <v>0</v>
      </c>
      <c r="V747" s="1655" t="s">
        <v>42</v>
      </c>
      <c r="W747" s="1655" t="s">
        <v>571</v>
      </c>
    </row>
    <row r="748" spans="1:23">
      <c r="A748" s="1655" t="s">
        <v>70</v>
      </c>
      <c r="B748" s="1655" t="s">
        <v>930</v>
      </c>
      <c r="C748" s="1656">
        <v>0</v>
      </c>
      <c r="D748" s="1655" t="s">
        <v>42</v>
      </c>
      <c r="E748" s="1655" t="s">
        <v>571</v>
      </c>
      <c r="G748" s="1655" t="s">
        <v>70</v>
      </c>
      <c r="H748" s="1655" t="s">
        <v>930</v>
      </c>
      <c r="I748" s="1656">
        <v>0</v>
      </c>
      <c r="J748" s="1655" t="s">
        <v>42</v>
      </c>
      <c r="K748" s="1655" t="s">
        <v>571</v>
      </c>
      <c r="M748" s="1655" t="s">
        <v>70</v>
      </c>
      <c r="N748" s="1655" t="s">
        <v>930</v>
      </c>
      <c r="O748" s="1656">
        <v>0</v>
      </c>
      <c r="P748" s="1655" t="s">
        <v>42</v>
      </c>
      <c r="Q748" s="1655" t="s">
        <v>571</v>
      </c>
      <c r="S748" s="1655" t="s">
        <v>70</v>
      </c>
      <c r="T748" s="1655" t="s">
        <v>930</v>
      </c>
      <c r="U748" s="1656">
        <v>0</v>
      </c>
      <c r="V748" s="1655" t="s">
        <v>42</v>
      </c>
      <c r="W748" s="1655" t="s">
        <v>571</v>
      </c>
    </row>
    <row r="749" spans="1:23">
      <c r="A749" s="1655" t="s">
        <v>70</v>
      </c>
      <c r="B749" s="1655" t="s">
        <v>931</v>
      </c>
      <c r="C749" s="1656">
        <v>0</v>
      </c>
      <c r="D749" s="1655" t="s">
        <v>42</v>
      </c>
      <c r="E749" s="1655" t="s">
        <v>571</v>
      </c>
      <c r="G749" s="1655" t="s">
        <v>70</v>
      </c>
      <c r="H749" s="1655" t="s">
        <v>931</v>
      </c>
      <c r="I749" s="1656">
        <v>0</v>
      </c>
      <c r="J749" s="1655" t="s">
        <v>42</v>
      </c>
      <c r="K749" s="1655" t="s">
        <v>571</v>
      </c>
      <c r="M749" s="1655" t="s">
        <v>70</v>
      </c>
      <c r="N749" s="1655" t="s">
        <v>931</v>
      </c>
      <c r="O749" s="1656">
        <v>0</v>
      </c>
      <c r="P749" s="1655" t="s">
        <v>42</v>
      </c>
      <c r="Q749" s="1655" t="s">
        <v>571</v>
      </c>
      <c r="S749" s="1655" t="s">
        <v>70</v>
      </c>
      <c r="T749" s="1655" t="s">
        <v>931</v>
      </c>
      <c r="U749" s="1656">
        <v>0</v>
      </c>
      <c r="V749" s="1655" t="s">
        <v>42</v>
      </c>
      <c r="W749" s="1655" t="s">
        <v>571</v>
      </c>
    </row>
    <row r="750" spans="1:23">
      <c r="A750" s="1655" t="s">
        <v>70</v>
      </c>
      <c r="B750" s="1655" t="s">
        <v>932</v>
      </c>
      <c r="C750" s="1656">
        <v>0</v>
      </c>
      <c r="D750" s="1655" t="s">
        <v>42</v>
      </c>
      <c r="E750" s="1655" t="s">
        <v>571</v>
      </c>
      <c r="G750" s="1655" t="s">
        <v>70</v>
      </c>
      <c r="H750" s="1655" t="s">
        <v>932</v>
      </c>
      <c r="I750" s="1656">
        <v>0</v>
      </c>
      <c r="J750" s="1655" t="s">
        <v>42</v>
      </c>
      <c r="K750" s="1655" t="s">
        <v>571</v>
      </c>
      <c r="M750" s="1655" t="s">
        <v>70</v>
      </c>
      <c r="N750" s="1655" t="s">
        <v>932</v>
      </c>
      <c r="O750" s="1656">
        <v>0</v>
      </c>
      <c r="P750" s="1655" t="s">
        <v>42</v>
      </c>
      <c r="Q750" s="1655" t="s">
        <v>571</v>
      </c>
      <c r="S750" s="1655" t="s">
        <v>70</v>
      </c>
      <c r="T750" s="1655" t="s">
        <v>932</v>
      </c>
      <c r="U750" s="1656">
        <v>0</v>
      </c>
      <c r="V750" s="1655" t="s">
        <v>42</v>
      </c>
      <c r="W750" s="1655" t="s">
        <v>571</v>
      </c>
    </row>
    <row r="751" spans="1:23">
      <c r="A751" s="1655" t="s">
        <v>70</v>
      </c>
      <c r="B751" s="1655" t="s">
        <v>933</v>
      </c>
      <c r="C751" s="1656">
        <v>0</v>
      </c>
      <c r="D751" s="1655" t="s">
        <v>42</v>
      </c>
      <c r="E751" s="1655" t="s">
        <v>571</v>
      </c>
      <c r="G751" s="1655" t="s">
        <v>70</v>
      </c>
      <c r="H751" s="1655" t="s">
        <v>933</v>
      </c>
      <c r="I751" s="1656">
        <v>0</v>
      </c>
      <c r="J751" s="1655" t="s">
        <v>42</v>
      </c>
      <c r="K751" s="1655" t="s">
        <v>571</v>
      </c>
      <c r="M751" s="1655" t="s">
        <v>70</v>
      </c>
      <c r="N751" s="1655" t="s">
        <v>933</v>
      </c>
      <c r="O751" s="1656">
        <v>0</v>
      </c>
      <c r="P751" s="1655" t="s">
        <v>42</v>
      </c>
      <c r="Q751" s="1655" t="s">
        <v>571</v>
      </c>
      <c r="S751" s="1655" t="s">
        <v>70</v>
      </c>
      <c r="T751" s="1655" t="s">
        <v>933</v>
      </c>
      <c r="U751" s="1656">
        <v>0</v>
      </c>
      <c r="V751" s="1655" t="s">
        <v>42</v>
      </c>
      <c r="W751" s="1655" t="s">
        <v>571</v>
      </c>
    </row>
    <row r="752" spans="1:23">
      <c r="A752" s="1655" t="s">
        <v>70</v>
      </c>
      <c r="B752" s="1655" t="s">
        <v>934</v>
      </c>
      <c r="C752" s="1656">
        <v>0</v>
      </c>
      <c r="D752" s="1655" t="s">
        <v>42</v>
      </c>
      <c r="E752" s="1655" t="s">
        <v>571</v>
      </c>
      <c r="G752" s="1655" t="s">
        <v>70</v>
      </c>
      <c r="H752" s="1655" t="s">
        <v>934</v>
      </c>
      <c r="I752" s="1656">
        <v>0</v>
      </c>
      <c r="J752" s="1655" t="s">
        <v>42</v>
      </c>
      <c r="K752" s="1655" t="s">
        <v>571</v>
      </c>
      <c r="M752" s="1655" t="s">
        <v>70</v>
      </c>
      <c r="N752" s="1655" t="s">
        <v>934</v>
      </c>
      <c r="O752" s="1656">
        <v>0</v>
      </c>
      <c r="P752" s="1655" t="s">
        <v>42</v>
      </c>
      <c r="Q752" s="1655" t="s">
        <v>571</v>
      </c>
      <c r="S752" s="1655" t="s">
        <v>70</v>
      </c>
      <c r="T752" s="1655" t="s">
        <v>934</v>
      </c>
      <c r="U752" s="1656">
        <v>0</v>
      </c>
      <c r="V752" s="1655" t="s">
        <v>42</v>
      </c>
      <c r="W752" s="1655" t="s">
        <v>571</v>
      </c>
    </row>
    <row r="753" spans="1:23">
      <c r="A753" s="1655" t="s">
        <v>70</v>
      </c>
      <c r="B753" s="1655" t="s">
        <v>1849</v>
      </c>
      <c r="C753" s="1656">
        <v>0</v>
      </c>
      <c r="D753" s="1655" t="s">
        <v>42</v>
      </c>
      <c r="E753" s="1655" t="s">
        <v>571</v>
      </c>
      <c r="G753" s="1655" t="s">
        <v>70</v>
      </c>
      <c r="H753" s="1655" t="s">
        <v>1849</v>
      </c>
      <c r="I753" s="1656">
        <v>0</v>
      </c>
      <c r="J753" s="1655" t="s">
        <v>42</v>
      </c>
      <c r="K753" s="1655" t="s">
        <v>571</v>
      </c>
      <c r="M753" s="1655" t="s">
        <v>70</v>
      </c>
      <c r="N753" s="1655" t="s">
        <v>1849</v>
      </c>
      <c r="O753" s="1656">
        <v>0</v>
      </c>
      <c r="P753" s="1655" t="s">
        <v>42</v>
      </c>
      <c r="Q753" s="1655" t="s">
        <v>571</v>
      </c>
      <c r="S753" s="1655" t="s">
        <v>70</v>
      </c>
      <c r="T753" s="1655" t="s">
        <v>1849</v>
      </c>
      <c r="U753" s="1656">
        <v>0</v>
      </c>
      <c r="V753" s="1655" t="s">
        <v>42</v>
      </c>
      <c r="W753" s="1655" t="s">
        <v>571</v>
      </c>
    </row>
    <row r="754" spans="1:23">
      <c r="A754" s="1655" t="s">
        <v>70</v>
      </c>
      <c r="B754" s="1655" t="s">
        <v>1850</v>
      </c>
      <c r="C754" s="1656">
        <v>0</v>
      </c>
      <c r="D754" s="1655" t="s">
        <v>42</v>
      </c>
      <c r="E754" s="1655" t="s">
        <v>571</v>
      </c>
      <c r="G754" s="1655" t="s">
        <v>70</v>
      </c>
      <c r="H754" s="1655" t="s">
        <v>1850</v>
      </c>
      <c r="I754" s="1656">
        <v>0</v>
      </c>
      <c r="J754" s="1655" t="s">
        <v>42</v>
      </c>
      <c r="K754" s="1655" t="s">
        <v>571</v>
      </c>
      <c r="M754" s="1655" t="s">
        <v>70</v>
      </c>
      <c r="N754" s="1655" t="s">
        <v>1850</v>
      </c>
      <c r="O754" s="1656">
        <v>0</v>
      </c>
      <c r="P754" s="1655" t="s">
        <v>42</v>
      </c>
      <c r="Q754" s="1655" t="s">
        <v>571</v>
      </c>
      <c r="S754" s="1655" t="s">
        <v>70</v>
      </c>
      <c r="T754" s="1655" t="s">
        <v>1850</v>
      </c>
      <c r="U754" s="1656">
        <v>0</v>
      </c>
      <c r="V754" s="1655" t="s">
        <v>42</v>
      </c>
      <c r="W754" s="1655" t="s">
        <v>571</v>
      </c>
    </row>
    <row r="755" spans="1:23">
      <c r="A755" s="1655" t="s">
        <v>70</v>
      </c>
      <c r="B755" s="1655" t="s">
        <v>935</v>
      </c>
      <c r="C755" s="1656">
        <v>0</v>
      </c>
      <c r="D755" s="1655" t="s">
        <v>42</v>
      </c>
      <c r="E755" s="1655" t="s">
        <v>571</v>
      </c>
      <c r="G755" s="1655" t="s">
        <v>70</v>
      </c>
      <c r="H755" s="1655" t="s">
        <v>935</v>
      </c>
      <c r="I755" s="1656">
        <v>0</v>
      </c>
      <c r="J755" s="1655" t="s">
        <v>42</v>
      </c>
      <c r="K755" s="1655" t="s">
        <v>571</v>
      </c>
      <c r="M755" s="1655" t="s">
        <v>70</v>
      </c>
      <c r="N755" s="1655" t="s">
        <v>935</v>
      </c>
      <c r="O755" s="1656">
        <v>0</v>
      </c>
      <c r="P755" s="1655" t="s">
        <v>42</v>
      </c>
      <c r="Q755" s="1655" t="s">
        <v>571</v>
      </c>
      <c r="S755" s="1655" t="s">
        <v>70</v>
      </c>
      <c r="T755" s="1655" t="s">
        <v>935</v>
      </c>
      <c r="U755" s="1656">
        <v>0</v>
      </c>
      <c r="V755" s="1655" t="s">
        <v>42</v>
      </c>
      <c r="W755" s="1655" t="s">
        <v>571</v>
      </c>
    </row>
    <row r="756" spans="1:23">
      <c r="A756" s="1655" t="s">
        <v>70</v>
      </c>
      <c r="B756" s="1655" t="s">
        <v>936</v>
      </c>
      <c r="C756" s="1656">
        <v>0</v>
      </c>
      <c r="D756" s="1655" t="s">
        <v>42</v>
      </c>
      <c r="E756" s="1655" t="s">
        <v>571</v>
      </c>
      <c r="G756" s="1655" t="s">
        <v>70</v>
      </c>
      <c r="H756" s="1655" t="s">
        <v>936</v>
      </c>
      <c r="I756" s="1656">
        <v>0</v>
      </c>
      <c r="J756" s="1655" t="s">
        <v>42</v>
      </c>
      <c r="K756" s="1655" t="s">
        <v>571</v>
      </c>
      <c r="M756" s="1655" t="s">
        <v>70</v>
      </c>
      <c r="N756" s="1655" t="s">
        <v>936</v>
      </c>
      <c r="O756" s="1656">
        <v>0</v>
      </c>
      <c r="P756" s="1655" t="s">
        <v>42</v>
      </c>
      <c r="Q756" s="1655" t="s">
        <v>571</v>
      </c>
      <c r="S756" s="1655" t="s">
        <v>70</v>
      </c>
      <c r="T756" s="1655" t="s">
        <v>936</v>
      </c>
      <c r="U756" s="1656">
        <v>0</v>
      </c>
      <c r="V756" s="1655" t="s">
        <v>42</v>
      </c>
      <c r="W756" s="1655" t="s">
        <v>571</v>
      </c>
    </row>
    <row r="757" spans="1:23">
      <c r="A757" s="1655" t="s">
        <v>70</v>
      </c>
      <c r="B757" s="1655" t="s">
        <v>937</v>
      </c>
      <c r="C757" s="1656">
        <v>0</v>
      </c>
      <c r="D757" s="1655" t="s">
        <v>42</v>
      </c>
      <c r="E757" s="1655" t="s">
        <v>571</v>
      </c>
      <c r="G757" s="1655" t="s">
        <v>70</v>
      </c>
      <c r="H757" s="1655" t="s">
        <v>937</v>
      </c>
      <c r="I757" s="1656">
        <v>0</v>
      </c>
      <c r="J757" s="1655" t="s">
        <v>42</v>
      </c>
      <c r="K757" s="1655" t="s">
        <v>571</v>
      </c>
      <c r="M757" s="1655" t="s">
        <v>70</v>
      </c>
      <c r="N757" s="1655" t="s">
        <v>937</v>
      </c>
      <c r="O757" s="1656">
        <v>0</v>
      </c>
      <c r="P757" s="1655" t="s">
        <v>42</v>
      </c>
      <c r="Q757" s="1655" t="s">
        <v>571</v>
      </c>
      <c r="S757" s="1655" t="s">
        <v>70</v>
      </c>
      <c r="T757" s="1655" t="s">
        <v>937</v>
      </c>
      <c r="U757" s="1656">
        <v>0</v>
      </c>
      <c r="V757" s="1655" t="s">
        <v>42</v>
      </c>
      <c r="W757" s="1655" t="s">
        <v>571</v>
      </c>
    </row>
    <row r="758" spans="1:23">
      <c r="A758" s="1655" t="s">
        <v>70</v>
      </c>
      <c r="B758" s="1655" t="s">
        <v>1851</v>
      </c>
      <c r="C758" s="1656">
        <v>0</v>
      </c>
      <c r="D758" s="1655" t="s">
        <v>42</v>
      </c>
      <c r="E758" s="1655" t="s">
        <v>571</v>
      </c>
      <c r="G758" s="1655" t="s">
        <v>70</v>
      </c>
      <c r="H758" s="1655" t="s">
        <v>1851</v>
      </c>
      <c r="I758" s="1656">
        <v>0</v>
      </c>
      <c r="J758" s="1655" t="s">
        <v>42</v>
      </c>
      <c r="K758" s="1655" t="s">
        <v>571</v>
      </c>
      <c r="M758" s="1655" t="s">
        <v>70</v>
      </c>
      <c r="N758" s="1655" t="s">
        <v>1851</v>
      </c>
      <c r="O758" s="1656">
        <v>0</v>
      </c>
      <c r="P758" s="1655" t="s">
        <v>42</v>
      </c>
      <c r="Q758" s="1655" t="s">
        <v>571</v>
      </c>
      <c r="S758" s="1655" t="s">
        <v>70</v>
      </c>
      <c r="T758" s="1655" t="s">
        <v>1851</v>
      </c>
      <c r="U758" s="1656">
        <v>0</v>
      </c>
      <c r="V758" s="1655" t="s">
        <v>42</v>
      </c>
      <c r="W758" s="1655" t="s">
        <v>571</v>
      </c>
    </row>
    <row r="759" spans="1:23">
      <c r="A759" s="1655" t="s">
        <v>70</v>
      </c>
      <c r="B759" s="1655" t="s">
        <v>1852</v>
      </c>
      <c r="C759" s="1656">
        <v>0</v>
      </c>
      <c r="D759" s="1655" t="s">
        <v>42</v>
      </c>
      <c r="E759" s="1655" t="s">
        <v>571</v>
      </c>
      <c r="G759" s="1655" t="s">
        <v>70</v>
      </c>
      <c r="H759" s="1655" t="s">
        <v>1852</v>
      </c>
      <c r="I759" s="1656">
        <v>0</v>
      </c>
      <c r="J759" s="1655" t="s">
        <v>42</v>
      </c>
      <c r="K759" s="1655" t="s">
        <v>571</v>
      </c>
      <c r="M759" s="1655" t="s">
        <v>70</v>
      </c>
      <c r="N759" s="1655" t="s">
        <v>1852</v>
      </c>
      <c r="O759" s="1656">
        <v>0</v>
      </c>
      <c r="P759" s="1655" t="s">
        <v>42</v>
      </c>
      <c r="Q759" s="1655" t="s">
        <v>571</v>
      </c>
      <c r="S759" s="1655" t="s">
        <v>70</v>
      </c>
      <c r="T759" s="1655" t="s">
        <v>1852</v>
      </c>
      <c r="U759" s="1656">
        <v>0</v>
      </c>
      <c r="V759" s="1655" t="s">
        <v>42</v>
      </c>
      <c r="W759" s="1655" t="s">
        <v>571</v>
      </c>
    </row>
    <row r="760" spans="1:23">
      <c r="A760" s="1655" t="s">
        <v>70</v>
      </c>
      <c r="B760" s="1655" t="s">
        <v>938</v>
      </c>
      <c r="C760" s="1656">
        <v>0</v>
      </c>
      <c r="D760" s="1655" t="s">
        <v>42</v>
      </c>
      <c r="E760" s="1655" t="s">
        <v>571</v>
      </c>
      <c r="G760" s="1655" t="s">
        <v>70</v>
      </c>
      <c r="H760" s="1655" t="s">
        <v>938</v>
      </c>
      <c r="I760" s="1656">
        <v>0</v>
      </c>
      <c r="J760" s="1655" t="s">
        <v>42</v>
      </c>
      <c r="K760" s="1655" t="s">
        <v>571</v>
      </c>
      <c r="M760" s="1655" t="s">
        <v>70</v>
      </c>
      <c r="N760" s="1655" t="s">
        <v>938</v>
      </c>
      <c r="O760" s="1656">
        <v>0</v>
      </c>
      <c r="P760" s="1655" t="s">
        <v>42</v>
      </c>
      <c r="Q760" s="1655" t="s">
        <v>571</v>
      </c>
      <c r="S760" s="1655" t="s">
        <v>70</v>
      </c>
      <c r="T760" s="1655" t="s">
        <v>938</v>
      </c>
      <c r="U760" s="1656">
        <v>0</v>
      </c>
      <c r="V760" s="1655" t="s">
        <v>42</v>
      </c>
      <c r="W760" s="1655" t="s">
        <v>571</v>
      </c>
    </row>
    <row r="761" spans="1:23">
      <c r="A761" s="1655" t="s">
        <v>70</v>
      </c>
      <c r="B761" s="1655" t="s">
        <v>939</v>
      </c>
      <c r="C761" s="1656">
        <v>0</v>
      </c>
      <c r="D761" s="1655" t="s">
        <v>42</v>
      </c>
      <c r="E761" s="1655" t="s">
        <v>571</v>
      </c>
      <c r="G761" s="1655" t="s">
        <v>70</v>
      </c>
      <c r="H761" s="1655" t="s">
        <v>939</v>
      </c>
      <c r="I761" s="1656">
        <v>0</v>
      </c>
      <c r="J761" s="1655" t="s">
        <v>42</v>
      </c>
      <c r="K761" s="1655" t="s">
        <v>571</v>
      </c>
      <c r="M761" s="1655" t="s">
        <v>70</v>
      </c>
      <c r="N761" s="1655" t="s">
        <v>939</v>
      </c>
      <c r="O761" s="1656">
        <v>0</v>
      </c>
      <c r="P761" s="1655" t="s">
        <v>42</v>
      </c>
      <c r="Q761" s="1655" t="s">
        <v>571</v>
      </c>
      <c r="S761" s="1655" t="s">
        <v>70</v>
      </c>
      <c r="T761" s="1655" t="s">
        <v>939</v>
      </c>
      <c r="U761" s="1656">
        <v>0</v>
      </c>
      <c r="V761" s="1655" t="s">
        <v>42</v>
      </c>
      <c r="W761" s="1655" t="s">
        <v>571</v>
      </c>
    </row>
    <row r="762" spans="1:23">
      <c r="A762" s="1655" t="s">
        <v>70</v>
      </c>
      <c r="B762" s="1655" t="s">
        <v>940</v>
      </c>
      <c r="C762" s="1656">
        <v>0</v>
      </c>
      <c r="D762" s="1655" t="s">
        <v>42</v>
      </c>
      <c r="E762" s="1655" t="s">
        <v>571</v>
      </c>
      <c r="G762" s="1655" t="s">
        <v>70</v>
      </c>
      <c r="H762" s="1655" t="s">
        <v>940</v>
      </c>
      <c r="I762" s="1656">
        <v>0</v>
      </c>
      <c r="J762" s="1655" t="s">
        <v>42</v>
      </c>
      <c r="K762" s="1655" t="s">
        <v>571</v>
      </c>
      <c r="M762" s="1655" t="s">
        <v>70</v>
      </c>
      <c r="N762" s="1655" t="s">
        <v>940</v>
      </c>
      <c r="O762" s="1656">
        <v>0</v>
      </c>
      <c r="P762" s="1655" t="s">
        <v>42</v>
      </c>
      <c r="Q762" s="1655" t="s">
        <v>571</v>
      </c>
      <c r="S762" s="1655" t="s">
        <v>70</v>
      </c>
      <c r="T762" s="1655" t="s">
        <v>940</v>
      </c>
      <c r="U762" s="1656">
        <v>0</v>
      </c>
      <c r="V762" s="1655" t="s">
        <v>42</v>
      </c>
      <c r="W762" s="1655" t="s">
        <v>571</v>
      </c>
    </row>
    <row r="763" spans="1:23">
      <c r="A763" s="1655" t="s">
        <v>70</v>
      </c>
      <c r="B763" s="1655" t="s">
        <v>1853</v>
      </c>
      <c r="C763" s="1656">
        <v>0</v>
      </c>
      <c r="D763" s="1655" t="s">
        <v>42</v>
      </c>
      <c r="E763" s="1655" t="s">
        <v>571</v>
      </c>
      <c r="G763" s="1655" t="s">
        <v>70</v>
      </c>
      <c r="H763" s="1655" t="s">
        <v>1853</v>
      </c>
      <c r="I763" s="1656">
        <v>0</v>
      </c>
      <c r="J763" s="1655" t="s">
        <v>42</v>
      </c>
      <c r="K763" s="1655" t="s">
        <v>571</v>
      </c>
      <c r="M763" s="1655" t="s">
        <v>70</v>
      </c>
      <c r="N763" s="1655" t="s">
        <v>1853</v>
      </c>
      <c r="O763" s="1656">
        <v>0</v>
      </c>
      <c r="P763" s="1655" t="s">
        <v>42</v>
      </c>
      <c r="Q763" s="1655" t="s">
        <v>571</v>
      </c>
      <c r="S763" s="1655" t="s">
        <v>70</v>
      </c>
      <c r="T763" s="1655" t="s">
        <v>1853</v>
      </c>
      <c r="U763" s="1656">
        <v>0</v>
      </c>
      <c r="V763" s="1655" t="s">
        <v>42</v>
      </c>
      <c r="W763" s="1655" t="s">
        <v>571</v>
      </c>
    </row>
    <row r="764" spans="1:23">
      <c r="A764" s="1655" t="s">
        <v>70</v>
      </c>
      <c r="B764" s="1655" t="s">
        <v>941</v>
      </c>
      <c r="C764" s="1656">
        <v>0</v>
      </c>
      <c r="D764" s="1655" t="s">
        <v>42</v>
      </c>
      <c r="E764" s="1655" t="s">
        <v>571</v>
      </c>
      <c r="G764" s="1655" t="s">
        <v>70</v>
      </c>
      <c r="H764" s="1655" t="s">
        <v>941</v>
      </c>
      <c r="I764" s="1656">
        <v>0</v>
      </c>
      <c r="J764" s="1655" t="s">
        <v>42</v>
      </c>
      <c r="K764" s="1655" t="s">
        <v>571</v>
      </c>
      <c r="M764" s="1655" t="s">
        <v>70</v>
      </c>
      <c r="N764" s="1655" t="s">
        <v>941</v>
      </c>
      <c r="O764" s="1656">
        <v>0</v>
      </c>
      <c r="P764" s="1655" t="s">
        <v>42</v>
      </c>
      <c r="Q764" s="1655" t="s">
        <v>571</v>
      </c>
      <c r="S764" s="1655" t="s">
        <v>70</v>
      </c>
      <c r="T764" s="1655" t="s">
        <v>941</v>
      </c>
      <c r="U764" s="1656">
        <v>0</v>
      </c>
      <c r="V764" s="1655" t="s">
        <v>42</v>
      </c>
      <c r="W764" s="1655" t="s">
        <v>571</v>
      </c>
    </row>
    <row r="765" spans="1:23">
      <c r="A765" s="1655" t="s">
        <v>70</v>
      </c>
      <c r="B765" s="1655" t="s">
        <v>942</v>
      </c>
      <c r="C765" s="1656">
        <v>0</v>
      </c>
      <c r="D765" s="1655" t="s">
        <v>42</v>
      </c>
      <c r="E765" s="1655" t="s">
        <v>571</v>
      </c>
      <c r="G765" s="1655" t="s">
        <v>70</v>
      </c>
      <c r="H765" s="1655" t="s">
        <v>942</v>
      </c>
      <c r="I765" s="1656">
        <v>0</v>
      </c>
      <c r="J765" s="1655" t="s">
        <v>42</v>
      </c>
      <c r="K765" s="1655" t="s">
        <v>571</v>
      </c>
      <c r="M765" s="1655" t="s">
        <v>70</v>
      </c>
      <c r="N765" s="1655" t="s">
        <v>942</v>
      </c>
      <c r="O765" s="1656">
        <v>0</v>
      </c>
      <c r="P765" s="1655" t="s">
        <v>42</v>
      </c>
      <c r="Q765" s="1655" t="s">
        <v>571</v>
      </c>
      <c r="S765" s="1655" t="s">
        <v>70</v>
      </c>
      <c r="T765" s="1655" t="s">
        <v>942</v>
      </c>
      <c r="U765" s="1656">
        <v>0</v>
      </c>
      <c r="V765" s="1655" t="s">
        <v>42</v>
      </c>
      <c r="W765" s="1655" t="s">
        <v>571</v>
      </c>
    </row>
    <row r="766" spans="1:23">
      <c r="A766" s="1655" t="s">
        <v>70</v>
      </c>
      <c r="B766" s="1655" t="s">
        <v>943</v>
      </c>
      <c r="C766" s="1656">
        <v>0</v>
      </c>
      <c r="D766" s="1655" t="s">
        <v>42</v>
      </c>
      <c r="E766" s="1655" t="s">
        <v>571</v>
      </c>
      <c r="G766" s="1655" t="s">
        <v>70</v>
      </c>
      <c r="H766" s="1655" t="s">
        <v>943</v>
      </c>
      <c r="I766" s="1656">
        <v>0</v>
      </c>
      <c r="J766" s="1655" t="s">
        <v>42</v>
      </c>
      <c r="K766" s="1655" t="s">
        <v>571</v>
      </c>
      <c r="M766" s="1655" t="s">
        <v>70</v>
      </c>
      <c r="N766" s="1655" t="s">
        <v>943</v>
      </c>
      <c r="O766" s="1656">
        <v>0</v>
      </c>
      <c r="P766" s="1655" t="s">
        <v>42</v>
      </c>
      <c r="Q766" s="1655" t="s">
        <v>571</v>
      </c>
      <c r="S766" s="1655" t="s">
        <v>70</v>
      </c>
      <c r="T766" s="1655" t="s">
        <v>943</v>
      </c>
      <c r="U766" s="1656">
        <v>0</v>
      </c>
      <c r="V766" s="1655" t="s">
        <v>42</v>
      </c>
      <c r="W766" s="1655" t="s">
        <v>571</v>
      </c>
    </row>
    <row r="767" spans="1:23">
      <c r="A767" s="1655" t="s">
        <v>70</v>
      </c>
      <c r="B767" s="1655" t="s">
        <v>944</v>
      </c>
      <c r="C767" s="1656">
        <v>0</v>
      </c>
      <c r="D767" s="1655" t="s">
        <v>42</v>
      </c>
      <c r="E767" s="1655" t="s">
        <v>571</v>
      </c>
      <c r="G767" s="1655" t="s">
        <v>70</v>
      </c>
      <c r="H767" s="1655" t="s">
        <v>944</v>
      </c>
      <c r="I767" s="1656">
        <v>0</v>
      </c>
      <c r="J767" s="1655" t="s">
        <v>42</v>
      </c>
      <c r="K767" s="1655" t="s">
        <v>571</v>
      </c>
      <c r="M767" s="1655" t="s">
        <v>70</v>
      </c>
      <c r="N767" s="1655" t="s">
        <v>944</v>
      </c>
      <c r="O767" s="1656">
        <v>0</v>
      </c>
      <c r="P767" s="1655" t="s">
        <v>42</v>
      </c>
      <c r="Q767" s="1655" t="s">
        <v>571</v>
      </c>
      <c r="S767" s="1655" t="s">
        <v>70</v>
      </c>
      <c r="T767" s="1655" t="s">
        <v>944</v>
      </c>
      <c r="U767" s="1656">
        <v>0</v>
      </c>
      <c r="V767" s="1655" t="s">
        <v>42</v>
      </c>
      <c r="W767" s="1655" t="s">
        <v>571</v>
      </c>
    </row>
    <row r="768" spans="1:23">
      <c r="A768" s="1655" t="s">
        <v>70</v>
      </c>
      <c r="B768" s="1655" t="s">
        <v>1854</v>
      </c>
      <c r="C768" s="1656">
        <v>0</v>
      </c>
      <c r="D768" s="1655" t="s">
        <v>42</v>
      </c>
      <c r="E768" s="1655" t="s">
        <v>571</v>
      </c>
      <c r="G768" s="1655" t="s">
        <v>70</v>
      </c>
      <c r="H768" s="1655" t="s">
        <v>1854</v>
      </c>
      <c r="I768" s="1656">
        <v>0</v>
      </c>
      <c r="J768" s="1655" t="s">
        <v>42</v>
      </c>
      <c r="K768" s="1655" t="s">
        <v>571</v>
      </c>
      <c r="M768" s="1655" t="s">
        <v>70</v>
      </c>
      <c r="N768" s="1655" t="s">
        <v>1854</v>
      </c>
      <c r="O768" s="1656">
        <v>0</v>
      </c>
      <c r="P768" s="1655" t="s">
        <v>42</v>
      </c>
      <c r="Q768" s="1655" t="s">
        <v>571</v>
      </c>
      <c r="S768" s="1655" t="s">
        <v>70</v>
      </c>
      <c r="T768" s="1655" t="s">
        <v>1854</v>
      </c>
      <c r="U768" s="1656">
        <v>0</v>
      </c>
      <c r="V768" s="1655" t="s">
        <v>42</v>
      </c>
      <c r="W768" s="1655" t="s">
        <v>571</v>
      </c>
    </row>
    <row r="769" spans="1:23">
      <c r="A769" s="1655" t="s">
        <v>70</v>
      </c>
      <c r="B769" s="1655" t="s">
        <v>1855</v>
      </c>
      <c r="C769" s="1656">
        <v>0</v>
      </c>
      <c r="D769" s="1655" t="s">
        <v>42</v>
      </c>
      <c r="E769" s="1655" t="s">
        <v>571</v>
      </c>
      <c r="G769" s="1655" t="s">
        <v>70</v>
      </c>
      <c r="H769" s="1655" t="s">
        <v>1855</v>
      </c>
      <c r="I769" s="1656">
        <v>0</v>
      </c>
      <c r="J769" s="1655" t="s">
        <v>42</v>
      </c>
      <c r="K769" s="1655" t="s">
        <v>571</v>
      </c>
      <c r="M769" s="1655" t="s">
        <v>70</v>
      </c>
      <c r="N769" s="1655" t="s">
        <v>1855</v>
      </c>
      <c r="O769" s="1656">
        <v>0</v>
      </c>
      <c r="P769" s="1655" t="s">
        <v>42</v>
      </c>
      <c r="Q769" s="1655" t="s">
        <v>571</v>
      </c>
      <c r="S769" s="1655" t="s">
        <v>70</v>
      </c>
      <c r="T769" s="1655" t="s">
        <v>1855</v>
      </c>
      <c r="U769" s="1656">
        <v>0</v>
      </c>
      <c r="V769" s="1655" t="s">
        <v>42</v>
      </c>
      <c r="W769" s="1655" t="s">
        <v>571</v>
      </c>
    </row>
    <row r="770" spans="1:23">
      <c r="A770" s="1655" t="s">
        <v>70</v>
      </c>
      <c r="B770" s="1655" t="s">
        <v>945</v>
      </c>
      <c r="C770" s="1656">
        <v>0</v>
      </c>
      <c r="D770" s="1655" t="s">
        <v>42</v>
      </c>
      <c r="E770" s="1655" t="s">
        <v>571</v>
      </c>
      <c r="G770" s="1655" t="s">
        <v>70</v>
      </c>
      <c r="H770" s="1655" t="s">
        <v>945</v>
      </c>
      <c r="I770" s="1656">
        <v>0</v>
      </c>
      <c r="J770" s="1655" t="s">
        <v>42</v>
      </c>
      <c r="K770" s="1655" t="s">
        <v>571</v>
      </c>
      <c r="M770" s="1655" t="s">
        <v>70</v>
      </c>
      <c r="N770" s="1655" t="s">
        <v>945</v>
      </c>
      <c r="O770" s="1656">
        <v>0</v>
      </c>
      <c r="P770" s="1655" t="s">
        <v>42</v>
      </c>
      <c r="Q770" s="1655" t="s">
        <v>571</v>
      </c>
      <c r="S770" s="1655" t="s">
        <v>70</v>
      </c>
      <c r="T770" s="1655" t="s">
        <v>945</v>
      </c>
      <c r="U770" s="1656">
        <v>0</v>
      </c>
      <c r="V770" s="1655" t="s">
        <v>42</v>
      </c>
      <c r="W770" s="1655" t="s">
        <v>571</v>
      </c>
    </row>
    <row r="771" spans="1:23">
      <c r="A771" s="1655" t="s">
        <v>70</v>
      </c>
      <c r="B771" s="1655" t="s">
        <v>946</v>
      </c>
      <c r="C771" s="1656">
        <v>0</v>
      </c>
      <c r="D771" s="1655" t="s">
        <v>42</v>
      </c>
      <c r="E771" s="1655" t="s">
        <v>571</v>
      </c>
      <c r="G771" s="1655" t="s">
        <v>70</v>
      </c>
      <c r="H771" s="1655" t="s">
        <v>946</v>
      </c>
      <c r="I771" s="1656">
        <v>0</v>
      </c>
      <c r="J771" s="1655" t="s">
        <v>42</v>
      </c>
      <c r="K771" s="1655" t="s">
        <v>571</v>
      </c>
      <c r="M771" s="1655" t="s">
        <v>70</v>
      </c>
      <c r="N771" s="1655" t="s">
        <v>946</v>
      </c>
      <c r="O771" s="1656">
        <v>0</v>
      </c>
      <c r="P771" s="1655" t="s">
        <v>42</v>
      </c>
      <c r="Q771" s="1655" t="s">
        <v>571</v>
      </c>
      <c r="S771" s="1655" t="s">
        <v>70</v>
      </c>
      <c r="T771" s="1655" t="s">
        <v>946</v>
      </c>
      <c r="U771" s="1656">
        <v>0</v>
      </c>
      <c r="V771" s="1655" t="s">
        <v>42</v>
      </c>
      <c r="W771" s="1655" t="s">
        <v>571</v>
      </c>
    </row>
    <row r="772" spans="1:23">
      <c r="A772" s="1655" t="s">
        <v>70</v>
      </c>
      <c r="B772" s="1655" t="s">
        <v>947</v>
      </c>
      <c r="C772" s="1656">
        <v>0</v>
      </c>
      <c r="D772" s="1655" t="s">
        <v>42</v>
      </c>
      <c r="E772" s="1655" t="s">
        <v>571</v>
      </c>
      <c r="G772" s="1655" t="s">
        <v>70</v>
      </c>
      <c r="H772" s="1655" t="s">
        <v>947</v>
      </c>
      <c r="I772" s="1656">
        <v>0</v>
      </c>
      <c r="J772" s="1655" t="s">
        <v>42</v>
      </c>
      <c r="K772" s="1655" t="s">
        <v>571</v>
      </c>
      <c r="M772" s="1655" t="s">
        <v>70</v>
      </c>
      <c r="N772" s="1655" t="s">
        <v>947</v>
      </c>
      <c r="O772" s="1656">
        <v>0</v>
      </c>
      <c r="P772" s="1655" t="s">
        <v>42</v>
      </c>
      <c r="Q772" s="1655" t="s">
        <v>571</v>
      </c>
      <c r="S772" s="1655" t="s">
        <v>70</v>
      </c>
      <c r="T772" s="1655" t="s">
        <v>947</v>
      </c>
      <c r="U772" s="1656">
        <v>0</v>
      </c>
      <c r="V772" s="1655" t="s">
        <v>42</v>
      </c>
      <c r="W772" s="1655" t="s">
        <v>571</v>
      </c>
    </row>
    <row r="773" spans="1:23">
      <c r="A773" s="1655" t="s">
        <v>70</v>
      </c>
      <c r="B773" s="1655" t="s">
        <v>948</v>
      </c>
      <c r="C773" s="1656">
        <v>0</v>
      </c>
      <c r="D773" s="1655" t="s">
        <v>42</v>
      </c>
      <c r="E773" s="1655" t="s">
        <v>571</v>
      </c>
      <c r="G773" s="1655" t="s">
        <v>70</v>
      </c>
      <c r="H773" s="1655" t="s">
        <v>948</v>
      </c>
      <c r="I773" s="1656">
        <v>0</v>
      </c>
      <c r="J773" s="1655" t="s">
        <v>42</v>
      </c>
      <c r="K773" s="1655" t="s">
        <v>571</v>
      </c>
      <c r="M773" s="1655" t="s">
        <v>70</v>
      </c>
      <c r="N773" s="1655" t="s">
        <v>948</v>
      </c>
      <c r="O773" s="1656">
        <v>0</v>
      </c>
      <c r="P773" s="1655" t="s">
        <v>42</v>
      </c>
      <c r="Q773" s="1655" t="s">
        <v>571</v>
      </c>
      <c r="S773" s="1655" t="s">
        <v>70</v>
      </c>
      <c r="T773" s="1655" t="s">
        <v>948</v>
      </c>
      <c r="U773" s="1656">
        <v>0</v>
      </c>
      <c r="V773" s="1655" t="s">
        <v>42</v>
      </c>
      <c r="W773" s="1655" t="s">
        <v>571</v>
      </c>
    </row>
    <row r="774" spans="1:23">
      <c r="A774" s="1655" t="s">
        <v>70</v>
      </c>
      <c r="B774" s="1655" t="s">
        <v>949</v>
      </c>
      <c r="C774" s="1656">
        <v>0</v>
      </c>
      <c r="D774" s="1655" t="s">
        <v>42</v>
      </c>
      <c r="E774" s="1655" t="s">
        <v>571</v>
      </c>
      <c r="G774" s="1655" t="s">
        <v>70</v>
      </c>
      <c r="H774" s="1655" t="s">
        <v>949</v>
      </c>
      <c r="I774" s="1656">
        <v>0</v>
      </c>
      <c r="J774" s="1655" t="s">
        <v>42</v>
      </c>
      <c r="K774" s="1655" t="s">
        <v>571</v>
      </c>
      <c r="M774" s="1655" t="s">
        <v>70</v>
      </c>
      <c r="N774" s="1655" t="s">
        <v>949</v>
      </c>
      <c r="O774" s="1656">
        <v>0</v>
      </c>
      <c r="P774" s="1655" t="s">
        <v>42</v>
      </c>
      <c r="Q774" s="1655" t="s">
        <v>571</v>
      </c>
      <c r="S774" s="1655" t="s">
        <v>70</v>
      </c>
      <c r="T774" s="1655" t="s">
        <v>949</v>
      </c>
      <c r="U774" s="1656">
        <v>0</v>
      </c>
      <c r="V774" s="1655" t="s">
        <v>42</v>
      </c>
      <c r="W774" s="1655" t="s">
        <v>571</v>
      </c>
    </row>
    <row r="775" spans="1:23">
      <c r="A775" s="1655" t="s">
        <v>70</v>
      </c>
      <c r="B775" s="1655" t="s">
        <v>950</v>
      </c>
      <c r="C775" s="1656">
        <v>0</v>
      </c>
      <c r="D775" s="1655" t="s">
        <v>42</v>
      </c>
      <c r="E775" s="1655" t="s">
        <v>571</v>
      </c>
      <c r="G775" s="1655" t="s">
        <v>70</v>
      </c>
      <c r="H775" s="1655" t="s">
        <v>950</v>
      </c>
      <c r="I775" s="1656">
        <v>0</v>
      </c>
      <c r="J775" s="1655" t="s">
        <v>42</v>
      </c>
      <c r="K775" s="1655" t="s">
        <v>571</v>
      </c>
      <c r="M775" s="1655" t="s">
        <v>70</v>
      </c>
      <c r="N775" s="1655" t="s">
        <v>950</v>
      </c>
      <c r="O775" s="1656">
        <v>0</v>
      </c>
      <c r="P775" s="1655" t="s">
        <v>42</v>
      </c>
      <c r="Q775" s="1655" t="s">
        <v>571</v>
      </c>
      <c r="S775" s="1655" t="s">
        <v>70</v>
      </c>
      <c r="T775" s="1655" t="s">
        <v>950</v>
      </c>
      <c r="U775" s="1656">
        <v>0</v>
      </c>
      <c r="V775" s="1655" t="s">
        <v>42</v>
      </c>
      <c r="W775" s="1655" t="s">
        <v>571</v>
      </c>
    </row>
    <row r="776" spans="1:23">
      <c r="A776" s="1655" t="s">
        <v>70</v>
      </c>
      <c r="B776" s="1655" t="s">
        <v>951</v>
      </c>
      <c r="C776" s="1656">
        <v>0</v>
      </c>
      <c r="D776" s="1655" t="s">
        <v>42</v>
      </c>
      <c r="E776" s="1655" t="s">
        <v>571</v>
      </c>
      <c r="G776" s="1655" t="s">
        <v>70</v>
      </c>
      <c r="H776" s="1655" t="s">
        <v>951</v>
      </c>
      <c r="I776" s="1656">
        <v>0</v>
      </c>
      <c r="J776" s="1655" t="s">
        <v>42</v>
      </c>
      <c r="K776" s="1655" t="s">
        <v>571</v>
      </c>
      <c r="M776" s="1655" t="s">
        <v>70</v>
      </c>
      <c r="N776" s="1655" t="s">
        <v>951</v>
      </c>
      <c r="O776" s="1656">
        <v>0</v>
      </c>
      <c r="P776" s="1655" t="s">
        <v>42</v>
      </c>
      <c r="Q776" s="1655" t="s">
        <v>571</v>
      </c>
      <c r="S776" s="1655" t="s">
        <v>70</v>
      </c>
      <c r="T776" s="1655" t="s">
        <v>951</v>
      </c>
      <c r="U776" s="1656">
        <v>0</v>
      </c>
      <c r="V776" s="1655" t="s">
        <v>42</v>
      </c>
      <c r="W776" s="1655" t="s">
        <v>571</v>
      </c>
    </row>
    <row r="777" spans="1:23">
      <c r="A777" s="1655" t="s">
        <v>70</v>
      </c>
      <c r="B777" s="1655" t="s">
        <v>952</v>
      </c>
      <c r="C777" s="1656">
        <v>0</v>
      </c>
      <c r="D777" s="1655" t="s">
        <v>42</v>
      </c>
      <c r="E777" s="1655" t="s">
        <v>571</v>
      </c>
      <c r="G777" s="1655" t="s">
        <v>70</v>
      </c>
      <c r="H777" s="1655" t="s">
        <v>952</v>
      </c>
      <c r="I777" s="1656">
        <v>0</v>
      </c>
      <c r="J777" s="1655" t="s">
        <v>42</v>
      </c>
      <c r="K777" s="1655" t="s">
        <v>571</v>
      </c>
      <c r="M777" s="1655" t="s">
        <v>70</v>
      </c>
      <c r="N777" s="1655" t="s">
        <v>952</v>
      </c>
      <c r="O777" s="1656">
        <v>0</v>
      </c>
      <c r="P777" s="1655" t="s">
        <v>42</v>
      </c>
      <c r="Q777" s="1655" t="s">
        <v>571</v>
      </c>
      <c r="S777" s="1655" t="s">
        <v>70</v>
      </c>
      <c r="T777" s="1655" t="s">
        <v>952</v>
      </c>
      <c r="U777" s="1656">
        <v>0</v>
      </c>
      <c r="V777" s="1655" t="s">
        <v>42</v>
      </c>
      <c r="W777" s="1655" t="s">
        <v>571</v>
      </c>
    </row>
    <row r="778" spans="1:23">
      <c r="A778" s="1655" t="s">
        <v>70</v>
      </c>
      <c r="B778" s="1655" t="s">
        <v>953</v>
      </c>
      <c r="C778" s="1656">
        <v>0</v>
      </c>
      <c r="D778" s="1655" t="s">
        <v>42</v>
      </c>
      <c r="E778" s="1655" t="s">
        <v>571</v>
      </c>
      <c r="G778" s="1655" t="s">
        <v>70</v>
      </c>
      <c r="H778" s="1655" t="s">
        <v>953</v>
      </c>
      <c r="I778" s="1656">
        <v>0</v>
      </c>
      <c r="J778" s="1655" t="s">
        <v>42</v>
      </c>
      <c r="K778" s="1655" t="s">
        <v>571</v>
      </c>
      <c r="M778" s="1655" t="s">
        <v>70</v>
      </c>
      <c r="N778" s="1655" t="s">
        <v>953</v>
      </c>
      <c r="O778" s="1656">
        <v>0</v>
      </c>
      <c r="P778" s="1655" t="s">
        <v>42</v>
      </c>
      <c r="Q778" s="1655" t="s">
        <v>571</v>
      </c>
      <c r="S778" s="1655" t="s">
        <v>70</v>
      </c>
      <c r="T778" s="1655" t="s">
        <v>953</v>
      </c>
      <c r="U778" s="1656">
        <v>0</v>
      </c>
      <c r="V778" s="1655" t="s">
        <v>42</v>
      </c>
      <c r="W778" s="1655" t="s">
        <v>571</v>
      </c>
    </row>
    <row r="779" spans="1:23">
      <c r="A779" s="1655" t="s">
        <v>70</v>
      </c>
      <c r="B779" s="1655" t="s">
        <v>954</v>
      </c>
      <c r="C779" s="1656">
        <v>0</v>
      </c>
      <c r="D779" s="1655" t="s">
        <v>42</v>
      </c>
      <c r="E779" s="1655" t="s">
        <v>571</v>
      </c>
      <c r="G779" s="1655" t="s">
        <v>70</v>
      </c>
      <c r="H779" s="1655" t="s">
        <v>954</v>
      </c>
      <c r="I779" s="1656">
        <v>0</v>
      </c>
      <c r="J779" s="1655" t="s">
        <v>42</v>
      </c>
      <c r="K779" s="1655" t="s">
        <v>571</v>
      </c>
      <c r="M779" s="1655" t="s">
        <v>70</v>
      </c>
      <c r="N779" s="1655" t="s">
        <v>954</v>
      </c>
      <c r="O779" s="1656">
        <v>0</v>
      </c>
      <c r="P779" s="1655" t="s">
        <v>42</v>
      </c>
      <c r="Q779" s="1655" t="s">
        <v>571</v>
      </c>
      <c r="S779" s="1655" t="s">
        <v>70</v>
      </c>
      <c r="T779" s="1655" t="s">
        <v>954</v>
      </c>
      <c r="U779" s="1656">
        <v>0</v>
      </c>
      <c r="V779" s="1655" t="s">
        <v>42</v>
      </c>
      <c r="W779" s="1655" t="s">
        <v>571</v>
      </c>
    </row>
    <row r="780" spans="1:23">
      <c r="A780" s="1655" t="s">
        <v>70</v>
      </c>
      <c r="B780" s="1655" t="s">
        <v>1856</v>
      </c>
      <c r="C780" s="1656">
        <v>0</v>
      </c>
      <c r="D780" s="1655" t="s">
        <v>42</v>
      </c>
      <c r="E780" s="1655" t="s">
        <v>571</v>
      </c>
      <c r="G780" s="1655" t="s">
        <v>70</v>
      </c>
      <c r="H780" s="1655" t="s">
        <v>1856</v>
      </c>
      <c r="I780" s="1656">
        <v>0</v>
      </c>
      <c r="J780" s="1655" t="s">
        <v>42</v>
      </c>
      <c r="K780" s="1655" t="s">
        <v>571</v>
      </c>
      <c r="M780" s="1655" t="s">
        <v>70</v>
      </c>
      <c r="N780" s="1655" t="s">
        <v>1856</v>
      </c>
      <c r="O780" s="1656">
        <v>0</v>
      </c>
      <c r="P780" s="1655" t="s">
        <v>42</v>
      </c>
      <c r="Q780" s="1655" t="s">
        <v>571</v>
      </c>
      <c r="S780" s="1655" t="s">
        <v>70</v>
      </c>
      <c r="T780" s="1655" t="s">
        <v>1856</v>
      </c>
      <c r="U780" s="1656">
        <v>0</v>
      </c>
      <c r="V780" s="1655" t="s">
        <v>42</v>
      </c>
      <c r="W780" s="1655" t="s">
        <v>571</v>
      </c>
    </row>
    <row r="781" spans="1:23">
      <c r="A781" s="1655" t="s">
        <v>70</v>
      </c>
      <c r="B781" s="1655" t="s">
        <v>1857</v>
      </c>
      <c r="C781" s="1656">
        <v>0</v>
      </c>
      <c r="D781" s="1655" t="s">
        <v>42</v>
      </c>
      <c r="E781" s="1655" t="s">
        <v>571</v>
      </c>
      <c r="G781" s="1655" t="s">
        <v>70</v>
      </c>
      <c r="H781" s="1655" t="s">
        <v>1857</v>
      </c>
      <c r="I781" s="1656">
        <v>0</v>
      </c>
      <c r="J781" s="1655" t="s">
        <v>42</v>
      </c>
      <c r="K781" s="1655" t="s">
        <v>571</v>
      </c>
      <c r="M781" s="1655" t="s">
        <v>70</v>
      </c>
      <c r="N781" s="1655" t="s">
        <v>1857</v>
      </c>
      <c r="O781" s="1656">
        <v>0</v>
      </c>
      <c r="P781" s="1655" t="s">
        <v>42</v>
      </c>
      <c r="Q781" s="1655" t="s">
        <v>571</v>
      </c>
      <c r="S781" s="1655" t="s">
        <v>70</v>
      </c>
      <c r="T781" s="1655" t="s">
        <v>1857</v>
      </c>
      <c r="U781" s="1656">
        <v>0</v>
      </c>
      <c r="V781" s="1655" t="s">
        <v>42</v>
      </c>
      <c r="W781" s="1655" t="s">
        <v>571</v>
      </c>
    </row>
    <row r="782" spans="1:23">
      <c r="A782" s="1655" t="s">
        <v>70</v>
      </c>
      <c r="B782" s="1655" t="s">
        <v>955</v>
      </c>
      <c r="C782" s="1656">
        <v>0</v>
      </c>
      <c r="D782" s="1655" t="s">
        <v>42</v>
      </c>
      <c r="E782" s="1655" t="s">
        <v>571</v>
      </c>
      <c r="G782" s="1655" t="s">
        <v>70</v>
      </c>
      <c r="H782" s="1655" t="s">
        <v>955</v>
      </c>
      <c r="I782" s="1656">
        <v>0</v>
      </c>
      <c r="J782" s="1655" t="s">
        <v>42</v>
      </c>
      <c r="K782" s="1655" t="s">
        <v>571</v>
      </c>
      <c r="M782" s="1655" t="s">
        <v>70</v>
      </c>
      <c r="N782" s="1655" t="s">
        <v>955</v>
      </c>
      <c r="O782" s="1656">
        <v>0</v>
      </c>
      <c r="P782" s="1655" t="s">
        <v>42</v>
      </c>
      <c r="Q782" s="1655" t="s">
        <v>571</v>
      </c>
      <c r="S782" s="1655" t="s">
        <v>70</v>
      </c>
      <c r="T782" s="1655" t="s">
        <v>955</v>
      </c>
      <c r="U782" s="1656">
        <v>0</v>
      </c>
      <c r="V782" s="1655" t="s">
        <v>42</v>
      </c>
      <c r="W782" s="1655" t="s">
        <v>571</v>
      </c>
    </row>
    <row r="783" spans="1:23">
      <c r="A783" s="1655" t="s">
        <v>70</v>
      </c>
      <c r="B783" s="1655" t="s">
        <v>956</v>
      </c>
      <c r="C783" s="1656">
        <v>0</v>
      </c>
      <c r="D783" s="1655" t="s">
        <v>42</v>
      </c>
      <c r="E783" s="1655" t="s">
        <v>571</v>
      </c>
      <c r="G783" s="1655" t="s">
        <v>70</v>
      </c>
      <c r="H783" s="1655" t="s">
        <v>956</v>
      </c>
      <c r="I783" s="1656">
        <v>0</v>
      </c>
      <c r="J783" s="1655" t="s">
        <v>42</v>
      </c>
      <c r="K783" s="1655" t="s">
        <v>571</v>
      </c>
      <c r="M783" s="1655" t="s">
        <v>70</v>
      </c>
      <c r="N783" s="1655" t="s">
        <v>956</v>
      </c>
      <c r="O783" s="1656">
        <v>0</v>
      </c>
      <c r="P783" s="1655" t="s">
        <v>42</v>
      </c>
      <c r="Q783" s="1655" t="s">
        <v>571</v>
      </c>
      <c r="S783" s="1655" t="s">
        <v>70</v>
      </c>
      <c r="T783" s="1655" t="s">
        <v>956</v>
      </c>
      <c r="U783" s="1656">
        <v>0</v>
      </c>
      <c r="V783" s="1655" t="s">
        <v>42</v>
      </c>
      <c r="W783" s="1655" t="s">
        <v>571</v>
      </c>
    </row>
    <row r="784" spans="1:23">
      <c r="A784" s="1655" t="s">
        <v>70</v>
      </c>
      <c r="B784" s="1655" t="s">
        <v>957</v>
      </c>
      <c r="C784" s="1656">
        <v>0</v>
      </c>
      <c r="D784" s="1655" t="s">
        <v>42</v>
      </c>
      <c r="E784" s="1655" t="s">
        <v>571</v>
      </c>
      <c r="G784" s="1655" t="s">
        <v>70</v>
      </c>
      <c r="H784" s="1655" t="s">
        <v>957</v>
      </c>
      <c r="I784" s="1656">
        <v>0</v>
      </c>
      <c r="J784" s="1655" t="s">
        <v>42</v>
      </c>
      <c r="K784" s="1655" t="s">
        <v>571</v>
      </c>
      <c r="M784" s="1655" t="s">
        <v>70</v>
      </c>
      <c r="N784" s="1655" t="s">
        <v>957</v>
      </c>
      <c r="O784" s="1656">
        <v>0</v>
      </c>
      <c r="P784" s="1655" t="s">
        <v>42</v>
      </c>
      <c r="Q784" s="1655" t="s">
        <v>571</v>
      </c>
      <c r="S784" s="1655" t="s">
        <v>70</v>
      </c>
      <c r="T784" s="1655" t="s">
        <v>957</v>
      </c>
      <c r="U784" s="1656">
        <v>0</v>
      </c>
      <c r="V784" s="1655" t="s">
        <v>42</v>
      </c>
      <c r="W784" s="1655" t="s">
        <v>571</v>
      </c>
    </row>
    <row r="785" spans="1:23">
      <c r="A785" s="1655" t="s">
        <v>70</v>
      </c>
      <c r="B785" s="1655" t="s">
        <v>1858</v>
      </c>
      <c r="C785" s="1656">
        <v>0</v>
      </c>
      <c r="D785" s="1655" t="s">
        <v>42</v>
      </c>
      <c r="E785" s="1655" t="s">
        <v>571</v>
      </c>
      <c r="G785" s="1655" t="s">
        <v>70</v>
      </c>
      <c r="H785" s="1655" t="s">
        <v>1858</v>
      </c>
      <c r="I785" s="1656">
        <v>0</v>
      </c>
      <c r="J785" s="1655" t="s">
        <v>42</v>
      </c>
      <c r="K785" s="1655" t="s">
        <v>571</v>
      </c>
      <c r="M785" s="1655" t="s">
        <v>70</v>
      </c>
      <c r="N785" s="1655" t="s">
        <v>1858</v>
      </c>
      <c r="O785" s="1656">
        <v>0</v>
      </c>
      <c r="P785" s="1655" t="s">
        <v>42</v>
      </c>
      <c r="Q785" s="1655" t="s">
        <v>571</v>
      </c>
      <c r="S785" s="1655" t="s">
        <v>70</v>
      </c>
      <c r="T785" s="1655" t="s">
        <v>1858</v>
      </c>
      <c r="U785" s="1656">
        <v>0</v>
      </c>
      <c r="V785" s="1655" t="s">
        <v>42</v>
      </c>
      <c r="W785" s="1655" t="s">
        <v>571</v>
      </c>
    </row>
    <row r="786" spans="1:23">
      <c r="A786" s="1655" t="s">
        <v>70</v>
      </c>
      <c r="B786" s="1655" t="s">
        <v>958</v>
      </c>
      <c r="C786" s="1656">
        <v>0</v>
      </c>
      <c r="D786" s="1655" t="s">
        <v>42</v>
      </c>
      <c r="E786" s="1655" t="s">
        <v>571</v>
      </c>
      <c r="G786" s="1655" t="s">
        <v>70</v>
      </c>
      <c r="H786" s="1655" t="s">
        <v>958</v>
      </c>
      <c r="I786" s="1656">
        <v>0</v>
      </c>
      <c r="J786" s="1655" t="s">
        <v>42</v>
      </c>
      <c r="K786" s="1655" t="s">
        <v>571</v>
      </c>
      <c r="M786" s="1655" t="s">
        <v>70</v>
      </c>
      <c r="N786" s="1655" t="s">
        <v>958</v>
      </c>
      <c r="O786" s="1656">
        <v>0</v>
      </c>
      <c r="P786" s="1655" t="s">
        <v>42</v>
      </c>
      <c r="Q786" s="1655" t="s">
        <v>571</v>
      </c>
      <c r="S786" s="1655" t="s">
        <v>70</v>
      </c>
      <c r="T786" s="1655" t="s">
        <v>958</v>
      </c>
      <c r="U786" s="1656">
        <v>0</v>
      </c>
      <c r="V786" s="1655" t="s">
        <v>42</v>
      </c>
      <c r="W786" s="1655" t="s">
        <v>571</v>
      </c>
    </row>
    <row r="787" spans="1:23">
      <c r="A787" s="1655" t="s">
        <v>70</v>
      </c>
      <c r="B787" s="1655" t="s">
        <v>959</v>
      </c>
      <c r="C787" s="1656">
        <v>0</v>
      </c>
      <c r="D787" s="1655" t="s">
        <v>42</v>
      </c>
      <c r="E787" s="1655" t="s">
        <v>571</v>
      </c>
      <c r="G787" s="1655" t="s">
        <v>70</v>
      </c>
      <c r="H787" s="1655" t="s">
        <v>959</v>
      </c>
      <c r="I787" s="1656">
        <v>0</v>
      </c>
      <c r="J787" s="1655" t="s">
        <v>42</v>
      </c>
      <c r="K787" s="1655" t="s">
        <v>571</v>
      </c>
      <c r="M787" s="1655" t="s">
        <v>70</v>
      </c>
      <c r="N787" s="1655" t="s">
        <v>959</v>
      </c>
      <c r="O787" s="1656">
        <v>0</v>
      </c>
      <c r="P787" s="1655" t="s">
        <v>42</v>
      </c>
      <c r="Q787" s="1655" t="s">
        <v>571</v>
      </c>
      <c r="S787" s="1655" t="s">
        <v>70</v>
      </c>
      <c r="T787" s="1655" t="s">
        <v>959</v>
      </c>
      <c r="U787" s="1656">
        <v>0</v>
      </c>
      <c r="V787" s="1655" t="s">
        <v>42</v>
      </c>
      <c r="W787" s="1655" t="s">
        <v>571</v>
      </c>
    </row>
    <row r="788" spans="1:23">
      <c r="A788" s="1655" t="s">
        <v>70</v>
      </c>
      <c r="B788" s="1655" t="s">
        <v>960</v>
      </c>
      <c r="C788" s="1656">
        <v>0</v>
      </c>
      <c r="D788" s="1655" t="s">
        <v>42</v>
      </c>
      <c r="E788" s="1655" t="s">
        <v>571</v>
      </c>
      <c r="G788" s="1655" t="s">
        <v>70</v>
      </c>
      <c r="H788" s="1655" t="s">
        <v>960</v>
      </c>
      <c r="I788" s="1656">
        <v>0</v>
      </c>
      <c r="J788" s="1655" t="s">
        <v>42</v>
      </c>
      <c r="K788" s="1655" t="s">
        <v>571</v>
      </c>
      <c r="M788" s="1655" t="s">
        <v>70</v>
      </c>
      <c r="N788" s="1655" t="s">
        <v>960</v>
      </c>
      <c r="O788" s="1656">
        <v>0</v>
      </c>
      <c r="P788" s="1655" t="s">
        <v>42</v>
      </c>
      <c r="Q788" s="1655" t="s">
        <v>571</v>
      </c>
      <c r="S788" s="1655" t="s">
        <v>70</v>
      </c>
      <c r="T788" s="1655" t="s">
        <v>960</v>
      </c>
      <c r="U788" s="1656">
        <v>0</v>
      </c>
      <c r="V788" s="1655" t="s">
        <v>42</v>
      </c>
      <c r="W788" s="1655" t="s">
        <v>571</v>
      </c>
    </row>
    <row r="789" spans="1:23">
      <c r="A789" s="1655" t="s">
        <v>70</v>
      </c>
      <c r="B789" s="1655" t="s">
        <v>961</v>
      </c>
      <c r="C789" s="1656">
        <v>0</v>
      </c>
      <c r="D789" s="1655" t="s">
        <v>42</v>
      </c>
      <c r="E789" s="1655" t="s">
        <v>571</v>
      </c>
      <c r="G789" s="1655" t="s">
        <v>70</v>
      </c>
      <c r="H789" s="1655" t="s">
        <v>961</v>
      </c>
      <c r="I789" s="1656">
        <v>0</v>
      </c>
      <c r="J789" s="1655" t="s">
        <v>42</v>
      </c>
      <c r="K789" s="1655" t="s">
        <v>571</v>
      </c>
      <c r="M789" s="1655" t="s">
        <v>70</v>
      </c>
      <c r="N789" s="1655" t="s">
        <v>961</v>
      </c>
      <c r="O789" s="1656">
        <v>0</v>
      </c>
      <c r="P789" s="1655" t="s">
        <v>42</v>
      </c>
      <c r="Q789" s="1655" t="s">
        <v>571</v>
      </c>
      <c r="S789" s="1655" t="s">
        <v>70</v>
      </c>
      <c r="T789" s="1655" t="s">
        <v>961</v>
      </c>
      <c r="U789" s="1656">
        <v>0</v>
      </c>
      <c r="V789" s="1655" t="s">
        <v>42</v>
      </c>
      <c r="W789" s="1655" t="s">
        <v>571</v>
      </c>
    </row>
    <row r="790" spans="1:23">
      <c r="A790" s="1655" t="s">
        <v>70</v>
      </c>
      <c r="B790" s="1655" t="s">
        <v>962</v>
      </c>
      <c r="C790" s="1656">
        <v>0</v>
      </c>
      <c r="D790" s="1655" t="s">
        <v>42</v>
      </c>
      <c r="E790" s="1655" t="s">
        <v>571</v>
      </c>
      <c r="G790" s="1655" t="s">
        <v>70</v>
      </c>
      <c r="H790" s="1655" t="s">
        <v>962</v>
      </c>
      <c r="I790" s="1656">
        <v>0</v>
      </c>
      <c r="J790" s="1655" t="s">
        <v>42</v>
      </c>
      <c r="K790" s="1655" t="s">
        <v>571</v>
      </c>
      <c r="M790" s="1655" t="s">
        <v>70</v>
      </c>
      <c r="N790" s="1655" t="s">
        <v>962</v>
      </c>
      <c r="O790" s="1656">
        <v>0</v>
      </c>
      <c r="P790" s="1655" t="s">
        <v>42</v>
      </c>
      <c r="Q790" s="1655" t="s">
        <v>571</v>
      </c>
      <c r="S790" s="1655" t="s">
        <v>70</v>
      </c>
      <c r="T790" s="1655" t="s">
        <v>962</v>
      </c>
      <c r="U790" s="1656">
        <v>0</v>
      </c>
      <c r="V790" s="1655" t="s">
        <v>42</v>
      </c>
      <c r="W790" s="1655" t="s">
        <v>571</v>
      </c>
    </row>
    <row r="791" spans="1:23">
      <c r="A791" s="1655" t="s">
        <v>70</v>
      </c>
      <c r="B791" s="1655" t="s">
        <v>963</v>
      </c>
      <c r="C791" s="1656">
        <v>0</v>
      </c>
      <c r="D791" s="1655" t="s">
        <v>42</v>
      </c>
      <c r="E791" s="1655" t="s">
        <v>571</v>
      </c>
      <c r="G791" s="1655" t="s">
        <v>70</v>
      </c>
      <c r="H791" s="1655" t="s">
        <v>963</v>
      </c>
      <c r="I791" s="1656">
        <v>0</v>
      </c>
      <c r="J791" s="1655" t="s">
        <v>42</v>
      </c>
      <c r="K791" s="1655" t="s">
        <v>571</v>
      </c>
      <c r="M791" s="1655" t="s">
        <v>70</v>
      </c>
      <c r="N791" s="1655" t="s">
        <v>963</v>
      </c>
      <c r="O791" s="1656">
        <v>0</v>
      </c>
      <c r="P791" s="1655" t="s">
        <v>42</v>
      </c>
      <c r="Q791" s="1655" t="s">
        <v>571</v>
      </c>
      <c r="S791" s="1655" t="s">
        <v>70</v>
      </c>
      <c r="T791" s="1655" t="s">
        <v>963</v>
      </c>
      <c r="U791" s="1656">
        <v>0</v>
      </c>
      <c r="V791" s="1655" t="s">
        <v>42</v>
      </c>
      <c r="W791" s="1655" t="s">
        <v>571</v>
      </c>
    </row>
    <row r="792" spans="1:23">
      <c r="A792" s="1655" t="s">
        <v>70</v>
      </c>
      <c r="B792" s="1655" t="s">
        <v>964</v>
      </c>
      <c r="C792" s="1656">
        <v>0</v>
      </c>
      <c r="D792" s="1655" t="s">
        <v>42</v>
      </c>
      <c r="E792" s="1655" t="s">
        <v>571</v>
      </c>
      <c r="G792" s="1655" t="s">
        <v>70</v>
      </c>
      <c r="H792" s="1655" t="s">
        <v>964</v>
      </c>
      <c r="I792" s="1656">
        <v>0</v>
      </c>
      <c r="J792" s="1655" t="s">
        <v>42</v>
      </c>
      <c r="K792" s="1655" t="s">
        <v>571</v>
      </c>
      <c r="M792" s="1655" t="s">
        <v>70</v>
      </c>
      <c r="N792" s="1655" t="s">
        <v>964</v>
      </c>
      <c r="O792" s="1656">
        <v>0</v>
      </c>
      <c r="P792" s="1655" t="s">
        <v>42</v>
      </c>
      <c r="Q792" s="1655" t="s">
        <v>571</v>
      </c>
      <c r="S792" s="1655" t="s">
        <v>70</v>
      </c>
      <c r="T792" s="1655" t="s">
        <v>964</v>
      </c>
      <c r="U792" s="1656">
        <v>0</v>
      </c>
      <c r="V792" s="1655" t="s">
        <v>42</v>
      </c>
      <c r="W792" s="1655" t="s">
        <v>571</v>
      </c>
    </row>
    <row r="793" spans="1:23">
      <c r="A793" s="1655" t="s">
        <v>70</v>
      </c>
      <c r="B793" s="1655" t="s">
        <v>965</v>
      </c>
      <c r="C793" s="1656">
        <v>0</v>
      </c>
      <c r="D793" s="1655" t="s">
        <v>42</v>
      </c>
      <c r="E793" s="1655" t="s">
        <v>571</v>
      </c>
      <c r="G793" s="1655" t="s">
        <v>70</v>
      </c>
      <c r="H793" s="1655" t="s">
        <v>965</v>
      </c>
      <c r="I793" s="1656">
        <v>0</v>
      </c>
      <c r="J793" s="1655" t="s">
        <v>42</v>
      </c>
      <c r="K793" s="1655" t="s">
        <v>571</v>
      </c>
      <c r="M793" s="1655" t="s">
        <v>70</v>
      </c>
      <c r="N793" s="1655" t="s">
        <v>965</v>
      </c>
      <c r="O793" s="1656">
        <v>0</v>
      </c>
      <c r="P793" s="1655" t="s">
        <v>42</v>
      </c>
      <c r="Q793" s="1655" t="s">
        <v>571</v>
      </c>
      <c r="S793" s="1655" t="s">
        <v>70</v>
      </c>
      <c r="T793" s="1655" t="s">
        <v>965</v>
      </c>
      <c r="U793" s="1656">
        <v>0</v>
      </c>
      <c r="V793" s="1655" t="s">
        <v>42</v>
      </c>
      <c r="W793" s="1655" t="s">
        <v>571</v>
      </c>
    </row>
    <row r="794" spans="1:23">
      <c r="A794" s="1655" t="s">
        <v>70</v>
      </c>
      <c r="B794" s="1655" t="s">
        <v>966</v>
      </c>
      <c r="C794" s="1656">
        <v>0</v>
      </c>
      <c r="D794" s="1655" t="s">
        <v>42</v>
      </c>
      <c r="E794" s="1655" t="s">
        <v>571</v>
      </c>
      <c r="G794" s="1655" t="s">
        <v>70</v>
      </c>
      <c r="H794" s="1655" t="s">
        <v>966</v>
      </c>
      <c r="I794" s="1656">
        <v>0</v>
      </c>
      <c r="J794" s="1655" t="s">
        <v>42</v>
      </c>
      <c r="K794" s="1655" t="s">
        <v>571</v>
      </c>
      <c r="M794" s="1655" t="s">
        <v>70</v>
      </c>
      <c r="N794" s="1655" t="s">
        <v>966</v>
      </c>
      <c r="O794" s="1656">
        <v>0</v>
      </c>
      <c r="P794" s="1655" t="s">
        <v>42</v>
      </c>
      <c r="Q794" s="1655" t="s">
        <v>571</v>
      </c>
      <c r="S794" s="1655" t="s">
        <v>70</v>
      </c>
      <c r="T794" s="1655" t="s">
        <v>966</v>
      </c>
      <c r="U794" s="1656">
        <v>0</v>
      </c>
      <c r="V794" s="1655" t="s">
        <v>42</v>
      </c>
      <c r="W794" s="1655" t="s">
        <v>571</v>
      </c>
    </row>
    <row r="795" spans="1:23">
      <c r="A795" s="1655" t="s">
        <v>70</v>
      </c>
      <c r="B795" s="1655" t="s">
        <v>1859</v>
      </c>
      <c r="C795" s="1656">
        <v>0</v>
      </c>
      <c r="D795" s="1655" t="s">
        <v>42</v>
      </c>
      <c r="E795" s="1655" t="s">
        <v>571</v>
      </c>
      <c r="G795" s="1655" t="s">
        <v>70</v>
      </c>
      <c r="H795" s="1655" t="s">
        <v>1859</v>
      </c>
      <c r="I795" s="1656">
        <v>0</v>
      </c>
      <c r="J795" s="1655" t="s">
        <v>42</v>
      </c>
      <c r="K795" s="1655" t="s">
        <v>571</v>
      </c>
      <c r="M795" s="1655" t="s">
        <v>70</v>
      </c>
      <c r="N795" s="1655" t="s">
        <v>1859</v>
      </c>
      <c r="O795" s="1656">
        <v>0</v>
      </c>
      <c r="P795" s="1655" t="s">
        <v>42</v>
      </c>
      <c r="Q795" s="1655" t="s">
        <v>571</v>
      </c>
      <c r="S795" s="1655" t="s">
        <v>70</v>
      </c>
      <c r="T795" s="1655" t="s">
        <v>1859</v>
      </c>
      <c r="U795" s="1656">
        <v>0</v>
      </c>
      <c r="V795" s="1655" t="s">
        <v>42</v>
      </c>
      <c r="W795" s="1655" t="s">
        <v>571</v>
      </c>
    </row>
    <row r="796" spans="1:23">
      <c r="A796" s="1655" t="s">
        <v>70</v>
      </c>
      <c r="B796" s="1655" t="s">
        <v>1860</v>
      </c>
      <c r="C796" s="1656">
        <v>0</v>
      </c>
      <c r="D796" s="1655" t="s">
        <v>42</v>
      </c>
      <c r="E796" s="1655" t="s">
        <v>571</v>
      </c>
      <c r="G796" s="1655" t="s">
        <v>70</v>
      </c>
      <c r="H796" s="1655" t="s">
        <v>1860</v>
      </c>
      <c r="I796" s="1656">
        <v>0</v>
      </c>
      <c r="J796" s="1655" t="s">
        <v>42</v>
      </c>
      <c r="K796" s="1655" t="s">
        <v>571</v>
      </c>
      <c r="M796" s="1655" t="s">
        <v>70</v>
      </c>
      <c r="N796" s="1655" t="s">
        <v>1860</v>
      </c>
      <c r="O796" s="1656">
        <v>0</v>
      </c>
      <c r="P796" s="1655" t="s">
        <v>42</v>
      </c>
      <c r="Q796" s="1655" t="s">
        <v>571</v>
      </c>
      <c r="S796" s="1655" t="s">
        <v>70</v>
      </c>
      <c r="T796" s="1655" t="s">
        <v>1860</v>
      </c>
      <c r="U796" s="1656">
        <v>0</v>
      </c>
      <c r="V796" s="1655" t="s">
        <v>42</v>
      </c>
      <c r="W796" s="1655" t="s">
        <v>571</v>
      </c>
    </row>
    <row r="797" spans="1:23">
      <c r="A797" s="1655" t="s">
        <v>70</v>
      </c>
      <c r="B797" s="1655" t="s">
        <v>967</v>
      </c>
      <c r="C797" s="1656">
        <v>0</v>
      </c>
      <c r="D797" s="1655" t="s">
        <v>42</v>
      </c>
      <c r="E797" s="1655" t="s">
        <v>571</v>
      </c>
      <c r="G797" s="1655" t="s">
        <v>70</v>
      </c>
      <c r="H797" s="1655" t="s">
        <v>967</v>
      </c>
      <c r="I797" s="1656">
        <v>0</v>
      </c>
      <c r="J797" s="1655" t="s">
        <v>42</v>
      </c>
      <c r="K797" s="1655" t="s">
        <v>571</v>
      </c>
      <c r="M797" s="1655" t="s">
        <v>70</v>
      </c>
      <c r="N797" s="1655" t="s">
        <v>967</v>
      </c>
      <c r="O797" s="1656">
        <v>0</v>
      </c>
      <c r="P797" s="1655" t="s">
        <v>42</v>
      </c>
      <c r="Q797" s="1655" t="s">
        <v>571</v>
      </c>
      <c r="S797" s="1655" t="s">
        <v>70</v>
      </c>
      <c r="T797" s="1655" t="s">
        <v>967</v>
      </c>
      <c r="U797" s="1656">
        <v>0</v>
      </c>
      <c r="V797" s="1655" t="s">
        <v>42</v>
      </c>
      <c r="W797" s="1655" t="s">
        <v>571</v>
      </c>
    </row>
    <row r="798" spans="1:23">
      <c r="A798" s="1655" t="s">
        <v>70</v>
      </c>
      <c r="B798" s="1655" t="s">
        <v>968</v>
      </c>
      <c r="C798" s="1656">
        <v>0</v>
      </c>
      <c r="D798" s="1655" t="s">
        <v>42</v>
      </c>
      <c r="E798" s="1655" t="s">
        <v>571</v>
      </c>
      <c r="G798" s="1655" t="s">
        <v>70</v>
      </c>
      <c r="H798" s="1655" t="s">
        <v>968</v>
      </c>
      <c r="I798" s="1656">
        <v>0</v>
      </c>
      <c r="J798" s="1655" t="s">
        <v>42</v>
      </c>
      <c r="K798" s="1655" t="s">
        <v>571</v>
      </c>
      <c r="M798" s="1655" t="s">
        <v>70</v>
      </c>
      <c r="N798" s="1655" t="s">
        <v>968</v>
      </c>
      <c r="O798" s="1656">
        <v>0</v>
      </c>
      <c r="P798" s="1655" t="s">
        <v>42</v>
      </c>
      <c r="Q798" s="1655" t="s">
        <v>571</v>
      </c>
      <c r="S798" s="1655" t="s">
        <v>70</v>
      </c>
      <c r="T798" s="1655" t="s">
        <v>968</v>
      </c>
      <c r="U798" s="1656">
        <v>0</v>
      </c>
      <c r="V798" s="1655" t="s">
        <v>42</v>
      </c>
      <c r="W798" s="1655" t="s">
        <v>571</v>
      </c>
    </row>
    <row r="799" spans="1:23">
      <c r="A799" s="1655" t="s">
        <v>70</v>
      </c>
      <c r="B799" s="1655" t="s">
        <v>969</v>
      </c>
      <c r="C799" s="1656">
        <v>0</v>
      </c>
      <c r="D799" s="1655" t="s">
        <v>42</v>
      </c>
      <c r="E799" s="1655" t="s">
        <v>571</v>
      </c>
      <c r="G799" s="1655" t="s">
        <v>70</v>
      </c>
      <c r="H799" s="1655" t="s">
        <v>969</v>
      </c>
      <c r="I799" s="1656">
        <v>0</v>
      </c>
      <c r="J799" s="1655" t="s">
        <v>42</v>
      </c>
      <c r="K799" s="1655" t="s">
        <v>571</v>
      </c>
      <c r="M799" s="1655" t="s">
        <v>70</v>
      </c>
      <c r="N799" s="1655" t="s">
        <v>969</v>
      </c>
      <c r="O799" s="1656">
        <v>0</v>
      </c>
      <c r="P799" s="1655" t="s">
        <v>42</v>
      </c>
      <c r="Q799" s="1655" t="s">
        <v>571</v>
      </c>
      <c r="S799" s="1655" t="s">
        <v>70</v>
      </c>
      <c r="T799" s="1655" t="s">
        <v>969</v>
      </c>
      <c r="U799" s="1656">
        <v>0</v>
      </c>
      <c r="V799" s="1655" t="s">
        <v>42</v>
      </c>
      <c r="W799" s="1655" t="s">
        <v>571</v>
      </c>
    </row>
    <row r="800" spans="1:23">
      <c r="A800" s="1655" t="s">
        <v>70</v>
      </c>
      <c r="B800" s="1655" t="s">
        <v>970</v>
      </c>
      <c r="C800" s="1656">
        <v>0</v>
      </c>
      <c r="D800" s="1655" t="s">
        <v>42</v>
      </c>
      <c r="E800" s="1655" t="s">
        <v>571</v>
      </c>
      <c r="G800" s="1655" t="s">
        <v>70</v>
      </c>
      <c r="H800" s="1655" t="s">
        <v>970</v>
      </c>
      <c r="I800" s="1656">
        <v>0</v>
      </c>
      <c r="J800" s="1655" t="s">
        <v>42</v>
      </c>
      <c r="K800" s="1655" t="s">
        <v>571</v>
      </c>
      <c r="M800" s="1655" t="s">
        <v>70</v>
      </c>
      <c r="N800" s="1655" t="s">
        <v>970</v>
      </c>
      <c r="O800" s="1656">
        <v>0</v>
      </c>
      <c r="P800" s="1655" t="s">
        <v>42</v>
      </c>
      <c r="Q800" s="1655" t="s">
        <v>571</v>
      </c>
      <c r="S800" s="1655" t="s">
        <v>70</v>
      </c>
      <c r="T800" s="1655" t="s">
        <v>970</v>
      </c>
      <c r="U800" s="1656">
        <v>0</v>
      </c>
      <c r="V800" s="1655" t="s">
        <v>42</v>
      </c>
      <c r="W800" s="1655" t="s">
        <v>571</v>
      </c>
    </row>
    <row r="801" spans="1:23">
      <c r="A801" s="1655" t="s">
        <v>70</v>
      </c>
      <c r="B801" s="1655" t="s">
        <v>971</v>
      </c>
      <c r="C801" s="1656">
        <v>0</v>
      </c>
      <c r="D801" s="1655" t="s">
        <v>42</v>
      </c>
      <c r="E801" s="1655" t="s">
        <v>571</v>
      </c>
      <c r="G801" s="1655" t="s">
        <v>70</v>
      </c>
      <c r="H801" s="1655" t="s">
        <v>971</v>
      </c>
      <c r="I801" s="1656">
        <v>0</v>
      </c>
      <c r="J801" s="1655" t="s">
        <v>42</v>
      </c>
      <c r="K801" s="1655" t="s">
        <v>571</v>
      </c>
      <c r="M801" s="1655" t="s">
        <v>70</v>
      </c>
      <c r="N801" s="1655" t="s">
        <v>971</v>
      </c>
      <c r="O801" s="1656">
        <v>0</v>
      </c>
      <c r="P801" s="1655" t="s">
        <v>42</v>
      </c>
      <c r="Q801" s="1655" t="s">
        <v>571</v>
      </c>
      <c r="S801" s="1655" t="s">
        <v>70</v>
      </c>
      <c r="T801" s="1655" t="s">
        <v>971</v>
      </c>
      <c r="U801" s="1656">
        <v>0</v>
      </c>
      <c r="V801" s="1655" t="s">
        <v>42</v>
      </c>
      <c r="W801" s="1655" t="s">
        <v>571</v>
      </c>
    </row>
    <row r="802" spans="1:23">
      <c r="A802" s="1655" t="s">
        <v>70</v>
      </c>
      <c r="B802" s="1655" t="s">
        <v>972</v>
      </c>
      <c r="C802" s="1656">
        <v>0</v>
      </c>
      <c r="D802" s="1655" t="s">
        <v>42</v>
      </c>
      <c r="E802" s="1655" t="s">
        <v>571</v>
      </c>
      <c r="G802" s="1655" t="s">
        <v>70</v>
      </c>
      <c r="H802" s="1655" t="s">
        <v>972</v>
      </c>
      <c r="I802" s="1656">
        <v>0</v>
      </c>
      <c r="J802" s="1655" t="s">
        <v>42</v>
      </c>
      <c r="K802" s="1655" t="s">
        <v>571</v>
      </c>
      <c r="M802" s="1655" t="s">
        <v>70</v>
      </c>
      <c r="N802" s="1655" t="s">
        <v>972</v>
      </c>
      <c r="O802" s="1656">
        <v>0</v>
      </c>
      <c r="P802" s="1655" t="s">
        <v>42</v>
      </c>
      <c r="Q802" s="1655" t="s">
        <v>571</v>
      </c>
      <c r="S802" s="1655" t="s">
        <v>70</v>
      </c>
      <c r="T802" s="1655" t="s">
        <v>972</v>
      </c>
      <c r="U802" s="1656">
        <v>0</v>
      </c>
      <c r="V802" s="1655" t="s">
        <v>42</v>
      </c>
      <c r="W802" s="1655" t="s">
        <v>571</v>
      </c>
    </row>
    <row r="803" spans="1:23">
      <c r="A803" s="1655" t="s">
        <v>70</v>
      </c>
      <c r="B803" s="1655" t="s">
        <v>973</v>
      </c>
      <c r="C803" s="1656">
        <v>0</v>
      </c>
      <c r="D803" s="1655" t="s">
        <v>42</v>
      </c>
      <c r="E803" s="1655" t="s">
        <v>571</v>
      </c>
      <c r="G803" s="1655" t="s">
        <v>70</v>
      </c>
      <c r="H803" s="1655" t="s">
        <v>973</v>
      </c>
      <c r="I803" s="1656">
        <v>0</v>
      </c>
      <c r="J803" s="1655" t="s">
        <v>42</v>
      </c>
      <c r="K803" s="1655" t="s">
        <v>571</v>
      </c>
      <c r="M803" s="1655" t="s">
        <v>70</v>
      </c>
      <c r="N803" s="1655" t="s">
        <v>973</v>
      </c>
      <c r="O803" s="1656">
        <v>0</v>
      </c>
      <c r="P803" s="1655" t="s">
        <v>42</v>
      </c>
      <c r="Q803" s="1655" t="s">
        <v>571</v>
      </c>
      <c r="S803" s="1655" t="s">
        <v>70</v>
      </c>
      <c r="T803" s="1655" t="s">
        <v>973</v>
      </c>
      <c r="U803" s="1656">
        <v>0</v>
      </c>
      <c r="V803" s="1655" t="s">
        <v>42</v>
      </c>
      <c r="W803" s="1655" t="s">
        <v>571</v>
      </c>
    </row>
    <row r="804" spans="1:23">
      <c r="A804" s="1655" t="s">
        <v>70</v>
      </c>
      <c r="B804" s="1655" t="s">
        <v>974</v>
      </c>
      <c r="C804" s="1656">
        <v>0</v>
      </c>
      <c r="D804" s="1655" t="s">
        <v>42</v>
      </c>
      <c r="E804" s="1655" t="s">
        <v>571</v>
      </c>
      <c r="G804" s="1655" t="s">
        <v>70</v>
      </c>
      <c r="H804" s="1655" t="s">
        <v>974</v>
      </c>
      <c r="I804" s="1656">
        <v>0</v>
      </c>
      <c r="J804" s="1655" t="s">
        <v>42</v>
      </c>
      <c r="K804" s="1655" t="s">
        <v>571</v>
      </c>
      <c r="M804" s="1655" t="s">
        <v>70</v>
      </c>
      <c r="N804" s="1655" t="s">
        <v>974</v>
      </c>
      <c r="O804" s="1656">
        <v>0</v>
      </c>
      <c r="P804" s="1655" t="s">
        <v>42</v>
      </c>
      <c r="Q804" s="1655" t="s">
        <v>571</v>
      </c>
      <c r="S804" s="1655" t="s">
        <v>70</v>
      </c>
      <c r="T804" s="1655" t="s">
        <v>974</v>
      </c>
      <c r="U804" s="1656">
        <v>0</v>
      </c>
      <c r="V804" s="1655" t="s">
        <v>42</v>
      </c>
      <c r="W804" s="1655" t="s">
        <v>571</v>
      </c>
    </row>
    <row r="805" spans="1:23">
      <c r="A805" s="1655" t="s">
        <v>70</v>
      </c>
      <c r="B805" s="1655" t="s">
        <v>1861</v>
      </c>
      <c r="C805" s="1656">
        <v>0</v>
      </c>
      <c r="D805" s="1655" t="s">
        <v>42</v>
      </c>
      <c r="E805" s="1655" t="s">
        <v>571</v>
      </c>
      <c r="G805" s="1655" t="s">
        <v>70</v>
      </c>
      <c r="H805" s="1655" t="s">
        <v>1861</v>
      </c>
      <c r="I805" s="1656">
        <v>0</v>
      </c>
      <c r="J805" s="1655" t="s">
        <v>42</v>
      </c>
      <c r="K805" s="1655" t="s">
        <v>571</v>
      </c>
      <c r="M805" s="1655" t="s">
        <v>70</v>
      </c>
      <c r="N805" s="1655" t="s">
        <v>1861</v>
      </c>
      <c r="O805" s="1656">
        <v>0</v>
      </c>
      <c r="P805" s="1655" t="s">
        <v>42</v>
      </c>
      <c r="Q805" s="1655" t="s">
        <v>571</v>
      </c>
      <c r="S805" s="1655" t="s">
        <v>70</v>
      </c>
      <c r="T805" s="1655" t="s">
        <v>1861</v>
      </c>
      <c r="U805" s="1656">
        <v>0</v>
      </c>
      <c r="V805" s="1655" t="s">
        <v>42</v>
      </c>
      <c r="W805" s="1655" t="s">
        <v>571</v>
      </c>
    </row>
    <row r="806" spans="1:23">
      <c r="A806" s="1655" t="s">
        <v>70</v>
      </c>
      <c r="B806" s="1655" t="s">
        <v>1862</v>
      </c>
      <c r="C806" s="1656">
        <v>0</v>
      </c>
      <c r="D806" s="1655" t="s">
        <v>42</v>
      </c>
      <c r="E806" s="1655" t="s">
        <v>571</v>
      </c>
      <c r="G806" s="1655" t="s">
        <v>70</v>
      </c>
      <c r="H806" s="1655" t="s">
        <v>1862</v>
      </c>
      <c r="I806" s="1656">
        <v>0</v>
      </c>
      <c r="J806" s="1655" t="s">
        <v>42</v>
      </c>
      <c r="K806" s="1655" t="s">
        <v>571</v>
      </c>
      <c r="M806" s="1655" t="s">
        <v>70</v>
      </c>
      <c r="N806" s="1655" t="s">
        <v>1862</v>
      </c>
      <c r="O806" s="1656">
        <v>0</v>
      </c>
      <c r="P806" s="1655" t="s">
        <v>42</v>
      </c>
      <c r="Q806" s="1655" t="s">
        <v>571</v>
      </c>
      <c r="S806" s="1655" t="s">
        <v>70</v>
      </c>
      <c r="T806" s="1655" t="s">
        <v>1862</v>
      </c>
      <c r="U806" s="1656">
        <v>0</v>
      </c>
      <c r="V806" s="1655" t="s">
        <v>42</v>
      </c>
      <c r="W806" s="1655" t="s">
        <v>571</v>
      </c>
    </row>
    <row r="807" spans="1:23">
      <c r="A807" s="1655" t="s">
        <v>70</v>
      </c>
      <c r="B807" s="1655" t="s">
        <v>1863</v>
      </c>
      <c r="C807" s="1656">
        <v>0</v>
      </c>
      <c r="D807" s="1655" t="s">
        <v>42</v>
      </c>
      <c r="E807" s="1655" t="s">
        <v>571</v>
      </c>
      <c r="G807" s="1655" t="s">
        <v>70</v>
      </c>
      <c r="H807" s="1655" t="s">
        <v>1863</v>
      </c>
      <c r="I807" s="1656">
        <v>0</v>
      </c>
      <c r="J807" s="1655" t="s">
        <v>42</v>
      </c>
      <c r="K807" s="1655" t="s">
        <v>571</v>
      </c>
      <c r="M807" s="1655" t="s">
        <v>70</v>
      </c>
      <c r="N807" s="1655" t="s">
        <v>1863</v>
      </c>
      <c r="O807" s="1656">
        <v>0</v>
      </c>
      <c r="P807" s="1655" t="s">
        <v>42</v>
      </c>
      <c r="Q807" s="1655" t="s">
        <v>571</v>
      </c>
      <c r="S807" s="1655" t="s">
        <v>70</v>
      </c>
      <c r="T807" s="1655" t="s">
        <v>1863</v>
      </c>
      <c r="U807" s="1656">
        <v>0</v>
      </c>
      <c r="V807" s="1655" t="s">
        <v>42</v>
      </c>
      <c r="W807" s="1655" t="s">
        <v>571</v>
      </c>
    </row>
    <row r="808" spans="1:23">
      <c r="A808" s="1655" t="s">
        <v>70</v>
      </c>
      <c r="B808" s="1655" t="s">
        <v>1864</v>
      </c>
      <c r="C808" s="1656">
        <v>0</v>
      </c>
      <c r="D808" s="1655" t="s">
        <v>42</v>
      </c>
      <c r="E808" s="1655" t="s">
        <v>571</v>
      </c>
      <c r="G808" s="1655" t="s">
        <v>70</v>
      </c>
      <c r="H808" s="1655" t="s">
        <v>1864</v>
      </c>
      <c r="I808" s="1656">
        <v>0</v>
      </c>
      <c r="J808" s="1655" t="s">
        <v>42</v>
      </c>
      <c r="K808" s="1655" t="s">
        <v>571</v>
      </c>
      <c r="M808" s="1655" t="s">
        <v>70</v>
      </c>
      <c r="N808" s="1655" t="s">
        <v>1864</v>
      </c>
      <c r="O808" s="1656">
        <v>0</v>
      </c>
      <c r="P808" s="1655" t="s">
        <v>42</v>
      </c>
      <c r="Q808" s="1655" t="s">
        <v>571</v>
      </c>
      <c r="S808" s="1655" t="s">
        <v>70</v>
      </c>
      <c r="T808" s="1655" t="s">
        <v>1864</v>
      </c>
      <c r="U808" s="1656">
        <v>0</v>
      </c>
      <c r="V808" s="1655" t="s">
        <v>42</v>
      </c>
      <c r="W808" s="1655" t="s">
        <v>571</v>
      </c>
    </row>
    <row r="809" spans="1:23">
      <c r="A809" s="1655" t="s">
        <v>70</v>
      </c>
      <c r="B809" s="1655" t="s">
        <v>1865</v>
      </c>
      <c r="C809" s="1656">
        <v>0</v>
      </c>
      <c r="D809" s="1655" t="s">
        <v>42</v>
      </c>
      <c r="E809" s="1655" t="s">
        <v>571</v>
      </c>
      <c r="G809" s="1655" t="s">
        <v>70</v>
      </c>
      <c r="H809" s="1655" t="s">
        <v>1865</v>
      </c>
      <c r="I809" s="1656">
        <v>0</v>
      </c>
      <c r="J809" s="1655" t="s">
        <v>42</v>
      </c>
      <c r="K809" s="1655" t="s">
        <v>571</v>
      </c>
      <c r="M809" s="1655" t="s">
        <v>70</v>
      </c>
      <c r="N809" s="1655" t="s">
        <v>1865</v>
      </c>
      <c r="O809" s="1656">
        <v>0</v>
      </c>
      <c r="P809" s="1655" t="s">
        <v>42</v>
      </c>
      <c r="Q809" s="1655" t="s">
        <v>571</v>
      </c>
      <c r="S809" s="1655" t="s">
        <v>70</v>
      </c>
      <c r="T809" s="1655" t="s">
        <v>1865</v>
      </c>
      <c r="U809" s="1656">
        <v>0</v>
      </c>
      <c r="V809" s="1655" t="s">
        <v>42</v>
      </c>
      <c r="W809" s="1655" t="s">
        <v>571</v>
      </c>
    </row>
    <row r="810" spans="1:23">
      <c r="A810" s="1655" t="s">
        <v>70</v>
      </c>
      <c r="B810" s="1655" t="s">
        <v>1866</v>
      </c>
      <c r="C810" s="1656">
        <v>0</v>
      </c>
      <c r="D810" s="1655" t="s">
        <v>42</v>
      </c>
      <c r="E810" s="1655" t="s">
        <v>571</v>
      </c>
      <c r="G810" s="1655" t="s">
        <v>70</v>
      </c>
      <c r="H810" s="1655" t="s">
        <v>1866</v>
      </c>
      <c r="I810" s="1656">
        <v>0</v>
      </c>
      <c r="J810" s="1655" t="s">
        <v>42</v>
      </c>
      <c r="K810" s="1655" t="s">
        <v>571</v>
      </c>
      <c r="M810" s="1655" t="s">
        <v>70</v>
      </c>
      <c r="N810" s="1655" t="s">
        <v>1866</v>
      </c>
      <c r="O810" s="1656">
        <v>0</v>
      </c>
      <c r="P810" s="1655" t="s">
        <v>42</v>
      </c>
      <c r="Q810" s="1655" t="s">
        <v>571</v>
      </c>
      <c r="S810" s="1655" t="s">
        <v>70</v>
      </c>
      <c r="T810" s="1655" t="s">
        <v>1866</v>
      </c>
      <c r="U810" s="1656">
        <v>0</v>
      </c>
      <c r="V810" s="1655" t="s">
        <v>42</v>
      </c>
      <c r="W810" s="1655" t="s">
        <v>571</v>
      </c>
    </row>
    <row r="811" spans="1:23">
      <c r="A811" s="1655" t="s">
        <v>70</v>
      </c>
      <c r="B811" s="1655" t="s">
        <v>1867</v>
      </c>
      <c r="C811" s="1656">
        <v>0</v>
      </c>
      <c r="D811" s="1655" t="s">
        <v>42</v>
      </c>
      <c r="E811" s="1655" t="s">
        <v>571</v>
      </c>
      <c r="G811" s="1655" t="s">
        <v>70</v>
      </c>
      <c r="H811" s="1655" t="s">
        <v>1867</v>
      </c>
      <c r="I811" s="1656">
        <v>0</v>
      </c>
      <c r="J811" s="1655" t="s">
        <v>42</v>
      </c>
      <c r="K811" s="1655" t="s">
        <v>571</v>
      </c>
      <c r="M811" s="1655" t="s">
        <v>70</v>
      </c>
      <c r="N811" s="1655" t="s">
        <v>1867</v>
      </c>
      <c r="O811" s="1656">
        <v>0</v>
      </c>
      <c r="P811" s="1655" t="s">
        <v>42</v>
      </c>
      <c r="Q811" s="1655" t="s">
        <v>571</v>
      </c>
      <c r="S811" s="1655" t="s">
        <v>70</v>
      </c>
      <c r="T811" s="1655" t="s">
        <v>1867</v>
      </c>
      <c r="U811" s="1656">
        <v>0</v>
      </c>
      <c r="V811" s="1655" t="s">
        <v>42</v>
      </c>
      <c r="W811" s="1655" t="s">
        <v>571</v>
      </c>
    </row>
    <row r="812" spans="1:23">
      <c r="A812" s="1655" t="s">
        <v>70</v>
      </c>
      <c r="B812" s="1655" t="s">
        <v>1868</v>
      </c>
      <c r="C812" s="1656">
        <v>0</v>
      </c>
      <c r="D812" s="1655" t="s">
        <v>42</v>
      </c>
      <c r="E812" s="1655" t="s">
        <v>571</v>
      </c>
      <c r="G812" s="1655" t="s">
        <v>70</v>
      </c>
      <c r="H812" s="1655" t="s">
        <v>1868</v>
      </c>
      <c r="I812" s="1656">
        <v>0</v>
      </c>
      <c r="J812" s="1655" t="s">
        <v>42</v>
      </c>
      <c r="K812" s="1655" t="s">
        <v>571</v>
      </c>
      <c r="M812" s="1655" t="s">
        <v>70</v>
      </c>
      <c r="N812" s="1655" t="s">
        <v>1868</v>
      </c>
      <c r="O812" s="1656">
        <v>0</v>
      </c>
      <c r="P812" s="1655" t="s">
        <v>42</v>
      </c>
      <c r="Q812" s="1655" t="s">
        <v>571</v>
      </c>
      <c r="S812" s="1655" t="s">
        <v>70</v>
      </c>
      <c r="T812" s="1655" t="s">
        <v>1868</v>
      </c>
      <c r="U812" s="1656">
        <v>0</v>
      </c>
      <c r="V812" s="1655" t="s">
        <v>42</v>
      </c>
      <c r="W812" s="1655" t="s">
        <v>571</v>
      </c>
    </row>
    <row r="813" spans="1:23">
      <c r="A813" s="1655" t="s">
        <v>70</v>
      </c>
      <c r="B813" s="1655" t="s">
        <v>1869</v>
      </c>
      <c r="C813" s="1656">
        <v>0</v>
      </c>
      <c r="D813" s="1655" t="s">
        <v>42</v>
      </c>
      <c r="E813" s="1655" t="s">
        <v>571</v>
      </c>
      <c r="G813" s="1655" t="s">
        <v>70</v>
      </c>
      <c r="H813" s="1655" t="s">
        <v>1869</v>
      </c>
      <c r="I813" s="1656">
        <v>0</v>
      </c>
      <c r="J813" s="1655" t="s">
        <v>42</v>
      </c>
      <c r="K813" s="1655" t="s">
        <v>571</v>
      </c>
      <c r="M813" s="1655" t="s">
        <v>70</v>
      </c>
      <c r="N813" s="1655" t="s">
        <v>1869</v>
      </c>
      <c r="O813" s="1656">
        <v>0</v>
      </c>
      <c r="P813" s="1655" t="s">
        <v>42</v>
      </c>
      <c r="Q813" s="1655" t="s">
        <v>571</v>
      </c>
      <c r="S813" s="1655" t="s">
        <v>70</v>
      </c>
      <c r="T813" s="1655" t="s">
        <v>1869</v>
      </c>
      <c r="U813" s="1656">
        <v>0</v>
      </c>
      <c r="V813" s="1655" t="s">
        <v>42</v>
      </c>
      <c r="W813" s="1655" t="s">
        <v>571</v>
      </c>
    </row>
    <row r="814" spans="1:23">
      <c r="A814" s="1655" t="s">
        <v>70</v>
      </c>
      <c r="B814" s="1655" t="s">
        <v>1870</v>
      </c>
      <c r="C814" s="1656">
        <v>0</v>
      </c>
      <c r="D814" s="1655" t="s">
        <v>42</v>
      </c>
      <c r="E814" s="1655" t="s">
        <v>571</v>
      </c>
      <c r="G814" s="1655" t="s">
        <v>70</v>
      </c>
      <c r="H814" s="1655" t="s">
        <v>1870</v>
      </c>
      <c r="I814" s="1656">
        <v>0</v>
      </c>
      <c r="J814" s="1655" t="s">
        <v>42</v>
      </c>
      <c r="K814" s="1655" t="s">
        <v>571</v>
      </c>
      <c r="M814" s="1655" t="s">
        <v>70</v>
      </c>
      <c r="N814" s="1655" t="s">
        <v>1870</v>
      </c>
      <c r="O814" s="1656">
        <v>0</v>
      </c>
      <c r="P814" s="1655" t="s">
        <v>42</v>
      </c>
      <c r="Q814" s="1655" t="s">
        <v>571</v>
      </c>
      <c r="S814" s="1655" t="s">
        <v>70</v>
      </c>
      <c r="T814" s="1655" t="s">
        <v>1870</v>
      </c>
      <c r="U814" s="1656">
        <v>0</v>
      </c>
      <c r="V814" s="1655" t="s">
        <v>42</v>
      </c>
      <c r="W814" s="1655" t="s">
        <v>571</v>
      </c>
    </row>
    <row r="815" spans="1:23">
      <c r="A815" s="1655" t="s">
        <v>70</v>
      </c>
      <c r="B815" s="1655" t="s">
        <v>1871</v>
      </c>
      <c r="C815" s="1656">
        <v>0</v>
      </c>
      <c r="D815" s="1655" t="s">
        <v>42</v>
      </c>
      <c r="E815" s="1655" t="s">
        <v>571</v>
      </c>
      <c r="G815" s="1655" t="s">
        <v>70</v>
      </c>
      <c r="H815" s="1655" t="s">
        <v>1871</v>
      </c>
      <c r="I815" s="1656">
        <v>0</v>
      </c>
      <c r="J815" s="1655" t="s">
        <v>42</v>
      </c>
      <c r="K815" s="1655" t="s">
        <v>571</v>
      </c>
      <c r="M815" s="1655" t="s">
        <v>70</v>
      </c>
      <c r="N815" s="1655" t="s">
        <v>1871</v>
      </c>
      <c r="O815" s="1656">
        <v>0</v>
      </c>
      <c r="P815" s="1655" t="s">
        <v>42</v>
      </c>
      <c r="Q815" s="1655" t="s">
        <v>571</v>
      </c>
      <c r="S815" s="1655" t="s">
        <v>70</v>
      </c>
      <c r="T815" s="1655" t="s">
        <v>1871</v>
      </c>
      <c r="U815" s="1656">
        <v>0</v>
      </c>
      <c r="V815" s="1655" t="s">
        <v>42</v>
      </c>
      <c r="W815" s="1655" t="s">
        <v>571</v>
      </c>
    </row>
    <row r="816" spans="1:23">
      <c r="A816" s="1655" t="s">
        <v>70</v>
      </c>
      <c r="B816" s="1655" t="s">
        <v>1872</v>
      </c>
      <c r="C816" s="1656">
        <v>0</v>
      </c>
      <c r="D816" s="1655" t="s">
        <v>42</v>
      </c>
      <c r="E816" s="1655" t="s">
        <v>571</v>
      </c>
      <c r="G816" s="1655" t="s">
        <v>70</v>
      </c>
      <c r="H816" s="1655" t="s">
        <v>1872</v>
      </c>
      <c r="I816" s="1656">
        <v>0</v>
      </c>
      <c r="J816" s="1655" t="s">
        <v>42</v>
      </c>
      <c r="K816" s="1655" t="s">
        <v>571</v>
      </c>
      <c r="M816" s="1655" t="s">
        <v>70</v>
      </c>
      <c r="N816" s="1655" t="s">
        <v>1872</v>
      </c>
      <c r="O816" s="1656">
        <v>0</v>
      </c>
      <c r="P816" s="1655" t="s">
        <v>42</v>
      </c>
      <c r="Q816" s="1655" t="s">
        <v>571</v>
      </c>
      <c r="S816" s="1655" t="s">
        <v>70</v>
      </c>
      <c r="T816" s="1655" t="s">
        <v>1872</v>
      </c>
      <c r="U816" s="1656">
        <v>0</v>
      </c>
      <c r="V816" s="1655" t="s">
        <v>42</v>
      </c>
      <c r="W816" s="1655" t="s">
        <v>571</v>
      </c>
    </row>
    <row r="817" spans="1:23">
      <c r="A817" s="1655" t="s">
        <v>70</v>
      </c>
      <c r="B817" s="1655" t="s">
        <v>1873</v>
      </c>
      <c r="C817" s="1656">
        <v>0</v>
      </c>
      <c r="D817" s="1655" t="s">
        <v>42</v>
      </c>
      <c r="E817" s="1655" t="s">
        <v>571</v>
      </c>
      <c r="G817" s="1655" t="s">
        <v>70</v>
      </c>
      <c r="H817" s="1655" t="s">
        <v>1873</v>
      </c>
      <c r="I817" s="1656">
        <v>0</v>
      </c>
      <c r="J817" s="1655" t="s">
        <v>42</v>
      </c>
      <c r="K817" s="1655" t="s">
        <v>571</v>
      </c>
      <c r="M817" s="1655" t="s">
        <v>70</v>
      </c>
      <c r="N817" s="1655" t="s">
        <v>1873</v>
      </c>
      <c r="O817" s="1656">
        <v>0</v>
      </c>
      <c r="P817" s="1655" t="s">
        <v>42</v>
      </c>
      <c r="Q817" s="1655" t="s">
        <v>571</v>
      </c>
      <c r="S817" s="1655" t="s">
        <v>70</v>
      </c>
      <c r="T817" s="1655" t="s">
        <v>1873</v>
      </c>
      <c r="U817" s="1656">
        <v>0</v>
      </c>
      <c r="V817" s="1655" t="s">
        <v>42</v>
      </c>
      <c r="W817" s="1655" t="s">
        <v>571</v>
      </c>
    </row>
    <row r="818" spans="1:23">
      <c r="A818" s="1655" t="s">
        <v>70</v>
      </c>
      <c r="B818" s="1655" t="s">
        <v>1874</v>
      </c>
      <c r="C818" s="1656">
        <v>0</v>
      </c>
      <c r="D818" s="1655" t="s">
        <v>42</v>
      </c>
      <c r="E818" s="1655" t="s">
        <v>571</v>
      </c>
      <c r="G818" s="1655" t="s">
        <v>70</v>
      </c>
      <c r="H818" s="1655" t="s">
        <v>1874</v>
      </c>
      <c r="I818" s="1656">
        <v>0</v>
      </c>
      <c r="J818" s="1655" t="s">
        <v>42</v>
      </c>
      <c r="K818" s="1655" t="s">
        <v>571</v>
      </c>
      <c r="M818" s="1655" t="s">
        <v>70</v>
      </c>
      <c r="N818" s="1655" t="s">
        <v>1874</v>
      </c>
      <c r="O818" s="1656">
        <v>0</v>
      </c>
      <c r="P818" s="1655" t="s">
        <v>42</v>
      </c>
      <c r="Q818" s="1655" t="s">
        <v>571</v>
      </c>
      <c r="S818" s="1655" t="s">
        <v>70</v>
      </c>
      <c r="T818" s="1655" t="s">
        <v>1874</v>
      </c>
      <c r="U818" s="1656">
        <v>0</v>
      </c>
      <c r="V818" s="1655" t="s">
        <v>42</v>
      </c>
      <c r="W818" s="1655" t="s">
        <v>571</v>
      </c>
    </row>
    <row r="819" spans="1:23">
      <c r="A819" s="1655" t="s">
        <v>70</v>
      </c>
      <c r="B819" s="1655" t="s">
        <v>1875</v>
      </c>
      <c r="C819" s="1656">
        <v>0</v>
      </c>
      <c r="D819" s="1655" t="s">
        <v>42</v>
      </c>
      <c r="E819" s="1655" t="s">
        <v>571</v>
      </c>
      <c r="G819" s="1655" t="s">
        <v>70</v>
      </c>
      <c r="H819" s="1655" t="s">
        <v>1875</v>
      </c>
      <c r="I819" s="1656">
        <v>0</v>
      </c>
      <c r="J819" s="1655" t="s">
        <v>42</v>
      </c>
      <c r="K819" s="1655" t="s">
        <v>571</v>
      </c>
      <c r="M819" s="1655" t="s">
        <v>70</v>
      </c>
      <c r="N819" s="1655" t="s">
        <v>1875</v>
      </c>
      <c r="O819" s="1656">
        <v>0</v>
      </c>
      <c r="P819" s="1655" t="s">
        <v>42</v>
      </c>
      <c r="Q819" s="1655" t="s">
        <v>571</v>
      </c>
      <c r="S819" s="1655" t="s">
        <v>70</v>
      </c>
      <c r="T819" s="1655" t="s">
        <v>1875</v>
      </c>
      <c r="U819" s="1656">
        <v>0</v>
      </c>
      <c r="V819" s="1655" t="s">
        <v>42</v>
      </c>
      <c r="W819" s="1655" t="s">
        <v>571</v>
      </c>
    </row>
    <row r="820" spans="1:23">
      <c r="A820" s="1655" t="s">
        <v>70</v>
      </c>
      <c r="B820" s="1655" t="s">
        <v>1876</v>
      </c>
      <c r="C820" s="1656">
        <v>0</v>
      </c>
      <c r="D820" s="1655" t="s">
        <v>42</v>
      </c>
      <c r="E820" s="1655" t="s">
        <v>571</v>
      </c>
      <c r="G820" s="1655" t="s">
        <v>70</v>
      </c>
      <c r="H820" s="1655" t="s">
        <v>1876</v>
      </c>
      <c r="I820" s="1656">
        <v>0</v>
      </c>
      <c r="J820" s="1655" t="s">
        <v>42</v>
      </c>
      <c r="K820" s="1655" t="s">
        <v>571</v>
      </c>
      <c r="M820" s="1655" t="s">
        <v>70</v>
      </c>
      <c r="N820" s="1655" t="s">
        <v>1876</v>
      </c>
      <c r="O820" s="1656">
        <v>0</v>
      </c>
      <c r="P820" s="1655" t="s">
        <v>42</v>
      </c>
      <c r="Q820" s="1655" t="s">
        <v>571</v>
      </c>
      <c r="S820" s="1655" t="s">
        <v>70</v>
      </c>
      <c r="T820" s="1655" t="s">
        <v>1876</v>
      </c>
      <c r="U820" s="1656">
        <v>0</v>
      </c>
      <c r="V820" s="1655" t="s">
        <v>42</v>
      </c>
      <c r="W820" s="1655" t="s">
        <v>571</v>
      </c>
    </row>
    <row r="821" spans="1:23">
      <c r="A821" s="1655" t="s">
        <v>70</v>
      </c>
      <c r="B821" s="1655" t="s">
        <v>1877</v>
      </c>
      <c r="C821" s="1656">
        <v>0</v>
      </c>
      <c r="D821" s="1655" t="s">
        <v>42</v>
      </c>
      <c r="E821" s="1655" t="s">
        <v>571</v>
      </c>
      <c r="G821" s="1655" t="s">
        <v>70</v>
      </c>
      <c r="H821" s="1655" t="s">
        <v>1877</v>
      </c>
      <c r="I821" s="1656">
        <v>0</v>
      </c>
      <c r="J821" s="1655" t="s">
        <v>42</v>
      </c>
      <c r="K821" s="1655" t="s">
        <v>571</v>
      </c>
      <c r="M821" s="1655" t="s">
        <v>70</v>
      </c>
      <c r="N821" s="1655" t="s">
        <v>1877</v>
      </c>
      <c r="O821" s="1656">
        <v>0</v>
      </c>
      <c r="P821" s="1655" t="s">
        <v>42</v>
      </c>
      <c r="Q821" s="1655" t="s">
        <v>571</v>
      </c>
      <c r="S821" s="1655" t="s">
        <v>70</v>
      </c>
      <c r="T821" s="1655" t="s">
        <v>1877</v>
      </c>
      <c r="U821" s="1656">
        <v>0</v>
      </c>
      <c r="V821" s="1655" t="s">
        <v>42</v>
      </c>
      <c r="W821" s="1655" t="s">
        <v>571</v>
      </c>
    </row>
    <row r="822" spans="1:23">
      <c r="A822" s="1655" t="s">
        <v>70</v>
      </c>
      <c r="B822" s="1655" t="s">
        <v>1878</v>
      </c>
      <c r="C822" s="1656">
        <v>0</v>
      </c>
      <c r="D822" s="1655" t="s">
        <v>42</v>
      </c>
      <c r="E822" s="1655" t="s">
        <v>571</v>
      </c>
      <c r="G822" s="1655" t="s">
        <v>70</v>
      </c>
      <c r="H822" s="1655" t="s">
        <v>1878</v>
      </c>
      <c r="I822" s="1656">
        <v>0</v>
      </c>
      <c r="J822" s="1655" t="s">
        <v>42</v>
      </c>
      <c r="K822" s="1655" t="s">
        <v>571</v>
      </c>
      <c r="M822" s="1655" t="s">
        <v>70</v>
      </c>
      <c r="N822" s="1655" t="s">
        <v>1878</v>
      </c>
      <c r="O822" s="1656">
        <v>0</v>
      </c>
      <c r="P822" s="1655" t="s">
        <v>42</v>
      </c>
      <c r="Q822" s="1655" t="s">
        <v>571</v>
      </c>
      <c r="S822" s="1655" t="s">
        <v>70</v>
      </c>
      <c r="T822" s="1655" t="s">
        <v>1878</v>
      </c>
      <c r="U822" s="1656">
        <v>0</v>
      </c>
      <c r="V822" s="1655" t="s">
        <v>42</v>
      </c>
      <c r="W822" s="1655" t="s">
        <v>571</v>
      </c>
    </row>
    <row r="823" spans="1:23">
      <c r="A823" s="1655" t="s">
        <v>70</v>
      </c>
      <c r="B823" s="1655" t="s">
        <v>1879</v>
      </c>
      <c r="C823" s="1656">
        <v>0</v>
      </c>
      <c r="D823" s="1655" t="s">
        <v>42</v>
      </c>
      <c r="E823" s="1655" t="s">
        <v>571</v>
      </c>
      <c r="G823" s="1655" t="s">
        <v>70</v>
      </c>
      <c r="H823" s="1655" t="s">
        <v>1879</v>
      </c>
      <c r="I823" s="1656">
        <v>0</v>
      </c>
      <c r="J823" s="1655" t="s">
        <v>42</v>
      </c>
      <c r="K823" s="1655" t="s">
        <v>571</v>
      </c>
      <c r="M823" s="1655" t="s">
        <v>70</v>
      </c>
      <c r="N823" s="1655" t="s">
        <v>1879</v>
      </c>
      <c r="O823" s="1656">
        <v>0</v>
      </c>
      <c r="P823" s="1655" t="s">
        <v>42</v>
      </c>
      <c r="Q823" s="1655" t="s">
        <v>571</v>
      </c>
      <c r="S823" s="1655" t="s">
        <v>70</v>
      </c>
      <c r="T823" s="1655" t="s">
        <v>1879</v>
      </c>
      <c r="U823" s="1656">
        <v>0</v>
      </c>
      <c r="V823" s="1655" t="s">
        <v>42</v>
      </c>
      <c r="W823" s="1655" t="s">
        <v>571</v>
      </c>
    </row>
    <row r="824" spans="1:23">
      <c r="A824" s="1655" t="s">
        <v>70</v>
      </c>
      <c r="B824" s="1655" t="s">
        <v>1880</v>
      </c>
      <c r="C824" s="1656">
        <v>0</v>
      </c>
      <c r="D824" s="1655" t="s">
        <v>42</v>
      </c>
      <c r="E824" s="1655" t="s">
        <v>571</v>
      </c>
      <c r="G824" s="1655" t="s">
        <v>70</v>
      </c>
      <c r="H824" s="1655" t="s">
        <v>1880</v>
      </c>
      <c r="I824" s="1656">
        <v>0</v>
      </c>
      <c r="J824" s="1655" t="s">
        <v>42</v>
      </c>
      <c r="K824" s="1655" t="s">
        <v>571</v>
      </c>
      <c r="M824" s="1655" t="s">
        <v>70</v>
      </c>
      <c r="N824" s="1655" t="s">
        <v>1880</v>
      </c>
      <c r="O824" s="1656">
        <v>0</v>
      </c>
      <c r="P824" s="1655" t="s">
        <v>42</v>
      </c>
      <c r="Q824" s="1655" t="s">
        <v>571</v>
      </c>
      <c r="S824" s="1655" t="s">
        <v>70</v>
      </c>
      <c r="T824" s="1655" t="s">
        <v>1880</v>
      </c>
      <c r="U824" s="1656">
        <v>0</v>
      </c>
      <c r="V824" s="1655" t="s">
        <v>42</v>
      </c>
      <c r="W824" s="1655" t="s">
        <v>571</v>
      </c>
    </row>
    <row r="825" spans="1:23">
      <c r="A825" s="1655" t="s">
        <v>70</v>
      </c>
      <c r="B825" s="1655" t="s">
        <v>1881</v>
      </c>
      <c r="C825" s="1656">
        <v>0</v>
      </c>
      <c r="D825" s="1655" t="s">
        <v>42</v>
      </c>
      <c r="E825" s="1655" t="s">
        <v>571</v>
      </c>
      <c r="G825" s="1655" t="s">
        <v>70</v>
      </c>
      <c r="H825" s="1655" t="s">
        <v>1881</v>
      </c>
      <c r="I825" s="1656">
        <v>0</v>
      </c>
      <c r="J825" s="1655" t="s">
        <v>42</v>
      </c>
      <c r="K825" s="1655" t="s">
        <v>571</v>
      </c>
      <c r="M825" s="1655" t="s">
        <v>70</v>
      </c>
      <c r="N825" s="1655" t="s">
        <v>1881</v>
      </c>
      <c r="O825" s="1656">
        <v>0</v>
      </c>
      <c r="P825" s="1655" t="s">
        <v>42</v>
      </c>
      <c r="Q825" s="1655" t="s">
        <v>571</v>
      </c>
      <c r="S825" s="1655" t="s">
        <v>70</v>
      </c>
      <c r="T825" s="1655" t="s">
        <v>1881</v>
      </c>
      <c r="U825" s="1656">
        <v>0</v>
      </c>
      <c r="V825" s="1655" t="s">
        <v>42</v>
      </c>
      <c r="W825" s="1655" t="s">
        <v>571</v>
      </c>
    </row>
    <row r="826" spans="1:23">
      <c r="A826" s="1655" t="s">
        <v>70</v>
      </c>
      <c r="B826" s="1655" t="s">
        <v>1882</v>
      </c>
      <c r="C826" s="1656">
        <v>0</v>
      </c>
      <c r="D826" s="1655" t="s">
        <v>42</v>
      </c>
      <c r="E826" s="1655" t="s">
        <v>571</v>
      </c>
      <c r="G826" s="1655" t="s">
        <v>70</v>
      </c>
      <c r="H826" s="1655" t="s">
        <v>1882</v>
      </c>
      <c r="I826" s="1656">
        <v>0</v>
      </c>
      <c r="J826" s="1655" t="s">
        <v>42</v>
      </c>
      <c r="K826" s="1655" t="s">
        <v>571</v>
      </c>
      <c r="M826" s="1655" t="s">
        <v>70</v>
      </c>
      <c r="N826" s="1655" t="s">
        <v>1882</v>
      </c>
      <c r="O826" s="1656">
        <v>0</v>
      </c>
      <c r="P826" s="1655" t="s">
        <v>42</v>
      </c>
      <c r="Q826" s="1655" t="s">
        <v>571</v>
      </c>
      <c r="S826" s="1655" t="s">
        <v>70</v>
      </c>
      <c r="T826" s="1655" t="s">
        <v>1882</v>
      </c>
      <c r="U826" s="1656">
        <v>0</v>
      </c>
      <c r="V826" s="1655" t="s">
        <v>42</v>
      </c>
      <c r="W826" s="1655" t="s">
        <v>571</v>
      </c>
    </row>
    <row r="827" spans="1:23">
      <c r="A827" s="1655" t="s">
        <v>70</v>
      </c>
      <c r="B827" s="1655" t="s">
        <v>1883</v>
      </c>
      <c r="C827" s="1656">
        <v>0</v>
      </c>
      <c r="D827" s="1655" t="s">
        <v>42</v>
      </c>
      <c r="E827" s="1655" t="s">
        <v>571</v>
      </c>
      <c r="G827" s="1655" t="s">
        <v>70</v>
      </c>
      <c r="H827" s="1655" t="s">
        <v>1883</v>
      </c>
      <c r="I827" s="1656">
        <v>0</v>
      </c>
      <c r="J827" s="1655" t="s">
        <v>42</v>
      </c>
      <c r="K827" s="1655" t="s">
        <v>571</v>
      </c>
      <c r="M827" s="1655" t="s">
        <v>70</v>
      </c>
      <c r="N827" s="1655" t="s">
        <v>1883</v>
      </c>
      <c r="O827" s="1656">
        <v>0</v>
      </c>
      <c r="P827" s="1655" t="s">
        <v>42</v>
      </c>
      <c r="Q827" s="1655" t="s">
        <v>571</v>
      </c>
      <c r="S827" s="1655" t="s">
        <v>70</v>
      </c>
      <c r="T827" s="1655" t="s">
        <v>1883</v>
      </c>
      <c r="U827" s="1656">
        <v>0</v>
      </c>
      <c r="V827" s="1655" t="s">
        <v>42</v>
      </c>
      <c r="W827" s="1655" t="s">
        <v>571</v>
      </c>
    </row>
    <row r="828" spans="1:23">
      <c r="A828" s="1655" t="s">
        <v>70</v>
      </c>
      <c r="B828" s="1655" t="s">
        <v>1884</v>
      </c>
      <c r="C828" s="1656">
        <v>0</v>
      </c>
      <c r="D828" s="1655" t="s">
        <v>42</v>
      </c>
      <c r="E828" s="1655" t="s">
        <v>571</v>
      </c>
      <c r="G828" s="1655" t="s">
        <v>70</v>
      </c>
      <c r="H828" s="1655" t="s">
        <v>1884</v>
      </c>
      <c r="I828" s="1656">
        <v>0</v>
      </c>
      <c r="J828" s="1655" t="s">
        <v>42</v>
      </c>
      <c r="K828" s="1655" t="s">
        <v>571</v>
      </c>
      <c r="M828" s="1655" t="s">
        <v>70</v>
      </c>
      <c r="N828" s="1655" t="s">
        <v>1884</v>
      </c>
      <c r="O828" s="1656">
        <v>0</v>
      </c>
      <c r="P828" s="1655" t="s">
        <v>42</v>
      </c>
      <c r="Q828" s="1655" t="s">
        <v>571</v>
      </c>
      <c r="S828" s="1655" t="s">
        <v>70</v>
      </c>
      <c r="T828" s="1655" t="s">
        <v>1884</v>
      </c>
      <c r="U828" s="1656">
        <v>0</v>
      </c>
      <c r="V828" s="1655" t="s">
        <v>42</v>
      </c>
      <c r="W828" s="1655" t="s">
        <v>571</v>
      </c>
    </row>
    <row r="829" spans="1:23">
      <c r="A829" s="1655" t="s">
        <v>70</v>
      </c>
      <c r="B829" s="1655" t="s">
        <v>1885</v>
      </c>
      <c r="C829" s="1656">
        <v>0</v>
      </c>
      <c r="D829" s="1655" t="s">
        <v>42</v>
      </c>
      <c r="E829" s="1655" t="s">
        <v>571</v>
      </c>
      <c r="G829" s="1655" t="s">
        <v>70</v>
      </c>
      <c r="H829" s="1655" t="s">
        <v>1885</v>
      </c>
      <c r="I829" s="1656">
        <v>0</v>
      </c>
      <c r="J829" s="1655" t="s">
        <v>42</v>
      </c>
      <c r="K829" s="1655" t="s">
        <v>571</v>
      </c>
      <c r="M829" s="1655" t="s">
        <v>70</v>
      </c>
      <c r="N829" s="1655" t="s">
        <v>1885</v>
      </c>
      <c r="O829" s="1656">
        <v>0</v>
      </c>
      <c r="P829" s="1655" t="s">
        <v>42</v>
      </c>
      <c r="Q829" s="1655" t="s">
        <v>571</v>
      </c>
      <c r="S829" s="1655" t="s">
        <v>70</v>
      </c>
      <c r="T829" s="1655" t="s">
        <v>1885</v>
      </c>
      <c r="U829" s="1656">
        <v>0</v>
      </c>
      <c r="V829" s="1655" t="s">
        <v>42</v>
      </c>
      <c r="W829" s="1655" t="s">
        <v>571</v>
      </c>
    </row>
    <row r="830" spans="1:23">
      <c r="A830" s="1655" t="s">
        <v>70</v>
      </c>
      <c r="B830" s="1655" t="s">
        <v>1886</v>
      </c>
      <c r="C830" s="1656">
        <v>0</v>
      </c>
      <c r="D830" s="1655" t="s">
        <v>42</v>
      </c>
      <c r="E830" s="1655" t="s">
        <v>571</v>
      </c>
      <c r="G830" s="1655" t="s">
        <v>70</v>
      </c>
      <c r="H830" s="1655" t="s">
        <v>1886</v>
      </c>
      <c r="I830" s="1656">
        <v>0</v>
      </c>
      <c r="J830" s="1655" t="s">
        <v>42</v>
      </c>
      <c r="K830" s="1655" t="s">
        <v>571</v>
      </c>
      <c r="M830" s="1655" t="s">
        <v>70</v>
      </c>
      <c r="N830" s="1655" t="s">
        <v>1886</v>
      </c>
      <c r="O830" s="1656">
        <v>0</v>
      </c>
      <c r="P830" s="1655" t="s">
        <v>42</v>
      </c>
      <c r="Q830" s="1655" t="s">
        <v>571</v>
      </c>
      <c r="S830" s="1655" t="s">
        <v>70</v>
      </c>
      <c r="T830" s="1655" t="s">
        <v>1886</v>
      </c>
      <c r="U830" s="1656">
        <v>0</v>
      </c>
      <c r="V830" s="1655" t="s">
        <v>42</v>
      </c>
      <c r="W830" s="1655" t="s">
        <v>571</v>
      </c>
    </row>
    <row r="831" spans="1:23">
      <c r="A831" s="1655" t="s">
        <v>70</v>
      </c>
      <c r="B831" s="1655" t="s">
        <v>1887</v>
      </c>
      <c r="C831" s="1656">
        <v>0</v>
      </c>
      <c r="D831" s="1655" t="s">
        <v>42</v>
      </c>
      <c r="E831" s="1655" t="s">
        <v>571</v>
      </c>
      <c r="G831" s="1655" t="s">
        <v>70</v>
      </c>
      <c r="H831" s="1655" t="s">
        <v>1887</v>
      </c>
      <c r="I831" s="1656">
        <v>0</v>
      </c>
      <c r="J831" s="1655" t="s">
        <v>42</v>
      </c>
      <c r="K831" s="1655" t="s">
        <v>571</v>
      </c>
      <c r="M831" s="1655" t="s">
        <v>70</v>
      </c>
      <c r="N831" s="1655" t="s">
        <v>1887</v>
      </c>
      <c r="O831" s="1656">
        <v>0</v>
      </c>
      <c r="P831" s="1655" t="s">
        <v>42</v>
      </c>
      <c r="Q831" s="1655" t="s">
        <v>571</v>
      </c>
      <c r="S831" s="1655" t="s">
        <v>70</v>
      </c>
      <c r="T831" s="1655" t="s">
        <v>1887</v>
      </c>
      <c r="U831" s="1656">
        <v>0</v>
      </c>
      <c r="V831" s="1655" t="s">
        <v>42</v>
      </c>
      <c r="W831" s="1655" t="s">
        <v>571</v>
      </c>
    </row>
    <row r="832" spans="1:23">
      <c r="A832" s="1655" t="s">
        <v>70</v>
      </c>
      <c r="B832" s="1655" t="s">
        <v>1888</v>
      </c>
      <c r="C832" s="1656">
        <v>0</v>
      </c>
      <c r="D832" s="1655" t="s">
        <v>42</v>
      </c>
      <c r="E832" s="1655" t="s">
        <v>571</v>
      </c>
      <c r="G832" s="1655" t="s">
        <v>70</v>
      </c>
      <c r="H832" s="1655" t="s">
        <v>1888</v>
      </c>
      <c r="I832" s="1656">
        <v>0</v>
      </c>
      <c r="J832" s="1655" t="s">
        <v>42</v>
      </c>
      <c r="K832" s="1655" t="s">
        <v>571</v>
      </c>
      <c r="M832" s="1655" t="s">
        <v>70</v>
      </c>
      <c r="N832" s="1655" t="s">
        <v>1888</v>
      </c>
      <c r="O832" s="1656">
        <v>0</v>
      </c>
      <c r="P832" s="1655" t="s">
        <v>42</v>
      </c>
      <c r="Q832" s="1655" t="s">
        <v>571</v>
      </c>
      <c r="S832" s="1655" t="s">
        <v>70</v>
      </c>
      <c r="T832" s="1655" t="s">
        <v>1888</v>
      </c>
      <c r="U832" s="1656">
        <v>0</v>
      </c>
      <c r="V832" s="1655" t="s">
        <v>42</v>
      </c>
      <c r="W832" s="1655" t="s">
        <v>571</v>
      </c>
    </row>
    <row r="833" spans="1:23">
      <c r="A833" s="1655" t="s">
        <v>70</v>
      </c>
      <c r="B833" s="1655" t="s">
        <v>1889</v>
      </c>
      <c r="C833" s="1656">
        <v>0</v>
      </c>
      <c r="D833" s="1655" t="s">
        <v>42</v>
      </c>
      <c r="E833" s="1655" t="s">
        <v>571</v>
      </c>
      <c r="G833" s="1655" t="s">
        <v>70</v>
      </c>
      <c r="H833" s="1655" t="s">
        <v>1889</v>
      </c>
      <c r="I833" s="1656">
        <v>0</v>
      </c>
      <c r="J833" s="1655" t="s">
        <v>42</v>
      </c>
      <c r="K833" s="1655" t="s">
        <v>571</v>
      </c>
      <c r="M833" s="1655" t="s">
        <v>70</v>
      </c>
      <c r="N833" s="1655" t="s">
        <v>1889</v>
      </c>
      <c r="O833" s="1656">
        <v>0</v>
      </c>
      <c r="P833" s="1655" t="s">
        <v>42</v>
      </c>
      <c r="Q833" s="1655" t="s">
        <v>571</v>
      </c>
      <c r="S833" s="1655" t="s">
        <v>70</v>
      </c>
      <c r="T833" s="1655" t="s">
        <v>1889</v>
      </c>
      <c r="U833" s="1656">
        <v>0</v>
      </c>
      <c r="V833" s="1655" t="s">
        <v>42</v>
      </c>
      <c r="W833" s="1655" t="s">
        <v>571</v>
      </c>
    </row>
    <row r="834" spans="1:23">
      <c r="A834" s="1655" t="s">
        <v>70</v>
      </c>
      <c r="B834" s="1655" t="s">
        <v>1890</v>
      </c>
      <c r="C834" s="1656">
        <v>0</v>
      </c>
      <c r="D834" s="1655" t="s">
        <v>42</v>
      </c>
      <c r="E834" s="1655" t="s">
        <v>571</v>
      </c>
      <c r="G834" s="1655" t="s">
        <v>70</v>
      </c>
      <c r="H834" s="1655" t="s">
        <v>1890</v>
      </c>
      <c r="I834" s="1656">
        <v>0</v>
      </c>
      <c r="J834" s="1655" t="s">
        <v>42</v>
      </c>
      <c r="K834" s="1655" t="s">
        <v>571</v>
      </c>
      <c r="M834" s="1655" t="s">
        <v>70</v>
      </c>
      <c r="N834" s="1655" t="s">
        <v>1890</v>
      </c>
      <c r="O834" s="1656">
        <v>0</v>
      </c>
      <c r="P834" s="1655" t="s">
        <v>42</v>
      </c>
      <c r="Q834" s="1655" t="s">
        <v>571</v>
      </c>
      <c r="S834" s="1655" t="s">
        <v>70</v>
      </c>
      <c r="T834" s="1655" t="s">
        <v>1890</v>
      </c>
      <c r="U834" s="1656">
        <v>0</v>
      </c>
      <c r="V834" s="1655" t="s">
        <v>42</v>
      </c>
      <c r="W834" s="1655" t="s">
        <v>571</v>
      </c>
    </row>
    <row r="835" spans="1:23">
      <c r="A835" s="1655" t="s">
        <v>70</v>
      </c>
      <c r="B835" s="1655" t="s">
        <v>1891</v>
      </c>
      <c r="C835" s="1656">
        <v>0</v>
      </c>
      <c r="D835" s="1655" t="s">
        <v>42</v>
      </c>
      <c r="E835" s="1655" t="s">
        <v>571</v>
      </c>
      <c r="G835" s="1655" t="s">
        <v>70</v>
      </c>
      <c r="H835" s="1655" t="s">
        <v>1891</v>
      </c>
      <c r="I835" s="1656">
        <v>0</v>
      </c>
      <c r="J835" s="1655" t="s">
        <v>42</v>
      </c>
      <c r="K835" s="1655" t="s">
        <v>571</v>
      </c>
      <c r="M835" s="1655" t="s">
        <v>70</v>
      </c>
      <c r="N835" s="1655" t="s">
        <v>1891</v>
      </c>
      <c r="O835" s="1656">
        <v>0</v>
      </c>
      <c r="P835" s="1655" t="s">
        <v>42</v>
      </c>
      <c r="Q835" s="1655" t="s">
        <v>571</v>
      </c>
      <c r="S835" s="1655" t="s">
        <v>70</v>
      </c>
      <c r="T835" s="1655" t="s">
        <v>1891</v>
      </c>
      <c r="U835" s="1656">
        <v>0</v>
      </c>
      <c r="V835" s="1655" t="s">
        <v>42</v>
      </c>
      <c r="W835" s="1655" t="s">
        <v>571</v>
      </c>
    </row>
    <row r="836" spans="1:23">
      <c r="A836" s="1655" t="s">
        <v>70</v>
      </c>
      <c r="B836" s="1655" t="s">
        <v>1892</v>
      </c>
      <c r="C836" s="1656">
        <v>0</v>
      </c>
      <c r="D836" s="1655" t="s">
        <v>42</v>
      </c>
      <c r="E836" s="1655" t="s">
        <v>571</v>
      </c>
      <c r="G836" s="1655" t="s">
        <v>70</v>
      </c>
      <c r="H836" s="1655" t="s">
        <v>1892</v>
      </c>
      <c r="I836" s="1656">
        <v>0</v>
      </c>
      <c r="J836" s="1655" t="s">
        <v>42</v>
      </c>
      <c r="K836" s="1655" t="s">
        <v>571</v>
      </c>
      <c r="M836" s="1655" t="s">
        <v>70</v>
      </c>
      <c r="N836" s="1655" t="s">
        <v>1892</v>
      </c>
      <c r="O836" s="1656">
        <v>0</v>
      </c>
      <c r="P836" s="1655" t="s">
        <v>42</v>
      </c>
      <c r="Q836" s="1655" t="s">
        <v>571</v>
      </c>
      <c r="S836" s="1655" t="s">
        <v>70</v>
      </c>
      <c r="T836" s="1655" t="s">
        <v>1892</v>
      </c>
      <c r="U836" s="1656">
        <v>0</v>
      </c>
      <c r="V836" s="1655" t="s">
        <v>42</v>
      </c>
      <c r="W836" s="1655" t="s">
        <v>571</v>
      </c>
    </row>
    <row r="837" spans="1:23">
      <c r="A837" s="1655" t="s">
        <v>70</v>
      </c>
      <c r="B837" s="1655" t="s">
        <v>1893</v>
      </c>
      <c r="C837" s="1656">
        <v>0</v>
      </c>
      <c r="D837" s="1655" t="s">
        <v>42</v>
      </c>
      <c r="E837" s="1655" t="s">
        <v>571</v>
      </c>
      <c r="G837" s="1655" t="s">
        <v>70</v>
      </c>
      <c r="H837" s="1655" t="s">
        <v>1893</v>
      </c>
      <c r="I837" s="1656">
        <v>0</v>
      </c>
      <c r="J837" s="1655" t="s">
        <v>42</v>
      </c>
      <c r="K837" s="1655" t="s">
        <v>571</v>
      </c>
      <c r="M837" s="1655" t="s">
        <v>70</v>
      </c>
      <c r="N837" s="1655" t="s">
        <v>1893</v>
      </c>
      <c r="O837" s="1656">
        <v>0</v>
      </c>
      <c r="P837" s="1655" t="s">
        <v>42</v>
      </c>
      <c r="Q837" s="1655" t="s">
        <v>571</v>
      </c>
      <c r="S837" s="1655" t="s">
        <v>70</v>
      </c>
      <c r="T837" s="1655" t="s">
        <v>1893</v>
      </c>
      <c r="U837" s="1656">
        <v>0</v>
      </c>
      <c r="V837" s="1655" t="s">
        <v>42</v>
      </c>
      <c r="W837" s="1655" t="s">
        <v>571</v>
      </c>
    </row>
    <row r="838" spans="1:23">
      <c r="A838" s="1655" t="s">
        <v>70</v>
      </c>
      <c r="B838" s="1655" t="s">
        <v>1894</v>
      </c>
      <c r="C838" s="1656">
        <v>0</v>
      </c>
      <c r="D838" s="1655" t="s">
        <v>42</v>
      </c>
      <c r="E838" s="1655" t="s">
        <v>571</v>
      </c>
      <c r="G838" s="1655" t="s">
        <v>70</v>
      </c>
      <c r="H838" s="1655" t="s">
        <v>1894</v>
      </c>
      <c r="I838" s="1655">
        <v>0</v>
      </c>
      <c r="J838" s="1655" t="s">
        <v>42</v>
      </c>
      <c r="K838" s="1655" t="s">
        <v>571</v>
      </c>
      <c r="M838" s="1655" t="s">
        <v>70</v>
      </c>
      <c r="N838" s="1655" t="s">
        <v>1894</v>
      </c>
      <c r="O838" s="1655">
        <v>0</v>
      </c>
      <c r="P838" s="1655" t="s">
        <v>42</v>
      </c>
      <c r="Q838" s="1655" t="s">
        <v>571</v>
      </c>
      <c r="S838" s="1655" t="s">
        <v>70</v>
      </c>
      <c r="T838" s="1655" t="s">
        <v>1894</v>
      </c>
      <c r="U838" s="1656">
        <v>0</v>
      </c>
      <c r="V838" s="1655" t="s">
        <v>42</v>
      </c>
      <c r="W838" s="1655" t="s">
        <v>571</v>
      </c>
    </row>
    <row r="839" spans="1:23">
      <c r="A839" s="1655" t="s">
        <v>70</v>
      </c>
      <c r="B839" s="1655" t="s">
        <v>1895</v>
      </c>
      <c r="C839" s="1656">
        <v>0</v>
      </c>
      <c r="D839" s="1655" t="s">
        <v>42</v>
      </c>
      <c r="E839" s="1655" t="s">
        <v>571</v>
      </c>
      <c r="G839" s="1655" t="s">
        <v>70</v>
      </c>
      <c r="H839" s="1655" t="s">
        <v>1895</v>
      </c>
      <c r="I839" s="1655">
        <v>0</v>
      </c>
      <c r="J839" s="1655" t="s">
        <v>42</v>
      </c>
      <c r="K839" s="1655" t="s">
        <v>571</v>
      </c>
      <c r="M839" s="1655" t="s">
        <v>70</v>
      </c>
      <c r="N839" s="1655" t="s">
        <v>1895</v>
      </c>
      <c r="O839" s="1655">
        <v>0</v>
      </c>
      <c r="P839" s="1655" t="s">
        <v>42</v>
      </c>
      <c r="Q839" s="1655" t="s">
        <v>571</v>
      </c>
      <c r="S839" s="1655" t="s">
        <v>70</v>
      </c>
      <c r="T839" s="1655" t="s">
        <v>1895</v>
      </c>
      <c r="U839" s="1656">
        <v>0</v>
      </c>
      <c r="V839" s="1655" t="s">
        <v>42</v>
      </c>
      <c r="W839" s="1655" t="s">
        <v>571</v>
      </c>
    </row>
    <row r="840" spans="1:23">
      <c r="A840" s="1655" t="s">
        <v>70</v>
      </c>
      <c r="B840" s="1655" t="s">
        <v>1896</v>
      </c>
      <c r="C840" s="1656">
        <v>0</v>
      </c>
      <c r="D840" s="1655" t="s">
        <v>42</v>
      </c>
      <c r="E840" s="1655" t="s">
        <v>571</v>
      </c>
      <c r="G840" s="1655" t="s">
        <v>70</v>
      </c>
      <c r="H840" s="1655" t="s">
        <v>1896</v>
      </c>
      <c r="I840" s="1655">
        <v>0</v>
      </c>
      <c r="J840" s="1655" t="s">
        <v>42</v>
      </c>
      <c r="K840" s="1655" t="s">
        <v>571</v>
      </c>
      <c r="M840" s="1655" t="s">
        <v>70</v>
      </c>
      <c r="N840" s="1655" t="s">
        <v>1896</v>
      </c>
      <c r="O840" s="1655">
        <v>0</v>
      </c>
      <c r="P840" s="1655" t="s">
        <v>42</v>
      </c>
      <c r="Q840" s="1655" t="s">
        <v>571</v>
      </c>
      <c r="S840" s="1655" t="s">
        <v>70</v>
      </c>
      <c r="T840" s="1655" t="s">
        <v>1896</v>
      </c>
      <c r="U840" s="1656">
        <v>0</v>
      </c>
      <c r="V840" s="1655" t="s">
        <v>42</v>
      </c>
      <c r="W840" s="1655" t="s">
        <v>571</v>
      </c>
    </row>
    <row r="841" spans="1:23">
      <c r="A841" s="1655" t="s">
        <v>70</v>
      </c>
      <c r="B841" s="1655" t="s">
        <v>1897</v>
      </c>
      <c r="C841" s="1656">
        <v>0</v>
      </c>
      <c r="D841" s="1655" t="s">
        <v>42</v>
      </c>
      <c r="E841" s="1655" t="s">
        <v>571</v>
      </c>
      <c r="G841" s="1655" t="s">
        <v>70</v>
      </c>
      <c r="H841" s="1655" t="s">
        <v>1897</v>
      </c>
      <c r="I841" s="1655">
        <v>0</v>
      </c>
      <c r="J841" s="1655" t="s">
        <v>42</v>
      </c>
      <c r="K841" s="1655" t="s">
        <v>571</v>
      </c>
      <c r="M841" s="1655" t="s">
        <v>70</v>
      </c>
      <c r="N841" s="1655" t="s">
        <v>1897</v>
      </c>
      <c r="O841" s="1655">
        <v>0</v>
      </c>
      <c r="P841" s="1655" t="s">
        <v>42</v>
      </c>
      <c r="Q841" s="1655" t="s">
        <v>571</v>
      </c>
      <c r="S841" s="1655" t="s">
        <v>70</v>
      </c>
      <c r="T841" s="1655" t="s">
        <v>1897</v>
      </c>
      <c r="U841" s="1656">
        <v>0</v>
      </c>
      <c r="V841" s="1655" t="s">
        <v>42</v>
      </c>
      <c r="W841" s="1655" t="s">
        <v>571</v>
      </c>
    </row>
    <row r="842" spans="1:23">
      <c r="A842" s="1655" t="s">
        <v>70</v>
      </c>
      <c r="B842" s="1655" t="s">
        <v>1898</v>
      </c>
      <c r="C842" s="1656">
        <v>0</v>
      </c>
      <c r="D842" s="1655" t="s">
        <v>42</v>
      </c>
      <c r="E842" s="1655" t="s">
        <v>571</v>
      </c>
      <c r="G842" s="1655" t="s">
        <v>70</v>
      </c>
      <c r="H842" s="1655" t="s">
        <v>1898</v>
      </c>
      <c r="I842" s="1655">
        <v>0</v>
      </c>
      <c r="J842" s="1655" t="s">
        <v>42</v>
      </c>
      <c r="K842" s="1655" t="s">
        <v>571</v>
      </c>
      <c r="M842" s="1655" t="s">
        <v>70</v>
      </c>
      <c r="N842" s="1655" t="s">
        <v>1898</v>
      </c>
      <c r="O842" s="1655">
        <v>0</v>
      </c>
      <c r="P842" s="1655" t="s">
        <v>42</v>
      </c>
      <c r="Q842" s="1655" t="s">
        <v>571</v>
      </c>
      <c r="S842" s="1655" t="s">
        <v>70</v>
      </c>
      <c r="T842" s="1655" t="s">
        <v>1898</v>
      </c>
      <c r="U842" s="1656">
        <v>0</v>
      </c>
      <c r="V842" s="1655" t="s">
        <v>42</v>
      </c>
      <c r="W842" s="1655" t="s">
        <v>571</v>
      </c>
    </row>
    <row r="843" spans="1:23">
      <c r="A843" s="1655" t="s">
        <v>70</v>
      </c>
      <c r="B843" s="1655" t="s">
        <v>1899</v>
      </c>
      <c r="C843" s="1656">
        <v>0</v>
      </c>
      <c r="D843" s="1655" t="s">
        <v>42</v>
      </c>
      <c r="E843" s="1655" t="s">
        <v>571</v>
      </c>
      <c r="G843" s="1655" t="s">
        <v>70</v>
      </c>
      <c r="H843" s="1655" t="s">
        <v>1899</v>
      </c>
      <c r="I843" s="1655">
        <v>0</v>
      </c>
      <c r="J843" s="1655" t="s">
        <v>42</v>
      </c>
      <c r="K843" s="1655" t="s">
        <v>571</v>
      </c>
      <c r="M843" s="1655" t="s">
        <v>70</v>
      </c>
      <c r="N843" s="1655" t="s">
        <v>1899</v>
      </c>
      <c r="O843" s="1655">
        <v>0</v>
      </c>
      <c r="P843" s="1655" t="s">
        <v>42</v>
      </c>
      <c r="Q843" s="1655" t="s">
        <v>571</v>
      </c>
      <c r="S843" s="1655" t="s">
        <v>70</v>
      </c>
      <c r="T843" s="1655" t="s">
        <v>1899</v>
      </c>
      <c r="U843" s="1656">
        <v>0</v>
      </c>
      <c r="V843" s="1655" t="s">
        <v>42</v>
      </c>
      <c r="W843" s="1655" t="s">
        <v>571</v>
      </c>
    </row>
    <row r="844" spans="1:23">
      <c r="A844" s="1655" t="s">
        <v>70</v>
      </c>
      <c r="B844" s="1655" t="s">
        <v>1900</v>
      </c>
      <c r="C844" s="1656">
        <v>0</v>
      </c>
      <c r="D844" s="1655" t="s">
        <v>42</v>
      </c>
      <c r="E844" s="1655" t="s">
        <v>571</v>
      </c>
      <c r="G844" s="1655" t="s">
        <v>70</v>
      </c>
      <c r="H844" s="1655" t="s">
        <v>1900</v>
      </c>
      <c r="I844" s="1655">
        <v>0</v>
      </c>
      <c r="J844" s="1655" t="s">
        <v>42</v>
      </c>
      <c r="K844" s="1655" t="s">
        <v>571</v>
      </c>
      <c r="M844" s="1655" t="s">
        <v>70</v>
      </c>
      <c r="N844" s="1655" t="s">
        <v>1900</v>
      </c>
      <c r="O844" s="1655">
        <v>0</v>
      </c>
      <c r="P844" s="1655" t="s">
        <v>42</v>
      </c>
      <c r="Q844" s="1655" t="s">
        <v>571</v>
      </c>
      <c r="S844" s="1655" t="s">
        <v>70</v>
      </c>
      <c r="T844" s="1655" t="s">
        <v>1900</v>
      </c>
      <c r="U844" s="1656">
        <v>0</v>
      </c>
      <c r="V844" s="1655" t="s">
        <v>42</v>
      </c>
      <c r="W844" s="1655" t="s">
        <v>571</v>
      </c>
    </row>
    <row r="845" spans="1:23">
      <c r="A845" s="1655" t="s">
        <v>70</v>
      </c>
      <c r="B845" s="1655" t="s">
        <v>1901</v>
      </c>
      <c r="C845" s="1656">
        <v>0</v>
      </c>
      <c r="D845" s="1655" t="s">
        <v>42</v>
      </c>
      <c r="E845" s="1655" t="s">
        <v>571</v>
      </c>
      <c r="G845" s="1655" t="s">
        <v>70</v>
      </c>
      <c r="H845" s="1655" t="s">
        <v>1901</v>
      </c>
      <c r="I845" s="1655">
        <v>0</v>
      </c>
      <c r="J845" s="1655" t="s">
        <v>42</v>
      </c>
      <c r="K845" s="1655" t="s">
        <v>571</v>
      </c>
      <c r="M845" s="1655" t="s">
        <v>70</v>
      </c>
      <c r="N845" s="1655" t="s">
        <v>1901</v>
      </c>
      <c r="O845" s="1655">
        <v>0</v>
      </c>
      <c r="P845" s="1655" t="s">
        <v>42</v>
      </c>
      <c r="Q845" s="1655" t="s">
        <v>571</v>
      </c>
      <c r="S845" s="1655" t="s">
        <v>70</v>
      </c>
      <c r="T845" s="1655" t="s">
        <v>1901</v>
      </c>
      <c r="U845" s="1656">
        <v>0</v>
      </c>
      <c r="V845" s="1655" t="s">
        <v>42</v>
      </c>
      <c r="W845" s="1655" t="s">
        <v>571</v>
      </c>
    </row>
    <row r="846" spans="1:23">
      <c r="A846" s="1655" t="s">
        <v>70</v>
      </c>
      <c r="B846" s="1655" t="s">
        <v>1902</v>
      </c>
      <c r="C846" s="1656">
        <v>0</v>
      </c>
      <c r="D846" s="1655" t="s">
        <v>42</v>
      </c>
      <c r="E846" s="1655" t="s">
        <v>571</v>
      </c>
      <c r="G846" s="1655" t="s">
        <v>70</v>
      </c>
      <c r="H846" s="1655" t="s">
        <v>1902</v>
      </c>
      <c r="I846" s="1655">
        <v>0</v>
      </c>
      <c r="J846" s="1655" t="s">
        <v>42</v>
      </c>
      <c r="K846" s="1655" t="s">
        <v>571</v>
      </c>
      <c r="M846" s="1655" t="s">
        <v>70</v>
      </c>
      <c r="N846" s="1655" t="s">
        <v>1902</v>
      </c>
      <c r="O846" s="1655">
        <v>0</v>
      </c>
      <c r="P846" s="1655" t="s">
        <v>42</v>
      </c>
      <c r="Q846" s="1655" t="s">
        <v>571</v>
      </c>
      <c r="S846" s="1655" t="s">
        <v>70</v>
      </c>
      <c r="T846" s="1655" t="s">
        <v>1902</v>
      </c>
      <c r="U846" s="1656">
        <v>0</v>
      </c>
      <c r="V846" s="1655" t="s">
        <v>42</v>
      </c>
      <c r="W846" s="1655" t="s">
        <v>571</v>
      </c>
    </row>
    <row r="847" spans="1:23">
      <c r="A847" s="1655" t="s">
        <v>70</v>
      </c>
      <c r="B847" s="1655" t="s">
        <v>976</v>
      </c>
      <c r="C847" s="1655" t="s">
        <v>570</v>
      </c>
      <c r="D847" s="1655" t="s">
        <v>43</v>
      </c>
      <c r="E847" s="1655" t="s">
        <v>569</v>
      </c>
      <c r="G847" s="1655" t="s">
        <v>70</v>
      </c>
      <c r="H847" s="1655" t="s">
        <v>976</v>
      </c>
      <c r="I847" s="1655" t="s">
        <v>570</v>
      </c>
      <c r="J847" s="1655" t="s">
        <v>43</v>
      </c>
      <c r="K847" s="1655" t="s">
        <v>569</v>
      </c>
      <c r="M847" s="1655" t="s">
        <v>70</v>
      </c>
      <c r="N847" s="1655" t="s">
        <v>976</v>
      </c>
      <c r="O847" s="1655" t="s">
        <v>570</v>
      </c>
      <c r="P847" s="1655" t="s">
        <v>43</v>
      </c>
      <c r="Q847" s="1655" t="s">
        <v>569</v>
      </c>
      <c r="S847" s="1655" t="s">
        <v>70</v>
      </c>
      <c r="T847" s="1655" t="s">
        <v>976</v>
      </c>
      <c r="U847" s="1655" t="s">
        <v>570</v>
      </c>
      <c r="V847" s="1655" t="s">
        <v>43</v>
      </c>
      <c r="W847" s="1655" t="s">
        <v>569</v>
      </c>
    </row>
    <row r="848" spans="1:23">
      <c r="A848" s="1655" t="s">
        <v>70</v>
      </c>
      <c r="B848" s="1655" t="s">
        <v>977</v>
      </c>
      <c r="C848" s="1655" t="s">
        <v>570</v>
      </c>
      <c r="D848" s="1655" t="s">
        <v>43</v>
      </c>
      <c r="E848" s="1655" t="s">
        <v>569</v>
      </c>
      <c r="G848" s="1655" t="s">
        <v>70</v>
      </c>
      <c r="H848" s="1655" t="s">
        <v>977</v>
      </c>
      <c r="I848" s="1655" t="s">
        <v>570</v>
      </c>
      <c r="J848" s="1655" t="s">
        <v>43</v>
      </c>
      <c r="K848" s="1655" t="s">
        <v>569</v>
      </c>
      <c r="M848" s="1655" t="s">
        <v>70</v>
      </c>
      <c r="N848" s="1655" t="s">
        <v>977</v>
      </c>
      <c r="O848" s="1655" t="s">
        <v>570</v>
      </c>
      <c r="P848" s="1655" t="s">
        <v>43</v>
      </c>
      <c r="Q848" s="1655" t="s">
        <v>569</v>
      </c>
      <c r="S848" s="1655" t="s">
        <v>70</v>
      </c>
      <c r="T848" s="1655" t="s">
        <v>977</v>
      </c>
      <c r="U848" s="1655" t="s">
        <v>570</v>
      </c>
      <c r="V848" s="1655" t="s">
        <v>43</v>
      </c>
      <c r="W848" s="1655" t="s">
        <v>569</v>
      </c>
    </row>
    <row r="849" spans="1:23">
      <c r="A849" s="1655" t="s">
        <v>70</v>
      </c>
      <c r="B849" s="1655" t="s">
        <v>624</v>
      </c>
      <c r="C849" s="1655" t="s">
        <v>570</v>
      </c>
      <c r="D849" s="1655" t="s">
        <v>43</v>
      </c>
      <c r="E849" s="1655" t="s">
        <v>569</v>
      </c>
      <c r="G849" s="1655" t="s">
        <v>70</v>
      </c>
      <c r="H849" s="1655" t="s">
        <v>624</v>
      </c>
      <c r="I849" s="1655" t="s">
        <v>570</v>
      </c>
      <c r="J849" s="1655" t="s">
        <v>43</v>
      </c>
      <c r="K849" s="1655" t="s">
        <v>569</v>
      </c>
      <c r="M849" s="1655" t="s">
        <v>70</v>
      </c>
      <c r="N849" s="1655" t="s">
        <v>624</v>
      </c>
      <c r="O849" s="1655" t="s">
        <v>570</v>
      </c>
      <c r="P849" s="1655" t="s">
        <v>43</v>
      </c>
      <c r="Q849" s="1655" t="s">
        <v>569</v>
      </c>
      <c r="S849" s="1655" t="s">
        <v>70</v>
      </c>
      <c r="T849" s="1655" t="s">
        <v>624</v>
      </c>
      <c r="U849" s="1655" t="s">
        <v>570</v>
      </c>
      <c r="V849" s="1655" t="s">
        <v>43</v>
      </c>
      <c r="W849" s="1655" t="s">
        <v>569</v>
      </c>
    </row>
    <row r="850" spans="1:23">
      <c r="A850" s="1655" t="s">
        <v>70</v>
      </c>
      <c r="B850" s="1655" t="s">
        <v>978</v>
      </c>
      <c r="C850" s="1655" t="s">
        <v>570</v>
      </c>
      <c r="D850" s="1655" t="s">
        <v>43</v>
      </c>
      <c r="E850" s="1655" t="s">
        <v>569</v>
      </c>
      <c r="G850" s="1655" t="s">
        <v>70</v>
      </c>
      <c r="H850" s="1655" t="s">
        <v>978</v>
      </c>
      <c r="I850" s="1655" t="s">
        <v>570</v>
      </c>
      <c r="J850" s="1655" t="s">
        <v>43</v>
      </c>
      <c r="K850" s="1655" t="s">
        <v>569</v>
      </c>
      <c r="M850" s="1655" t="s">
        <v>70</v>
      </c>
      <c r="N850" s="1655" t="s">
        <v>978</v>
      </c>
      <c r="O850" s="1655" t="s">
        <v>570</v>
      </c>
      <c r="P850" s="1655" t="s">
        <v>43</v>
      </c>
      <c r="Q850" s="1655" t="s">
        <v>569</v>
      </c>
      <c r="S850" s="1655" t="s">
        <v>70</v>
      </c>
      <c r="T850" s="1655" t="s">
        <v>978</v>
      </c>
      <c r="U850" s="1655" t="s">
        <v>570</v>
      </c>
      <c r="V850" s="1655" t="s">
        <v>43</v>
      </c>
      <c r="W850" s="1655" t="s">
        <v>569</v>
      </c>
    </row>
    <row r="851" spans="1:23">
      <c r="A851" s="1655" t="s">
        <v>70</v>
      </c>
      <c r="B851" s="1655" t="s">
        <v>979</v>
      </c>
      <c r="C851" s="1655" t="s">
        <v>0</v>
      </c>
      <c r="D851" s="1655" t="s">
        <v>42</v>
      </c>
      <c r="E851" s="1655" t="s">
        <v>569</v>
      </c>
      <c r="G851" s="1655" t="s">
        <v>70</v>
      </c>
      <c r="H851" s="1655" t="s">
        <v>979</v>
      </c>
      <c r="I851" s="1655" t="s">
        <v>0</v>
      </c>
      <c r="J851" s="1655" t="s">
        <v>42</v>
      </c>
      <c r="K851" s="1655" t="s">
        <v>569</v>
      </c>
      <c r="M851" s="1655" t="s">
        <v>70</v>
      </c>
      <c r="N851" s="1655" t="s">
        <v>979</v>
      </c>
      <c r="O851" s="1655" t="s">
        <v>0</v>
      </c>
      <c r="P851" s="1655" t="s">
        <v>42</v>
      </c>
      <c r="Q851" s="1655" t="s">
        <v>569</v>
      </c>
      <c r="S851" s="1655" t="s">
        <v>70</v>
      </c>
      <c r="T851" s="1655" t="s">
        <v>979</v>
      </c>
      <c r="U851" s="1655" t="s">
        <v>0</v>
      </c>
      <c r="V851" s="1655" t="s">
        <v>42</v>
      </c>
      <c r="W851" s="1655" t="s">
        <v>569</v>
      </c>
    </row>
    <row r="852" spans="1:23">
      <c r="A852" s="1655" t="s">
        <v>70</v>
      </c>
      <c r="B852" s="1655" t="s">
        <v>980</v>
      </c>
      <c r="C852" s="1655" t="s">
        <v>570</v>
      </c>
      <c r="D852" s="1655" t="s">
        <v>43</v>
      </c>
      <c r="E852" s="1655" t="s">
        <v>569</v>
      </c>
      <c r="G852" s="1655" t="s">
        <v>70</v>
      </c>
      <c r="H852" s="1655" t="s">
        <v>980</v>
      </c>
      <c r="I852" s="1655" t="s">
        <v>570</v>
      </c>
      <c r="J852" s="1655" t="s">
        <v>43</v>
      </c>
      <c r="K852" s="1655" t="s">
        <v>569</v>
      </c>
      <c r="M852" s="1655" t="s">
        <v>70</v>
      </c>
      <c r="N852" s="1655" t="s">
        <v>980</v>
      </c>
      <c r="O852" s="1655" t="s">
        <v>570</v>
      </c>
      <c r="P852" s="1655" t="s">
        <v>43</v>
      </c>
      <c r="Q852" s="1655" t="s">
        <v>569</v>
      </c>
      <c r="S852" s="1655" t="s">
        <v>70</v>
      </c>
      <c r="T852" s="1655" t="s">
        <v>980</v>
      </c>
      <c r="U852" s="1655" t="s">
        <v>570</v>
      </c>
      <c r="V852" s="1655" t="s">
        <v>43</v>
      </c>
      <c r="W852" s="1655" t="s">
        <v>569</v>
      </c>
    </row>
    <row r="853" spans="1:23">
      <c r="A853" s="1655" t="s">
        <v>70</v>
      </c>
      <c r="B853" s="1655" t="s">
        <v>625</v>
      </c>
      <c r="C853" s="1655" t="s">
        <v>0</v>
      </c>
      <c r="D853" s="1655" t="s">
        <v>42</v>
      </c>
      <c r="E853" s="1655" t="s">
        <v>569</v>
      </c>
      <c r="G853" s="1655" t="s">
        <v>70</v>
      </c>
      <c r="H853" s="1655" t="s">
        <v>625</v>
      </c>
      <c r="I853" s="1655" t="s">
        <v>0</v>
      </c>
      <c r="J853" s="1655" t="s">
        <v>42</v>
      </c>
      <c r="K853" s="1655" t="s">
        <v>569</v>
      </c>
      <c r="M853" s="1655" t="s">
        <v>70</v>
      </c>
      <c r="N853" s="1655" t="s">
        <v>625</v>
      </c>
      <c r="O853" s="1655" t="s">
        <v>0</v>
      </c>
      <c r="P853" s="1655" t="s">
        <v>42</v>
      </c>
      <c r="Q853" s="1655" t="s">
        <v>569</v>
      </c>
      <c r="S853" s="1655" t="s">
        <v>70</v>
      </c>
      <c r="T853" s="1655" t="s">
        <v>625</v>
      </c>
      <c r="U853" s="1655" t="s">
        <v>0</v>
      </c>
      <c r="V853" s="1655" t="s">
        <v>42</v>
      </c>
      <c r="W853" s="1655" t="s">
        <v>569</v>
      </c>
    </row>
    <row r="854" spans="1:23">
      <c r="A854" s="1655" t="s">
        <v>70</v>
      </c>
      <c r="B854" s="1655" t="s">
        <v>626</v>
      </c>
      <c r="C854" s="1655" t="s">
        <v>570</v>
      </c>
      <c r="D854" s="1655" t="s">
        <v>43</v>
      </c>
      <c r="E854" s="1655" t="s">
        <v>569</v>
      </c>
      <c r="G854" s="1655" t="s">
        <v>70</v>
      </c>
      <c r="H854" s="1655" t="s">
        <v>626</v>
      </c>
      <c r="I854" s="1655" t="s">
        <v>570</v>
      </c>
      <c r="J854" s="1655" t="s">
        <v>43</v>
      </c>
      <c r="K854" s="1655" t="s">
        <v>569</v>
      </c>
      <c r="M854" s="1655" t="s">
        <v>70</v>
      </c>
      <c r="N854" s="1655" t="s">
        <v>626</v>
      </c>
      <c r="O854" s="1655" t="s">
        <v>570</v>
      </c>
      <c r="P854" s="1655" t="s">
        <v>43</v>
      </c>
      <c r="Q854" s="1655" t="s">
        <v>569</v>
      </c>
      <c r="S854" s="1655" t="s">
        <v>70</v>
      </c>
      <c r="T854" s="1655" t="s">
        <v>626</v>
      </c>
      <c r="U854" s="1655" t="s">
        <v>570</v>
      </c>
      <c r="V854" s="1655" t="s">
        <v>43</v>
      </c>
      <c r="W854" s="1655" t="s">
        <v>569</v>
      </c>
    </row>
    <row r="855" spans="1:23">
      <c r="A855" s="1655" t="s">
        <v>70</v>
      </c>
      <c r="B855" s="1655" t="s">
        <v>627</v>
      </c>
      <c r="C855" s="1655" t="s">
        <v>570</v>
      </c>
      <c r="D855" s="1655" t="s">
        <v>43</v>
      </c>
      <c r="E855" s="1655" t="s">
        <v>569</v>
      </c>
      <c r="G855" s="1655" t="s">
        <v>70</v>
      </c>
      <c r="H855" s="1655" t="s">
        <v>627</v>
      </c>
      <c r="I855" s="1655" t="s">
        <v>570</v>
      </c>
      <c r="J855" s="1655" t="s">
        <v>43</v>
      </c>
      <c r="K855" s="1655" t="s">
        <v>569</v>
      </c>
      <c r="M855" s="1655" t="s">
        <v>70</v>
      </c>
      <c r="N855" s="1655" t="s">
        <v>627</v>
      </c>
      <c r="O855" s="1655" t="s">
        <v>570</v>
      </c>
      <c r="P855" s="1655" t="s">
        <v>43</v>
      </c>
      <c r="Q855" s="1655" t="s">
        <v>569</v>
      </c>
      <c r="S855" s="1655" t="s">
        <v>70</v>
      </c>
      <c r="T855" s="1655" t="s">
        <v>627</v>
      </c>
      <c r="U855" s="1655" t="s">
        <v>570</v>
      </c>
      <c r="V855" s="1655" t="s">
        <v>43</v>
      </c>
      <c r="W855" s="1655" t="s">
        <v>569</v>
      </c>
    </row>
    <row r="856" spans="1:23">
      <c r="A856" s="1655" t="s">
        <v>70</v>
      </c>
      <c r="B856" s="1655" t="s">
        <v>628</v>
      </c>
      <c r="C856" s="1655" t="s">
        <v>0</v>
      </c>
      <c r="D856" s="1655" t="s">
        <v>42</v>
      </c>
      <c r="E856" s="1655" t="s">
        <v>569</v>
      </c>
      <c r="G856" s="1655" t="s">
        <v>70</v>
      </c>
      <c r="H856" s="1655" t="s">
        <v>628</v>
      </c>
      <c r="I856" s="1655" t="s">
        <v>0</v>
      </c>
      <c r="J856" s="1655" t="s">
        <v>42</v>
      </c>
      <c r="K856" s="1655" t="s">
        <v>569</v>
      </c>
      <c r="M856" s="1655" t="s">
        <v>70</v>
      </c>
      <c r="N856" s="1655" t="s">
        <v>628</v>
      </c>
      <c r="O856" s="1655" t="s">
        <v>0</v>
      </c>
      <c r="P856" s="1655" t="s">
        <v>42</v>
      </c>
      <c r="Q856" s="1655" t="s">
        <v>569</v>
      </c>
      <c r="S856" s="1655" t="s">
        <v>70</v>
      </c>
      <c r="T856" s="1655" t="s">
        <v>628</v>
      </c>
      <c r="U856" s="1655" t="s">
        <v>0</v>
      </c>
      <c r="V856" s="1655" t="s">
        <v>42</v>
      </c>
      <c r="W856" s="1655" t="s">
        <v>569</v>
      </c>
    </row>
    <row r="857" spans="1:23">
      <c r="A857" s="1655" t="s">
        <v>70</v>
      </c>
      <c r="B857" s="1655" t="s">
        <v>1089</v>
      </c>
      <c r="C857" s="1655" t="s">
        <v>570</v>
      </c>
      <c r="D857" s="1655" t="s">
        <v>43</v>
      </c>
      <c r="E857" s="1655" t="s">
        <v>569</v>
      </c>
      <c r="G857" s="1655" t="s">
        <v>70</v>
      </c>
      <c r="H857" s="1655" t="s">
        <v>1089</v>
      </c>
      <c r="I857" s="1655" t="s">
        <v>570</v>
      </c>
      <c r="J857" s="1655" t="s">
        <v>43</v>
      </c>
      <c r="K857" s="1655" t="s">
        <v>569</v>
      </c>
      <c r="M857" s="1655" t="s">
        <v>70</v>
      </c>
      <c r="N857" s="1655" t="s">
        <v>1089</v>
      </c>
      <c r="O857" s="1655" t="s">
        <v>570</v>
      </c>
      <c r="P857" s="1655" t="s">
        <v>43</v>
      </c>
      <c r="Q857" s="1655" t="s">
        <v>569</v>
      </c>
      <c r="S857" s="1655" t="s">
        <v>70</v>
      </c>
      <c r="T857" s="1655" t="s">
        <v>1089</v>
      </c>
      <c r="U857" s="1655" t="s">
        <v>570</v>
      </c>
      <c r="V857" s="1655" t="s">
        <v>43</v>
      </c>
      <c r="W857" s="1655" t="s">
        <v>569</v>
      </c>
    </row>
    <row r="858" spans="1:23">
      <c r="A858" s="1655" t="s">
        <v>70</v>
      </c>
      <c r="B858" s="1655" t="s">
        <v>629</v>
      </c>
      <c r="C858" s="1655" t="s">
        <v>570</v>
      </c>
      <c r="D858" s="1655" t="s">
        <v>43</v>
      </c>
      <c r="E858" s="1655" t="s">
        <v>569</v>
      </c>
      <c r="G858" s="1655" t="s">
        <v>70</v>
      </c>
      <c r="H858" s="1655" t="s">
        <v>629</v>
      </c>
      <c r="I858" s="1655" t="s">
        <v>570</v>
      </c>
      <c r="J858" s="1655" t="s">
        <v>43</v>
      </c>
      <c r="K858" s="1655" t="s">
        <v>569</v>
      </c>
      <c r="M858" s="1655" t="s">
        <v>70</v>
      </c>
      <c r="N858" s="1655" t="s">
        <v>629</v>
      </c>
      <c r="O858" s="1655" t="s">
        <v>570</v>
      </c>
      <c r="P858" s="1655" t="s">
        <v>43</v>
      </c>
      <c r="Q858" s="1655" t="s">
        <v>569</v>
      </c>
      <c r="S858" s="1655" t="s">
        <v>70</v>
      </c>
      <c r="T858" s="1655" t="s">
        <v>629</v>
      </c>
      <c r="U858" s="1655" t="s">
        <v>570</v>
      </c>
      <c r="V858" s="1655" t="s">
        <v>43</v>
      </c>
      <c r="W858" s="1655" t="s">
        <v>569</v>
      </c>
    </row>
    <row r="859" spans="1:23">
      <c r="A859" s="1655" t="s">
        <v>70</v>
      </c>
      <c r="B859" s="1655" t="s">
        <v>630</v>
      </c>
      <c r="C859" s="1655" t="s">
        <v>570</v>
      </c>
      <c r="D859" s="1655" t="s">
        <v>43</v>
      </c>
      <c r="E859" s="1655" t="s">
        <v>569</v>
      </c>
      <c r="G859" s="1655" t="s">
        <v>70</v>
      </c>
      <c r="H859" s="1655" t="s">
        <v>630</v>
      </c>
      <c r="I859" s="1655" t="s">
        <v>570</v>
      </c>
      <c r="J859" s="1655" t="s">
        <v>43</v>
      </c>
      <c r="K859" s="1655" t="s">
        <v>569</v>
      </c>
      <c r="M859" s="1655" t="s">
        <v>70</v>
      </c>
      <c r="N859" s="1655" t="s">
        <v>630</v>
      </c>
      <c r="O859" s="1655" t="s">
        <v>570</v>
      </c>
      <c r="P859" s="1655" t="s">
        <v>43</v>
      </c>
      <c r="Q859" s="1655" t="s">
        <v>569</v>
      </c>
      <c r="S859" s="1655" t="s">
        <v>70</v>
      </c>
      <c r="T859" s="1655" t="s">
        <v>630</v>
      </c>
      <c r="U859" s="1655" t="s">
        <v>570</v>
      </c>
      <c r="V859" s="1655" t="s">
        <v>43</v>
      </c>
      <c r="W859" s="1655" t="s">
        <v>569</v>
      </c>
    </row>
    <row r="860" spans="1:23">
      <c r="A860" s="1655" t="s">
        <v>70</v>
      </c>
      <c r="B860" s="1655" t="s">
        <v>631</v>
      </c>
      <c r="C860" s="1655" t="s">
        <v>570</v>
      </c>
      <c r="D860" s="1655" t="s">
        <v>43</v>
      </c>
      <c r="E860" s="1655" t="s">
        <v>569</v>
      </c>
      <c r="G860" s="1655" t="s">
        <v>70</v>
      </c>
      <c r="H860" s="1655" t="s">
        <v>631</v>
      </c>
      <c r="I860" s="1655" t="s">
        <v>570</v>
      </c>
      <c r="J860" s="1655" t="s">
        <v>43</v>
      </c>
      <c r="K860" s="1655" t="s">
        <v>569</v>
      </c>
      <c r="M860" s="1655" t="s">
        <v>70</v>
      </c>
      <c r="N860" s="1655" t="s">
        <v>631</v>
      </c>
      <c r="O860" s="1655" t="s">
        <v>570</v>
      </c>
      <c r="P860" s="1655" t="s">
        <v>43</v>
      </c>
      <c r="Q860" s="1655" t="s">
        <v>569</v>
      </c>
      <c r="S860" s="1655" t="s">
        <v>70</v>
      </c>
      <c r="T860" s="1655" t="s">
        <v>631</v>
      </c>
      <c r="U860" s="1655" t="s">
        <v>570</v>
      </c>
      <c r="V860" s="1655" t="s">
        <v>43</v>
      </c>
      <c r="W860" s="1655" t="s">
        <v>569</v>
      </c>
    </row>
    <row r="861" spans="1:23">
      <c r="A861" s="1655" t="s">
        <v>70</v>
      </c>
      <c r="B861" s="1655" t="s">
        <v>632</v>
      </c>
      <c r="C861" s="1655" t="s">
        <v>570</v>
      </c>
      <c r="D861" s="1655" t="s">
        <v>43</v>
      </c>
      <c r="E861" s="1655" t="s">
        <v>569</v>
      </c>
      <c r="G861" s="1655" t="s">
        <v>70</v>
      </c>
      <c r="H861" s="1655" t="s">
        <v>632</v>
      </c>
      <c r="I861" s="1655" t="s">
        <v>570</v>
      </c>
      <c r="J861" s="1655" t="s">
        <v>43</v>
      </c>
      <c r="K861" s="1655" t="s">
        <v>569</v>
      </c>
      <c r="M861" s="1655" t="s">
        <v>70</v>
      </c>
      <c r="N861" s="1655" t="s">
        <v>632</v>
      </c>
      <c r="O861" s="1655" t="s">
        <v>570</v>
      </c>
      <c r="P861" s="1655" t="s">
        <v>43</v>
      </c>
      <c r="Q861" s="1655" t="s">
        <v>569</v>
      </c>
      <c r="S861" s="1655" t="s">
        <v>70</v>
      </c>
      <c r="T861" s="1655" t="s">
        <v>632</v>
      </c>
      <c r="U861" s="1655" t="s">
        <v>570</v>
      </c>
      <c r="V861" s="1655" t="s">
        <v>43</v>
      </c>
      <c r="W861" s="1655" t="s">
        <v>569</v>
      </c>
    </row>
    <row r="862" spans="1:23">
      <c r="A862" s="1655" t="s">
        <v>70</v>
      </c>
      <c r="B862" s="1655" t="s">
        <v>633</v>
      </c>
      <c r="C862" s="1655" t="s">
        <v>570</v>
      </c>
      <c r="D862" s="1655" t="s">
        <v>43</v>
      </c>
      <c r="E862" s="1655" t="s">
        <v>569</v>
      </c>
      <c r="G862" s="1655" t="s">
        <v>70</v>
      </c>
      <c r="H862" s="1655" t="s">
        <v>633</v>
      </c>
      <c r="I862" s="1655" t="s">
        <v>570</v>
      </c>
      <c r="J862" s="1655" t="s">
        <v>43</v>
      </c>
      <c r="K862" s="1655" t="s">
        <v>569</v>
      </c>
      <c r="M862" s="1655" t="s">
        <v>70</v>
      </c>
      <c r="N862" s="1655" t="s">
        <v>633</v>
      </c>
      <c r="O862" s="1655" t="s">
        <v>570</v>
      </c>
      <c r="P862" s="1655" t="s">
        <v>43</v>
      </c>
      <c r="Q862" s="1655" t="s">
        <v>569</v>
      </c>
      <c r="S862" s="1655" t="s">
        <v>70</v>
      </c>
      <c r="T862" s="1655" t="s">
        <v>633</v>
      </c>
      <c r="U862" s="1655" t="s">
        <v>570</v>
      </c>
      <c r="V862" s="1655" t="s">
        <v>43</v>
      </c>
      <c r="W862" s="1655" t="s">
        <v>569</v>
      </c>
    </row>
    <row r="863" spans="1:23">
      <c r="A863" s="1655" t="s">
        <v>70</v>
      </c>
      <c r="B863" s="1655" t="s">
        <v>634</v>
      </c>
      <c r="C863" s="1655" t="s">
        <v>570</v>
      </c>
      <c r="D863" s="1655" t="s">
        <v>43</v>
      </c>
      <c r="E863" s="1655" t="s">
        <v>569</v>
      </c>
      <c r="G863" s="1655" t="s">
        <v>70</v>
      </c>
      <c r="H863" s="1655" t="s">
        <v>634</v>
      </c>
      <c r="I863" s="1655" t="s">
        <v>570</v>
      </c>
      <c r="J863" s="1655" t="s">
        <v>43</v>
      </c>
      <c r="K863" s="1655" t="s">
        <v>569</v>
      </c>
      <c r="M863" s="1655" t="s">
        <v>70</v>
      </c>
      <c r="N863" s="1655" t="s">
        <v>634</v>
      </c>
      <c r="O863" s="1655" t="s">
        <v>570</v>
      </c>
      <c r="P863" s="1655" t="s">
        <v>43</v>
      </c>
      <c r="Q863" s="1655" t="s">
        <v>569</v>
      </c>
      <c r="S863" s="1655" t="s">
        <v>70</v>
      </c>
      <c r="T863" s="1655" t="s">
        <v>634</v>
      </c>
      <c r="U863" s="1655" t="s">
        <v>570</v>
      </c>
      <c r="V863" s="1655" t="s">
        <v>43</v>
      </c>
      <c r="W863" s="1655" t="s">
        <v>569</v>
      </c>
    </row>
    <row r="864" spans="1:23">
      <c r="A864" s="1655" t="s">
        <v>70</v>
      </c>
      <c r="B864" s="1655" t="s">
        <v>635</v>
      </c>
      <c r="C864" s="1655" t="s">
        <v>570</v>
      </c>
      <c r="D864" s="1655" t="s">
        <v>43</v>
      </c>
      <c r="E864" s="1655" t="s">
        <v>569</v>
      </c>
      <c r="G864" s="1655" t="s">
        <v>70</v>
      </c>
      <c r="H864" s="1655" t="s">
        <v>635</v>
      </c>
      <c r="I864" s="1655" t="s">
        <v>570</v>
      </c>
      <c r="J864" s="1655" t="s">
        <v>43</v>
      </c>
      <c r="K864" s="1655" t="s">
        <v>569</v>
      </c>
      <c r="M864" s="1655" t="s">
        <v>70</v>
      </c>
      <c r="N864" s="1655" t="s">
        <v>635</v>
      </c>
      <c r="O864" s="1655" t="s">
        <v>570</v>
      </c>
      <c r="P864" s="1655" t="s">
        <v>43</v>
      </c>
      <c r="Q864" s="1655" t="s">
        <v>569</v>
      </c>
      <c r="S864" s="1655" t="s">
        <v>70</v>
      </c>
      <c r="T864" s="1655" t="s">
        <v>635</v>
      </c>
      <c r="U864" s="1655" t="s">
        <v>570</v>
      </c>
      <c r="V864" s="1655" t="s">
        <v>43</v>
      </c>
      <c r="W864" s="1655" t="s">
        <v>569</v>
      </c>
    </row>
    <row r="865" spans="1:23">
      <c r="A865" s="1655" t="s">
        <v>70</v>
      </c>
      <c r="B865" s="1655" t="s">
        <v>636</v>
      </c>
      <c r="C865" s="1655" t="s">
        <v>570</v>
      </c>
      <c r="D865" s="1655" t="s">
        <v>43</v>
      </c>
      <c r="E865" s="1655" t="s">
        <v>569</v>
      </c>
      <c r="G865" s="1655" t="s">
        <v>70</v>
      </c>
      <c r="H865" s="1655" t="s">
        <v>636</v>
      </c>
      <c r="I865" s="1655" t="s">
        <v>570</v>
      </c>
      <c r="J865" s="1655" t="s">
        <v>43</v>
      </c>
      <c r="K865" s="1655" t="s">
        <v>569</v>
      </c>
      <c r="M865" s="1655" t="s">
        <v>70</v>
      </c>
      <c r="N865" s="1655" t="s">
        <v>636</v>
      </c>
      <c r="O865" s="1655" t="s">
        <v>570</v>
      </c>
      <c r="P865" s="1655" t="s">
        <v>43</v>
      </c>
      <c r="Q865" s="1655" t="s">
        <v>569</v>
      </c>
      <c r="S865" s="1655" t="s">
        <v>70</v>
      </c>
      <c r="T865" s="1655" t="s">
        <v>636</v>
      </c>
      <c r="U865" s="1655" t="s">
        <v>570</v>
      </c>
      <c r="V865" s="1655" t="s">
        <v>43</v>
      </c>
      <c r="W865" s="1655" t="s">
        <v>569</v>
      </c>
    </row>
    <row r="866" spans="1:23">
      <c r="A866" s="1655" t="s">
        <v>70</v>
      </c>
      <c r="B866" s="1655" t="s">
        <v>637</v>
      </c>
      <c r="C866" s="1655" t="s">
        <v>570</v>
      </c>
      <c r="D866" s="1655" t="s">
        <v>43</v>
      </c>
      <c r="E866" s="1655" t="s">
        <v>569</v>
      </c>
      <c r="G866" s="1655" t="s">
        <v>70</v>
      </c>
      <c r="H866" s="1655" t="s">
        <v>637</v>
      </c>
      <c r="I866" s="1655" t="s">
        <v>570</v>
      </c>
      <c r="J866" s="1655" t="s">
        <v>43</v>
      </c>
      <c r="K866" s="1655" t="s">
        <v>569</v>
      </c>
      <c r="M866" s="1655" t="s">
        <v>70</v>
      </c>
      <c r="N866" s="1655" t="s">
        <v>637</v>
      </c>
      <c r="O866" s="1655" t="s">
        <v>570</v>
      </c>
      <c r="P866" s="1655" t="s">
        <v>43</v>
      </c>
      <c r="Q866" s="1655" t="s">
        <v>569</v>
      </c>
      <c r="S866" s="1655" t="s">
        <v>70</v>
      </c>
      <c r="T866" s="1655" t="s">
        <v>637</v>
      </c>
      <c r="U866" s="1655" t="s">
        <v>570</v>
      </c>
      <c r="V866" s="1655" t="s">
        <v>43</v>
      </c>
      <c r="W866" s="1655" t="s">
        <v>569</v>
      </c>
    </row>
    <row r="867" spans="1:23">
      <c r="A867" s="1655" t="s">
        <v>70</v>
      </c>
      <c r="B867" s="1655" t="s">
        <v>638</v>
      </c>
      <c r="C867" s="1655" t="s">
        <v>570</v>
      </c>
      <c r="D867" s="1655" t="s">
        <v>43</v>
      </c>
      <c r="E867" s="1655" t="s">
        <v>569</v>
      </c>
      <c r="G867" s="1655" t="s">
        <v>70</v>
      </c>
      <c r="H867" s="1655" t="s">
        <v>638</v>
      </c>
      <c r="I867" s="1655" t="s">
        <v>570</v>
      </c>
      <c r="J867" s="1655" t="s">
        <v>43</v>
      </c>
      <c r="K867" s="1655" t="s">
        <v>569</v>
      </c>
      <c r="M867" s="1655" t="s">
        <v>70</v>
      </c>
      <c r="N867" s="1655" t="s">
        <v>638</v>
      </c>
      <c r="O867" s="1655" t="s">
        <v>570</v>
      </c>
      <c r="P867" s="1655" t="s">
        <v>43</v>
      </c>
      <c r="Q867" s="1655" t="s">
        <v>569</v>
      </c>
      <c r="S867" s="1655" t="s">
        <v>70</v>
      </c>
      <c r="T867" s="1655" t="s">
        <v>638</v>
      </c>
      <c r="U867" s="1655" t="s">
        <v>570</v>
      </c>
      <c r="V867" s="1655" t="s">
        <v>43</v>
      </c>
      <c r="W867" s="1655" t="s">
        <v>569</v>
      </c>
    </row>
    <row r="868" spans="1:23">
      <c r="A868" s="1655" t="s">
        <v>70</v>
      </c>
      <c r="B868" s="1655" t="s">
        <v>639</v>
      </c>
      <c r="C868" s="1655" t="s">
        <v>570</v>
      </c>
      <c r="D868" s="1655" t="s">
        <v>43</v>
      </c>
      <c r="E868" s="1655" t="s">
        <v>569</v>
      </c>
      <c r="G868" s="1655" t="s">
        <v>70</v>
      </c>
      <c r="H868" s="1655" t="s">
        <v>639</v>
      </c>
      <c r="I868" s="1655" t="s">
        <v>570</v>
      </c>
      <c r="J868" s="1655" t="s">
        <v>43</v>
      </c>
      <c r="K868" s="1655" t="s">
        <v>569</v>
      </c>
      <c r="M868" s="1655" t="s">
        <v>70</v>
      </c>
      <c r="N868" s="1655" t="s">
        <v>639</v>
      </c>
      <c r="O868" s="1655" t="s">
        <v>570</v>
      </c>
      <c r="P868" s="1655" t="s">
        <v>43</v>
      </c>
      <c r="Q868" s="1655" t="s">
        <v>569</v>
      </c>
      <c r="S868" s="1655" t="s">
        <v>70</v>
      </c>
      <c r="T868" s="1655" t="s">
        <v>639</v>
      </c>
      <c r="U868" s="1655" t="s">
        <v>570</v>
      </c>
      <c r="V868" s="1655" t="s">
        <v>43</v>
      </c>
      <c r="W868" s="1655" t="s">
        <v>569</v>
      </c>
    </row>
    <row r="869" spans="1:23">
      <c r="A869" s="1655" t="s">
        <v>70</v>
      </c>
      <c r="B869" s="1655" t="s">
        <v>983</v>
      </c>
      <c r="C869" s="1655" t="s">
        <v>570</v>
      </c>
      <c r="D869" s="1655" t="s">
        <v>43</v>
      </c>
      <c r="E869" s="1655" t="s">
        <v>569</v>
      </c>
      <c r="G869" s="1655" t="s">
        <v>70</v>
      </c>
      <c r="H869" s="1655" t="s">
        <v>983</v>
      </c>
      <c r="I869" s="1655" t="s">
        <v>570</v>
      </c>
      <c r="J869" s="1655" t="s">
        <v>43</v>
      </c>
      <c r="K869" s="1655" t="s">
        <v>569</v>
      </c>
      <c r="M869" s="1655" t="s">
        <v>70</v>
      </c>
      <c r="N869" s="1655" t="s">
        <v>983</v>
      </c>
      <c r="O869" s="1655" t="s">
        <v>570</v>
      </c>
      <c r="P869" s="1655" t="s">
        <v>43</v>
      </c>
      <c r="Q869" s="1655" t="s">
        <v>569</v>
      </c>
      <c r="S869" s="1655" t="s">
        <v>70</v>
      </c>
      <c r="T869" s="1655" t="s">
        <v>983</v>
      </c>
      <c r="U869" s="1655" t="s">
        <v>570</v>
      </c>
      <c r="V869" s="1655" t="s">
        <v>43</v>
      </c>
      <c r="W869" s="1655" t="s">
        <v>569</v>
      </c>
    </row>
    <row r="870" spans="1:23">
      <c r="A870" s="1655" t="s">
        <v>70</v>
      </c>
      <c r="B870" s="1655" t="s">
        <v>984</v>
      </c>
      <c r="C870" s="1655" t="s">
        <v>570</v>
      </c>
      <c r="D870" s="1655" t="s">
        <v>43</v>
      </c>
      <c r="E870" s="1655" t="s">
        <v>569</v>
      </c>
      <c r="G870" s="1655" t="s">
        <v>70</v>
      </c>
      <c r="H870" s="1655" t="s">
        <v>984</v>
      </c>
      <c r="I870" s="1655" t="s">
        <v>570</v>
      </c>
      <c r="J870" s="1655" t="s">
        <v>43</v>
      </c>
      <c r="K870" s="1655" t="s">
        <v>569</v>
      </c>
      <c r="M870" s="1655" t="s">
        <v>70</v>
      </c>
      <c r="N870" s="1655" t="s">
        <v>984</v>
      </c>
      <c r="O870" s="1655" t="s">
        <v>570</v>
      </c>
      <c r="P870" s="1655" t="s">
        <v>43</v>
      </c>
      <c r="Q870" s="1655" t="s">
        <v>569</v>
      </c>
      <c r="S870" s="1655" t="s">
        <v>70</v>
      </c>
      <c r="T870" s="1655" t="s">
        <v>984</v>
      </c>
      <c r="U870" s="1655" t="s">
        <v>570</v>
      </c>
      <c r="V870" s="1655" t="s">
        <v>43</v>
      </c>
      <c r="W870" s="1655" t="s">
        <v>569</v>
      </c>
    </row>
    <row r="871" spans="1:23">
      <c r="A871" s="1655" t="s">
        <v>70</v>
      </c>
      <c r="B871" s="1655" t="s">
        <v>985</v>
      </c>
      <c r="C871" s="1655" t="s">
        <v>570</v>
      </c>
      <c r="D871" s="1655" t="s">
        <v>43</v>
      </c>
      <c r="E871" s="1655" t="s">
        <v>569</v>
      </c>
      <c r="G871" s="1655" t="s">
        <v>70</v>
      </c>
      <c r="H871" s="1655" t="s">
        <v>985</v>
      </c>
      <c r="I871" s="1655" t="s">
        <v>570</v>
      </c>
      <c r="J871" s="1655" t="s">
        <v>43</v>
      </c>
      <c r="K871" s="1655" t="s">
        <v>569</v>
      </c>
      <c r="M871" s="1655" t="s">
        <v>70</v>
      </c>
      <c r="N871" s="1655" t="s">
        <v>985</v>
      </c>
      <c r="O871" s="1655" t="s">
        <v>570</v>
      </c>
      <c r="P871" s="1655" t="s">
        <v>43</v>
      </c>
      <c r="Q871" s="1655" t="s">
        <v>569</v>
      </c>
      <c r="S871" s="1655" t="s">
        <v>70</v>
      </c>
      <c r="T871" s="1655" t="s">
        <v>985</v>
      </c>
      <c r="U871" s="1655" t="s">
        <v>570</v>
      </c>
      <c r="V871" s="1655" t="s">
        <v>43</v>
      </c>
      <c r="W871" s="1655" t="s">
        <v>569</v>
      </c>
    </row>
    <row r="872" spans="1:23">
      <c r="A872" s="1655" t="s">
        <v>70</v>
      </c>
      <c r="B872" s="1655" t="s">
        <v>986</v>
      </c>
      <c r="C872" s="1655" t="s">
        <v>570</v>
      </c>
      <c r="D872" s="1655" t="s">
        <v>43</v>
      </c>
      <c r="E872" s="1655" t="s">
        <v>569</v>
      </c>
      <c r="G872" s="1655" t="s">
        <v>70</v>
      </c>
      <c r="H872" s="1655" t="s">
        <v>986</v>
      </c>
      <c r="I872" s="1655" t="s">
        <v>570</v>
      </c>
      <c r="J872" s="1655" t="s">
        <v>43</v>
      </c>
      <c r="K872" s="1655" t="s">
        <v>569</v>
      </c>
      <c r="M872" s="1655" t="s">
        <v>70</v>
      </c>
      <c r="N872" s="1655" t="s">
        <v>986</v>
      </c>
      <c r="O872" s="1655" t="s">
        <v>570</v>
      </c>
      <c r="P872" s="1655" t="s">
        <v>43</v>
      </c>
      <c r="Q872" s="1655" t="s">
        <v>569</v>
      </c>
      <c r="S872" s="1655" t="s">
        <v>70</v>
      </c>
      <c r="T872" s="1655" t="s">
        <v>986</v>
      </c>
      <c r="U872" s="1655" t="s">
        <v>570</v>
      </c>
      <c r="V872" s="1655" t="s">
        <v>43</v>
      </c>
      <c r="W872" s="1655" t="s">
        <v>569</v>
      </c>
    </row>
    <row r="873" spans="1:23">
      <c r="A873" s="1655" t="s">
        <v>70</v>
      </c>
      <c r="B873" s="1655" t="s">
        <v>640</v>
      </c>
      <c r="C873" s="1655" t="s">
        <v>570</v>
      </c>
      <c r="D873" s="1655" t="s">
        <v>43</v>
      </c>
      <c r="E873" s="1655" t="s">
        <v>569</v>
      </c>
      <c r="G873" s="1655" t="s">
        <v>70</v>
      </c>
      <c r="H873" s="1655" t="s">
        <v>640</v>
      </c>
      <c r="I873" s="1655" t="s">
        <v>570</v>
      </c>
      <c r="J873" s="1655" t="s">
        <v>43</v>
      </c>
      <c r="K873" s="1655" t="s">
        <v>569</v>
      </c>
      <c r="M873" s="1655" t="s">
        <v>70</v>
      </c>
      <c r="N873" s="1655" t="s">
        <v>640</v>
      </c>
      <c r="O873" s="1655" t="s">
        <v>570</v>
      </c>
      <c r="P873" s="1655" t="s">
        <v>43</v>
      </c>
      <c r="Q873" s="1655" t="s">
        <v>569</v>
      </c>
      <c r="S873" s="1655" t="s">
        <v>70</v>
      </c>
      <c r="T873" s="1655" t="s">
        <v>640</v>
      </c>
      <c r="U873" s="1655" t="s">
        <v>570</v>
      </c>
      <c r="V873" s="1655" t="s">
        <v>43</v>
      </c>
      <c r="W873" s="1655" t="s">
        <v>569</v>
      </c>
    </row>
    <row r="874" spans="1:23">
      <c r="A874" s="1655" t="s">
        <v>70</v>
      </c>
      <c r="B874" s="1655" t="s">
        <v>641</v>
      </c>
      <c r="C874" s="1655" t="s">
        <v>570</v>
      </c>
      <c r="D874" s="1655" t="s">
        <v>43</v>
      </c>
      <c r="E874" s="1655" t="s">
        <v>569</v>
      </c>
      <c r="G874" s="1655" t="s">
        <v>70</v>
      </c>
      <c r="H874" s="1655" t="s">
        <v>641</v>
      </c>
      <c r="I874" s="1655" t="s">
        <v>570</v>
      </c>
      <c r="J874" s="1655" t="s">
        <v>43</v>
      </c>
      <c r="K874" s="1655" t="s">
        <v>569</v>
      </c>
      <c r="M874" s="1655" t="s">
        <v>70</v>
      </c>
      <c r="N874" s="1655" t="s">
        <v>641</v>
      </c>
      <c r="O874" s="1655" t="s">
        <v>570</v>
      </c>
      <c r="P874" s="1655" t="s">
        <v>43</v>
      </c>
      <c r="Q874" s="1655" t="s">
        <v>569</v>
      </c>
      <c r="S874" s="1655" t="s">
        <v>70</v>
      </c>
      <c r="T874" s="1655" t="s">
        <v>641</v>
      </c>
      <c r="U874" s="1655" t="s">
        <v>570</v>
      </c>
      <c r="V874" s="1655" t="s">
        <v>43</v>
      </c>
      <c r="W874" s="1655" t="s">
        <v>569</v>
      </c>
    </row>
    <row r="875" spans="1:23">
      <c r="A875" s="1655" t="s">
        <v>70</v>
      </c>
      <c r="B875" s="1655" t="s">
        <v>642</v>
      </c>
      <c r="C875" s="1655" t="s">
        <v>570</v>
      </c>
      <c r="D875" s="1655" t="s">
        <v>43</v>
      </c>
      <c r="E875" s="1655" t="s">
        <v>569</v>
      </c>
      <c r="G875" s="1655" t="s">
        <v>70</v>
      </c>
      <c r="H875" s="1655" t="s">
        <v>642</v>
      </c>
      <c r="I875" s="1655" t="s">
        <v>570</v>
      </c>
      <c r="J875" s="1655" t="s">
        <v>43</v>
      </c>
      <c r="K875" s="1655" t="s">
        <v>569</v>
      </c>
      <c r="M875" s="1655" t="s">
        <v>70</v>
      </c>
      <c r="N875" s="1655" t="s">
        <v>642</v>
      </c>
      <c r="O875" s="1655" t="s">
        <v>570</v>
      </c>
      <c r="P875" s="1655" t="s">
        <v>43</v>
      </c>
      <c r="Q875" s="1655" t="s">
        <v>569</v>
      </c>
      <c r="S875" s="1655" t="s">
        <v>70</v>
      </c>
      <c r="T875" s="1655" t="s">
        <v>642</v>
      </c>
      <c r="U875" s="1655" t="s">
        <v>570</v>
      </c>
      <c r="V875" s="1655" t="s">
        <v>43</v>
      </c>
      <c r="W875" s="1655" t="s">
        <v>569</v>
      </c>
    </row>
    <row r="876" spans="1:23">
      <c r="A876" s="1655" t="s">
        <v>70</v>
      </c>
      <c r="B876" s="1655" t="s">
        <v>987</v>
      </c>
      <c r="C876" s="1655" t="s">
        <v>570</v>
      </c>
      <c r="D876" s="1655" t="s">
        <v>43</v>
      </c>
      <c r="E876" s="1655" t="s">
        <v>569</v>
      </c>
      <c r="G876" s="1655" t="s">
        <v>70</v>
      </c>
      <c r="H876" s="1655" t="s">
        <v>987</v>
      </c>
      <c r="I876" s="1655" t="s">
        <v>570</v>
      </c>
      <c r="J876" s="1655" t="s">
        <v>43</v>
      </c>
      <c r="K876" s="1655" t="s">
        <v>569</v>
      </c>
      <c r="M876" s="1655" t="s">
        <v>70</v>
      </c>
      <c r="N876" s="1655" t="s">
        <v>987</v>
      </c>
      <c r="O876" s="1655" t="s">
        <v>570</v>
      </c>
      <c r="P876" s="1655" t="s">
        <v>43</v>
      </c>
      <c r="Q876" s="1655" t="s">
        <v>569</v>
      </c>
      <c r="S876" s="1655" t="s">
        <v>70</v>
      </c>
      <c r="T876" s="1655" t="s">
        <v>987</v>
      </c>
      <c r="U876" s="1655" t="s">
        <v>570</v>
      </c>
      <c r="V876" s="1655" t="s">
        <v>43</v>
      </c>
      <c r="W876" s="1655" t="s">
        <v>569</v>
      </c>
    </row>
    <row r="877" spans="1:23">
      <c r="A877" s="1655" t="s">
        <v>70</v>
      </c>
      <c r="B877" s="1655" t="s">
        <v>988</v>
      </c>
      <c r="C877" s="1655" t="s">
        <v>570</v>
      </c>
      <c r="D877" s="1655" t="s">
        <v>43</v>
      </c>
      <c r="E877" s="1655" t="s">
        <v>569</v>
      </c>
      <c r="G877" s="1655" t="s">
        <v>70</v>
      </c>
      <c r="H877" s="1655" t="s">
        <v>988</v>
      </c>
      <c r="I877" s="1655" t="s">
        <v>570</v>
      </c>
      <c r="J877" s="1655" t="s">
        <v>43</v>
      </c>
      <c r="K877" s="1655" t="s">
        <v>569</v>
      </c>
      <c r="M877" s="1655" t="s">
        <v>70</v>
      </c>
      <c r="N877" s="1655" t="s">
        <v>988</v>
      </c>
      <c r="O877" s="1655" t="s">
        <v>570</v>
      </c>
      <c r="P877" s="1655" t="s">
        <v>43</v>
      </c>
      <c r="Q877" s="1655" t="s">
        <v>569</v>
      </c>
      <c r="S877" s="1655" t="s">
        <v>70</v>
      </c>
      <c r="T877" s="1655" t="s">
        <v>988</v>
      </c>
      <c r="U877" s="1655" t="s">
        <v>570</v>
      </c>
      <c r="V877" s="1655" t="s">
        <v>43</v>
      </c>
      <c r="W877" s="1655" t="s">
        <v>569</v>
      </c>
    </row>
    <row r="878" spans="1:23">
      <c r="A878" s="1655" t="s">
        <v>70</v>
      </c>
      <c r="B878" s="1655" t="s">
        <v>1090</v>
      </c>
      <c r="C878" s="1655" t="s">
        <v>570</v>
      </c>
      <c r="D878" s="1655" t="s">
        <v>43</v>
      </c>
      <c r="E878" s="1655" t="s">
        <v>569</v>
      </c>
      <c r="G878" s="1655" t="s">
        <v>70</v>
      </c>
      <c r="H878" s="1655" t="s">
        <v>1090</v>
      </c>
      <c r="I878" s="1655" t="s">
        <v>570</v>
      </c>
      <c r="J878" s="1655" t="s">
        <v>43</v>
      </c>
      <c r="K878" s="1655" t="s">
        <v>569</v>
      </c>
      <c r="M878" s="1655" t="s">
        <v>70</v>
      </c>
      <c r="N878" s="1655" t="s">
        <v>1090</v>
      </c>
      <c r="O878" s="1655" t="s">
        <v>570</v>
      </c>
      <c r="P878" s="1655" t="s">
        <v>43</v>
      </c>
      <c r="Q878" s="1655" t="s">
        <v>569</v>
      </c>
      <c r="S878" s="1655" t="s">
        <v>70</v>
      </c>
      <c r="T878" s="1655" t="s">
        <v>1090</v>
      </c>
      <c r="U878" s="1655" t="s">
        <v>570</v>
      </c>
      <c r="V878" s="1655" t="s">
        <v>43</v>
      </c>
      <c r="W878" s="1655" t="s">
        <v>569</v>
      </c>
    </row>
    <row r="879" spans="1:23">
      <c r="A879" s="1655" t="s">
        <v>70</v>
      </c>
      <c r="B879" s="1655" t="s">
        <v>643</v>
      </c>
      <c r="C879" s="1655" t="s">
        <v>570</v>
      </c>
      <c r="D879" s="1655" t="s">
        <v>43</v>
      </c>
      <c r="E879" s="1655" t="s">
        <v>569</v>
      </c>
      <c r="G879" s="1655" t="s">
        <v>70</v>
      </c>
      <c r="H879" s="1655" t="s">
        <v>643</v>
      </c>
      <c r="I879" s="1655" t="s">
        <v>570</v>
      </c>
      <c r="J879" s="1655" t="s">
        <v>43</v>
      </c>
      <c r="K879" s="1655" t="s">
        <v>569</v>
      </c>
      <c r="M879" s="1655" t="s">
        <v>70</v>
      </c>
      <c r="N879" s="1655" t="s">
        <v>643</v>
      </c>
      <c r="O879" s="1655" t="s">
        <v>570</v>
      </c>
      <c r="P879" s="1655" t="s">
        <v>43</v>
      </c>
      <c r="Q879" s="1655" t="s">
        <v>569</v>
      </c>
      <c r="S879" s="1655" t="s">
        <v>70</v>
      </c>
      <c r="T879" s="1655" t="s">
        <v>643</v>
      </c>
      <c r="U879" s="1655" t="s">
        <v>570</v>
      </c>
      <c r="V879" s="1655" t="s">
        <v>43</v>
      </c>
      <c r="W879" s="1655" t="s">
        <v>569</v>
      </c>
    </row>
    <row r="880" spans="1:23">
      <c r="A880" s="1655" t="s">
        <v>70</v>
      </c>
      <c r="B880" s="1655" t="s">
        <v>644</v>
      </c>
      <c r="C880" s="1655" t="s">
        <v>570</v>
      </c>
      <c r="D880" s="1655" t="s">
        <v>43</v>
      </c>
      <c r="E880" s="1655" t="s">
        <v>569</v>
      </c>
      <c r="G880" s="1655" t="s">
        <v>70</v>
      </c>
      <c r="H880" s="1655" t="s">
        <v>644</v>
      </c>
      <c r="I880" s="1655" t="s">
        <v>570</v>
      </c>
      <c r="J880" s="1655" t="s">
        <v>43</v>
      </c>
      <c r="K880" s="1655" t="s">
        <v>569</v>
      </c>
      <c r="M880" s="1655" t="s">
        <v>70</v>
      </c>
      <c r="N880" s="1655" t="s">
        <v>644</v>
      </c>
      <c r="O880" s="1655" t="s">
        <v>570</v>
      </c>
      <c r="P880" s="1655" t="s">
        <v>43</v>
      </c>
      <c r="Q880" s="1655" t="s">
        <v>569</v>
      </c>
      <c r="S880" s="1655" t="s">
        <v>70</v>
      </c>
      <c r="T880" s="1655" t="s">
        <v>644</v>
      </c>
      <c r="U880" s="1655" t="s">
        <v>570</v>
      </c>
      <c r="V880" s="1655" t="s">
        <v>43</v>
      </c>
      <c r="W880" s="1655" t="s">
        <v>569</v>
      </c>
    </row>
    <row r="881" spans="1:23">
      <c r="A881" s="1655" t="s">
        <v>70</v>
      </c>
      <c r="B881" s="1655" t="s">
        <v>989</v>
      </c>
      <c r="C881" s="1655" t="s">
        <v>570</v>
      </c>
      <c r="D881" s="1655" t="s">
        <v>43</v>
      </c>
      <c r="E881" s="1655" t="s">
        <v>569</v>
      </c>
      <c r="G881" s="1655" t="s">
        <v>70</v>
      </c>
      <c r="H881" s="1655" t="s">
        <v>989</v>
      </c>
      <c r="I881" s="1655" t="s">
        <v>570</v>
      </c>
      <c r="J881" s="1655" t="s">
        <v>43</v>
      </c>
      <c r="K881" s="1655" t="s">
        <v>569</v>
      </c>
      <c r="M881" s="1655" t="s">
        <v>70</v>
      </c>
      <c r="N881" s="1655" t="s">
        <v>989</v>
      </c>
      <c r="O881" s="1655" t="s">
        <v>570</v>
      </c>
      <c r="P881" s="1655" t="s">
        <v>43</v>
      </c>
      <c r="Q881" s="1655" t="s">
        <v>569</v>
      </c>
      <c r="S881" s="1655" t="s">
        <v>70</v>
      </c>
      <c r="T881" s="1655" t="s">
        <v>989</v>
      </c>
      <c r="U881" s="1655" t="s">
        <v>570</v>
      </c>
      <c r="V881" s="1655" t="s">
        <v>43</v>
      </c>
      <c r="W881" s="1655" t="s">
        <v>569</v>
      </c>
    </row>
    <row r="882" spans="1:23">
      <c r="A882" s="1655" t="s">
        <v>70</v>
      </c>
      <c r="B882" s="1655" t="s">
        <v>990</v>
      </c>
      <c r="C882" s="1655" t="s">
        <v>0</v>
      </c>
      <c r="D882" s="1655" t="s">
        <v>42</v>
      </c>
      <c r="E882" s="1655" t="s">
        <v>569</v>
      </c>
      <c r="G882" s="1655" t="s">
        <v>70</v>
      </c>
      <c r="H882" s="1655" t="s">
        <v>990</v>
      </c>
      <c r="I882" s="1655" t="s">
        <v>0</v>
      </c>
      <c r="J882" s="1655" t="s">
        <v>42</v>
      </c>
      <c r="K882" s="1655" t="s">
        <v>569</v>
      </c>
      <c r="M882" s="1655" t="s">
        <v>70</v>
      </c>
      <c r="N882" s="1655" t="s">
        <v>990</v>
      </c>
      <c r="O882" s="1655" t="s">
        <v>0</v>
      </c>
      <c r="P882" s="1655" t="s">
        <v>42</v>
      </c>
      <c r="Q882" s="1655" t="s">
        <v>569</v>
      </c>
      <c r="S882" s="1655" t="s">
        <v>70</v>
      </c>
      <c r="T882" s="1655" t="s">
        <v>990</v>
      </c>
      <c r="U882" s="1655" t="s">
        <v>0</v>
      </c>
      <c r="V882" s="1655" t="s">
        <v>42</v>
      </c>
      <c r="W882" s="1655" t="s">
        <v>569</v>
      </c>
    </row>
    <row r="883" spans="1:23">
      <c r="A883" s="1655" t="s">
        <v>70</v>
      </c>
      <c r="B883" s="1655" t="s">
        <v>1091</v>
      </c>
      <c r="C883" s="1655" t="s">
        <v>570</v>
      </c>
      <c r="D883" s="1655" t="s">
        <v>43</v>
      </c>
      <c r="E883" s="1655" t="s">
        <v>569</v>
      </c>
      <c r="G883" s="1655" t="s">
        <v>70</v>
      </c>
      <c r="H883" s="1655" t="s">
        <v>1091</v>
      </c>
      <c r="I883" s="1655" t="s">
        <v>570</v>
      </c>
      <c r="J883" s="1655" t="s">
        <v>43</v>
      </c>
      <c r="K883" s="1655" t="s">
        <v>569</v>
      </c>
      <c r="M883" s="1655" t="s">
        <v>70</v>
      </c>
      <c r="N883" s="1655" t="s">
        <v>1091</v>
      </c>
      <c r="O883" s="1655" t="s">
        <v>570</v>
      </c>
      <c r="P883" s="1655" t="s">
        <v>43</v>
      </c>
      <c r="Q883" s="1655" t="s">
        <v>569</v>
      </c>
      <c r="S883" s="1655" t="s">
        <v>70</v>
      </c>
      <c r="T883" s="1655" t="s">
        <v>1091</v>
      </c>
      <c r="U883" s="1655" t="s">
        <v>570</v>
      </c>
      <c r="V883" s="1655" t="s">
        <v>43</v>
      </c>
      <c r="W883" s="1655" t="s">
        <v>569</v>
      </c>
    </row>
    <row r="884" spans="1:23">
      <c r="A884" s="1655" t="s">
        <v>70</v>
      </c>
      <c r="B884" s="1655" t="s">
        <v>1092</v>
      </c>
      <c r="C884" s="1655" t="s">
        <v>570</v>
      </c>
      <c r="D884" s="1655" t="s">
        <v>43</v>
      </c>
      <c r="E884" s="1655" t="s">
        <v>569</v>
      </c>
      <c r="G884" s="1655" t="s">
        <v>70</v>
      </c>
      <c r="H884" s="1655" t="s">
        <v>1092</v>
      </c>
      <c r="I884" s="1655" t="s">
        <v>570</v>
      </c>
      <c r="J884" s="1655" t="s">
        <v>43</v>
      </c>
      <c r="K884" s="1655" t="s">
        <v>569</v>
      </c>
      <c r="M884" s="1655" t="s">
        <v>70</v>
      </c>
      <c r="N884" s="1655" t="s">
        <v>1092</v>
      </c>
      <c r="O884" s="1655" t="s">
        <v>570</v>
      </c>
      <c r="P884" s="1655" t="s">
        <v>43</v>
      </c>
      <c r="Q884" s="1655" t="s">
        <v>569</v>
      </c>
      <c r="S884" s="1655" t="s">
        <v>70</v>
      </c>
      <c r="T884" s="1655" t="s">
        <v>1092</v>
      </c>
      <c r="U884" s="1655" t="s">
        <v>570</v>
      </c>
      <c r="V884" s="1655" t="s">
        <v>43</v>
      </c>
      <c r="W884" s="1655" t="s">
        <v>569</v>
      </c>
    </row>
    <row r="885" spans="1:23">
      <c r="A885" s="1655" t="s">
        <v>70</v>
      </c>
      <c r="B885" s="1655" t="s">
        <v>991</v>
      </c>
      <c r="C885" s="1655" t="s">
        <v>570</v>
      </c>
      <c r="D885" s="1655" t="s">
        <v>43</v>
      </c>
      <c r="E885" s="1655" t="s">
        <v>569</v>
      </c>
      <c r="G885" s="1655" t="s">
        <v>70</v>
      </c>
      <c r="H885" s="1655" t="s">
        <v>991</v>
      </c>
      <c r="I885" s="1655" t="s">
        <v>570</v>
      </c>
      <c r="J885" s="1655" t="s">
        <v>43</v>
      </c>
      <c r="K885" s="1655" t="s">
        <v>569</v>
      </c>
      <c r="M885" s="1655" t="s">
        <v>70</v>
      </c>
      <c r="N885" s="1655" t="s">
        <v>991</v>
      </c>
      <c r="O885" s="1655" t="s">
        <v>570</v>
      </c>
      <c r="P885" s="1655" t="s">
        <v>43</v>
      </c>
      <c r="Q885" s="1655" t="s">
        <v>569</v>
      </c>
      <c r="S885" s="1655" t="s">
        <v>70</v>
      </c>
      <c r="T885" s="1655" t="s">
        <v>991</v>
      </c>
      <c r="U885" s="1655" t="s">
        <v>570</v>
      </c>
      <c r="V885" s="1655" t="s">
        <v>43</v>
      </c>
      <c r="W885" s="1655" t="s">
        <v>569</v>
      </c>
    </row>
    <row r="886" spans="1:23">
      <c r="A886" s="1655" t="s">
        <v>70</v>
      </c>
      <c r="B886" s="1655" t="s">
        <v>992</v>
      </c>
      <c r="C886" s="1655" t="s">
        <v>570</v>
      </c>
      <c r="D886" s="1655" t="s">
        <v>43</v>
      </c>
      <c r="E886" s="1655" t="s">
        <v>569</v>
      </c>
      <c r="G886" s="1655" t="s">
        <v>70</v>
      </c>
      <c r="H886" s="1655" t="s">
        <v>992</v>
      </c>
      <c r="I886" s="1655" t="s">
        <v>570</v>
      </c>
      <c r="J886" s="1655" t="s">
        <v>43</v>
      </c>
      <c r="K886" s="1655" t="s">
        <v>569</v>
      </c>
      <c r="M886" s="1655" t="s">
        <v>70</v>
      </c>
      <c r="N886" s="1655" t="s">
        <v>992</v>
      </c>
      <c r="O886" s="1655" t="s">
        <v>570</v>
      </c>
      <c r="P886" s="1655" t="s">
        <v>43</v>
      </c>
      <c r="Q886" s="1655" t="s">
        <v>569</v>
      </c>
      <c r="S886" s="1655" t="s">
        <v>70</v>
      </c>
      <c r="T886" s="1655" t="s">
        <v>992</v>
      </c>
      <c r="U886" s="1655" t="s">
        <v>570</v>
      </c>
      <c r="V886" s="1655" t="s">
        <v>43</v>
      </c>
      <c r="W886" s="1655" t="s">
        <v>569</v>
      </c>
    </row>
    <row r="887" spans="1:23">
      <c r="A887" s="1655" t="s">
        <v>70</v>
      </c>
      <c r="B887" s="1655" t="s">
        <v>993</v>
      </c>
      <c r="C887" s="1655" t="s">
        <v>570</v>
      </c>
      <c r="D887" s="1655" t="s">
        <v>43</v>
      </c>
      <c r="E887" s="1655" t="s">
        <v>569</v>
      </c>
      <c r="G887" s="1655" t="s">
        <v>70</v>
      </c>
      <c r="H887" s="1655" t="s">
        <v>993</v>
      </c>
      <c r="I887" s="1655" t="s">
        <v>570</v>
      </c>
      <c r="J887" s="1655" t="s">
        <v>43</v>
      </c>
      <c r="K887" s="1655" t="s">
        <v>569</v>
      </c>
      <c r="M887" s="1655" t="s">
        <v>70</v>
      </c>
      <c r="N887" s="1655" t="s">
        <v>993</v>
      </c>
      <c r="O887" s="1655" t="s">
        <v>570</v>
      </c>
      <c r="P887" s="1655" t="s">
        <v>43</v>
      </c>
      <c r="Q887" s="1655" t="s">
        <v>569</v>
      </c>
      <c r="S887" s="1655" t="s">
        <v>70</v>
      </c>
      <c r="T887" s="1655" t="s">
        <v>993</v>
      </c>
      <c r="U887" s="1655" t="s">
        <v>570</v>
      </c>
      <c r="V887" s="1655" t="s">
        <v>43</v>
      </c>
      <c r="W887" s="1655" t="s">
        <v>569</v>
      </c>
    </row>
    <row r="888" spans="1:23">
      <c r="A888" s="1655" t="s">
        <v>70</v>
      </c>
      <c r="B888" s="1655" t="s">
        <v>994</v>
      </c>
      <c r="C888" s="1655" t="s">
        <v>570</v>
      </c>
      <c r="D888" s="1655" t="s">
        <v>43</v>
      </c>
      <c r="E888" s="1655" t="s">
        <v>569</v>
      </c>
      <c r="G888" s="1655" t="s">
        <v>70</v>
      </c>
      <c r="H888" s="1655" t="s">
        <v>994</v>
      </c>
      <c r="I888" s="1655" t="s">
        <v>570</v>
      </c>
      <c r="J888" s="1655" t="s">
        <v>43</v>
      </c>
      <c r="K888" s="1655" t="s">
        <v>569</v>
      </c>
      <c r="M888" s="1655" t="s">
        <v>70</v>
      </c>
      <c r="N888" s="1655" t="s">
        <v>994</v>
      </c>
      <c r="O888" s="1655" t="s">
        <v>570</v>
      </c>
      <c r="P888" s="1655" t="s">
        <v>43</v>
      </c>
      <c r="Q888" s="1655" t="s">
        <v>569</v>
      </c>
      <c r="S888" s="1655" t="s">
        <v>70</v>
      </c>
      <c r="T888" s="1655" t="s">
        <v>994</v>
      </c>
      <c r="U888" s="1655" t="s">
        <v>570</v>
      </c>
      <c r="V888" s="1655" t="s">
        <v>43</v>
      </c>
      <c r="W888" s="1655" t="s">
        <v>569</v>
      </c>
    </row>
    <row r="889" spans="1:23">
      <c r="A889" s="1655" t="s">
        <v>70</v>
      </c>
      <c r="B889" s="1655" t="s">
        <v>995</v>
      </c>
      <c r="C889" s="1655" t="s">
        <v>570</v>
      </c>
      <c r="D889" s="1655" t="s">
        <v>43</v>
      </c>
      <c r="E889" s="1655" t="s">
        <v>569</v>
      </c>
      <c r="G889" s="1655" t="s">
        <v>70</v>
      </c>
      <c r="H889" s="1655" t="s">
        <v>995</v>
      </c>
      <c r="I889" s="1655" t="s">
        <v>570</v>
      </c>
      <c r="J889" s="1655" t="s">
        <v>43</v>
      </c>
      <c r="K889" s="1655" t="s">
        <v>569</v>
      </c>
      <c r="M889" s="1655" t="s">
        <v>70</v>
      </c>
      <c r="N889" s="1655" t="s">
        <v>995</v>
      </c>
      <c r="O889" s="1655" t="s">
        <v>570</v>
      </c>
      <c r="P889" s="1655" t="s">
        <v>43</v>
      </c>
      <c r="Q889" s="1655" t="s">
        <v>569</v>
      </c>
      <c r="S889" s="1655" t="s">
        <v>70</v>
      </c>
      <c r="T889" s="1655" t="s">
        <v>995</v>
      </c>
      <c r="U889" s="1655" t="s">
        <v>570</v>
      </c>
      <c r="V889" s="1655" t="s">
        <v>43</v>
      </c>
      <c r="W889" s="1655" t="s">
        <v>569</v>
      </c>
    </row>
    <row r="890" spans="1:23">
      <c r="A890" s="1655" t="s">
        <v>70</v>
      </c>
      <c r="B890" s="1655" t="s">
        <v>996</v>
      </c>
      <c r="C890" s="1655" t="s">
        <v>570</v>
      </c>
      <c r="D890" s="1655" t="s">
        <v>43</v>
      </c>
      <c r="E890" s="1655" t="s">
        <v>569</v>
      </c>
      <c r="G890" s="1655" t="s">
        <v>70</v>
      </c>
      <c r="H890" s="1655" t="s">
        <v>996</v>
      </c>
      <c r="I890" s="1655" t="s">
        <v>570</v>
      </c>
      <c r="J890" s="1655" t="s">
        <v>43</v>
      </c>
      <c r="K890" s="1655" t="s">
        <v>569</v>
      </c>
      <c r="M890" s="1655" t="s">
        <v>70</v>
      </c>
      <c r="N890" s="1655" t="s">
        <v>996</v>
      </c>
      <c r="O890" s="1655" t="s">
        <v>570</v>
      </c>
      <c r="P890" s="1655" t="s">
        <v>43</v>
      </c>
      <c r="Q890" s="1655" t="s">
        <v>569</v>
      </c>
      <c r="S890" s="1655" t="s">
        <v>70</v>
      </c>
      <c r="T890" s="1655" t="s">
        <v>996</v>
      </c>
      <c r="U890" s="1655" t="s">
        <v>570</v>
      </c>
      <c r="V890" s="1655" t="s">
        <v>43</v>
      </c>
      <c r="W890" s="1655" t="s">
        <v>569</v>
      </c>
    </row>
    <row r="891" spans="1:23">
      <c r="A891" s="1655" t="s">
        <v>70</v>
      </c>
      <c r="B891" s="1655" t="s">
        <v>997</v>
      </c>
      <c r="C891" s="1655" t="s">
        <v>570</v>
      </c>
      <c r="D891" s="1655" t="s">
        <v>43</v>
      </c>
      <c r="E891" s="1655" t="s">
        <v>569</v>
      </c>
      <c r="G891" s="1655" t="s">
        <v>70</v>
      </c>
      <c r="H891" s="1655" t="s">
        <v>997</v>
      </c>
      <c r="I891" s="1655" t="s">
        <v>570</v>
      </c>
      <c r="J891" s="1655" t="s">
        <v>43</v>
      </c>
      <c r="K891" s="1655" t="s">
        <v>569</v>
      </c>
      <c r="M891" s="1655" t="s">
        <v>70</v>
      </c>
      <c r="N891" s="1655" t="s">
        <v>997</v>
      </c>
      <c r="O891" s="1655" t="s">
        <v>570</v>
      </c>
      <c r="P891" s="1655" t="s">
        <v>43</v>
      </c>
      <c r="Q891" s="1655" t="s">
        <v>569</v>
      </c>
      <c r="S891" s="1655" t="s">
        <v>70</v>
      </c>
      <c r="T891" s="1655" t="s">
        <v>997</v>
      </c>
      <c r="U891" s="1655" t="s">
        <v>570</v>
      </c>
      <c r="V891" s="1655" t="s">
        <v>43</v>
      </c>
      <c r="W891" s="1655" t="s">
        <v>569</v>
      </c>
    </row>
    <row r="892" spans="1:23">
      <c r="A892" s="1655" t="s">
        <v>70</v>
      </c>
      <c r="B892" s="1655" t="s">
        <v>998</v>
      </c>
      <c r="C892" s="1655" t="s">
        <v>570</v>
      </c>
      <c r="D892" s="1655" t="s">
        <v>43</v>
      </c>
      <c r="E892" s="1655" t="s">
        <v>569</v>
      </c>
      <c r="G892" s="1655" t="s">
        <v>70</v>
      </c>
      <c r="H892" s="1655" t="s">
        <v>998</v>
      </c>
      <c r="I892" s="1655" t="s">
        <v>570</v>
      </c>
      <c r="J892" s="1655" t="s">
        <v>43</v>
      </c>
      <c r="K892" s="1655" t="s">
        <v>569</v>
      </c>
      <c r="M892" s="1655" t="s">
        <v>70</v>
      </c>
      <c r="N892" s="1655" t="s">
        <v>998</v>
      </c>
      <c r="O892" s="1655" t="s">
        <v>570</v>
      </c>
      <c r="P892" s="1655" t="s">
        <v>43</v>
      </c>
      <c r="Q892" s="1655" t="s">
        <v>569</v>
      </c>
      <c r="S892" s="1655" t="s">
        <v>70</v>
      </c>
      <c r="T892" s="1655" t="s">
        <v>998</v>
      </c>
      <c r="U892" s="1655" t="s">
        <v>570</v>
      </c>
      <c r="V892" s="1655" t="s">
        <v>43</v>
      </c>
      <c r="W892" s="1655" t="s">
        <v>569</v>
      </c>
    </row>
    <row r="893" spans="1:23">
      <c r="A893" s="1655" t="s">
        <v>70</v>
      </c>
      <c r="B893" s="1655" t="s">
        <v>1093</v>
      </c>
      <c r="C893" s="1655" t="s">
        <v>570</v>
      </c>
      <c r="D893" s="1655" t="s">
        <v>43</v>
      </c>
      <c r="E893" s="1655" t="s">
        <v>569</v>
      </c>
      <c r="G893" s="1655" t="s">
        <v>70</v>
      </c>
      <c r="H893" s="1655" t="s">
        <v>1093</v>
      </c>
      <c r="I893" s="1655" t="s">
        <v>570</v>
      </c>
      <c r="J893" s="1655" t="s">
        <v>43</v>
      </c>
      <c r="K893" s="1655" t="s">
        <v>569</v>
      </c>
      <c r="M893" s="1655" t="s">
        <v>70</v>
      </c>
      <c r="N893" s="1655" t="s">
        <v>1093</v>
      </c>
      <c r="O893" s="1655" t="s">
        <v>570</v>
      </c>
      <c r="P893" s="1655" t="s">
        <v>43</v>
      </c>
      <c r="Q893" s="1655" t="s">
        <v>569</v>
      </c>
      <c r="S893" s="1655" t="s">
        <v>70</v>
      </c>
      <c r="T893" s="1655" t="s">
        <v>1093</v>
      </c>
      <c r="U893" s="1655" t="s">
        <v>570</v>
      </c>
      <c r="V893" s="1655" t="s">
        <v>43</v>
      </c>
      <c r="W893" s="1655" t="s">
        <v>569</v>
      </c>
    </row>
    <row r="894" spans="1:23">
      <c r="A894" s="1655" t="s">
        <v>70</v>
      </c>
      <c r="B894" s="1655" t="s">
        <v>1903</v>
      </c>
      <c r="C894" s="1655" t="s">
        <v>570</v>
      </c>
      <c r="D894" s="1655" t="s">
        <v>43</v>
      </c>
      <c r="E894" s="1655" t="s">
        <v>569</v>
      </c>
      <c r="G894" s="1655" t="s">
        <v>70</v>
      </c>
      <c r="H894" s="1655" t="s">
        <v>1903</v>
      </c>
      <c r="I894" s="1655" t="s">
        <v>570</v>
      </c>
      <c r="J894" s="1655" t="s">
        <v>43</v>
      </c>
      <c r="K894" s="1655" t="s">
        <v>569</v>
      </c>
      <c r="M894" s="1655" t="s">
        <v>70</v>
      </c>
      <c r="N894" s="1655" t="s">
        <v>1903</v>
      </c>
      <c r="O894" s="1655" t="s">
        <v>570</v>
      </c>
      <c r="P894" s="1655" t="s">
        <v>43</v>
      </c>
      <c r="Q894" s="1655" t="s">
        <v>569</v>
      </c>
      <c r="S894" s="1655" t="s">
        <v>70</v>
      </c>
      <c r="T894" s="1655" t="s">
        <v>1903</v>
      </c>
      <c r="U894" s="1655" t="s">
        <v>570</v>
      </c>
      <c r="V894" s="1655" t="s">
        <v>43</v>
      </c>
      <c r="W894" s="1655" t="s">
        <v>569</v>
      </c>
    </row>
    <row r="895" spans="1:23">
      <c r="A895" s="1655" t="s">
        <v>70</v>
      </c>
      <c r="B895" s="1655" t="s">
        <v>999</v>
      </c>
      <c r="C895" s="1655" t="s">
        <v>570</v>
      </c>
      <c r="D895" s="1655" t="s">
        <v>43</v>
      </c>
      <c r="E895" s="1655" t="s">
        <v>569</v>
      </c>
      <c r="G895" s="1655" t="s">
        <v>70</v>
      </c>
      <c r="H895" s="1655" t="s">
        <v>999</v>
      </c>
      <c r="I895" s="1655" t="s">
        <v>570</v>
      </c>
      <c r="J895" s="1655" t="s">
        <v>43</v>
      </c>
      <c r="K895" s="1655" t="s">
        <v>569</v>
      </c>
      <c r="M895" s="1655" t="s">
        <v>70</v>
      </c>
      <c r="N895" s="1655" t="s">
        <v>999</v>
      </c>
      <c r="O895" s="1655" t="s">
        <v>570</v>
      </c>
      <c r="P895" s="1655" t="s">
        <v>43</v>
      </c>
      <c r="Q895" s="1655" t="s">
        <v>569</v>
      </c>
      <c r="S895" s="1655" t="s">
        <v>70</v>
      </c>
      <c r="T895" s="1655" t="s">
        <v>999</v>
      </c>
      <c r="U895" s="1655" t="s">
        <v>570</v>
      </c>
      <c r="V895" s="1655" t="s">
        <v>43</v>
      </c>
      <c r="W895" s="1655" t="s">
        <v>569</v>
      </c>
    </row>
    <row r="896" spans="1:23">
      <c r="A896" s="1655" t="s">
        <v>70</v>
      </c>
      <c r="B896" s="1655" t="s">
        <v>1000</v>
      </c>
      <c r="C896" s="1655" t="s">
        <v>570</v>
      </c>
      <c r="D896" s="1655" t="s">
        <v>43</v>
      </c>
      <c r="E896" s="1655" t="s">
        <v>569</v>
      </c>
      <c r="G896" s="1655" t="s">
        <v>70</v>
      </c>
      <c r="H896" s="1655" t="s">
        <v>1000</v>
      </c>
      <c r="I896" s="1655" t="s">
        <v>570</v>
      </c>
      <c r="J896" s="1655" t="s">
        <v>43</v>
      </c>
      <c r="K896" s="1655" t="s">
        <v>569</v>
      </c>
      <c r="M896" s="1655" t="s">
        <v>70</v>
      </c>
      <c r="N896" s="1655" t="s">
        <v>1000</v>
      </c>
      <c r="O896" s="1655" t="s">
        <v>570</v>
      </c>
      <c r="P896" s="1655" t="s">
        <v>43</v>
      </c>
      <c r="Q896" s="1655" t="s">
        <v>569</v>
      </c>
      <c r="S896" s="1655" t="s">
        <v>70</v>
      </c>
      <c r="T896" s="1655" t="s">
        <v>1000</v>
      </c>
      <c r="U896" s="1655" t="s">
        <v>570</v>
      </c>
      <c r="V896" s="1655" t="s">
        <v>43</v>
      </c>
      <c r="W896" s="1655" t="s">
        <v>569</v>
      </c>
    </row>
    <row r="897" spans="1:23">
      <c r="A897" s="1655" t="s">
        <v>70</v>
      </c>
      <c r="B897" s="1655" t="s">
        <v>1001</v>
      </c>
      <c r="C897" s="1655" t="s">
        <v>570</v>
      </c>
      <c r="D897" s="1655" t="s">
        <v>43</v>
      </c>
      <c r="E897" s="1655" t="s">
        <v>569</v>
      </c>
      <c r="G897" s="1655" t="s">
        <v>70</v>
      </c>
      <c r="H897" s="1655" t="s">
        <v>1001</v>
      </c>
      <c r="I897" s="1655" t="s">
        <v>570</v>
      </c>
      <c r="J897" s="1655" t="s">
        <v>43</v>
      </c>
      <c r="K897" s="1655" t="s">
        <v>569</v>
      </c>
      <c r="M897" s="1655" t="s">
        <v>70</v>
      </c>
      <c r="N897" s="1655" t="s">
        <v>1001</v>
      </c>
      <c r="O897" s="1655" t="s">
        <v>570</v>
      </c>
      <c r="P897" s="1655" t="s">
        <v>43</v>
      </c>
      <c r="Q897" s="1655" t="s">
        <v>569</v>
      </c>
      <c r="S897" s="1655" t="s">
        <v>70</v>
      </c>
      <c r="T897" s="1655" t="s">
        <v>1001</v>
      </c>
      <c r="U897" s="1655" t="s">
        <v>570</v>
      </c>
      <c r="V897" s="1655" t="s">
        <v>43</v>
      </c>
      <c r="W897" s="1655" t="s">
        <v>569</v>
      </c>
    </row>
    <row r="898" spans="1:23">
      <c r="A898" s="1655" t="s">
        <v>70</v>
      </c>
      <c r="B898" s="1655" t="s">
        <v>1904</v>
      </c>
      <c r="C898" s="1655" t="s">
        <v>570</v>
      </c>
      <c r="D898" s="1655" t="s">
        <v>43</v>
      </c>
      <c r="E898" s="1655" t="s">
        <v>569</v>
      </c>
      <c r="G898" s="1655" t="s">
        <v>70</v>
      </c>
      <c r="H898" s="1655" t="s">
        <v>1904</v>
      </c>
      <c r="I898" s="1655" t="s">
        <v>570</v>
      </c>
      <c r="J898" s="1655" t="s">
        <v>43</v>
      </c>
      <c r="K898" s="1655" t="s">
        <v>569</v>
      </c>
      <c r="M898" s="1655" t="s">
        <v>70</v>
      </c>
      <c r="N898" s="1655" t="s">
        <v>1904</v>
      </c>
      <c r="O898" s="1655" t="s">
        <v>570</v>
      </c>
      <c r="P898" s="1655" t="s">
        <v>43</v>
      </c>
      <c r="Q898" s="1655" t="s">
        <v>569</v>
      </c>
      <c r="S898" s="1655" t="s">
        <v>70</v>
      </c>
      <c r="T898" s="1655" t="s">
        <v>1904</v>
      </c>
      <c r="U898" s="1655" t="s">
        <v>570</v>
      </c>
      <c r="V898" s="1655" t="s">
        <v>43</v>
      </c>
      <c r="W898" s="1655" t="s">
        <v>569</v>
      </c>
    </row>
    <row r="899" spans="1:23">
      <c r="A899" s="1655" t="s">
        <v>70</v>
      </c>
      <c r="B899" s="1655" t="s">
        <v>1905</v>
      </c>
      <c r="C899" s="1655" t="s">
        <v>570</v>
      </c>
      <c r="D899" s="1655" t="s">
        <v>43</v>
      </c>
      <c r="E899" s="1655" t="s">
        <v>569</v>
      </c>
      <c r="G899" s="1655" t="s">
        <v>70</v>
      </c>
      <c r="H899" s="1655" t="s">
        <v>1905</v>
      </c>
      <c r="I899" s="1655" t="s">
        <v>570</v>
      </c>
      <c r="J899" s="1655" t="s">
        <v>43</v>
      </c>
      <c r="K899" s="1655" t="s">
        <v>569</v>
      </c>
      <c r="M899" s="1655" t="s">
        <v>70</v>
      </c>
      <c r="N899" s="1655" t="s">
        <v>1905</v>
      </c>
      <c r="O899" s="1655" t="s">
        <v>570</v>
      </c>
      <c r="P899" s="1655" t="s">
        <v>43</v>
      </c>
      <c r="Q899" s="1655" t="s">
        <v>569</v>
      </c>
      <c r="S899" s="1655" t="s">
        <v>70</v>
      </c>
      <c r="T899" s="1655" t="s">
        <v>1905</v>
      </c>
      <c r="U899" s="1655" t="s">
        <v>570</v>
      </c>
      <c r="V899" s="1655" t="s">
        <v>43</v>
      </c>
      <c r="W899" s="1655" t="s">
        <v>569</v>
      </c>
    </row>
    <row r="900" spans="1:23">
      <c r="A900" s="1655" t="s">
        <v>70</v>
      </c>
      <c r="B900" s="1655" t="s">
        <v>1002</v>
      </c>
      <c r="C900" s="1655" t="s">
        <v>570</v>
      </c>
      <c r="D900" s="1655" t="s">
        <v>43</v>
      </c>
      <c r="E900" s="1655" t="s">
        <v>569</v>
      </c>
      <c r="G900" s="1655" t="s">
        <v>70</v>
      </c>
      <c r="H900" s="1655" t="s">
        <v>1002</v>
      </c>
      <c r="I900" s="1655" t="s">
        <v>570</v>
      </c>
      <c r="J900" s="1655" t="s">
        <v>43</v>
      </c>
      <c r="K900" s="1655" t="s">
        <v>569</v>
      </c>
      <c r="M900" s="1655" t="s">
        <v>70</v>
      </c>
      <c r="N900" s="1655" t="s">
        <v>1002</v>
      </c>
      <c r="O900" s="1655" t="s">
        <v>570</v>
      </c>
      <c r="P900" s="1655" t="s">
        <v>43</v>
      </c>
      <c r="Q900" s="1655" t="s">
        <v>569</v>
      </c>
      <c r="S900" s="1655" t="s">
        <v>70</v>
      </c>
      <c r="T900" s="1655" t="s">
        <v>1002</v>
      </c>
      <c r="U900" s="1655" t="s">
        <v>570</v>
      </c>
      <c r="V900" s="1655" t="s">
        <v>43</v>
      </c>
      <c r="W900" s="1655" t="s">
        <v>569</v>
      </c>
    </row>
    <row r="901" spans="1:23">
      <c r="A901" s="1655" t="s">
        <v>70</v>
      </c>
      <c r="B901" s="1655" t="s">
        <v>1003</v>
      </c>
      <c r="C901" s="1655" t="s">
        <v>570</v>
      </c>
      <c r="D901" s="1655" t="s">
        <v>43</v>
      </c>
      <c r="E901" s="1655" t="s">
        <v>569</v>
      </c>
      <c r="G901" s="1655" t="s">
        <v>70</v>
      </c>
      <c r="H901" s="1655" t="s">
        <v>1003</v>
      </c>
      <c r="I901" s="1655" t="s">
        <v>570</v>
      </c>
      <c r="J901" s="1655" t="s">
        <v>43</v>
      </c>
      <c r="K901" s="1655" t="s">
        <v>569</v>
      </c>
      <c r="M901" s="1655" t="s">
        <v>70</v>
      </c>
      <c r="N901" s="1655" t="s">
        <v>1003</v>
      </c>
      <c r="O901" s="1655" t="s">
        <v>570</v>
      </c>
      <c r="P901" s="1655" t="s">
        <v>43</v>
      </c>
      <c r="Q901" s="1655" t="s">
        <v>569</v>
      </c>
      <c r="S901" s="1655" t="s">
        <v>70</v>
      </c>
      <c r="T901" s="1655" t="s">
        <v>1003</v>
      </c>
      <c r="U901" s="1655" t="s">
        <v>570</v>
      </c>
      <c r="V901" s="1655" t="s">
        <v>43</v>
      </c>
      <c r="W901" s="1655" t="s">
        <v>569</v>
      </c>
    </row>
    <row r="902" spans="1:23">
      <c r="A902" s="1655" t="s">
        <v>70</v>
      </c>
      <c r="B902" s="1655" t="s">
        <v>1004</v>
      </c>
      <c r="C902" s="1655" t="s">
        <v>570</v>
      </c>
      <c r="D902" s="1655" t="s">
        <v>43</v>
      </c>
      <c r="E902" s="1655" t="s">
        <v>569</v>
      </c>
      <c r="G902" s="1655" t="s">
        <v>70</v>
      </c>
      <c r="H902" s="1655" t="s">
        <v>1004</v>
      </c>
      <c r="I902" s="1655" t="s">
        <v>570</v>
      </c>
      <c r="J902" s="1655" t="s">
        <v>43</v>
      </c>
      <c r="K902" s="1655" t="s">
        <v>569</v>
      </c>
      <c r="M902" s="1655" t="s">
        <v>70</v>
      </c>
      <c r="N902" s="1655" t="s">
        <v>1004</v>
      </c>
      <c r="O902" s="1655" t="s">
        <v>570</v>
      </c>
      <c r="P902" s="1655" t="s">
        <v>43</v>
      </c>
      <c r="Q902" s="1655" t="s">
        <v>569</v>
      </c>
      <c r="S902" s="1655" t="s">
        <v>70</v>
      </c>
      <c r="T902" s="1655" t="s">
        <v>1004</v>
      </c>
      <c r="U902" s="1655" t="s">
        <v>570</v>
      </c>
      <c r="V902" s="1655" t="s">
        <v>43</v>
      </c>
      <c r="W902" s="1655" t="s">
        <v>569</v>
      </c>
    </row>
    <row r="903" spans="1:23">
      <c r="A903" s="1655" t="s">
        <v>70</v>
      </c>
      <c r="B903" s="1655" t="s">
        <v>1906</v>
      </c>
      <c r="C903" s="1655" t="s">
        <v>570</v>
      </c>
      <c r="D903" s="1655" t="s">
        <v>43</v>
      </c>
      <c r="E903" s="1655" t="s">
        <v>569</v>
      </c>
      <c r="G903" s="1655" t="s">
        <v>70</v>
      </c>
      <c r="H903" s="1655" t="s">
        <v>1906</v>
      </c>
      <c r="I903" s="1655" t="s">
        <v>570</v>
      </c>
      <c r="J903" s="1655" t="s">
        <v>43</v>
      </c>
      <c r="K903" s="1655" t="s">
        <v>569</v>
      </c>
      <c r="M903" s="1655" t="s">
        <v>70</v>
      </c>
      <c r="N903" s="1655" t="s">
        <v>1906</v>
      </c>
      <c r="O903" s="1655" t="s">
        <v>570</v>
      </c>
      <c r="P903" s="1655" t="s">
        <v>43</v>
      </c>
      <c r="Q903" s="1655" t="s">
        <v>569</v>
      </c>
      <c r="S903" s="1655" t="s">
        <v>70</v>
      </c>
      <c r="T903" s="1655" t="s">
        <v>1906</v>
      </c>
      <c r="U903" s="1655" t="s">
        <v>570</v>
      </c>
      <c r="V903" s="1655" t="s">
        <v>43</v>
      </c>
      <c r="W903" s="1655" t="s">
        <v>569</v>
      </c>
    </row>
    <row r="904" spans="1:23">
      <c r="A904" s="1655" t="s">
        <v>70</v>
      </c>
      <c r="B904" s="1655" t="s">
        <v>1005</v>
      </c>
      <c r="C904" s="1655" t="s">
        <v>570</v>
      </c>
      <c r="D904" s="1655" t="s">
        <v>43</v>
      </c>
      <c r="E904" s="1655" t="s">
        <v>569</v>
      </c>
      <c r="G904" s="1655" t="s">
        <v>70</v>
      </c>
      <c r="H904" s="1655" t="s">
        <v>1005</v>
      </c>
      <c r="I904" s="1655" t="s">
        <v>570</v>
      </c>
      <c r="J904" s="1655" t="s">
        <v>43</v>
      </c>
      <c r="K904" s="1655" t="s">
        <v>569</v>
      </c>
      <c r="M904" s="1655" t="s">
        <v>70</v>
      </c>
      <c r="N904" s="1655" t="s">
        <v>1005</v>
      </c>
      <c r="O904" s="1655" t="s">
        <v>570</v>
      </c>
      <c r="P904" s="1655" t="s">
        <v>43</v>
      </c>
      <c r="Q904" s="1655" t="s">
        <v>569</v>
      </c>
      <c r="S904" s="1655" t="s">
        <v>70</v>
      </c>
      <c r="T904" s="1655" t="s">
        <v>1005</v>
      </c>
      <c r="U904" s="1655" t="s">
        <v>570</v>
      </c>
      <c r="V904" s="1655" t="s">
        <v>43</v>
      </c>
      <c r="W904" s="1655" t="s">
        <v>569</v>
      </c>
    </row>
    <row r="905" spans="1:23">
      <c r="A905" s="1655" t="s">
        <v>70</v>
      </c>
      <c r="B905" s="1655" t="s">
        <v>1006</v>
      </c>
      <c r="C905" s="1655" t="s">
        <v>570</v>
      </c>
      <c r="D905" s="1655" t="s">
        <v>43</v>
      </c>
      <c r="E905" s="1655" t="s">
        <v>569</v>
      </c>
      <c r="G905" s="1655" t="s">
        <v>70</v>
      </c>
      <c r="H905" s="1655" t="s">
        <v>1006</v>
      </c>
      <c r="I905" s="1655" t="s">
        <v>570</v>
      </c>
      <c r="J905" s="1655" t="s">
        <v>43</v>
      </c>
      <c r="K905" s="1655" t="s">
        <v>569</v>
      </c>
      <c r="M905" s="1655" t="s">
        <v>70</v>
      </c>
      <c r="N905" s="1655" t="s">
        <v>1006</v>
      </c>
      <c r="O905" s="1655" t="s">
        <v>570</v>
      </c>
      <c r="P905" s="1655" t="s">
        <v>43</v>
      </c>
      <c r="Q905" s="1655" t="s">
        <v>569</v>
      </c>
      <c r="S905" s="1655" t="s">
        <v>70</v>
      </c>
      <c r="T905" s="1655" t="s">
        <v>1006</v>
      </c>
      <c r="U905" s="1655" t="s">
        <v>570</v>
      </c>
      <c r="V905" s="1655" t="s">
        <v>43</v>
      </c>
      <c r="W905" s="1655" t="s">
        <v>569</v>
      </c>
    </row>
    <row r="906" spans="1:23">
      <c r="A906" s="1655" t="s">
        <v>70</v>
      </c>
      <c r="B906" s="1655" t="s">
        <v>1007</v>
      </c>
      <c r="C906" s="1655" t="s">
        <v>570</v>
      </c>
      <c r="D906" s="1655" t="s">
        <v>43</v>
      </c>
      <c r="E906" s="1655" t="s">
        <v>569</v>
      </c>
      <c r="G906" s="1655" t="s">
        <v>70</v>
      </c>
      <c r="H906" s="1655" t="s">
        <v>1007</v>
      </c>
      <c r="I906" s="1655" t="s">
        <v>570</v>
      </c>
      <c r="J906" s="1655" t="s">
        <v>43</v>
      </c>
      <c r="K906" s="1655" t="s">
        <v>569</v>
      </c>
      <c r="M906" s="1655" t="s">
        <v>70</v>
      </c>
      <c r="N906" s="1655" t="s">
        <v>1007</v>
      </c>
      <c r="O906" s="1655" t="s">
        <v>570</v>
      </c>
      <c r="P906" s="1655" t="s">
        <v>43</v>
      </c>
      <c r="Q906" s="1655" t="s">
        <v>569</v>
      </c>
      <c r="S906" s="1655" t="s">
        <v>70</v>
      </c>
      <c r="T906" s="1655" t="s">
        <v>1007</v>
      </c>
      <c r="U906" s="1655" t="s">
        <v>570</v>
      </c>
      <c r="V906" s="1655" t="s">
        <v>43</v>
      </c>
      <c r="W906" s="1655" t="s">
        <v>569</v>
      </c>
    </row>
    <row r="907" spans="1:23">
      <c r="A907" s="1655" t="s">
        <v>70</v>
      </c>
      <c r="B907" s="1655" t="s">
        <v>1008</v>
      </c>
      <c r="C907" s="1655" t="s">
        <v>570</v>
      </c>
      <c r="D907" s="1655" t="s">
        <v>43</v>
      </c>
      <c r="E907" s="1655" t="s">
        <v>569</v>
      </c>
      <c r="G907" s="1655" t="s">
        <v>70</v>
      </c>
      <c r="H907" s="1655" t="s">
        <v>1008</v>
      </c>
      <c r="I907" s="1655" t="s">
        <v>570</v>
      </c>
      <c r="J907" s="1655" t="s">
        <v>43</v>
      </c>
      <c r="K907" s="1655" t="s">
        <v>569</v>
      </c>
      <c r="M907" s="1655" t="s">
        <v>70</v>
      </c>
      <c r="N907" s="1655" t="s">
        <v>1008</v>
      </c>
      <c r="O907" s="1655" t="s">
        <v>570</v>
      </c>
      <c r="P907" s="1655" t="s">
        <v>43</v>
      </c>
      <c r="Q907" s="1655" t="s">
        <v>569</v>
      </c>
      <c r="S907" s="1655" t="s">
        <v>70</v>
      </c>
      <c r="T907" s="1655" t="s">
        <v>1008</v>
      </c>
      <c r="U907" s="1655" t="s">
        <v>570</v>
      </c>
      <c r="V907" s="1655" t="s">
        <v>43</v>
      </c>
      <c r="W907" s="1655" t="s">
        <v>569</v>
      </c>
    </row>
    <row r="908" spans="1:23">
      <c r="A908" s="1655" t="s">
        <v>70</v>
      </c>
      <c r="B908" s="1655" t="s">
        <v>1907</v>
      </c>
      <c r="C908" s="1655" t="s">
        <v>570</v>
      </c>
      <c r="D908" s="1655" t="s">
        <v>43</v>
      </c>
      <c r="E908" s="1655" t="s">
        <v>569</v>
      </c>
      <c r="G908" s="1655" t="s">
        <v>70</v>
      </c>
      <c r="H908" s="1655" t="s">
        <v>1907</v>
      </c>
      <c r="I908" s="1655" t="s">
        <v>570</v>
      </c>
      <c r="J908" s="1655" t="s">
        <v>43</v>
      </c>
      <c r="K908" s="1655" t="s">
        <v>569</v>
      </c>
      <c r="M908" s="1655" t="s">
        <v>70</v>
      </c>
      <c r="N908" s="1655" t="s">
        <v>1907</v>
      </c>
      <c r="O908" s="1655" t="s">
        <v>570</v>
      </c>
      <c r="P908" s="1655" t="s">
        <v>43</v>
      </c>
      <c r="Q908" s="1655" t="s">
        <v>569</v>
      </c>
      <c r="S908" s="1655" t="s">
        <v>70</v>
      </c>
      <c r="T908" s="1655" t="s">
        <v>1907</v>
      </c>
      <c r="U908" s="1655" t="s">
        <v>570</v>
      </c>
      <c r="V908" s="1655" t="s">
        <v>43</v>
      </c>
      <c r="W908" s="1655" t="s">
        <v>569</v>
      </c>
    </row>
    <row r="909" spans="1:23">
      <c r="A909" s="1655" t="s">
        <v>70</v>
      </c>
      <c r="B909" s="1655" t="s">
        <v>1908</v>
      </c>
      <c r="C909" s="1655" t="s">
        <v>570</v>
      </c>
      <c r="D909" s="1655" t="s">
        <v>43</v>
      </c>
      <c r="E909" s="1655" t="s">
        <v>569</v>
      </c>
      <c r="G909" s="1655" t="s">
        <v>70</v>
      </c>
      <c r="H909" s="1655" t="s">
        <v>1908</v>
      </c>
      <c r="I909" s="1655" t="s">
        <v>570</v>
      </c>
      <c r="J909" s="1655" t="s">
        <v>43</v>
      </c>
      <c r="K909" s="1655" t="s">
        <v>569</v>
      </c>
      <c r="M909" s="1655" t="s">
        <v>70</v>
      </c>
      <c r="N909" s="1655" t="s">
        <v>1908</v>
      </c>
      <c r="O909" s="1655" t="s">
        <v>570</v>
      </c>
      <c r="P909" s="1655" t="s">
        <v>43</v>
      </c>
      <c r="Q909" s="1655" t="s">
        <v>569</v>
      </c>
      <c r="S909" s="1655" t="s">
        <v>70</v>
      </c>
      <c r="T909" s="1655" t="s">
        <v>1908</v>
      </c>
      <c r="U909" s="1655" t="s">
        <v>570</v>
      </c>
      <c r="V909" s="1655" t="s">
        <v>43</v>
      </c>
      <c r="W909" s="1655" t="s">
        <v>569</v>
      </c>
    </row>
    <row r="910" spans="1:23">
      <c r="A910" s="1655" t="s">
        <v>70</v>
      </c>
      <c r="B910" s="1655" t="s">
        <v>1009</v>
      </c>
      <c r="C910" s="1655" t="s">
        <v>570</v>
      </c>
      <c r="D910" s="1655" t="s">
        <v>43</v>
      </c>
      <c r="E910" s="1655" t="s">
        <v>569</v>
      </c>
      <c r="G910" s="1655" t="s">
        <v>70</v>
      </c>
      <c r="H910" s="1655" t="s">
        <v>1009</v>
      </c>
      <c r="I910" s="1655" t="s">
        <v>570</v>
      </c>
      <c r="J910" s="1655" t="s">
        <v>43</v>
      </c>
      <c r="K910" s="1655" t="s">
        <v>569</v>
      </c>
      <c r="M910" s="1655" t="s">
        <v>70</v>
      </c>
      <c r="N910" s="1655" t="s">
        <v>1009</v>
      </c>
      <c r="O910" s="1655" t="s">
        <v>570</v>
      </c>
      <c r="P910" s="1655" t="s">
        <v>43</v>
      </c>
      <c r="Q910" s="1655" t="s">
        <v>569</v>
      </c>
      <c r="S910" s="1655" t="s">
        <v>70</v>
      </c>
      <c r="T910" s="1655" t="s">
        <v>1009</v>
      </c>
      <c r="U910" s="1655" t="s">
        <v>570</v>
      </c>
      <c r="V910" s="1655" t="s">
        <v>43</v>
      </c>
      <c r="W910" s="1655" t="s">
        <v>569</v>
      </c>
    </row>
    <row r="911" spans="1:23">
      <c r="A911" s="1655" t="s">
        <v>70</v>
      </c>
      <c r="B911" s="1655" t="s">
        <v>1010</v>
      </c>
      <c r="C911" s="1655" t="s">
        <v>570</v>
      </c>
      <c r="D911" s="1655" t="s">
        <v>43</v>
      </c>
      <c r="E911" s="1655" t="s">
        <v>569</v>
      </c>
      <c r="G911" s="1655" t="s">
        <v>70</v>
      </c>
      <c r="H911" s="1655" t="s">
        <v>1010</v>
      </c>
      <c r="I911" s="1655" t="s">
        <v>570</v>
      </c>
      <c r="J911" s="1655" t="s">
        <v>43</v>
      </c>
      <c r="K911" s="1655" t="s">
        <v>569</v>
      </c>
      <c r="M911" s="1655" t="s">
        <v>70</v>
      </c>
      <c r="N911" s="1655" t="s">
        <v>1010</v>
      </c>
      <c r="O911" s="1655" t="s">
        <v>570</v>
      </c>
      <c r="P911" s="1655" t="s">
        <v>43</v>
      </c>
      <c r="Q911" s="1655" t="s">
        <v>569</v>
      </c>
      <c r="S911" s="1655" t="s">
        <v>70</v>
      </c>
      <c r="T911" s="1655" t="s">
        <v>1010</v>
      </c>
      <c r="U911" s="1655" t="s">
        <v>570</v>
      </c>
      <c r="V911" s="1655" t="s">
        <v>43</v>
      </c>
      <c r="W911" s="1655" t="s">
        <v>569</v>
      </c>
    </row>
    <row r="912" spans="1:23">
      <c r="A912" s="1655" t="s">
        <v>70</v>
      </c>
      <c r="B912" s="1655" t="s">
        <v>1011</v>
      </c>
      <c r="C912" s="1655" t="s">
        <v>570</v>
      </c>
      <c r="D912" s="1655" t="s">
        <v>43</v>
      </c>
      <c r="E912" s="1655" t="s">
        <v>569</v>
      </c>
      <c r="G912" s="1655" t="s">
        <v>70</v>
      </c>
      <c r="H912" s="1655" t="s">
        <v>1011</v>
      </c>
      <c r="I912" s="1655" t="s">
        <v>570</v>
      </c>
      <c r="J912" s="1655" t="s">
        <v>43</v>
      </c>
      <c r="K912" s="1655" t="s">
        <v>569</v>
      </c>
      <c r="M912" s="1655" t="s">
        <v>70</v>
      </c>
      <c r="N912" s="1655" t="s">
        <v>1011</v>
      </c>
      <c r="O912" s="1655" t="s">
        <v>570</v>
      </c>
      <c r="P912" s="1655" t="s">
        <v>43</v>
      </c>
      <c r="Q912" s="1655" t="s">
        <v>569</v>
      </c>
      <c r="S912" s="1655" t="s">
        <v>70</v>
      </c>
      <c r="T912" s="1655" t="s">
        <v>1011</v>
      </c>
      <c r="U912" s="1655" t="s">
        <v>570</v>
      </c>
      <c r="V912" s="1655" t="s">
        <v>43</v>
      </c>
      <c r="W912" s="1655" t="s">
        <v>569</v>
      </c>
    </row>
    <row r="913" spans="1:23">
      <c r="A913" s="1655" t="s">
        <v>70</v>
      </c>
      <c r="B913" s="1655" t="s">
        <v>1012</v>
      </c>
      <c r="C913" s="1655" t="s">
        <v>570</v>
      </c>
      <c r="D913" s="1655" t="s">
        <v>43</v>
      </c>
      <c r="E913" s="1655" t="s">
        <v>569</v>
      </c>
      <c r="G913" s="1655" t="s">
        <v>70</v>
      </c>
      <c r="H913" s="1655" t="s">
        <v>1012</v>
      </c>
      <c r="I913" s="1655" t="s">
        <v>570</v>
      </c>
      <c r="J913" s="1655" t="s">
        <v>43</v>
      </c>
      <c r="K913" s="1655" t="s">
        <v>569</v>
      </c>
      <c r="M913" s="1655" t="s">
        <v>70</v>
      </c>
      <c r="N913" s="1655" t="s">
        <v>1012</v>
      </c>
      <c r="O913" s="1655" t="s">
        <v>570</v>
      </c>
      <c r="P913" s="1655" t="s">
        <v>43</v>
      </c>
      <c r="Q913" s="1655" t="s">
        <v>569</v>
      </c>
      <c r="S913" s="1655" t="s">
        <v>70</v>
      </c>
      <c r="T913" s="1655" t="s">
        <v>1012</v>
      </c>
      <c r="U913" s="1655" t="s">
        <v>570</v>
      </c>
      <c r="V913" s="1655" t="s">
        <v>43</v>
      </c>
      <c r="W913" s="1655" t="s">
        <v>569</v>
      </c>
    </row>
    <row r="914" spans="1:23">
      <c r="A914" s="1655" t="s">
        <v>70</v>
      </c>
      <c r="B914" s="1655" t="s">
        <v>1013</v>
      </c>
      <c r="C914" s="1655" t="s">
        <v>570</v>
      </c>
      <c r="D914" s="1655" t="s">
        <v>43</v>
      </c>
      <c r="E914" s="1655" t="s">
        <v>569</v>
      </c>
      <c r="G914" s="1655" t="s">
        <v>70</v>
      </c>
      <c r="H914" s="1655" t="s">
        <v>1013</v>
      </c>
      <c r="I914" s="1655" t="s">
        <v>570</v>
      </c>
      <c r="J914" s="1655" t="s">
        <v>43</v>
      </c>
      <c r="K914" s="1655" t="s">
        <v>569</v>
      </c>
      <c r="M914" s="1655" t="s">
        <v>70</v>
      </c>
      <c r="N914" s="1655" t="s">
        <v>1013</v>
      </c>
      <c r="O914" s="1655" t="s">
        <v>570</v>
      </c>
      <c r="P914" s="1655" t="s">
        <v>43</v>
      </c>
      <c r="Q914" s="1655" t="s">
        <v>569</v>
      </c>
      <c r="S914" s="1655" t="s">
        <v>70</v>
      </c>
      <c r="T914" s="1655" t="s">
        <v>1013</v>
      </c>
      <c r="U914" s="1655" t="s">
        <v>570</v>
      </c>
      <c r="V914" s="1655" t="s">
        <v>43</v>
      </c>
      <c r="W914" s="1655" t="s">
        <v>569</v>
      </c>
    </row>
    <row r="915" spans="1:23">
      <c r="A915" s="1655" t="s">
        <v>70</v>
      </c>
      <c r="B915" s="1655" t="s">
        <v>1014</v>
      </c>
      <c r="C915" s="1655" t="s">
        <v>570</v>
      </c>
      <c r="D915" s="1655" t="s">
        <v>43</v>
      </c>
      <c r="E915" s="1655" t="s">
        <v>569</v>
      </c>
      <c r="G915" s="1655" t="s">
        <v>70</v>
      </c>
      <c r="H915" s="1655" t="s">
        <v>1014</v>
      </c>
      <c r="I915" s="1655" t="s">
        <v>570</v>
      </c>
      <c r="J915" s="1655" t="s">
        <v>43</v>
      </c>
      <c r="K915" s="1655" t="s">
        <v>569</v>
      </c>
      <c r="M915" s="1655" t="s">
        <v>70</v>
      </c>
      <c r="N915" s="1655" t="s">
        <v>1014</v>
      </c>
      <c r="O915" s="1655" t="s">
        <v>570</v>
      </c>
      <c r="P915" s="1655" t="s">
        <v>43</v>
      </c>
      <c r="Q915" s="1655" t="s">
        <v>569</v>
      </c>
      <c r="S915" s="1655" t="s">
        <v>70</v>
      </c>
      <c r="T915" s="1655" t="s">
        <v>1014</v>
      </c>
      <c r="U915" s="1655" t="s">
        <v>570</v>
      </c>
      <c r="V915" s="1655" t="s">
        <v>43</v>
      </c>
      <c r="W915" s="1655" t="s">
        <v>569</v>
      </c>
    </row>
    <row r="916" spans="1:23">
      <c r="A916" s="1655" t="s">
        <v>70</v>
      </c>
      <c r="B916" s="1655" t="s">
        <v>1015</v>
      </c>
      <c r="C916" s="1655" t="s">
        <v>570</v>
      </c>
      <c r="D916" s="1655" t="s">
        <v>43</v>
      </c>
      <c r="E916" s="1655" t="s">
        <v>569</v>
      </c>
      <c r="G916" s="1655" t="s">
        <v>70</v>
      </c>
      <c r="H916" s="1655" t="s">
        <v>1015</v>
      </c>
      <c r="I916" s="1655" t="s">
        <v>570</v>
      </c>
      <c r="J916" s="1655" t="s">
        <v>43</v>
      </c>
      <c r="K916" s="1655" t="s">
        <v>569</v>
      </c>
      <c r="M916" s="1655" t="s">
        <v>70</v>
      </c>
      <c r="N916" s="1655" t="s">
        <v>1015</v>
      </c>
      <c r="O916" s="1655" t="s">
        <v>570</v>
      </c>
      <c r="P916" s="1655" t="s">
        <v>43</v>
      </c>
      <c r="Q916" s="1655" t="s">
        <v>569</v>
      </c>
      <c r="S916" s="1655" t="s">
        <v>70</v>
      </c>
      <c r="T916" s="1655" t="s">
        <v>1015</v>
      </c>
      <c r="U916" s="1655" t="s">
        <v>570</v>
      </c>
      <c r="V916" s="1655" t="s">
        <v>43</v>
      </c>
      <c r="W916" s="1655" t="s">
        <v>569</v>
      </c>
    </row>
    <row r="917" spans="1:23">
      <c r="A917" s="1655" t="s">
        <v>70</v>
      </c>
      <c r="B917" s="1655" t="s">
        <v>1016</v>
      </c>
      <c r="C917" s="1655" t="s">
        <v>570</v>
      </c>
      <c r="D917" s="1655" t="s">
        <v>43</v>
      </c>
      <c r="E917" s="1655" t="s">
        <v>569</v>
      </c>
      <c r="G917" s="1655" t="s">
        <v>70</v>
      </c>
      <c r="H917" s="1655" t="s">
        <v>1016</v>
      </c>
      <c r="I917" s="1655" t="s">
        <v>570</v>
      </c>
      <c r="J917" s="1655" t="s">
        <v>43</v>
      </c>
      <c r="K917" s="1655" t="s">
        <v>569</v>
      </c>
      <c r="M917" s="1655" t="s">
        <v>70</v>
      </c>
      <c r="N917" s="1655" t="s">
        <v>1016</v>
      </c>
      <c r="O917" s="1655" t="s">
        <v>570</v>
      </c>
      <c r="P917" s="1655" t="s">
        <v>43</v>
      </c>
      <c r="Q917" s="1655" t="s">
        <v>569</v>
      </c>
      <c r="S917" s="1655" t="s">
        <v>70</v>
      </c>
      <c r="T917" s="1655" t="s">
        <v>1016</v>
      </c>
      <c r="U917" s="1655" t="s">
        <v>570</v>
      </c>
      <c r="V917" s="1655" t="s">
        <v>43</v>
      </c>
      <c r="W917" s="1655" t="s">
        <v>569</v>
      </c>
    </row>
    <row r="918" spans="1:23">
      <c r="A918" s="1655" t="s">
        <v>70</v>
      </c>
      <c r="B918" s="1655" t="s">
        <v>1017</v>
      </c>
      <c r="C918" s="1655" t="s">
        <v>570</v>
      </c>
      <c r="D918" s="1655" t="s">
        <v>43</v>
      </c>
      <c r="E918" s="1655" t="s">
        <v>569</v>
      </c>
      <c r="G918" s="1655" t="s">
        <v>70</v>
      </c>
      <c r="H918" s="1655" t="s">
        <v>1017</v>
      </c>
      <c r="I918" s="1655" t="s">
        <v>570</v>
      </c>
      <c r="J918" s="1655" t="s">
        <v>43</v>
      </c>
      <c r="K918" s="1655" t="s">
        <v>569</v>
      </c>
      <c r="M918" s="1655" t="s">
        <v>70</v>
      </c>
      <c r="N918" s="1655" t="s">
        <v>1017</v>
      </c>
      <c r="O918" s="1655" t="s">
        <v>570</v>
      </c>
      <c r="P918" s="1655" t="s">
        <v>43</v>
      </c>
      <c r="Q918" s="1655" t="s">
        <v>569</v>
      </c>
      <c r="S918" s="1655" t="s">
        <v>70</v>
      </c>
      <c r="T918" s="1655" t="s">
        <v>1017</v>
      </c>
      <c r="U918" s="1655" t="s">
        <v>570</v>
      </c>
      <c r="V918" s="1655" t="s">
        <v>43</v>
      </c>
      <c r="W918" s="1655" t="s">
        <v>569</v>
      </c>
    </row>
    <row r="919" spans="1:23">
      <c r="A919" s="1655" t="s">
        <v>70</v>
      </c>
      <c r="B919" s="1655" t="s">
        <v>1018</v>
      </c>
      <c r="C919" s="1655" t="s">
        <v>570</v>
      </c>
      <c r="D919" s="1655" t="s">
        <v>43</v>
      </c>
      <c r="E919" s="1655" t="s">
        <v>569</v>
      </c>
      <c r="G919" s="1655" t="s">
        <v>70</v>
      </c>
      <c r="H919" s="1655" t="s">
        <v>1018</v>
      </c>
      <c r="I919" s="1655" t="s">
        <v>570</v>
      </c>
      <c r="J919" s="1655" t="s">
        <v>43</v>
      </c>
      <c r="K919" s="1655" t="s">
        <v>569</v>
      </c>
      <c r="M919" s="1655" t="s">
        <v>70</v>
      </c>
      <c r="N919" s="1655" t="s">
        <v>1018</v>
      </c>
      <c r="O919" s="1655" t="s">
        <v>570</v>
      </c>
      <c r="P919" s="1655" t="s">
        <v>43</v>
      </c>
      <c r="Q919" s="1655" t="s">
        <v>569</v>
      </c>
      <c r="S919" s="1655" t="s">
        <v>70</v>
      </c>
      <c r="T919" s="1655" t="s">
        <v>1018</v>
      </c>
      <c r="U919" s="1655" t="s">
        <v>570</v>
      </c>
      <c r="V919" s="1655" t="s">
        <v>43</v>
      </c>
      <c r="W919" s="1655" t="s">
        <v>569</v>
      </c>
    </row>
    <row r="920" spans="1:23">
      <c r="A920" s="1655" t="s">
        <v>70</v>
      </c>
      <c r="B920" s="1655" t="s">
        <v>1909</v>
      </c>
      <c r="C920" s="1655" t="s">
        <v>570</v>
      </c>
      <c r="D920" s="1655" t="s">
        <v>43</v>
      </c>
      <c r="E920" s="1655" t="s">
        <v>569</v>
      </c>
      <c r="G920" s="1655" t="s">
        <v>70</v>
      </c>
      <c r="H920" s="1655" t="s">
        <v>1909</v>
      </c>
      <c r="I920" s="1655" t="s">
        <v>570</v>
      </c>
      <c r="J920" s="1655" t="s">
        <v>43</v>
      </c>
      <c r="K920" s="1655" t="s">
        <v>569</v>
      </c>
      <c r="M920" s="1655" t="s">
        <v>70</v>
      </c>
      <c r="N920" s="1655" t="s">
        <v>1909</v>
      </c>
      <c r="O920" s="1655" t="s">
        <v>570</v>
      </c>
      <c r="P920" s="1655" t="s">
        <v>43</v>
      </c>
      <c r="Q920" s="1655" t="s">
        <v>569</v>
      </c>
      <c r="S920" s="1655" t="s">
        <v>70</v>
      </c>
      <c r="T920" s="1655" t="s">
        <v>1909</v>
      </c>
      <c r="U920" s="1655" t="s">
        <v>570</v>
      </c>
      <c r="V920" s="1655" t="s">
        <v>43</v>
      </c>
      <c r="W920" s="1655" t="s">
        <v>569</v>
      </c>
    </row>
    <row r="921" spans="1:23">
      <c r="A921" s="1655" t="s">
        <v>70</v>
      </c>
      <c r="B921" s="1655" t="s">
        <v>1910</v>
      </c>
      <c r="C921" s="1655" t="s">
        <v>570</v>
      </c>
      <c r="D921" s="1655" t="s">
        <v>43</v>
      </c>
      <c r="E921" s="1655" t="s">
        <v>569</v>
      </c>
      <c r="G921" s="1655" t="s">
        <v>70</v>
      </c>
      <c r="H921" s="1655" t="s">
        <v>1910</v>
      </c>
      <c r="I921" s="1655" t="s">
        <v>570</v>
      </c>
      <c r="J921" s="1655" t="s">
        <v>43</v>
      </c>
      <c r="K921" s="1655" t="s">
        <v>569</v>
      </c>
      <c r="M921" s="1655" t="s">
        <v>70</v>
      </c>
      <c r="N921" s="1655" t="s">
        <v>1910</v>
      </c>
      <c r="O921" s="1655" t="s">
        <v>570</v>
      </c>
      <c r="P921" s="1655" t="s">
        <v>43</v>
      </c>
      <c r="Q921" s="1655" t="s">
        <v>569</v>
      </c>
      <c r="S921" s="1655" t="s">
        <v>70</v>
      </c>
      <c r="T921" s="1655" t="s">
        <v>1910</v>
      </c>
      <c r="U921" s="1655" t="s">
        <v>570</v>
      </c>
      <c r="V921" s="1655" t="s">
        <v>43</v>
      </c>
      <c r="W921" s="1655" t="s">
        <v>569</v>
      </c>
    </row>
    <row r="922" spans="1:23">
      <c r="A922" s="1655" t="s">
        <v>70</v>
      </c>
      <c r="B922" s="1655" t="s">
        <v>1019</v>
      </c>
      <c r="C922" s="1655" t="s">
        <v>570</v>
      </c>
      <c r="D922" s="1655" t="s">
        <v>43</v>
      </c>
      <c r="E922" s="1655" t="s">
        <v>569</v>
      </c>
      <c r="G922" s="1655" t="s">
        <v>70</v>
      </c>
      <c r="H922" s="1655" t="s">
        <v>1019</v>
      </c>
      <c r="I922" s="1655" t="s">
        <v>570</v>
      </c>
      <c r="J922" s="1655" t="s">
        <v>43</v>
      </c>
      <c r="K922" s="1655" t="s">
        <v>569</v>
      </c>
      <c r="M922" s="1655" t="s">
        <v>70</v>
      </c>
      <c r="N922" s="1655" t="s">
        <v>1019</v>
      </c>
      <c r="O922" s="1655" t="s">
        <v>570</v>
      </c>
      <c r="P922" s="1655" t="s">
        <v>43</v>
      </c>
      <c r="Q922" s="1655" t="s">
        <v>569</v>
      </c>
      <c r="S922" s="1655" t="s">
        <v>70</v>
      </c>
      <c r="T922" s="1655" t="s">
        <v>1019</v>
      </c>
      <c r="U922" s="1655" t="s">
        <v>570</v>
      </c>
      <c r="V922" s="1655" t="s">
        <v>43</v>
      </c>
      <c r="W922" s="1655" t="s">
        <v>569</v>
      </c>
    </row>
    <row r="923" spans="1:23">
      <c r="A923" s="1655" t="s">
        <v>70</v>
      </c>
      <c r="B923" s="1655" t="s">
        <v>1020</v>
      </c>
      <c r="C923" s="1655" t="s">
        <v>570</v>
      </c>
      <c r="D923" s="1655" t="s">
        <v>43</v>
      </c>
      <c r="E923" s="1655" t="s">
        <v>569</v>
      </c>
      <c r="G923" s="1655" t="s">
        <v>70</v>
      </c>
      <c r="H923" s="1655" t="s">
        <v>1020</v>
      </c>
      <c r="I923" s="1655" t="s">
        <v>570</v>
      </c>
      <c r="J923" s="1655" t="s">
        <v>43</v>
      </c>
      <c r="K923" s="1655" t="s">
        <v>569</v>
      </c>
      <c r="M923" s="1655" t="s">
        <v>70</v>
      </c>
      <c r="N923" s="1655" t="s">
        <v>1020</v>
      </c>
      <c r="O923" s="1655" t="s">
        <v>570</v>
      </c>
      <c r="P923" s="1655" t="s">
        <v>43</v>
      </c>
      <c r="Q923" s="1655" t="s">
        <v>569</v>
      </c>
      <c r="S923" s="1655" t="s">
        <v>70</v>
      </c>
      <c r="T923" s="1655" t="s">
        <v>1020</v>
      </c>
      <c r="U923" s="1655" t="s">
        <v>570</v>
      </c>
      <c r="V923" s="1655" t="s">
        <v>43</v>
      </c>
      <c r="W923" s="1655" t="s">
        <v>569</v>
      </c>
    </row>
    <row r="924" spans="1:23">
      <c r="A924" s="1655" t="s">
        <v>70</v>
      </c>
      <c r="B924" s="1655" t="s">
        <v>1021</v>
      </c>
      <c r="C924" s="1655" t="s">
        <v>570</v>
      </c>
      <c r="D924" s="1655" t="s">
        <v>43</v>
      </c>
      <c r="E924" s="1655" t="s">
        <v>569</v>
      </c>
      <c r="G924" s="1655" t="s">
        <v>70</v>
      </c>
      <c r="H924" s="1655" t="s">
        <v>1021</v>
      </c>
      <c r="I924" s="1655" t="s">
        <v>570</v>
      </c>
      <c r="J924" s="1655" t="s">
        <v>43</v>
      </c>
      <c r="K924" s="1655" t="s">
        <v>569</v>
      </c>
      <c r="M924" s="1655" t="s">
        <v>70</v>
      </c>
      <c r="N924" s="1655" t="s">
        <v>1021</v>
      </c>
      <c r="O924" s="1655" t="s">
        <v>570</v>
      </c>
      <c r="P924" s="1655" t="s">
        <v>43</v>
      </c>
      <c r="Q924" s="1655" t="s">
        <v>569</v>
      </c>
      <c r="S924" s="1655" t="s">
        <v>70</v>
      </c>
      <c r="T924" s="1655" t="s">
        <v>1021</v>
      </c>
      <c r="U924" s="1655" t="s">
        <v>570</v>
      </c>
      <c r="V924" s="1655" t="s">
        <v>43</v>
      </c>
      <c r="W924" s="1655" t="s">
        <v>569</v>
      </c>
    </row>
    <row r="925" spans="1:23">
      <c r="A925" s="1655" t="s">
        <v>70</v>
      </c>
      <c r="B925" s="1655" t="s">
        <v>1911</v>
      </c>
      <c r="C925" s="1655" t="s">
        <v>570</v>
      </c>
      <c r="D925" s="1655" t="s">
        <v>43</v>
      </c>
      <c r="E925" s="1655" t="s">
        <v>569</v>
      </c>
      <c r="G925" s="1655" t="s">
        <v>70</v>
      </c>
      <c r="H925" s="1655" t="s">
        <v>1911</v>
      </c>
      <c r="I925" s="1655" t="s">
        <v>570</v>
      </c>
      <c r="J925" s="1655" t="s">
        <v>43</v>
      </c>
      <c r="K925" s="1655" t="s">
        <v>569</v>
      </c>
      <c r="M925" s="1655" t="s">
        <v>70</v>
      </c>
      <c r="N925" s="1655" t="s">
        <v>1911</v>
      </c>
      <c r="O925" s="1655" t="s">
        <v>570</v>
      </c>
      <c r="P925" s="1655" t="s">
        <v>43</v>
      </c>
      <c r="Q925" s="1655" t="s">
        <v>569</v>
      </c>
      <c r="S925" s="1655" t="s">
        <v>70</v>
      </c>
      <c r="T925" s="1655" t="s">
        <v>1911</v>
      </c>
      <c r="U925" s="1655" t="s">
        <v>570</v>
      </c>
      <c r="V925" s="1655" t="s">
        <v>43</v>
      </c>
      <c r="W925" s="1655" t="s">
        <v>569</v>
      </c>
    </row>
    <row r="926" spans="1:23">
      <c r="A926" s="1655" t="s">
        <v>70</v>
      </c>
      <c r="B926" s="1655" t="s">
        <v>1022</v>
      </c>
      <c r="C926" s="1655" t="s">
        <v>570</v>
      </c>
      <c r="D926" s="1655" t="s">
        <v>43</v>
      </c>
      <c r="E926" s="1655" t="s">
        <v>569</v>
      </c>
      <c r="G926" s="1655" t="s">
        <v>70</v>
      </c>
      <c r="H926" s="1655" t="s">
        <v>1022</v>
      </c>
      <c r="I926" s="1655" t="s">
        <v>570</v>
      </c>
      <c r="J926" s="1655" t="s">
        <v>43</v>
      </c>
      <c r="K926" s="1655" t="s">
        <v>569</v>
      </c>
      <c r="M926" s="1655" t="s">
        <v>70</v>
      </c>
      <c r="N926" s="1655" t="s">
        <v>1022</v>
      </c>
      <c r="O926" s="1655" t="s">
        <v>570</v>
      </c>
      <c r="P926" s="1655" t="s">
        <v>43</v>
      </c>
      <c r="Q926" s="1655" t="s">
        <v>569</v>
      </c>
      <c r="S926" s="1655" t="s">
        <v>70</v>
      </c>
      <c r="T926" s="1655" t="s">
        <v>1022</v>
      </c>
      <c r="U926" s="1655" t="s">
        <v>570</v>
      </c>
      <c r="V926" s="1655" t="s">
        <v>43</v>
      </c>
      <c r="W926" s="1655" t="s">
        <v>569</v>
      </c>
    </row>
    <row r="927" spans="1:23">
      <c r="A927" s="1655" t="s">
        <v>70</v>
      </c>
      <c r="B927" s="1655" t="s">
        <v>1023</v>
      </c>
      <c r="C927" s="1655" t="s">
        <v>570</v>
      </c>
      <c r="D927" s="1655" t="s">
        <v>43</v>
      </c>
      <c r="E927" s="1655" t="s">
        <v>569</v>
      </c>
      <c r="G927" s="1655" t="s">
        <v>70</v>
      </c>
      <c r="H927" s="1655" t="s">
        <v>1023</v>
      </c>
      <c r="I927" s="1655" t="s">
        <v>570</v>
      </c>
      <c r="J927" s="1655" t="s">
        <v>43</v>
      </c>
      <c r="K927" s="1655" t="s">
        <v>569</v>
      </c>
      <c r="M927" s="1655" t="s">
        <v>70</v>
      </c>
      <c r="N927" s="1655" t="s">
        <v>1023</v>
      </c>
      <c r="O927" s="1655" t="s">
        <v>570</v>
      </c>
      <c r="P927" s="1655" t="s">
        <v>43</v>
      </c>
      <c r="Q927" s="1655" t="s">
        <v>569</v>
      </c>
      <c r="S927" s="1655" t="s">
        <v>70</v>
      </c>
      <c r="T927" s="1655" t="s">
        <v>1023</v>
      </c>
      <c r="U927" s="1655" t="s">
        <v>570</v>
      </c>
      <c r="V927" s="1655" t="s">
        <v>43</v>
      </c>
      <c r="W927" s="1655" t="s">
        <v>569</v>
      </c>
    </row>
    <row r="928" spans="1:23">
      <c r="A928" s="1655" t="s">
        <v>70</v>
      </c>
      <c r="B928" s="1655" t="s">
        <v>1024</v>
      </c>
      <c r="C928" s="1655" t="s">
        <v>570</v>
      </c>
      <c r="D928" s="1655" t="s">
        <v>43</v>
      </c>
      <c r="E928" s="1655" t="s">
        <v>569</v>
      </c>
      <c r="G928" s="1655" t="s">
        <v>70</v>
      </c>
      <c r="H928" s="1655" t="s">
        <v>1024</v>
      </c>
      <c r="I928" s="1655" t="s">
        <v>570</v>
      </c>
      <c r="J928" s="1655" t="s">
        <v>43</v>
      </c>
      <c r="K928" s="1655" t="s">
        <v>569</v>
      </c>
      <c r="M928" s="1655" t="s">
        <v>70</v>
      </c>
      <c r="N928" s="1655" t="s">
        <v>1024</v>
      </c>
      <c r="O928" s="1655" t="s">
        <v>570</v>
      </c>
      <c r="P928" s="1655" t="s">
        <v>43</v>
      </c>
      <c r="Q928" s="1655" t="s">
        <v>569</v>
      </c>
      <c r="S928" s="1655" t="s">
        <v>70</v>
      </c>
      <c r="T928" s="1655" t="s">
        <v>1024</v>
      </c>
      <c r="U928" s="1655" t="s">
        <v>570</v>
      </c>
      <c r="V928" s="1655" t="s">
        <v>43</v>
      </c>
      <c r="W928" s="1655" t="s">
        <v>569</v>
      </c>
    </row>
    <row r="929" spans="1:23">
      <c r="A929" s="1655" t="s">
        <v>70</v>
      </c>
      <c r="B929" s="1655" t="s">
        <v>1025</v>
      </c>
      <c r="C929" s="1655" t="s">
        <v>570</v>
      </c>
      <c r="D929" s="1655" t="s">
        <v>43</v>
      </c>
      <c r="E929" s="1655" t="s">
        <v>569</v>
      </c>
      <c r="G929" s="1655" t="s">
        <v>70</v>
      </c>
      <c r="H929" s="1655" t="s">
        <v>1025</v>
      </c>
      <c r="I929" s="1655" t="s">
        <v>570</v>
      </c>
      <c r="J929" s="1655" t="s">
        <v>43</v>
      </c>
      <c r="K929" s="1655" t="s">
        <v>569</v>
      </c>
      <c r="M929" s="1655" t="s">
        <v>70</v>
      </c>
      <c r="N929" s="1655" t="s">
        <v>1025</v>
      </c>
      <c r="O929" s="1655" t="s">
        <v>570</v>
      </c>
      <c r="P929" s="1655" t="s">
        <v>43</v>
      </c>
      <c r="Q929" s="1655" t="s">
        <v>569</v>
      </c>
      <c r="S929" s="1655" t="s">
        <v>70</v>
      </c>
      <c r="T929" s="1655" t="s">
        <v>1025</v>
      </c>
      <c r="U929" s="1655" t="s">
        <v>570</v>
      </c>
      <c r="V929" s="1655" t="s">
        <v>43</v>
      </c>
      <c r="W929" s="1655" t="s">
        <v>569</v>
      </c>
    </row>
    <row r="930" spans="1:23">
      <c r="A930" s="1655" t="s">
        <v>70</v>
      </c>
      <c r="B930" s="1655" t="s">
        <v>1026</v>
      </c>
      <c r="C930" s="1655" t="s">
        <v>570</v>
      </c>
      <c r="D930" s="1655" t="s">
        <v>43</v>
      </c>
      <c r="E930" s="1655" t="s">
        <v>569</v>
      </c>
      <c r="G930" s="1655" t="s">
        <v>70</v>
      </c>
      <c r="H930" s="1655" t="s">
        <v>1026</v>
      </c>
      <c r="I930" s="1655" t="s">
        <v>570</v>
      </c>
      <c r="J930" s="1655" t="s">
        <v>43</v>
      </c>
      <c r="K930" s="1655" t="s">
        <v>569</v>
      </c>
      <c r="M930" s="1655" t="s">
        <v>70</v>
      </c>
      <c r="N930" s="1655" t="s">
        <v>1026</v>
      </c>
      <c r="O930" s="1655" t="s">
        <v>570</v>
      </c>
      <c r="P930" s="1655" t="s">
        <v>43</v>
      </c>
      <c r="Q930" s="1655" t="s">
        <v>569</v>
      </c>
      <c r="S930" s="1655" t="s">
        <v>70</v>
      </c>
      <c r="T930" s="1655" t="s">
        <v>1026</v>
      </c>
      <c r="U930" s="1655" t="s">
        <v>570</v>
      </c>
      <c r="V930" s="1655" t="s">
        <v>43</v>
      </c>
      <c r="W930" s="1655" t="s">
        <v>569</v>
      </c>
    </row>
    <row r="931" spans="1:23">
      <c r="A931" s="1655" t="s">
        <v>70</v>
      </c>
      <c r="B931" s="1655" t="s">
        <v>1027</v>
      </c>
      <c r="C931" s="1655" t="s">
        <v>570</v>
      </c>
      <c r="D931" s="1655" t="s">
        <v>43</v>
      </c>
      <c r="E931" s="1655" t="s">
        <v>569</v>
      </c>
      <c r="G931" s="1655" t="s">
        <v>70</v>
      </c>
      <c r="H931" s="1655" t="s">
        <v>1027</v>
      </c>
      <c r="I931" s="1655" t="s">
        <v>570</v>
      </c>
      <c r="J931" s="1655" t="s">
        <v>43</v>
      </c>
      <c r="K931" s="1655" t="s">
        <v>569</v>
      </c>
      <c r="M931" s="1655" t="s">
        <v>70</v>
      </c>
      <c r="N931" s="1655" t="s">
        <v>1027</v>
      </c>
      <c r="O931" s="1655" t="s">
        <v>570</v>
      </c>
      <c r="P931" s="1655" t="s">
        <v>43</v>
      </c>
      <c r="Q931" s="1655" t="s">
        <v>569</v>
      </c>
      <c r="S931" s="1655" t="s">
        <v>70</v>
      </c>
      <c r="T931" s="1655" t="s">
        <v>1027</v>
      </c>
      <c r="U931" s="1655" t="s">
        <v>570</v>
      </c>
      <c r="V931" s="1655" t="s">
        <v>43</v>
      </c>
      <c r="W931" s="1655" t="s">
        <v>569</v>
      </c>
    </row>
    <row r="932" spans="1:23">
      <c r="A932" s="1655" t="s">
        <v>70</v>
      </c>
      <c r="B932" s="1655" t="s">
        <v>1028</v>
      </c>
      <c r="C932" s="1655" t="s">
        <v>570</v>
      </c>
      <c r="D932" s="1655" t="s">
        <v>43</v>
      </c>
      <c r="E932" s="1655" t="s">
        <v>569</v>
      </c>
      <c r="G932" s="1655" t="s">
        <v>70</v>
      </c>
      <c r="H932" s="1655" t="s">
        <v>1028</v>
      </c>
      <c r="I932" s="1655" t="s">
        <v>570</v>
      </c>
      <c r="J932" s="1655" t="s">
        <v>43</v>
      </c>
      <c r="K932" s="1655" t="s">
        <v>569</v>
      </c>
      <c r="M932" s="1655" t="s">
        <v>70</v>
      </c>
      <c r="N932" s="1655" t="s">
        <v>1028</v>
      </c>
      <c r="O932" s="1655" t="s">
        <v>570</v>
      </c>
      <c r="P932" s="1655" t="s">
        <v>43</v>
      </c>
      <c r="Q932" s="1655" t="s">
        <v>569</v>
      </c>
      <c r="S932" s="1655" t="s">
        <v>70</v>
      </c>
      <c r="T932" s="1655" t="s">
        <v>1028</v>
      </c>
      <c r="U932" s="1655" t="s">
        <v>570</v>
      </c>
      <c r="V932" s="1655" t="s">
        <v>43</v>
      </c>
      <c r="W932" s="1655" t="s">
        <v>569</v>
      </c>
    </row>
    <row r="933" spans="1:23">
      <c r="A933" s="1655" t="s">
        <v>70</v>
      </c>
      <c r="B933" s="1655" t="s">
        <v>1029</v>
      </c>
      <c r="C933" s="1655" t="s">
        <v>570</v>
      </c>
      <c r="D933" s="1655" t="s">
        <v>43</v>
      </c>
      <c r="E933" s="1655" t="s">
        <v>569</v>
      </c>
      <c r="G933" s="1655" t="s">
        <v>70</v>
      </c>
      <c r="H933" s="1655" t="s">
        <v>1029</v>
      </c>
      <c r="I933" s="1655" t="s">
        <v>570</v>
      </c>
      <c r="J933" s="1655" t="s">
        <v>43</v>
      </c>
      <c r="K933" s="1655" t="s">
        <v>569</v>
      </c>
      <c r="M933" s="1655" t="s">
        <v>70</v>
      </c>
      <c r="N933" s="1655" t="s">
        <v>1029</v>
      </c>
      <c r="O933" s="1655" t="s">
        <v>570</v>
      </c>
      <c r="P933" s="1655" t="s">
        <v>43</v>
      </c>
      <c r="Q933" s="1655" t="s">
        <v>569</v>
      </c>
      <c r="S933" s="1655" t="s">
        <v>70</v>
      </c>
      <c r="T933" s="1655" t="s">
        <v>1029</v>
      </c>
      <c r="U933" s="1655" t="s">
        <v>570</v>
      </c>
      <c r="V933" s="1655" t="s">
        <v>43</v>
      </c>
      <c r="W933" s="1655" t="s">
        <v>569</v>
      </c>
    </row>
    <row r="934" spans="1:23">
      <c r="A934" s="1655" t="s">
        <v>70</v>
      </c>
      <c r="B934" s="1655" t="s">
        <v>1030</v>
      </c>
      <c r="C934" s="1655" t="s">
        <v>570</v>
      </c>
      <c r="D934" s="1655" t="s">
        <v>43</v>
      </c>
      <c r="E934" s="1655" t="s">
        <v>569</v>
      </c>
      <c r="G934" s="1655" t="s">
        <v>70</v>
      </c>
      <c r="H934" s="1655" t="s">
        <v>1030</v>
      </c>
      <c r="I934" s="1655" t="s">
        <v>570</v>
      </c>
      <c r="J934" s="1655" t="s">
        <v>43</v>
      </c>
      <c r="K934" s="1655" t="s">
        <v>569</v>
      </c>
      <c r="M934" s="1655" t="s">
        <v>70</v>
      </c>
      <c r="N934" s="1655" t="s">
        <v>1030</v>
      </c>
      <c r="O934" s="1655" t="s">
        <v>570</v>
      </c>
      <c r="P934" s="1655" t="s">
        <v>43</v>
      </c>
      <c r="Q934" s="1655" t="s">
        <v>569</v>
      </c>
      <c r="S934" s="1655" t="s">
        <v>70</v>
      </c>
      <c r="T934" s="1655" t="s">
        <v>1030</v>
      </c>
      <c r="U934" s="1655" t="s">
        <v>570</v>
      </c>
      <c r="V934" s="1655" t="s">
        <v>43</v>
      </c>
      <c r="W934" s="1655" t="s">
        <v>569</v>
      </c>
    </row>
    <row r="935" spans="1:23">
      <c r="A935" s="1655" t="s">
        <v>70</v>
      </c>
      <c r="B935" s="1655" t="s">
        <v>1912</v>
      </c>
      <c r="C935" s="1655" t="s">
        <v>570</v>
      </c>
      <c r="D935" s="1655" t="s">
        <v>43</v>
      </c>
      <c r="E935" s="1655" t="s">
        <v>569</v>
      </c>
      <c r="G935" s="1655" t="s">
        <v>70</v>
      </c>
      <c r="H935" s="1655" t="s">
        <v>1912</v>
      </c>
      <c r="I935" s="1655" t="s">
        <v>570</v>
      </c>
      <c r="J935" s="1655" t="s">
        <v>43</v>
      </c>
      <c r="K935" s="1655" t="s">
        <v>569</v>
      </c>
      <c r="M935" s="1655" t="s">
        <v>70</v>
      </c>
      <c r="N935" s="1655" t="s">
        <v>1912</v>
      </c>
      <c r="O935" s="1655" t="s">
        <v>570</v>
      </c>
      <c r="P935" s="1655" t="s">
        <v>43</v>
      </c>
      <c r="Q935" s="1655" t="s">
        <v>569</v>
      </c>
      <c r="S935" s="1655" t="s">
        <v>70</v>
      </c>
      <c r="T935" s="1655" t="s">
        <v>1912</v>
      </c>
      <c r="U935" s="1655" t="s">
        <v>570</v>
      </c>
      <c r="V935" s="1655" t="s">
        <v>43</v>
      </c>
      <c r="W935" s="1655" t="s">
        <v>569</v>
      </c>
    </row>
    <row r="936" spans="1:23">
      <c r="A936" s="1655" t="s">
        <v>70</v>
      </c>
      <c r="B936" s="1655" t="s">
        <v>1913</v>
      </c>
      <c r="C936" s="1655" t="s">
        <v>570</v>
      </c>
      <c r="D936" s="1655" t="s">
        <v>43</v>
      </c>
      <c r="E936" s="1655" t="s">
        <v>569</v>
      </c>
      <c r="G936" s="1655" t="s">
        <v>70</v>
      </c>
      <c r="H936" s="1655" t="s">
        <v>1913</v>
      </c>
      <c r="I936" s="1655" t="s">
        <v>570</v>
      </c>
      <c r="J936" s="1655" t="s">
        <v>43</v>
      </c>
      <c r="K936" s="1655" t="s">
        <v>569</v>
      </c>
      <c r="M936" s="1655" t="s">
        <v>70</v>
      </c>
      <c r="N936" s="1655" t="s">
        <v>1913</v>
      </c>
      <c r="O936" s="1655" t="s">
        <v>570</v>
      </c>
      <c r="P936" s="1655" t="s">
        <v>43</v>
      </c>
      <c r="Q936" s="1655" t="s">
        <v>569</v>
      </c>
      <c r="S936" s="1655" t="s">
        <v>70</v>
      </c>
      <c r="T936" s="1655" t="s">
        <v>1913</v>
      </c>
      <c r="U936" s="1655" t="s">
        <v>570</v>
      </c>
      <c r="V936" s="1655" t="s">
        <v>43</v>
      </c>
      <c r="W936" s="1655" t="s">
        <v>569</v>
      </c>
    </row>
    <row r="937" spans="1:23">
      <c r="A937" s="1655" t="s">
        <v>70</v>
      </c>
      <c r="B937" s="1655" t="s">
        <v>1031</v>
      </c>
      <c r="C937" s="1655" t="s">
        <v>570</v>
      </c>
      <c r="D937" s="1655" t="s">
        <v>43</v>
      </c>
      <c r="E937" s="1655" t="s">
        <v>569</v>
      </c>
      <c r="G937" s="1655" t="s">
        <v>70</v>
      </c>
      <c r="H937" s="1655" t="s">
        <v>1031</v>
      </c>
      <c r="I937" s="1655" t="s">
        <v>570</v>
      </c>
      <c r="J937" s="1655" t="s">
        <v>43</v>
      </c>
      <c r="K937" s="1655" t="s">
        <v>569</v>
      </c>
      <c r="M937" s="1655" t="s">
        <v>70</v>
      </c>
      <c r="N937" s="1655" t="s">
        <v>1031</v>
      </c>
      <c r="O937" s="1655" t="s">
        <v>570</v>
      </c>
      <c r="P937" s="1655" t="s">
        <v>43</v>
      </c>
      <c r="Q937" s="1655" t="s">
        <v>569</v>
      </c>
      <c r="S937" s="1655" t="s">
        <v>70</v>
      </c>
      <c r="T937" s="1655" t="s">
        <v>1031</v>
      </c>
      <c r="U937" s="1655" t="s">
        <v>570</v>
      </c>
      <c r="V937" s="1655" t="s">
        <v>43</v>
      </c>
      <c r="W937" s="1655" t="s">
        <v>569</v>
      </c>
    </row>
    <row r="938" spans="1:23">
      <c r="A938" s="1655" t="s">
        <v>70</v>
      </c>
      <c r="B938" s="1655" t="s">
        <v>1032</v>
      </c>
      <c r="C938" s="1655" t="s">
        <v>570</v>
      </c>
      <c r="D938" s="1655" t="s">
        <v>43</v>
      </c>
      <c r="E938" s="1655" t="s">
        <v>569</v>
      </c>
      <c r="G938" s="1655" t="s">
        <v>70</v>
      </c>
      <c r="H938" s="1655" t="s">
        <v>1032</v>
      </c>
      <c r="I938" s="1655" t="s">
        <v>570</v>
      </c>
      <c r="J938" s="1655" t="s">
        <v>43</v>
      </c>
      <c r="K938" s="1655" t="s">
        <v>569</v>
      </c>
      <c r="M938" s="1655" t="s">
        <v>70</v>
      </c>
      <c r="N938" s="1655" t="s">
        <v>1032</v>
      </c>
      <c r="O938" s="1655" t="s">
        <v>570</v>
      </c>
      <c r="P938" s="1655" t="s">
        <v>43</v>
      </c>
      <c r="Q938" s="1655" t="s">
        <v>569</v>
      </c>
      <c r="S938" s="1655" t="s">
        <v>70</v>
      </c>
      <c r="T938" s="1655" t="s">
        <v>1032</v>
      </c>
      <c r="U938" s="1655" t="s">
        <v>570</v>
      </c>
      <c r="V938" s="1655" t="s">
        <v>43</v>
      </c>
      <c r="W938" s="1655" t="s">
        <v>569</v>
      </c>
    </row>
    <row r="939" spans="1:23">
      <c r="A939" s="1655" t="s">
        <v>70</v>
      </c>
      <c r="B939" s="1655" t="s">
        <v>1033</v>
      </c>
      <c r="C939" s="1655" t="s">
        <v>570</v>
      </c>
      <c r="D939" s="1655" t="s">
        <v>43</v>
      </c>
      <c r="E939" s="1655" t="s">
        <v>569</v>
      </c>
      <c r="G939" s="1655" t="s">
        <v>70</v>
      </c>
      <c r="H939" s="1655" t="s">
        <v>1033</v>
      </c>
      <c r="I939" s="1655" t="s">
        <v>570</v>
      </c>
      <c r="J939" s="1655" t="s">
        <v>43</v>
      </c>
      <c r="K939" s="1655" t="s">
        <v>569</v>
      </c>
      <c r="M939" s="1655" t="s">
        <v>70</v>
      </c>
      <c r="N939" s="1655" t="s">
        <v>1033</v>
      </c>
      <c r="O939" s="1655" t="s">
        <v>570</v>
      </c>
      <c r="P939" s="1655" t="s">
        <v>43</v>
      </c>
      <c r="Q939" s="1655" t="s">
        <v>569</v>
      </c>
      <c r="S939" s="1655" t="s">
        <v>70</v>
      </c>
      <c r="T939" s="1655" t="s">
        <v>1033</v>
      </c>
      <c r="U939" s="1655" t="s">
        <v>570</v>
      </c>
      <c r="V939" s="1655" t="s">
        <v>43</v>
      </c>
      <c r="W939" s="1655" t="s">
        <v>569</v>
      </c>
    </row>
    <row r="940" spans="1:23">
      <c r="A940" s="1655" t="s">
        <v>70</v>
      </c>
      <c r="B940" s="1655" t="s">
        <v>1034</v>
      </c>
      <c r="C940" s="1655" t="s">
        <v>570</v>
      </c>
      <c r="D940" s="1655" t="s">
        <v>43</v>
      </c>
      <c r="E940" s="1655" t="s">
        <v>569</v>
      </c>
      <c r="G940" s="1655" t="s">
        <v>70</v>
      </c>
      <c r="H940" s="1655" t="s">
        <v>1034</v>
      </c>
      <c r="I940" s="1655" t="s">
        <v>570</v>
      </c>
      <c r="J940" s="1655" t="s">
        <v>43</v>
      </c>
      <c r="K940" s="1655" t="s">
        <v>569</v>
      </c>
      <c r="M940" s="1655" t="s">
        <v>70</v>
      </c>
      <c r="N940" s="1655" t="s">
        <v>1034</v>
      </c>
      <c r="O940" s="1655" t="s">
        <v>570</v>
      </c>
      <c r="P940" s="1655" t="s">
        <v>43</v>
      </c>
      <c r="Q940" s="1655" t="s">
        <v>569</v>
      </c>
      <c r="S940" s="1655" t="s">
        <v>70</v>
      </c>
      <c r="T940" s="1655" t="s">
        <v>1034</v>
      </c>
      <c r="U940" s="1655" t="s">
        <v>570</v>
      </c>
      <c r="V940" s="1655" t="s">
        <v>43</v>
      </c>
      <c r="W940" s="1655" t="s">
        <v>569</v>
      </c>
    </row>
    <row r="941" spans="1:23">
      <c r="A941" s="1655" t="s">
        <v>70</v>
      </c>
      <c r="B941" s="1655" t="s">
        <v>1035</v>
      </c>
      <c r="C941" s="1655" t="s">
        <v>570</v>
      </c>
      <c r="D941" s="1655" t="s">
        <v>43</v>
      </c>
      <c r="E941" s="1655" t="s">
        <v>569</v>
      </c>
      <c r="G941" s="1655" t="s">
        <v>70</v>
      </c>
      <c r="H941" s="1655" t="s">
        <v>1035</v>
      </c>
      <c r="I941" s="1655" t="s">
        <v>570</v>
      </c>
      <c r="J941" s="1655" t="s">
        <v>43</v>
      </c>
      <c r="K941" s="1655" t="s">
        <v>569</v>
      </c>
      <c r="M941" s="1655" t="s">
        <v>70</v>
      </c>
      <c r="N941" s="1655" t="s">
        <v>1035</v>
      </c>
      <c r="O941" s="1655" t="s">
        <v>570</v>
      </c>
      <c r="P941" s="1655" t="s">
        <v>43</v>
      </c>
      <c r="Q941" s="1655" t="s">
        <v>569</v>
      </c>
      <c r="S941" s="1655" t="s">
        <v>70</v>
      </c>
      <c r="T941" s="1655" t="s">
        <v>1035</v>
      </c>
      <c r="U941" s="1655" t="s">
        <v>570</v>
      </c>
      <c r="V941" s="1655" t="s">
        <v>43</v>
      </c>
      <c r="W941" s="1655" t="s">
        <v>569</v>
      </c>
    </row>
    <row r="942" spans="1:23">
      <c r="A942" s="1655" t="s">
        <v>70</v>
      </c>
      <c r="B942" s="1655" t="s">
        <v>1036</v>
      </c>
      <c r="C942" s="1655" t="s">
        <v>570</v>
      </c>
      <c r="D942" s="1655" t="s">
        <v>43</v>
      </c>
      <c r="E942" s="1655" t="s">
        <v>569</v>
      </c>
      <c r="G942" s="1655" t="s">
        <v>70</v>
      </c>
      <c r="H942" s="1655" t="s">
        <v>1036</v>
      </c>
      <c r="I942" s="1655" t="s">
        <v>570</v>
      </c>
      <c r="J942" s="1655" t="s">
        <v>43</v>
      </c>
      <c r="K942" s="1655" t="s">
        <v>569</v>
      </c>
      <c r="M942" s="1655" t="s">
        <v>70</v>
      </c>
      <c r="N942" s="1655" t="s">
        <v>1036</v>
      </c>
      <c r="O942" s="1655" t="s">
        <v>570</v>
      </c>
      <c r="P942" s="1655" t="s">
        <v>43</v>
      </c>
      <c r="Q942" s="1655" t="s">
        <v>569</v>
      </c>
      <c r="S942" s="1655" t="s">
        <v>70</v>
      </c>
      <c r="T942" s="1655" t="s">
        <v>1036</v>
      </c>
      <c r="U942" s="1655" t="s">
        <v>570</v>
      </c>
      <c r="V942" s="1655" t="s">
        <v>43</v>
      </c>
      <c r="W942" s="1655" t="s">
        <v>569</v>
      </c>
    </row>
    <row r="943" spans="1:23">
      <c r="A943" s="1655" t="s">
        <v>70</v>
      </c>
      <c r="B943" s="1655" t="s">
        <v>1037</v>
      </c>
      <c r="C943" s="1655" t="s">
        <v>570</v>
      </c>
      <c r="D943" s="1655" t="s">
        <v>43</v>
      </c>
      <c r="E943" s="1655" t="s">
        <v>569</v>
      </c>
      <c r="G943" s="1655" t="s">
        <v>70</v>
      </c>
      <c r="H943" s="1655" t="s">
        <v>1037</v>
      </c>
      <c r="I943" s="1655" t="s">
        <v>570</v>
      </c>
      <c r="J943" s="1655" t="s">
        <v>43</v>
      </c>
      <c r="K943" s="1655" t="s">
        <v>569</v>
      </c>
      <c r="M943" s="1655" t="s">
        <v>70</v>
      </c>
      <c r="N943" s="1655" t="s">
        <v>1037</v>
      </c>
      <c r="O943" s="1655" t="s">
        <v>570</v>
      </c>
      <c r="P943" s="1655" t="s">
        <v>43</v>
      </c>
      <c r="Q943" s="1655" t="s">
        <v>569</v>
      </c>
      <c r="S943" s="1655" t="s">
        <v>70</v>
      </c>
      <c r="T943" s="1655" t="s">
        <v>1037</v>
      </c>
      <c r="U943" s="1655" t="s">
        <v>570</v>
      </c>
      <c r="V943" s="1655" t="s">
        <v>43</v>
      </c>
      <c r="W943" s="1655" t="s">
        <v>569</v>
      </c>
    </row>
    <row r="944" spans="1:23">
      <c r="A944" s="1655" t="s">
        <v>70</v>
      </c>
      <c r="B944" s="1655" t="s">
        <v>1038</v>
      </c>
      <c r="C944" s="1655" t="s">
        <v>570</v>
      </c>
      <c r="D944" s="1655" t="s">
        <v>43</v>
      </c>
      <c r="E944" s="1655" t="s">
        <v>569</v>
      </c>
      <c r="G944" s="1655" t="s">
        <v>70</v>
      </c>
      <c r="H944" s="1655" t="s">
        <v>1038</v>
      </c>
      <c r="I944" s="1655" t="s">
        <v>570</v>
      </c>
      <c r="J944" s="1655" t="s">
        <v>43</v>
      </c>
      <c r="K944" s="1655" t="s">
        <v>569</v>
      </c>
      <c r="M944" s="1655" t="s">
        <v>70</v>
      </c>
      <c r="N944" s="1655" t="s">
        <v>1038</v>
      </c>
      <c r="O944" s="1655" t="s">
        <v>570</v>
      </c>
      <c r="P944" s="1655" t="s">
        <v>43</v>
      </c>
      <c r="Q944" s="1655" t="s">
        <v>569</v>
      </c>
      <c r="S944" s="1655" t="s">
        <v>70</v>
      </c>
      <c r="T944" s="1655" t="s">
        <v>1038</v>
      </c>
      <c r="U944" s="1655" t="s">
        <v>570</v>
      </c>
      <c r="V944" s="1655" t="s">
        <v>43</v>
      </c>
      <c r="W944" s="1655" t="s">
        <v>569</v>
      </c>
    </row>
    <row r="945" spans="1:23">
      <c r="A945" s="1655" t="s">
        <v>70</v>
      </c>
      <c r="B945" s="1655" t="s">
        <v>1914</v>
      </c>
      <c r="C945" s="1655" t="s">
        <v>570</v>
      </c>
      <c r="D945" s="1655" t="s">
        <v>43</v>
      </c>
      <c r="E945" s="1655" t="s">
        <v>569</v>
      </c>
      <c r="G945" s="1655" t="s">
        <v>70</v>
      </c>
      <c r="H945" s="1655" t="s">
        <v>1914</v>
      </c>
      <c r="I945" s="1655" t="s">
        <v>570</v>
      </c>
      <c r="J945" s="1655" t="s">
        <v>43</v>
      </c>
      <c r="K945" s="1655" t="s">
        <v>569</v>
      </c>
      <c r="M945" s="1655" t="s">
        <v>70</v>
      </c>
      <c r="N945" s="1655" t="s">
        <v>1914</v>
      </c>
      <c r="O945" s="1655" t="s">
        <v>570</v>
      </c>
      <c r="P945" s="1655" t="s">
        <v>43</v>
      </c>
      <c r="Q945" s="1655" t="s">
        <v>569</v>
      </c>
      <c r="S945" s="1655" t="s">
        <v>70</v>
      </c>
      <c r="T945" s="1655" t="s">
        <v>1914</v>
      </c>
      <c r="U945" s="1655" t="s">
        <v>570</v>
      </c>
      <c r="V945" s="1655" t="s">
        <v>43</v>
      </c>
      <c r="W945" s="1655" t="s">
        <v>569</v>
      </c>
    </row>
    <row r="946" spans="1:23">
      <c r="A946" s="1655" t="s">
        <v>70</v>
      </c>
      <c r="B946" s="1655" t="s">
        <v>1915</v>
      </c>
      <c r="C946" s="1655" t="s">
        <v>570</v>
      </c>
      <c r="D946" s="1655" t="s">
        <v>43</v>
      </c>
      <c r="E946" s="1655" t="s">
        <v>569</v>
      </c>
      <c r="G946" s="1655" t="s">
        <v>70</v>
      </c>
      <c r="H946" s="1655" t="s">
        <v>1915</v>
      </c>
      <c r="I946" s="1655" t="s">
        <v>570</v>
      </c>
      <c r="J946" s="1655" t="s">
        <v>43</v>
      </c>
      <c r="K946" s="1655" t="s">
        <v>569</v>
      </c>
      <c r="M946" s="1655" t="s">
        <v>70</v>
      </c>
      <c r="N946" s="1655" t="s">
        <v>1915</v>
      </c>
      <c r="O946" s="1655" t="s">
        <v>570</v>
      </c>
      <c r="P946" s="1655" t="s">
        <v>43</v>
      </c>
      <c r="Q946" s="1655" t="s">
        <v>569</v>
      </c>
      <c r="S946" s="1655" t="s">
        <v>70</v>
      </c>
      <c r="T946" s="1655" t="s">
        <v>1915</v>
      </c>
      <c r="U946" s="1655" t="s">
        <v>570</v>
      </c>
      <c r="V946" s="1655" t="s">
        <v>43</v>
      </c>
      <c r="W946" s="1655" t="s">
        <v>569</v>
      </c>
    </row>
    <row r="947" spans="1:23">
      <c r="A947" s="1655" t="s">
        <v>70</v>
      </c>
      <c r="B947" s="1655" t="s">
        <v>1916</v>
      </c>
      <c r="C947" s="1655" t="s">
        <v>570</v>
      </c>
      <c r="D947" s="1655" t="s">
        <v>43</v>
      </c>
      <c r="E947" s="1655" t="s">
        <v>569</v>
      </c>
      <c r="G947" s="1655" t="s">
        <v>70</v>
      </c>
      <c r="H947" s="1655" t="s">
        <v>1916</v>
      </c>
      <c r="I947" s="1655" t="s">
        <v>570</v>
      </c>
      <c r="J947" s="1655" t="s">
        <v>43</v>
      </c>
      <c r="K947" s="1655" t="s">
        <v>569</v>
      </c>
      <c r="M947" s="1655" t="s">
        <v>70</v>
      </c>
      <c r="N947" s="1655" t="s">
        <v>1916</v>
      </c>
      <c r="O947" s="1655" t="s">
        <v>570</v>
      </c>
      <c r="P947" s="1655" t="s">
        <v>43</v>
      </c>
      <c r="Q947" s="1655" t="s">
        <v>569</v>
      </c>
      <c r="S947" s="1655" t="s">
        <v>70</v>
      </c>
      <c r="T947" s="1655" t="s">
        <v>1916</v>
      </c>
      <c r="U947" s="1655" t="s">
        <v>570</v>
      </c>
      <c r="V947" s="1655" t="s">
        <v>43</v>
      </c>
      <c r="W947" s="1655" t="s">
        <v>569</v>
      </c>
    </row>
    <row r="948" spans="1:23">
      <c r="A948" s="1655" t="s">
        <v>70</v>
      </c>
      <c r="B948" s="1655" t="s">
        <v>1917</v>
      </c>
      <c r="C948" s="1655" t="s">
        <v>570</v>
      </c>
      <c r="D948" s="1655" t="s">
        <v>43</v>
      </c>
      <c r="E948" s="1655" t="s">
        <v>569</v>
      </c>
      <c r="G948" s="1655" t="s">
        <v>70</v>
      </c>
      <c r="H948" s="1655" t="s">
        <v>1917</v>
      </c>
      <c r="I948" s="1655" t="s">
        <v>570</v>
      </c>
      <c r="J948" s="1655" t="s">
        <v>43</v>
      </c>
      <c r="K948" s="1655" t="s">
        <v>569</v>
      </c>
      <c r="M948" s="1655" t="s">
        <v>70</v>
      </c>
      <c r="N948" s="1655" t="s">
        <v>1917</v>
      </c>
      <c r="O948" s="1655" t="s">
        <v>570</v>
      </c>
      <c r="P948" s="1655" t="s">
        <v>43</v>
      </c>
      <c r="Q948" s="1655" t="s">
        <v>569</v>
      </c>
      <c r="S948" s="1655" t="s">
        <v>70</v>
      </c>
      <c r="T948" s="1655" t="s">
        <v>1917</v>
      </c>
      <c r="U948" s="1655" t="s">
        <v>570</v>
      </c>
      <c r="V948" s="1655" t="s">
        <v>43</v>
      </c>
      <c r="W948" s="1655" t="s">
        <v>569</v>
      </c>
    </row>
    <row r="949" spans="1:23">
      <c r="A949" s="1655" t="s">
        <v>70</v>
      </c>
      <c r="B949" s="1655" t="s">
        <v>1918</v>
      </c>
      <c r="C949" s="1655" t="s">
        <v>570</v>
      </c>
      <c r="D949" s="1655" t="s">
        <v>43</v>
      </c>
      <c r="E949" s="1655" t="s">
        <v>569</v>
      </c>
      <c r="G949" s="1655" t="s">
        <v>70</v>
      </c>
      <c r="H949" s="1655" t="s">
        <v>1918</v>
      </c>
      <c r="I949" s="1655" t="s">
        <v>570</v>
      </c>
      <c r="J949" s="1655" t="s">
        <v>43</v>
      </c>
      <c r="K949" s="1655" t="s">
        <v>569</v>
      </c>
      <c r="M949" s="1655" t="s">
        <v>70</v>
      </c>
      <c r="N949" s="1655" t="s">
        <v>1918</v>
      </c>
      <c r="O949" s="1655" t="s">
        <v>570</v>
      </c>
      <c r="P949" s="1655" t="s">
        <v>43</v>
      </c>
      <c r="Q949" s="1655" t="s">
        <v>569</v>
      </c>
      <c r="S949" s="1655" t="s">
        <v>70</v>
      </c>
      <c r="T949" s="1655" t="s">
        <v>1918</v>
      </c>
      <c r="U949" s="1655" t="s">
        <v>570</v>
      </c>
      <c r="V949" s="1655" t="s">
        <v>43</v>
      </c>
      <c r="W949" s="1655" t="s">
        <v>569</v>
      </c>
    </row>
    <row r="950" spans="1:23">
      <c r="A950" s="1655" t="s">
        <v>70</v>
      </c>
      <c r="B950" s="1655" t="s">
        <v>1919</v>
      </c>
      <c r="C950" s="1655" t="s">
        <v>570</v>
      </c>
      <c r="D950" s="1655" t="s">
        <v>43</v>
      </c>
      <c r="E950" s="1655" t="s">
        <v>569</v>
      </c>
      <c r="G950" s="1655" t="s">
        <v>70</v>
      </c>
      <c r="H950" s="1655" t="s">
        <v>1919</v>
      </c>
      <c r="I950" s="1655" t="s">
        <v>570</v>
      </c>
      <c r="J950" s="1655" t="s">
        <v>43</v>
      </c>
      <c r="K950" s="1655" t="s">
        <v>569</v>
      </c>
      <c r="M950" s="1655" t="s">
        <v>70</v>
      </c>
      <c r="N950" s="1655" t="s">
        <v>1919</v>
      </c>
      <c r="O950" s="1655" t="s">
        <v>570</v>
      </c>
      <c r="P950" s="1655" t="s">
        <v>43</v>
      </c>
      <c r="Q950" s="1655" t="s">
        <v>569</v>
      </c>
      <c r="S950" s="1655" t="s">
        <v>70</v>
      </c>
      <c r="T950" s="1655" t="s">
        <v>1919</v>
      </c>
      <c r="U950" s="1655" t="s">
        <v>570</v>
      </c>
      <c r="V950" s="1655" t="s">
        <v>43</v>
      </c>
      <c r="W950" s="1655" t="s">
        <v>569</v>
      </c>
    </row>
    <row r="951" spans="1:23">
      <c r="A951" s="1655" t="s">
        <v>70</v>
      </c>
      <c r="B951" s="1655" t="s">
        <v>1920</v>
      </c>
      <c r="C951" s="1655" t="s">
        <v>570</v>
      </c>
      <c r="D951" s="1655" t="s">
        <v>43</v>
      </c>
      <c r="E951" s="1655" t="s">
        <v>569</v>
      </c>
      <c r="G951" s="1655" t="s">
        <v>70</v>
      </c>
      <c r="H951" s="1655" t="s">
        <v>1920</v>
      </c>
      <c r="I951" s="1655" t="s">
        <v>570</v>
      </c>
      <c r="J951" s="1655" t="s">
        <v>43</v>
      </c>
      <c r="K951" s="1655" t="s">
        <v>569</v>
      </c>
      <c r="M951" s="1655" t="s">
        <v>70</v>
      </c>
      <c r="N951" s="1655" t="s">
        <v>1920</v>
      </c>
      <c r="O951" s="1655" t="s">
        <v>570</v>
      </c>
      <c r="P951" s="1655" t="s">
        <v>43</v>
      </c>
      <c r="Q951" s="1655" t="s">
        <v>569</v>
      </c>
      <c r="S951" s="1655" t="s">
        <v>70</v>
      </c>
      <c r="T951" s="1655" t="s">
        <v>1920</v>
      </c>
      <c r="U951" s="1655" t="s">
        <v>570</v>
      </c>
      <c r="V951" s="1655" t="s">
        <v>43</v>
      </c>
      <c r="W951" s="1655" t="s">
        <v>569</v>
      </c>
    </row>
    <row r="952" spans="1:23">
      <c r="A952" s="1655" t="s">
        <v>70</v>
      </c>
      <c r="B952" s="1655" t="s">
        <v>1921</v>
      </c>
      <c r="C952" s="1655" t="s">
        <v>570</v>
      </c>
      <c r="D952" s="1655" t="s">
        <v>43</v>
      </c>
      <c r="E952" s="1655" t="s">
        <v>569</v>
      </c>
      <c r="G952" s="1655" t="s">
        <v>70</v>
      </c>
      <c r="H952" s="1655" t="s">
        <v>1921</v>
      </c>
      <c r="I952" s="1655" t="s">
        <v>570</v>
      </c>
      <c r="J952" s="1655" t="s">
        <v>43</v>
      </c>
      <c r="K952" s="1655" t="s">
        <v>569</v>
      </c>
      <c r="M952" s="1655" t="s">
        <v>70</v>
      </c>
      <c r="N952" s="1655" t="s">
        <v>1921</v>
      </c>
      <c r="O952" s="1655" t="s">
        <v>570</v>
      </c>
      <c r="P952" s="1655" t="s">
        <v>43</v>
      </c>
      <c r="Q952" s="1655" t="s">
        <v>569</v>
      </c>
      <c r="S952" s="1655" t="s">
        <v>70</v>
      </c>
      <c r="T952" s="1655" t="s">
        <v>1921</v>
      </c>
      <c r="U952" s="1655" t="s">
        <v>570</v>
      </c>
      <c r="V952" s="1655" t="s">
        <v>43</v>
      </c>
      <c r="W952" s="1655" t="s">
        <v>569</v>
      </c>
    </row>
    <row r="953" spans="1:23">
      <c r="A953" s="1655" t="s">
        <v>70</v>
      </c>
      <c r="B953" s="1655" t="s">
        <v>1922</v>
      </c>
      <c r="C953" s="1655" t="s">
        <v>570</v>
      </c>
      <c r="D953" s="1655" t="s">
        <v>43</v>
      </c>
      <c r="E953" s="1655" t="s">
        <v>569</v>
      </c>
      <c r="G953" s="1655" t="s">
        <v>70</v>
      </c>
      <c r="H953" s="1655" t="s">
        <v>1922</v>
      </c>
      <c r="I953" s="1655" t="s">
        <v>570</v>
      </c>
      <c r="J953" s="1655" t="s">
        <v>43</v>
      </c>
      <c r="K953" s="1655" t="s">
        <v>569</v>
      </c>
      <c r="M953" s="1655" t="s">
        <v>70</v>
      </c>
      <c r="N953" s="1655" t="s">
        <v>1922</v>
      </c>
      <c r="O953" s="1655" t="s">
        <v>570</v>
      </c>
      <c r="P953" s="1655" t="s">
        <v>43</v>
      </c>
      <c r="Q953" s="1655" t="s">
        <v>569</v>
      </c>
      <c r="S953" s="1655" t="s">
        <v>70</v>
      </c>
      <c r="T953" s="1655" t="s">
        <v>1922</v>
      </c>
      <c r="U953" s="1655" t="s">
        <v>570</v>
      </c>
      <c r="V953" s="1655" t="s">
        <v>43</v>
      </c>
      <c r="W953" s="1655" t="s">
        <v>569</v>
      </c>
    </row>
    <row r="954" spans="1:23">
      <c r="A954" s="1655" t="s">
        <v>70</v>
      </c>
      <c r="B954" s="1655" t="s">
        <v>1923</v>
      </c>
      <c r="C954" s="1655" t="s">
        <v>570</v>
      </c>
      <c r="D954" s="1655" t="s">
        <v>43</v>
      </c>
      <c r="E954" s="1655" t="s">
        <v>569</v>
      </c>
      <c r="G954" s="1655" t="s">
        <v>70</v>
      </c>
      <c r="H954" s="1655" t="s">
        <v>1923</v>
      </c>
      <c r="I954" s="1655" t="s">
        <v>570</v>
      </c>
      <c r="J954" s="1655" t="s">
        <v>43</v>
      </c>
      <c r="K954" s="1655" t="s">
        <v>569</v>
      </c>
      <c r="M954" s="1655" t="s">
        <v>70</v>
      </c>
      <c r="N954" s="1655" t="s">
        <v>1923</v>
      </c>
      <c r="O954" s="1655" t="s">
        <v>570</v>
      </c>
      <c r="P954" s="1655" t="s">
        <v>43</v>
      </c>
      <c r="Q954" s="1655" t="s">
        <v>569</v>
      </c>
      <c r="S954" s="1655" t="s">
        <v>70</v>
      </c>
      <c r="T954" s="1655" t="s">
        <v>1923</v>
      </c>
      <c r="U954" s="1655" t="s">
        <v>570</v>
      </c>
      <c r="V954" s="1655" t="s">
        <v>43</v>
      </c>
      <c r="W954" s="1655" t="s">
        <v>569</v>
      </c>
    </row>
    <row r="955" spans="1:23">
      <c r="A955" s="1655" t="s">
        <v>70</v>
      </c>
      <c r="B955" s="1655" t="s">
        <v>1924</v>
      </c>
      <c r="C955" s="1655" t="s">
        <v>570</v>
      </c>
      <c r="D955" s="1655" t="s">
        <v>43</v>
      </c>
      <c r="E955" s="1655" t="s">
        <v>569</v>
      </c>
      <c r="G955" s="1655" t="s">
        <v>70</v>
      </c>
      <c r="H955" s="1655" t="s">
        <v>1924</v>
      </c>
      <c r="I955" s="1655" t="s">
        <v>570</v>
      </c>
      <c r="J955" s="1655" t="s">
        <v>43</v>
      </c>
      <c r="K955" s="1655" t="s">
        <v>569</v>
      </c>
      <c r="M955" s="1655" t="s">
        <v>70</v>
      </c>
      <c r="N955" s="1655" t="s">
        <v>1924</v>
      </c>
      <c r="O955" s="1655" t="s">
        <v>570</v>
      </c>
      <c r="P955" s="1655" t="s">
        <v>43</v>
      </c>
      <c r="Q955" s="1655" t="s">
        <v>569</v>
      </c>
      <c r="S955" s="1655" t="s">
        <v>70</v>
      </c>
      <c r="T955" s="1655" t="s">
        <v>1924</v>
      </c>
      <c r="U955" s="1655" t="s">
        <v>570</v>
      </c>
      <c r="V955" s="1655" t="s">
        <v>43</v>
      </c>
      <c r="W955" s="1655" t="s">
        <v>569</v>
      </c>
    </row>
    <row r="956" spans="1:23">
      <c r="A956" s="1655" t="s">
        <v>70</v>
      </c>
      <c r="B956" s="1655" t="s">
        <v>1925</v>
      </c>
      <c r="C956" s="1655" t="s">
        <v>570</v>
      </c>
      <c r="D956" s="1655" t="s">
        <v>43</v>
      </c>
      <c r="E956" s="1655" t="s">
        <v>569</v>
      </c>
      <c r="G956" s="1655" t="s">
        <v>70</v>
      </c>
      <c r="H956" s="1655" t="s">
        <v>1925</v>
      </c>
      <c r="I956" s="1655" t="s">
        <v>570</v>
      </c>
      <c r="J956" s="1655" t="s">
        <v>43</v>
      </c>
      <c r="K956" s="1655" t="s">
        <v>569</v>
      </c>
      <c r="M956" s="1655" t="s">
        <v>70</v>
      </c>
      <c r="N956" s="1655" t="s">
        <v>1925</v>
      </c>
      <c r="O956" s="1655" t="s">
        <v>570</v>
      </c>
      <c r="P956" s="1655" t="s">
        <v>43</v>
      </c>
      <c r="Q956" s="1655" t="s">
        <v>569</v>
      </c>
      <c r="S956" s="1655" t="s">
        <v>70</v>
      </c>
      <c r="T956" s="1655" t="s">
        <v>1925</v>
      </c>
      <c r="U956" s="1655" t="s">
        <v>570</v>
      </c>
      <c r="V956" s="1655" t="s">
        <v>43</v>
      </c>
      <c r="W956" s="1655" t="s">
        <v>569</v>
      </c>
    </row>
    <row r="957" spans="1:23">
      <c r="A957" s="1655" t="s">
        <v>70</v>
      </c>
      <c r="B957" s="1655" t="s">
        <v>1926</v>
      </c>
      <c r="C957" s="1655" t="s">
        <v>570</v>
      </c>
      <c r="D957" s="1655" t="s">
        <v>43</v>
      </c>
      <c r="E957" s="1655" t="s">
        <v>569</v>
      </c>
      <c r="G957" s="1655" t="s">
        <v>70</v>
      </c>
      <c r="H957" s="1655" t="s">
        <v>1926</v>
      </c>
      <c r="I957" s="1655" t="s">
        <v>570</v>
      </c>
      <c r="J957" s="1655" t="s">
        <v>43</v>
      </c>
      <c r="K957" s="1655" t="s">
        <v>569</v>
      </c>
      <c r="M957" s="1655" t="s">
        <v>70</v>
      </c>
      <c r="N957" s="1655" t="s">
        <v>1926</v>
      </c>
      <c r="O957" s="1655" t="s">
        <v>570</v>
      </c>
      <c r="P957" s="1655" t="s">
        <v>43</v>
      </c>
      <c r="Q957" s="1655" t="s">
        <v>569</v>
      </c>
      <c r="S957" s="1655" t="s">
        <v>70</v>
      </c>
      <c r="T957" s="1655" t="s">
        <v>1926</v>
      </c>
      <c r="U957" s="1655" t="s">
        <v>570</v>
      </c>
      <c r="V957" s="1655" t="s">
        <v>43</v>
      </c>
      <c r="W957" s="1655" t="s">
        <v>569</v>
      </c>
    </row>
    <row r="958" spans="1:23">
      <c r="A958" s="1655" t="s">
        <v>70</v>
      </c>
      <c r="B958" s="1655" t="s">
        <v>1927</v>
      </c>
      <c r="C958" s="1655" t="s">
        <v>570</v>
      </c>
      <c r="D958" s="1655" t="s">
        <v>43</v>
      </c>
      <c r="E958" s="1655" t="s">
        <v>569</v>
      </c>
      <c r="G958" s="1655" t="s">
        <v>70</v>
      </c>
      <c r="H958" s="1655" t="s">
        <v>1927</v>
      </c>
      <c r="I958" s="1655" t="s">
        <v>570</v>
      </c>
      <c r="J958" s="1655" t="s">
        <v>43</v>
      </c>
      <c r="K958" s="1655" t="s">
        <v>569</v>
      </c>
      <c r="M958" s="1655" t="s">
        <v>70</v>
      </c>
      <c r="N958" s="1655" t="s">
        <v>1927</v>
      </c>
      <c r="O958" s="1655" t="s">
        <v>570</v>
      </c>
      <c r="P958" s="1655" t="s">
        <v>43</v>
      </c>
      <c r="Q958" s="1655" t="s">
        <v>569</v>
      </c>
      <c r="S958" s="1655" t="s">
        <v>70</v>
      </c>
      <c r="T958" s="1655" t="s">
        <v>1927</v>
      </c>
      <c r="U958" s="1655" t="s">
        <v>570</v>
      </c>
      <c r="V958" s="1655" t="s">
        <v>43</v>
      </c>
      <c r="W958" s="1655" t="s">
        <v>569</v>
      </c>
    </row>
    <row r="959" spans="1:23">
      <c r="A959" s="1655" t="s">
        <v>70</v>
      </c>
      <c r="B959" s="1655" t="s">
        <v>1928</v>
      </c>
      <c r="C959" s="1655" t="s">
        <v>570</v>
      </c>
      <c r="D959" s="1655" t="s">
        <v>43</v>
      </c>
      <c r="E959" s="1655" t="s">
        <v>569</v>
      </c>
      <c r="G959" s="1655" t="s">
        <v>70</v>
      </c>
      <c r="H959" s="1655" t="s">
        <v>1928</v>
      </c>
      <c r="I959" s="1655" t="s">
        <v>570</v>
      </c>
      <c r="J959" s="1655" t="s">
        <v>43</v>
      </c>
      <c r="K959" s="1655" t="s">
        <v>569</v>
      </c>
      <c r="M959" s="1655" t="s">
        <v>70</v>
      </c>
      <c r="N959" s="1655" t="s">
        <v>1928</v>
      </c>
      <c r="O959" s="1655" t="s">
        <v>570</v>
      </c>
      <c r="P959" s="1655" t="s">
        <v>43</v>
      </c>
      <c r="Q959" s="1655" t="s">
        <v>569</v>
      </c>
      <c r="S959" s="1655" t="s">
        <v>70</v>
      </c>
      <c r="T959" s="1655" t="s">
        <v>1928</v>
      </c>
      <c r="U959" s="1655" t="s">
        <v>570</v>
      </c>
      <c r="V959" s="1655" t="s">
        <v>43</v>
      </c>
      <c r="W959" s="1655" t="s">
        <v>569</v>
      </c>
    </row>
    <row r="960" spans="1:23">
      <c r="A960" s="1655" t="s">
        <v>70</v>
      </c>
      <c r="B960" s="1655" t="s">
        <v>1929</v>
      </c>
      <c r="C960" s="1655" t="s">
        <v>570</v>
      </c>
      <c r="D960" s="1655" t="s">
        <v>43</v>
      </c>
      <c r="E960" s="1655" t="s">
        <v>569</v>
      </c>
      <c r="G960" s="1655" t="s">
        <v>70</v>
      </c>
      <c r="H960" s="1655" t="s">
        <v>1929</v>
      </c>
      <c r="I960" s="1655" t="s">
        <v>570</v>
      </c>
      <c r="J960" s="1655" t="s">
        <v>43</v>
      </c>
      <c r="K960" s="1655" t="s">
        <v>569</v>
      </c>
      <c r="M960" s="1655" t="s">
        <v>70</v>
      </c>
      <c r="N960" s="1655" t="s">
        <v>1929</v>
      </c>
      <c r="O960" s="1655" t="s">
        <v>570</v>
      </c>
      <c r="P960" s="1655" t="s">
        <v>43</v>
      </c>
      <c r="Q960" s="1655" t="s">
        <v>569</v>
      </c>
      <c r="S960" s="1655" t="s">
        <v>70</v>
      </c>
      <c r="T960" s="1655" t="s">
        <v>1929</v>
      </c>
      <c r="U960" s="1655" t="s">
        <v>570</v>
      </c>
      <c r="V960" s="1655" t="s">
        <v>43</v>
      </c>
      <c r="W960" s="1655" t="s">
        <v>569</v>
      </c>
    </row>
    <row r="961" spans="1:23">
      <c r="A961" s="1655" t="s">
        <v>70</v>
      </c>
      <c r="B961" s="1655" t="s">
        <v>1930</v>
      </c>
      <c r="C961" s="1655" t="s">
        <v>570</v>
      </c>
      <c r="D961" s="1655" t="s">
        <v>43</v>
      </c>
      <c r="E961" s="1655" t="s">
        <v>569</v>
      </c>
      <c r="G961" s="1655" t="s">
        <v>70</v>
      </c>
      <c r="H961" s="1655" t="s">
        <v>1930</v>
      </c>
      <c r="I961" s="1655" t="s">
        <v>570</v>
      </c>
      <c r="J961" s="1655" t="s">
        <v>43</v>
      </c>
      <c r="K961" s="1655" t="s">
        <v>569</v>
      </c>
      <c r="M961" s="1655" t="s">
        <v>70</v>
      </c>
      <c r="N961" s="1655" t="s">
        <v>1930</v>
      </c>
      <c r="O961" s="1655" t="s">
        <v>570</v>
      </c>
      <c r="P961" s="1655" t="s">
        <v>43</v>
      </c>
      <c r="Q961" s="1655" t="s">
        <v>569</v>
      </c>
      <c r="S961" s="1655" t="s">
        <v>70</v>
      </c>
      <c r="T961" s="1655" t="s">
        <v>1930</v>
      </c>
      <c r="U961" s="1655" t="s">
        <v>570</v>
      </c>
      <c r="V961" s="1655" t="s">
        <v>43</v>
      </c>
      <c r="W961" s="1655" t="s">
        <v>569</v>
      </c>
    </row>
    <row r="962" spans="1:23">
      <c r="A962" s="1655" t="s">
        <v>70</v>
      </c>
      <c r="B962" s="1655" t="s">
        <v>1931</v>
      </c>
      <c r="C962" s="1655" t="s">
        <v>570</v>
      </c>
      <c r="D962" s="1655" t="s">
        <v>43</v>
      </c>
      <c r="E962" s="1655" t="s">
        <v>569</v>
      </c>
      <c r="G962" s="1655" t="s">
        <v>70</v>
      </c>
      <c r="H962" s="1655" t="s">
        <v>1931</v>
      </c>
      <c r="I962" s="1655" t="s">
        <v>570</v>
      </c>
      <c r="J962" s="1655" t="s">
        <v>43</v>
      </c>
      <c r="K962" s="1655" t="s">
        <v>569</v>
      </c>
      <c r="M962" s="1655" t="s">
        <v>70</v>
      </c>
      <c r="N962" s="1655" t="s">
        <v>1931</v>
      </c>
      <c r="O962" s="1655" t="s">
        <v>570</v>
      </c>
      <c r="P962" s="1655" t="s">
        <v>43</v>
      </c>
      <c r="Q962" s="1655" t="s">
        <v>569</v>
      </c>
      <c r="S962" s="1655" t="s">
        <v>70</v>
      </c>
      <c r="T962" s="1655" t="s">
        <v>1931</v>
      </c>
      <c r="U962" s="1655" t="s">
        <v>570</v>
      </c>
      <c r="V962" s="1655" t="s">
        <v>43</v>
      </c>
      <c r="W962" s="1655" t="s">
        <v>569</v>
      </c>
    </row>
    <row r="963" spans="1:23">
      <c r="A963" s="1655" t="s">
        <v>70</v>
      </c>
      <c r="B963" s="1655" t="s">
        <v>1932</v>
      </c>
      <c r="C963" s="1655" t="s">
        <v>570</v>
      </c>
      <c r="D963" s="1655" t="s">
        <v>43</v>
      </c>
      <c r="E963" s="1655" t="s">
        <v>569</v>
      </c>
      <c r="G963" s="1655" t="s">
        <v>70</v>
      </c>
      <c r="H963" s="1655" t="s">
        <v>1932</v>
      </c>
      <c r="I963" s="1655" t="s">
        <v>570</v>
      </c>
      <c r="J963" s="1655" t="s">
        <v>43</v>
      </c>
      <c r="K963" s="1655" t="s">
        <v>569</v>
      </c>
      <c r="M963" s="1655" t="s">
        <v>70</v>
      </c>
      <c r="N963" s="1655" t="s">
        <v>1932</v>
      </c>
      <c r="O963" s="1655" t="s">
        <v>570</v>
      </c>
      <c r="P963" s="1655" t="s">
        <v>43</v>
      </c>
      <c r="Q963" s="1655" t="s">
        <v>569</v>
      </c>
      <c r="S963" s="1655" t="s">
        <v>70</v>
      </c>
      <c r="T963" s="1655" t="s">
        <v>1932</v>
      </c>
      <c r="U963" s="1655" t="s">
        <v>570</v>
      </c>
      <c r="V963" s="1655" t="s">
        <v>43</v>
      </c>
      <c r="W963" s="1655" t="s">
        <v>569</v>
      </c>
    </row>
    <row r="964" spans="1:23">
      <c r="A964" s="1655" t="s">
        <v>70</v>
      </c>
      <c r="B964" s="1655" t="s">
        <v>1933</v>
      </c>
      <c r="C964" s="1655" t="s">
        <v>570</v>
      </c>
      <c r="D964" s="1655" t="s">
        <v>43</v>
      </c>
      <c r="E964" s="1655" t="s">
        <v>569</v>
      </c>
      <c r="G964" s="1655" t="s">
        <v>70</v>
      </c>
      <c r="H964" s="1655" t="s">
        <v>1933</v>
      </c>
      <c r="I964" s="1655" t="s">
        <v>570</v>
      </c>
      <c r="J964" s="1655" t="s">
        <v>43</v>
      </c>
      <c r="K964" s="1655" t="s">
        <v>569</v>
      </c>
      <c r="M964" s="1655" t="s">
        <v>70</v>
      </c>
      <c r="N964" s="1655" t="s">
        <v>1933</v>
      </c>
      <c r="O964" s="1655" t="s">
        <v>570</v>
      </c>
      <c r="P964" s="1655" t="s">
        <v>43</v>
      </c>
      <c r="Q964" s="1655" t="s">
        <v>569</v>
      </c>
      <c r="S964" s="1655" t="s">
        <v>70</v>
      </c>
      <c r="T964" s="1655" t="s">
        <v>1933</v>
      </c>
      <c r="U964" s="1655" t="s">
        <v>570</v>
      </c>
      <c r="V964" s="1655" t="s">
        <v>43</v>
      </c>
      <c r="W964" s="1655" t="s">
        <v>569</v>
      </c>
    </row>
    <row r="965" spans="1:23">
      <c r="A965" s="1655" t="s">
        <v>70</v>
      </c>
      <c r="B965" s="1655" t="s">
        <v>1934</v>
      </c>
      <c r="C965" s="1655" t="s">
        <v>570</v>
      </c>
      <c r="D965" s="1655" t="s">
        <v>43</v>
      </c>
      <c r="E965" s="1655" t="s">
        <v>569</v>
      </c>
      <c r="G965" s="1655" t="s">
        <v>70</v>
      </c>
      <c r="H965" s="1655" t="s">
        <v>1934</v>
      </c>
      <c r="I965" s="1655" t="s">
        <v>570</v>
      </c>
      <c r="J965" s="1655" t="s">
        <v>43</v>
      </c>
      <c r="K965" s="1655" t="s">
        <v>569</v>
      </c>
      <c r="M965" s="1655" t="s">
        <v>70</v>
      </c>
      <c r="N965" s="1655" t="s">
        <v>1934</v>
      </c>
      <c r="O965" s="1655" t="s">
        <v>570</v>
      </c>
      <c r="P965" s="1655" t="s">
        <v>43</v>
      </c>
      <c r="Q965" s="1655" t="s">
        <v>569</v>
      </c>
      <c r="S965" s="1655" t="s">
        <v>70</v>
      </c>
      <c r="T965" s="1655" t="s">
        <v>1934</v>
      </c>
      <c r="U965" s="1655" t="s">
        <v>570</v>
      </c>
      <c r="V965" s="1655" t="s">
        <v>43</v>
      </c>
      <c r="W965" s="1655" t="s">
        <v>569</v>
      </c>
    </row>
    <row r="966" spans="1:23">
      <c r="A966" s="1655" t="s">
        <v>70</v>
      </c>
      <c r="B966" s="1655" t="s">
        <v>1935</v>
      </c>
      <c r="C966" s="1655" t="s">
        <v>570</v>
      </c>
      <c r="D966" s="1655" t="s">
        <v>43</v>
      </c>
      <c r="E966" s="1655" t="s">
        <v>569</v>
      </c>
      <c r="G966" s="1655" t="s">
        <v>70</v>
      </c>
      <c r="H966" s="1655" t="s">
        <v>1935</v>
      </c>
      <c r="I966" s="1655" t="s">
        <v>570</v>
      </c>
      <c r="J966" s="1655" t="s">
        <v>43</v>
      </c>
      <c r="K966" s="1655" t="s">
        <v>569</v>
      </c>
      <c r="M966" s="1655" t="s">
        <v>70</v>
      </c>
      <c r="N966" s="1655" t="s">
        <v>1935</v>
      </c>
      <c r="O966" s="1655" t="s">
        <v>570</v>
      </c>
      <c r="P966" s="1655" t="s">
        <v>43</v>
      </c>
      <c r="Q966" s="1655" t="s">
        <v>569</v>
      </c>
      <c r="S966" s="1655" t="s">
        <v>70</v>
      </c>
      <c r="T966" s="1655" t="s">
        <v>1935</v>
      </c>
      <c r="U966" s="1655" t="s">
        <v>570</v>
      </c>
      <c r="V966" s="1655" t="s">
        <v>43</v>
      </c>
      <c r="W966" s="1655" t="s">
        <v>569</v>
      </c>
    </row>
    <row r="967" spans="1:23">
      <c r="A967" s="1655" t="s">
        <v>70</v>
      </c>
      <c r="B967" s="1655" t="s">
        <v>1936</v>
      </c>
      <c r="C967" s="1655" t="s">
        <v>570</v>
      </c>
      <c r="D967" s="1655" t="s">
        <v>43</v>
      </c>
      <c r="E967" s="1655" t="s">
        <v>569</v>
      </c>
      <c r="G967" s="1655" t="s">
        <v>70</v>
      </c>
      <c r="H967" s="1655" t="s">
        <v>1936</v>
      </c>
      <c r="I967" s="1655" t="s">
        <v>570</v>
      </c>
      <c r="J967" s="1655" t="s">
        <v>43</v>
      </c>
      <c r="K967" s="1655" t="s">
        <v>569</v>
      </c>
      <c r="M967" s="1655" t="s">
        <v>70</v>
      </c>
      <c r="N967" s="1655" t="s">
        <v>1936</v>
      </c>
      <c r="O967" s="1655" t="s">
        <v>570</v>
      </c>
      <c r="P967" s="1655" t="s">
        <v>43</v>
      </c>
      <c r="Q967" s="1655" t="s">
        <v>569</v>
      </c>
      <c r="S967" s="1655" t="s">
        <v>70</v>
      </c>
      <c r="T967" s="1655" t="s">
        <v>1936</v>
      </c>
      <c r="U967" s="1655" t="s">
        <v>570</v>
      </c>
      <c r="V967" s="1655" t="s">
        <v>43</v>
      </c>
      <c r="W967" s="1655" t="s">
        <v>569</v>
      </c>
    </row>
    <row r="968" spans="1:23">
      <c r="A968" s="1655" t="s">
        <v>70</v>
      </c>
      <c r="B968" s="1655" t="s">
        <v>1937</v>
      </c>
      <c r="C968" s="1655" t="s">
        <v>570</v>
      </c>
      <c r="D968" s="1655" t="s">
        <v>43</v>
      </c>
      <c r="E968" s="1655" t="s">
        <v>569</v>
      </c>
      <c r="G968" s="1655" t="s">
        <v>70</v>
      </c>
      <c r="H968" s="1655" t="s">
        <v>1937</v>
      </c>
      <c r="I968" s="1655" t="s">
        <v>570</v>
      </c>
      <c r="J968" s="1655" t="s">
        <v>43</v>
      </c>
      <c r="K968" s="1655" t="s">
        <v>569</v>
      </c>
      <c r="M968" s="1655" t="s">
        <v>70</v>
      </c>
      <c r="N968" s="1655" t="s">
        <v>1937</v>
      </c>
      <c r="O968" s="1655" t="s">
        <v>570</v>
      </c>
      <c r="P968" s="1655" t="s">
        <v>43</v>
      </c>
      <c r="Q968" s="1655" t="s">
        <v>569</v>
      </c>
      <c r="S968" s="1655" t="s">
        <v>70</v>
      </c>
      <c r="T968" s="1655" t="s">
        <v>1937</v>
      </c>
      <c r="U968" s="1655" t="s">
        <v>570</v>
      </c>
      <c r="V968" s="1655" t="s">
        <v>43</v>
      </c>
      <c r="W968" s="1655" t="s">
        <v>569</v>
      </c>
    </row>
    <row r="969" spans="1:23">
      <c r="A969" s="1655" t="s">
        <v>70</v>
      </c>
      <c r="B969" s="1655" t="s">
        <v>1938</v>
      </c>
      <c r="C969" s="1655" t="s">
        <v>570</v>
      </c>
      <c r="D969" s="1655" t="s">
        <v>43</v>
      </c>
      <c r="E969" s="1655" t="s">
        <v>569</v>
      </c>
      <c r="G969" s="1655" t="s">
        <v>70</v>
      </c>
      <c r="H969" s="1655" t="s">
        <v>1938</v>
      </c>
      <c r="I969" s="1655" t="s">
        <v>570</v>
      </c>
      <c r="J969" s="1655" t="s">
        <v>43</v>
      </c>
      <c r="K969" s="1655" t="s">
        <v>569</v>
      </c>
      <c r="M969" s="1655" t="s">
        <v>70</v>
      </c>
      <c r="N969" s="1655" t="s">
        <v>1938</v>
      </c>
      <c r="O969" s="1655" t="s">
        <v>570</v>
      </c>
      <c r="P969" s="1655" t="s">
        <v>43</v>
      </c>
      <c r="Q969" s="1655" t="s">
        <v>569</v>
      </c>
      <c r="S969" s="1655" t="s">
        <v>70</v>
      </c>
      <c r="T969" s="1655" t="s">
        <v>1938</v>
      </c>
      <c r="U969" s="1655" t="s">
        <v>570</v>
      </c>
      <c r="V969" s="1655" t="s">
        <v>43</v>
      </c>
      <c r="W969" s="1655" t="s">
        <v>569</v>
      </c>
    </row>
    <row r="970" spans="1:23">
      <c r="A970" s="1655" t="s">
        <v>70</v>
      </c>
      <c r="B970" s="1655" t="s">
        <v>1939</v>
      </c>
      <c r="C970" s="1655" t="s">
        <v>570</v>
      </c>
      <c r="D970" s="1655" t="s">
        <v>43</v>
      </c>
      <c r="E970" s="1655" t="s">
        <v>569</v>
      </c>
      <c r="G970" s="1655" t="s">
        <v>70</v>
      </c>
      <c r="H970" s="1655" t="s">
        <v>1939</v>
      </c>
      <c r="I970" s="1655" t="s">
        <v>570</v>
      </c>
      <c r="J970" s="1655" t="s">
        <v>43</v>
      </c>
      <c r="K970" s="1655" t="s">
        <v>569</v>
      </c>
      <c r="M970" s="1655" t="s">
        <v>70</v>
      </c>
      <c r="N970" s="1655" t="s">
        <v>1939</v>
      </c>
      <c r="O970" s="1655" t="s">
        <v>570</v>
      </c>
      <c r="P970" s="1655" t="s">
        <v>43</v>
      </c>
      <c r="Q970" s="1655" t="s">
        <v>569</v>
      </c>
      <c r="S970" s="1655" t="s">
        <v>70</v>
      </c>
      <c r="T970" s="1655" t="s">
        <v>1939</v>
      </c>
      <c r="U970" s="1655" t="s">
        <v>570</v>
      </c>
      <c r="V970" s="1655" t="s">
        <v>43</v>
      </c>
      <c r="W970" s="1655" t="s">
        <v>569</v>
      </c>
    </row>
    <row r="971" spans="1:23">
      <c r="A971" s="1655" t="s">
        <v>70</v>
      </c>
      <c r="B971" s="1655" t="s">
        <v>1940</v>
      </c>
      <c r="C971" s="1655" t="s">
        <v>570</v>
      </c>
      <c r="D971" s="1655" t="s">
        <v>43</v>
      </c>
      <c r="E971" s="1655" t="s">
        <v>569</v>
      </c>
      <c r="G971" s="1655" t="s">
        <v>70</v>
      </c>
      <c r="H971" s="1655" t="s">
        <v>1940</v>
      </c>
      <c r="I971" s="1655" t="s">
        <v>570</v>
      </c>
      <c r="J971" s="1655" t="s">
        <v>43</v>
      </c>
      <c r="K971" s="1655" t="s">
        <v>569</v>
      </c>
      <c r="M971" s="1655" t="s">
        <v>70</v>
      </c>
      <c r="N971" s="1655" t="s">
        <v>1940</v>
      </c>
      <c r="O971" s="1655" t="s">
        <v>570</v>
      </c>
      <c r="P971" s="1655" t="s">
        <v>43</v>
      </c>
      <c r="Q971" s="1655" t="s">
        <v>569</v>
      </c>
      <c r="S971" s="1655" t="s">
        <v>70</v>
      </c>
      <c r="T971" s="1655" t="s">
        <v>1940</v>
      </c>
      <c r="U971" s="1655" t="s">
        <v>570</v>
      </c>
      <c r="V971" s="1655" t="s">
        <v>43</v>
      </c>
      <c r="W971" s="1655" t="s">
        <v>569</v>
      </c>
    </row>
    <row r="972" spans="1:23">
      <c r="A972" s="1655" t="s">
        <v>70</v>
      </c>
      <c r="B972" s="1655" t="s">
        <v>1941</v>
      </c>
      <c r="C972" s="1655" t="s">
        <v>570</v>
      </c>
      <c r="D972" s="1655" t="s">
        <v>43</v>
      </c>
      <c r="E972" s="1655" t="s">
        <v>569</v>
      </c>
      <c r="G972" s="1655" t="s">
        <v>70</v>
      </c>
      <c r="H972" s="1655" t="s">
        <v>1941</v>
      </c>
      <c r="I972" s="1655" t="s">
        <v>570</v>
      </c>
      <c r="J972" s="1655" t="s">
        <v>43</v>
      </c>
      <c r="K972" s="1655" t="s">
        <v>569</v>
      </c>
      <c r="M972" s="1655" t="s">
        <v>70</v>
      </c>
      <c r="N972" s="1655" t="s">
        <v>1941</v>
      </c>
      <c r="O972" s="1655" t="s">
        <v>570</v>
      </c>
      <c r="P972" s="1655" t="s">
        <v>43</v>
      </c>
      <c r="Q972" s="1655" t="s">
        <v>569</v>
      </c>
      <c r="S972" s="1655" t="s">
        <v>70</v>
      </c>
      <c r="T972" s="1655" t="s">
        <v>1941</v>
      </c>
      <c r="U972" s="1655" t="s">
        <v>570</v>
      </c>
      <c r="V972" s="1655" t="s">
        <v>43</v>
      </c>
      <c r="W972" s="1655" t="s">
        <v>569</v>
      </c>
    </row>
    <row r="973" spans="1:23">
      <c r="A973" s="1655" t="s">
        <v>70</v>
      </c>
      <c r="B973" s="1655" t="s">
        <v>1942</v>
      </c>
      <c r="C973" s="1655" t="s">
        <v>570</v>
      </c>
      <c r="D973" s="1655" t="s">
        <v>43</v>
      </c>
      <c r="E973" s="1655" t="s">
        <v>569</v>
      </c>
      <c r="G973" s="1655" t="s">
        <v>70</v>
      </c>
      <c r="H973" s="1655" t="s">
        <v>1942</v>
      </c>
      <c r="I973" s="1655" t="s">
        <v>570</v>
      </c>
      <c r="J973" s="1655" t="s">
        <v>43</v>
      </c>
      <c r="K973" s="1655" t="s">
        <v>569</v>
      </c>
      <c r="M973" s="1655" t="s">
        <v>70</v>
      </c>
      <c r="N973" s="1655" t="s">
        <v>1942</v>
      </c>
      <c r="O973" s="1655" t="s">
        <v>570</v>
      </c>
      <c r="P973" s="1655" t="s">
        <v>43</v>
      </c>
      <c r="Q973" s="1655" t="s">
        <v>569</v>
      </c>
      <c r="S973" s="1655" t="s">
        <v>70</v>
      </c>
      <c r="T973" s="1655" t="s">
        <v>1942</v>
      </c>
      <c r="U973" s="1655" t="s">
        <v>570</v>
      </c>
      <c r="V973" s="1655" t="s">
        <v>43</v>
      </c>
      <c r="W973" s="1655" t="s">
        <v>569</v>
      </c>
    </row>
    <row r="974" spans="1:23">
      <c r="A974" s="1655" t="s">
        <v>70</v>
      </c>
      <c r="B974" s="1655" t="s">
        <v>1943</v>
      </c>
      <c r="C974" s="1655" t="s">
        <v>570</v>
      </c>
      <c r="D974" s="1655" t="s">
        <v>43</v>
      </c>
      <c r="E974" s="1655" t="s">
        <v>569</v>
      </c>
      <c r="G974" s="1655" t="s">
        <v>70</v>
      </c>
      <c r="H974" s="1655" t="s">
        <v>1943</v>
      </c>
      <c r="I974" s="1655" t="s">
        <v>570</v>
      </c>
      <c r="J974" s="1655" t="s">
        <v>43</v>
      </c>
      <c r="K974" s="1655" t="s">
        <v>569</v>
      </c>
      <c r="M974" s="1655" t="s">
        <v>70</v>
      </c>
      <c r="N974" s="1655" t="s">
        <v>1943</v>
      </c>
      <c r="O974" s="1655" t="s">
        <v>570</v>
      </c>
      <c r="P974" s="1655" t="s">
        <v>43</v>
      </c>
      <c r="Q974" s="1655" t="s">
        <v>569</v>
      </c>
      <c r="S974" s="1655" t="s">
        <v>70</v>
      </c>
      <c r="T974" s="1655" t="s">
        <v>1943</v>
      </c>
      <c r="U974" s="1655" t="s">
        <v>570</v>
      </c>
      <c r="V974" s="1655" t="s">
        <v>43</v>
      </c>
      <c r="W974" s="1655" t="s">
        <v>569</v>
      </c>
    </row>
    <row r="975" spans="1:23">
      <c r="A975" s="1655" t="s">
        <v>70</v>
      </c>
      <c r="B975" s="1655" t="s">
        <v>1944</v>
      </c>
      <c r="C975" s="1655" t="s">
        <v>570</v>
      </c>
      <c r="D975" s="1655" t="s">
        <v>43</v>
      </c>
      <c r="E975" s="1655" t="s">
        <v>569</v>
      </c>
      <c r="G975" s="1655" t="s">
        <v>70</v>
      </c>
      <c r="H975" s="1655" t="s">
        <v>1944</v>
      </c>
      <c r="I975" s="1655" t="s">
        <v>570</v>
      </c>
      <c r="J975" s="1655" t="s">
        <v>43</v>
      </c>
      <c r="K975" s="1655" t="s">
        <v>569</v>
      </c>
      <c r="M975" s="1655" t="s">
        <v>70</v>
      </c>
      <c r="N975" s="1655" t="s">
        <v>1944</v>
      </c>
      <c r="O975" s="1655" t="s">
        <v>570</v>
      </c>
      <c r="P975" s="1655" t="s">
        <v>43</v>
      </c>
      <c r="Q975" s="1655" t="s">
        <v>569</v>
      </c>
      <c r="S975" s="1655" t="s">
        <v>70</v>
      </c>
      <c r="T975" s="1655" t="s">
        <v>1944</v>
      </c>
      <c r="U975" s="1655" t="s">
        <v>570</v>
      </c>
      <c r="V975" s="1655" t="s">
        <v>43</v>
      </c>
      <c r="W975" s="1655" t="s">
        <v>569</v>
      </c>
    </row>
    <row r="976" spans="1:23">
      <c r="A976" s="1655" t="s">
        <v>70</v>
      </c>
      <c r="B976" s="1655" t="s">
        <v>1945</v>
      </c>
      <c r="C976" s="1655" t="s">
        <v>570</v>
      </c>
      <c r="D976" s="1655" t="s">
        <v>43</v>
      </c>
      <c r="E976" s="1655" t="s">
        <v>569</v>
      </c>
      <c r="G976" s="1655" t="s">
        <v>70</v>
      </c>
      <c r="H976" s="1655" t="s">
        <v>1945</v>
      </c>
      <c r="I976" s="1655" t="s">
        <v>570</v>
      </c>
      <c r="J976" s="1655" t="s">
        <v>43</v>
      </c>
      <c r="K976" s="1655" t="s">
        <v>569</v>
      </c>
      <c r="M976" s="1655" t="s">
        <v>70</v>
      </c>
      <c r="N976" s="1655" t="s">
        <v>1945</v>
      </c>
      <c r="O976" s="1655" t="s">
        <v>570</v>
      </c>
      <c r="P976" s="1655" t="s">
        <v>43</v>
      </c>
      <c r="Q976" s="1655" t="s">
        <v>569</v>
      </c>
      <c r="S976" s="1655" t="s">
        <v>70</v>
      </c>
      <c r="T976" s="1655" t="s">
        <v>1945</v>
      </c>
      <c r="U976" s="1655" t="s">
        <v>570</v>
      </c>
      <c r="V976" s="1655" t="s">
        <v>43</v>
      </c>
      <c r="W976" s="1655" t="s">
        <v>569</v>
      </c>
    </row>
    <row r="977" spans="1:23">
      <c r="A977" s="1655" t="s">
        <v>70</v>
      </c>
      <c r="B977" s="1655" t="s">
        <v>1946</v>
      </c>
      <c r="C977" s="1655" t="s">
        <v>570</v>
      </c>
      <c r="D977" s="1655" t="s">
        <v>43</v>
      </c>
      <c r="E977" s="1655" t="s">
        <v>569</v>
      </c>
      <c r="G977" s="1655" t="s">
        <v>70</v>
      </c>
      <c r="H977" s="1655" t="s">
        <v>1946</v>
      </c>
      <c r="I977" s="1655" t="s">
        <v>570</v>
      </c>
      <c r="J977" s="1655" t="s">
        <v>43</v>
      </c>
      <c r="K977" s="1655" t="s">
        <v>569</v>
      </c>
      <c r="M977" s="1655" t="s">
        <v>70</v>
      </c>
      <c r="N977" s="1655" t="s">
        <v>1946</v>
      </c>
      <c r="O977" s="1655" t="s">
        <v>570</v>
      </c>
      <c r="P977" s="1655" t="s">
        <v>43</v>
      </c>
      <c r="Q977" s="1655" t="s">
        <v>569</v>
      </c>
      <c r="S977" s="1655" t="s">
        <v>70</v>
      </c>
      <c r="T977" s="1655" t="s">
        <v>1946</v>
      </c>
      <c r="U977" s="1655" t="s">
        <v>570</v>
      </c>
      <c r="V977" s="1655" t="s">
        <v>43</v>
      </c>
      <c r="W977" s="1655" t="s">
        <v>569</v>
      </c>
    </row>
    <row r="978" spans="1:23">
      <c r="A978" s="1655" t="s">
        <v>70</v>
      </c>
      <c r="B978" s="1655" t="s">
        <v>1947</v>
      </c>
      <c r="C978" s="1655" t="s">
        <v>570</v>
      </c>
      <c r="D978" s="1655" t="s">
        <v>43</v>
      </c>
      <c r="E978" s="1655" t="s">
        <v>569</v>
      </c>
      <c r="G978" s="1655" t="s">
        <v>70</v>
      </c>
      <c r="H978" s="1655" t="s">
        <v>1947</v>
      </c>
      <c r="I978" s="1655" t="s">
        <v>570</v>
      </c>
      <c r="J978" s="1655" t="s">
        <v>43</v>
      </c>
      <c r="K978" s="1655" t="s">
        <v>569</v>
      </c>
      <c r="M978" s="1655" t="s">
        <v>70</v>
      </c>
      <c r="N978" s="1655" t="s">
        <v>1947</v>
      </c>
      <c r="O978" s="1655" t="s">
        <v>570</v>
      </c>
      <c r="P978" s="1655" t="s">
        <v>43</v>
      </c>
      <c r="Q978" s="1655" t="s">
        <v>569</v>
      </c>
      <c r="S978" s="1655" t="s">
        <v>70</v>
      </c>
      <c r="T978" s="1655" t="s">
        <v>1947</v>
      </c>
      <c r="U978" s="1655" t="s">
        <v>570</v>
      </c>
      <c r="V978" s="1655" t="s">
        <v>43</v>
      </c>
      <c r="W978" s="1655" t="s">
        <v>569</v>
      </c>
    </row>
    <row r="979" spans="1:23">
      <c r="A979" s="1655" t="s">
        <v>70</v>
      </c>
      <c r="B979" s="1655" t="s">
        <v>1948</v>
      </c>
      <c r="C979" s="1655" t="s">
        <v>570</v>
      </c>
      <c r="D979" s="1655" t="s">
        <v>43</v>
      </c>
      <c r="E979" s="1655" t="s">
        <v>569</v>
      </c>
      <c r="G979" s="1655" t="s">
        <v>70</v>
      </c>
      <c r="H979" s="1655" t="s">
        <v>1948</v>
      </c>
      <c r="I979" s="1655" t="s">
        <v>570</v>
      </c>
      <c r="J979" s="1655" t="s">
        <v>43</v>
      </c>
      <c r="K979" s="1655" t="s">
        <v>569</v>
      </c>
      <c r="M979" s="1655" t="s">
        <v>70</v>
      </c>
      <c r="N979" s="1655" t="s">
        <v>1948</v>
      </c>
      <c r="O979" s="1655" t="s">
        <v>570</v>
      </c>
      <c r="P979" s="1655" t="s">
        <v>43</v>
      </c>
      <c r="Q979" s="1655" t="s">
        <v>569</v>
      </c>
      <c r="S979" s="1655" t="s">
        <v>70</v>
      </c>
      <c r="T979" s="1655" t="s">
        <v>1948</v>
      </c>
      <c r="U979" s="1655" t="s">
        <v>570</v>
      </c>
      <c r="V979" s="1655" t="s">
        <v>43</v>
      </c>
      <c r="W979" s="1655" t="s">
        <v>569</v>
      </c>
    </row>
    <row r="980" spans="1:23">
      <c r="A980" s="1655" t="s">
        <v>70</v>
      </c>
      <c r="B980" s="1655" t="s">
        <v>1949</v>
      </c>
      <c r="C980" s="1655" t="s">
        <v>570</v>
      </c>
      <c r="D980" s="1655" t="s">
        <v>43</v>
      </c>
      <c r="E980" s="1655" t="s">
        <v>569</v>
      </c>
      <c r="G980" s="1655" t="s">
        <v>70</v>
      </c>
      <c r="H980" s="1655" t="s">
        <v>1949</v>
      </c>
      <c r="I980" s="1655" t="s">
        <v>570</v>
      </c>
      <c r="J980" s="1655" t="s">
        <v>43</v>
      </c>
      <c r="K980" s="1655" t="s">
        <v>569</v>
      </c>
      <c r="M980" s="1655" t="s">
        <v>70</v>
      </c>
      <c r="N980" s="1655" t="s">
        <v>1949</v>
      </c>
      <c r="O980" s="1655" t="s">
        <v>570</v>
      </c>
      <c r="P980" s="1655" t="s">
        <v>43</v>
      </c>
      <c r="Q980" s="1655" t="s">
        <v>569</v>
      </c>
      <c r="S980" s="1655" t="s">
        <v>70</v>
      </c>
      <c r="T980" s="1655" t="s">
        <v>1949</v>
      </c>
      <c r="U980" s="1655" t="s">
        <v>570</v>
      </c>
      <c r="V980" s="1655" t="s">
        <v>43</v>
      </c>
      <c r="W980" s="1655" t="s">
        <v>569</v>
      </c>
    </row>
    <row r="981" spans="1:23">
      <c r="A981" s="1655" t="s">
        <v>70</v>
      </c>
      <c r="B981" s="1655" t="s">
        <v>1950</v>
      </c>
      <c r="C981" s="1655" t="s">
        <v>570</v>
      </c>
      <c r="D981" s="1655" t="s">
        <v>43</v>
      </c>
      <c r="E981" s="1655" t="s">
        <v>569</v>
      </c>
      <c r="G981" s="1655" t="s">
        <v>70</v>
      </c>
      <c r="H981" s="1655" t="s">
        <v>1950</v>
      </c>
      <c r="I981" s="1655" t="s">
        <v>570</v>
      </c>
      <c r="J981" s="1655" t="s">
        <v>43</v>
      </c>
      <c r="K981" s="1655" t="s">
        <v>569</v>
      </c>
      <c r="M981" s="1655" t="s">
        <v>70</v>
      </c>
      <c r="N981" s="1655" t="s">
        <v>1950</v>
      </c>
      <c r="O981" s="1655" t="s">
        <v>570</v>
      </c>
      <c r="P981" s="1655" t="s">
        <v>43</v>
      </c>
      <c r="Q981" s="1655" t="s">
        <v>569</v>
      </c>
      <c r="S981" s="1655" t="s">
        <v>70</v>
      </c>
      <c r="T981" s="1655" t="s">
        <v>1950</v>
      </c>
      <c r="U981" s="1655" t="s">
        <v>570</v>
      </c>
      <c r="V981" s="1655" t="s">
        <v>43</v>
      </c>
      <c r="W981" s="1655" t="s">
        <v>569</v>
      </c>
    </row>
    <row r="982" spans="1:23">
      <c r="A982" s="1655" t="s">
        <v>70</v>
      </c>
      <c r="B982" s="1655" t="s">
        <v>1951</v>
      </c>
      <c r="C982" s="1655" t="s">
        <v>570</v>
      </c>
      <c r="D982" s="1655" t="s">
        <v>43</v>
      </c>
      <c r="E982" s="1655" t="s">
        <v>569</v>
      </c>
      <c r="G982" s="1655" t="s">
        <v>70</v>
      </c>
      <c r="H982" s="1655" t="s">
        <v>1951</v>
      </c>
      <c r="I982" s="1655" t="s">
        <v>570</v>
      </c>
      <c r="J982" s="1655" t="s">
        <v>43</v>
      </c>
      <c r="K982" s="1655" t="s">
        <v>569</v>
      </c>
      <c r="M982" s="1655" t="s">
        <v>70</v>
      </c>
      <c r="N982" s="1655" t="s">
        <v>1951</v>
      </c>
      <c r="O982" s="1655" t="s">
        <v>570</v>
      </c>
      <c r="P982" s="1655" t="s">
        <v>43</v>
      </c>
      <c r="Q982" s="1655" t="s">
        <v>569</v>
      </c>
      <c r="S982" s="1655" t="s">
        <v>70</v>
      </c>
      <c r="T982" s="1655" t="s">
        <v>1951</v>
      </c>
      <c r="U982" s="1655" t="s">
        <v>570</v>
      </c>
      <c r="V982" s="1655" t="s">
        <v>43</v>
      </c>
      <c r="W982" s="1655" t="s">
        <v>569</v>
      </c>
    </row>
    <row r="983" spans="1:23">
      <c r="A983" s="1655" t="s">
        <v>70</v>
      </c>
      <c r="B983" s="1655" t="s">
        <v>1952</v>
      </c>
      <c r="C983" s="1655" t="s">
        <v>570</v>
      </c>
      <c r="D983" s="1655" t="s">
        <v>43</v>
      </c>
      <c r="E983" s="1655" t="s">
        <v>569</v>
      </c>
      <c r="G983" s="1655" t="s">
        <v>70</v>
      </c>
      <c r="H983" s="1655" t="s">
        <v>1952</v>
      </c>
      <c r="I983" s="1655" t="s">
        <v>570</v>
      </c>
      <c r="J983" s="1655" t="s">
        <v>43</v>
      </c>
      <c r="K983" s="1655" t="s">
        <v>569</v>
      </c>
      <c r="M983" s="1655" t="s">
        <v>70</v>
      </c>
      <c r="N983" s="1655" t="s">
        <v>1952</v>
      </c>
      <c r="O983" s="1655" t="s">
        <v>570</v>
      </c>
      <c r="P983" s="1655" t="s">
        <v>43</v>
      </c>
      <c r="Q983" s="1655" t="s">
        <v>569</v>
      </c>
      <c r="S983" s="1655" t="s">
        <v>70</v>
      </c>
      <c r="T983" s="1655" t="s">
        <v>1952</v>
      </c>
      <c r="U983" s="1655" t="s">
        <v>570</v>
      </c>
      <c r="V983" s="1655" t="s">
        <v>43</v>
      </c>
      <c r="W983" s="1655" t="s">
        <v>569</v>
      </c>
    </row>
    <row r="984" spans="1:23">
      <c r="A984" s="1655" t="s">
        <v>70</v>
      </c>
      <c r="B984" s="1655" t="s">
        <v>1953</v>
      </c>
      <c r="C984" s="1655" t="s">
        <v>570</v>
      </c>
      <c r="D984" s="1655" t="s">
        <v>43</v>
      </c>
      <c r="E984" s="1655" t="s">
        <v>569</v>
      </c>
      <c r="G984" s="1655" t="s">
        <v>70</v>
      </c>
      <c r="H984" s="1655" t="s">
        <v>1953</v>
      </c>
      <c r="I984" s="1656" t="s">
        <v>570</v>
      </c>
      <c r="J984" s="1655" t="s">
        <v>43</v>
      </c>
      <c r="K984" s="1655" t="s">
        <v>569</v>
      </c>
      <c r="M984" s="1655" t="s">
        <v>70</v>
      </c>
      <c r="N984" s="1655" t="s">
        <v>1953</v>
      </c>
      <c r="O984" s="1656" t="s">
        <v>570</v>
      </c>
      <c r="P984" s="1655" t="s">
        <v>43</v>
      </c>
      <c r="Q984" s="1655" t="s">
        <v>569</v>
      </c>
      <c r="S984" s="1655" t="s">
        <v>70</v>
      </c>
      <c r="T984" s="1655" t="s">
        <v>1953</v>
      </c>
      <c r="U984" s="1656" t="s">
        <v>570</v>
      </c>
      <c r="V984" s="1655" t="s">
        <v>43</v>
      </c>
      <c r="W984" s="1655" t="s">
        <v>569</v>
      </c>
    </row>
    <row r="985" spans="1:23">
      <c r="A985" s="1655" t="s">
        <v>70</v>
      </c>
      <c r="B985" s="1655" t="s">
        <v>1954</v>
      </c>
      <c r="C985" s="1655" t="s">
        <v>570</v>
      </c>
      <c r="D985" s="1655" t="s">
        <v>43</v>
      </c>
      <c r="E985" s="1655" t="s">
        <v>569</v>
      </c>
      <c r="G985" s="1655" t="s">
        <v>70</v>
      </c>
      <c r="H985" s="1655" t="s">
        <v>1954</v>
      </c>
      <c r="I985" s="1656" t="s">
        <v>570</v>
      </c>
      <c r="J985" s="1655" t="s">
        <v>43</v>
      </c>
      <c r="K985" s="1655" t="s">
        <v>569</v>
      </c>
      <c r="M985" s="1655" t="s">
        <v>70</v>
      </c>
      <c r="N985" s="1655" t="s">
        <v>1954</v>
      </c>
      <c r="O985" s="1656" t="s">
        <v>570</v>
      </c>
      <c r="P985" s="1655" t="s">
        <v>43</v>
      </c>
      <c r="Q985" s="1655" t="s">
        <v>569</v>
      </c>
      <c r="S985" s="1655" t="s">
        <v>70</v>
      </c>
      <c r="T985" s="1655" t="s">
        <v>1954</v>
      </c>
      <c r="U985" s="1656" t="s">
        <v>570</v>
      </c>
      <c r="V985" s="1655" t="s">
        <v>43</v>
      </c>
      <c r="W985" s="1655" t="s">
        <v>569</v>
      </c>
    </row>
    <row r="986" spans="1:23">
      <c r="A986" s="1655" t="s">
        <v>70</v>
      </c>
      <c r="B986" s="1655" t="s">
        <v>1955</v>
      </c>
      <c r="C986" s="1655" t="s">
        <v>570</v>
      </c>
      <c r="D986" s="1655" t="s">
        <v>43</v>
      </c>
      <c r="E986" s="1655" t="s">
        <v>569</v>
      </c>
      <c r="G986" s="1655" t="s">
        <v>70</v>
      </c>
      <c r="H986" s="1655" t="s">
        <v>1955</v>
      </c>
      <c r="I986" s="1656" t="s">
        <v>570</v>
      </c>
      <c r="J986" s="1655" t="s">
        <v>43</v>
      </c>
      <c r="K986" s="1655" t="s">
        <v>569</v>
      </c>
      <c r="M986" s="1655" t="s">
        <v>70</v>
      </c>
      <c r="N986" s="1655" t="s">
        <v>1955</v>
      </c>
      <c r="O986" s="1656" t="s">
        <v>570</v>
      </c>
      <c r="P986" s="1655" t="s">
        <v>43</v>
      </c>
      <c r="Q986" s="1655" t="s">
        <v>569</v>
      </c>
      <c r="S986" s="1655" t="s">
        <v>70</v>
      </c>
      <c r="T986" s="1655" t="s">
        <v>1955</v>
      </c>
      <c r="U986" s="1656" t="s">
        <v>570</v>
      </c>
      <c r="V986" s="1655" t="s">
        <v>43</v>
      </c>
      <c r="W986" s="1655" t="s">
        <v>569</v>
      </c>
    </row>
    <row r="987" spans="1:23">
      <c r="A987" s="1655" t="s">
        <v>415</v>
      </c>
      <c r="B987" s="1655" t="s">
        <v>1158</v>
      </c>
      <c r="C987" s="1655" t="s">
        <v>3</v>
      </c>
      <c r="D987" s="1655" t="s">
        <v>42</v>
      </c>
      <c r="E987" s="1655" t="s">
        <v>569</v>
      </c>
      <c r="G987" s="1655" t="s">
        <v>415</v>
      </c>
      <c r="H987" s="1655" t="s">
        <v>1158</v>
      </c>
      <c r="I987" s="1656" t="s">
        <v>2383</v>
      </c>
      <c r="J987" s="1655" t="s">
        <v>42</v>
      </c>
      <c r="K987" s="1655" t="s">
        <v>569</v>
      </c>
      <c r="M987" s="1655" t="s">
        <v>415</v>
      </c>
      <c r="N987" s="1655" t="s">
        <v>1158</v>
      </c>
      <c r="O987" s="1656" t="s">
        <v>3</v>
      </c>
      <c r="P987" s="1655" t="s">
        <v>42</v>
      </c>
      <c r="Q987" s="1655" t="s">
        <v>569</v>
      </c>
      <c r="S987" s="1655" t="s">
        <v>415</v>
      </c>
      <c r="T987" s="1655" t="s">
        <v>1158</v>
      </c>
      <c r="U987" s="1656" t="s">
        <v>275</v>
      </c>
      <c r="V987" s="1655" t="s">
        <v>42</v>
      </c>
      <c r="W987" s="1655" t="s">
        <v>569</v>
      </c>
    </row>
    <row r="988" spans="1:23">
      <c r="A988" s="1655" t="s">
        <v>415</v>
      </c>
      <c r="B988" s="1655" t="s">
        <v>1159</v>
      </c>
      <c r="C988" s="1656" t="s">
        <v>11</v>
      </c>
      <c r="D988" s="1655" t="s">
        <v>42</v>
      </c>
      <c r="E988" s="1655" t="s">
        <v>569</v>
      </c>
      <c r="G988" s="1655" t="s">
        <v>415</v>
      </c>
      <c r="H988" s="1655" t="s">
        <v>1159</v>
      </c>
      <c r="I988" s="1656" t="s">
        <v>2656</v>
      </c>
      <c r="J988" s="1655" t="s">
        <v>42</v>
      </c>
      <c r="K988" s="1655" t="s">
        <v>569</v>
      </c>
      <c r="M988" s="1655" t="s">
        <v>415</v>
      </c>
      <c r="N988" s="1655" t="s">
        <v>1159</v>
      </c>
      <c r="O988" s="1656" t="s">
        <v>11</v>
      </c>
      <c r="P988" s="1655" t="s">
        <v>42</v>
      </c>
      <c r="Q988" s="1655" t="s">
        <v>569</v>
      </c>
      <c r="S988" s="1655" t="s">
        <v>415</v>
      </c>
      <c r="T988" s="1655" t="s">
        <v>1159</v>
      </c>
      <c r="U988" s="1656" t="s">
        <v>275</v>
      </c>
      <c r="V988" s="1655" t="s">
        <v>42</v>
      </c>
      <c r="W988" s="1655" t="s">
        <v>569</v>
      </c>
    </row>
    <row r="989" spans="1:23">
      <c r="A989" s="1655" t="s">
        <v>415</v>
      </c>
      <c r="B989" s="1655" t="s">
        <v>1160</v>
      </c>
      <c r="C989" s="1656" t="s">
        <v>27</v>
      </c>
      <c r="D989" s="1655" t="s">
        <v>42</v>
      </c>
      <c r="E989" s="1655" t="s">
        <v>569</v>
      </c>
      <c r="G989" s="1655" t="s">
        <v>415</v>
      </c>
      <c r="H989" s="1655" t="s">
        <v>1160</v>
      </c>
      <c r="I989" s="1656" t="s">
        <v>275</v>
      </c>
      <c r="J989" s="1655" t="s">
        <v>42</v>
      </c>
      <c r="K989" s="1655" t="s">
        <v>569</v>
      </c>
      <c r="M989" s="1655" t="s">
        <v>415</v>
      </c>
      <c r="N989" s="1655" t="s">
        <v>1160</v>
      </c>
      <c r="O989" s="1656" t="s">
        <v>27</v>
      </c>
      <c r="P989" s="1655" t="s">
        <v>42</v>
      </c>
      <c r="Q989" s="1655" t="s">
        <v>569</v>
      </c>
      <c r="S989" s="1655" t="s">
        <v>415</v>
      </c>
      <c r="T989" s="1655" t="s">
        <v>1160</v>
      </c>
      <c r="U989" s="1656" t="s">
        <v>275</v>
      </c>
      <c r="V989" s="1655" t="s">
        <v>42</v>
      </c>
      <c r="W989" s="1655" t="s">
        <v>569</v>
      </c>
    </row>
    <row r="990" spans="1:23">
      <c r="A990" s="1655" t="s">
        <v>415</v>
      </c>
      <c r="B990" s="1655" t="s">
        <v>1161</v>
      </c>
      <c r="C990" s="1656" t="s">
        <v>4</v>
      </c>
      <c r="D990" s="1655" t="s">
        <v>42</v>
      </c>
      <c r="E990" s="1655" t="s">
        <v>569</v>
      </c>
      <c r="G990" s="1655" t="s">
        <v>415</v>
      </c>
      <c r="H990" s="1655" t="s">
        <v>1161</v>
      </c>
      <c r="I990" s="1656" t="s">
        <v>275</v>
      </c>
      <c r="J990" s="1655" t="s">
        <v>42</v>
      </c>
      <c r="K990" s="1655" t="s">
        <v>569</v>
      </c>
      <c r="M990" s="1655" t="s">
        <v>415</v>
      </c>
      <c r="N990" s="1655" t="s">
        <v>1161</v>
      </c>
      <c r="O990" s="1656" t="s">
        <v>4</v>
      </c>
      <c r="P990" s="1655" t="s">
        <v>42</v>
      </c>
      <c r="Q990" s="1655" t="s">
        <v>569</v>
      </c>
      <c r="S990" s="1655" t="s">
        <v>415</v>
      </c>
      <c r="T990" s="1655" t="s">
        <v>1161</v>
      </c>
      <c r="U990" s="1656" t="s">
        <v>275</v>
      </c>
      <c r="V990" s="1655" t="s">
        <v>42</v>
      </c>
      <c r="W990" s="1655" t="s">
        <v>569</v>
      </c>
    </row>
    <row r="991" spans="1:23">
      <c r="A991" s="1655" t="s">
        <v>415</v>
      </c>
      <c r="B991" s="1655" t="s">
        <v>1251</v>
      </c>
      <c r="C991" s="1656" t="s">
        <v>1277</v>
      </c>
      <c r="D991" s="1655" t="s">
        <v>42</v>
      </c>
      <c r="E991" s="1655" t="s">
        <v>569</v>
      </c>
      <c r="G991" s="1655" t="s">
        <v>415</v>
      </c>
      <c r="H991" s="1655" t="s">
        <v>1251</v>
      </c>
      <c r="I991" s="1656" t="s">
        <v>275</v>
      </c>
      <c r="J991" s="1655" t="s">
        <v>42</v>
      </c>
      <c r="K991" s="1655" t="s">
        <v>569</v>
      </c>
      <c r="M991" s="1655" t="s">
        <v>415</v>
      </c>
      <c r="N991" s="1655" t="s">
        <v>1251</v>
      </c>
      <c r="O991" s="1656" t="s">
        <v>1277</v>
      </c>
      <c r="P991" s="1655" t="s">
        <v>42</v>
      </c>
      <c r="Q991" s="1655" t="s">
        <v>569</v>
      </c>
      <c r="S991" s="1655" t="s">
        <v>415</v>
      </c>
      <c r="T991" s="1655" t="s">
        <v>1251</v>
      </c>
      <c r="U991" s="1656" t="s">
        <v>275</v>
      </c>
      <c r="V991" s="1655" t="s">
        <v>42</v>
      </c>
      <c r="W991" s="1655" t="s">
        <v>569</v>
      </c>
    </row>
    <row r="992" spans="1:23">
      <c r="A992" s="1655" t="s">
        <v>415</v>
      </c>
      <c r="B992" s="1655" t="s">
        <v>1252</v>
      </c>
      <c r="C992" s="1656" t="s">
        <v>36</v>
      </c>
      <c r="D992" s="1655" t="s">
        <v>42</v>
      </c>
      <c r="E992" s="1655" t="s">
        <v>569</v>
      </c>
      <c r="G992" s="1655" t="s">
        <v>415</v>
      </c>
      <c r="H992" s="1655" t="s">
        <v>1252</v>
      </c>
      <c r="I992" s="1656" t="s">
        <v>275</v>
      </c>
      <c r="J992" s="1655" t="s">
        <v>42</v>
      </c>
      <c r="K992" s="1655" t="s">
        <v>569</v>
      </c>
      <c r="M992" s="1655" t="s">
        <v>415</v>
      </c>
      <c r="N992" s="1655" t="s">
        <v>1252</v>
      </c>
      <c r="O992" s="1656" t="s">
        <v>36</v>
      </c>
      <c r="P992" s="1655" t="s">
        <v>42</v>
      </c>
      <c r="Q992" s="1655" t="s">
        <v>569</v>
      </c>
      <c r="S992" s="1655" t="s">
        <v>415</v>
      </c>
      <c r="T992" s="1655" t="s">
        <v>1252</v>
      </c>
      <c r="U992" s="1656" t="s">
        <v>275</v>
      </c>
      <c r="V992" s="1655" t="s">
        <v>42</v>
      </c>
      <c r="W992" s="1655" t="s">
        <v>569</v>
      </c>
    </row>
    <row r="993" spans="1:23">
      <c r="A993" s="1655" t="s">
        <v>415</v>
      </c>
      <c r="B993" s="1655" t="s">
        <v>1253</v>
      </c>
      <c r="C993" s="1656" t="s">
        <v>37</v>
      </c>
      <c r="D993" s="1655" t="s">
        <v>42</v>
      </c>
      <c r="E993" s="1655" t="s">
        <v>569</v>
      </c>
      <c r="G993" s="1655" t="s">
        <v>415</v>
      </c>
      <c r="H993" s="1655" t="s">
        <v>1253</v>
      </c>
      <c r="I993" s="1656" t="s">
        <v>275</v>
      </c>
      <c r="J993" s="1655" t="s">
        <v>42</v>
      </c>
      <c r="K993" s="1655" t="s">
        <v>569</v>
      </c>
      <c r="M993" s="1655" t="s">
        <v>415</v>
      </c>
      <c r="N993" s="1655" t="s">
        <v>1253</v>
      </c>
      <c r="O993" s="1656" t="s">
        <v>37</v>
      </c>
      <c r="P993" s="1655" t="s">
        <v>42</v>
      </c>
      <c r="Q993" s="1655" t="s">
        <v>569</v>
      </c>
      <c r="S993" s="1655" t="s">
        <v>415</v>
      </c>
      <c r="T993" s="1655" t="s">
        <v>1253</v>
      </c>
      <c r="U993" s="1656" t="s">
        <v>275</v>
      </c>
      <c r="V993" s="1655" t="s">
        <v>42</v>
      </c>
      <c r="W993" s="1655" t="s">
        <v>569</v>
      </c>
    </row>
    <row r="994" spans="1:23">
      <c r="A994" s="1655" t="s">
        <v>415</v>
      </c>
      <c r="B994" s="1655" t="s">
        <v>1254</v>
      </c>
      <c r="C994" s="1656" t="s">
        <v>275</v>
      </c>
      <c r="D994" s="1655" t="s">
        <v>42</v>
      </c>
      <c r="E994" s="1655" t="s">
        <v>569</v>
      </c>
      <c r="G994" s="1655" t="s">
        <v>415</v>
      </c>
      <c r="H994" s="1655" t="s">
        <v>1254</v>
      </c>
      <c r="I994" s="1656" t="s">
        <v>275</v>
      </c>
      <c r="J994" s="1655" t="s">
        <v>42</v>
      </c>
      <c r="K994" s="1655" t="s">
        <v>569</v>
      </c>
      <c r="M994" s="1655" t="s">
        <v>415</v>
      </c>
      <c r="N994" s="1655" t="s">
        <v>1254</v>
      </c>
      <c r="O994" s="1656" t="s">
        <v>275</v>
      </c>
      <c r="P994" s="1655" t="s">
        <v>42</v>
      </c>
      <c r="Q994" s="1655" t="s">
        <v>569</v>
      </c>
      <c r="S994" s="1655" t="s">
        <v>415</v>
      </c>
      <c r="T994" s="1655" t="s">
        <v>1254</v>
      </c>
      <c r="U994" s="1656" t="s">
        <v>275</v>
      </c>
      <c r="V994" s="1655" t="s">
        <v>42</v>
      </c>
      <c r="W994" s="1655" t="s">
        <v>569</v>
      </c>
    </row>
    <row r="995" spans="1:23">
      <c r="A995" s="1655" t="s">
        <v>415</v>
      </c>
      <c r="B995" s="1655" t="s">
        <v>1255</v>
      </c>
      <c r="C995" s="1656" t="s">
        <v>275</v>
      </c>
      <c r="D995" s="1655" t="s">
        <v>42</v>
      </c>
      <c r="E995" s="1655" t="s">
        <v>569</v>
      </c>
      <c r="G995" s="1655" t="s">
        <v>415</v>
      </c>
      <c r="H995" s="1655" t="s">
        <v>1255</v>
      </c>
      <c r="I995" s="1656" t="s">
        <v>275</v>
      </c>
      <c r="J995" s="1655" t="s">
        <v>42</v>
      </c>
      <c r="K995" s="1655" t="s">
        <v>569</v>
      </c>
      <c r="M995" s="1655" t="s">
        <v>415</v>
      </c>
      <c r="N995" s="1655" t="s">
        <v>1255</v>
      </c>
      <c r="O995" s="1656" t="s">
        <v>275</v>
      </c>
      <c r="P995" s="1655" t="s">
        <v>42</v>
      </c>
      <c r="Q995" s="1655" t="s">
        <v>569</v>
      </c>
      <c r="S995" s="1655" t="s">
        <v>415</v>
      </c>
      <c r="T995" s="1655" t="s">
        <v>1255</v>
      </c>
      <c r="U995" s="1656" t="s">
        <v>275</v>
      </c>
      <c r="V995" s="1655" t="s">
        <v>42</v>
      </c>
      <c r="W995" s="1655" t="s">
        <v>569</v>
      </c>
    </row>
    <row r="996" spans="1:23">
      <c r="A996" s="1655" t="s">
        <v>415</v>
      </c>
      <c r="B996" s="1655" t="s">
        <v>1256</v>
      </c>
      <c r="C996" s="1656" t="s">
        <v>275</v>
      </c>
      <c r="D996" s="1655" t="s">
        <v>42</v>
      </c>
      <c r="E996" s="1655" t="s">
        <v>569</v>
      </c>
      <c r="G996" s="1655" t="s">
        <v>415</v>
      </c>
      <c r="H996" s="1655" t="s">
        <v>1256</v>
      </c>
      <c r="I996" s="1656" t="s">
        <v>275</v>
      </c>
      <c r="J996" s="1655" t="s">
        <v>42</v>
      </c>
      <c r="K996" s="1655" t="s">
        <v>569</v>
      </c>
      <c r="M996" s="1655" t="s">
        <v>415</v>
      </c>
      <c r="N996" s="1655" t="s">
        <v>1256</v>
      </c>
      <c r="O996" s="1656" t="s">
        <v>275</v>
      </c>
      <c r="P996" s="1655" t="s">
        <v>42</v>
      </c>
      <c r="Q996" s="1655" t="s">
        <v>569</v>
      </c>
      <c r="S996" s="1655" t="s">
        <v>415</v>
      </c>
      <c r="T996" s="1655" t="s">
        <v>1256</v>
      </c>
      <c r="U996" s="1656" t="s">
        <v>275</v>
      </c>
      <c r="V996" s="1655" t="s">
        <v>42</v>
      </c>
      <c r="W996" s="1655" t="s">
        <v>569</v>
      </c>
    </row>
    <row r="997" spans="1:23">
      <c r="A997" s="1655" t="s">
        <v>415</v>
      </c>
      <c r="B997" s="1655" t="s">
        <v>1164</v>
      </c>
      <c r="C997" s="1656">
        <v>2500</v>
      </c>
      <c r="D997" s="1655" t="s">
        <v>42</v>
      </c>
      <c r="E997" s="1655" t="s">
        <v>571</v>
      </c>
      <c r="G997" s="1655" t="s">
        <v>415</v>
      </c>
      <c r="H997" s="1655" t="s">
        <v>1164</v>
      </c>
      <c r="I997" s="1656">
        <v>800</v>
      </c>
      <c r="J997" s="1655" t="s">
        <v>42</v>
      </c>
      <c r="K997" s="1655" t="s">
        <v>571</v>
      </c>
      <c r="M997" s="1655" t="s">
        <v>415</v>
      </c>
      <c r="N997" s="1655" t="s">
        <v>1164</v>
      </c>
      <c r="O997" s="1656">
        <v>2700</v>
      </c>
      <c r="P997" s="1655" t="s">
        <v>42</v>
      </c>
      <c r="Q997" s="1655" t="s">
        <v>571</v>
      </c>
      <c r="S997" s="1655" t="s">
        <v>415</v>
      </c>
      <c r="T997" s="1655" t="s">
        <v>1164</v>
      </c>
      <c r="U997" s="1656">
        <v>0</v>
      </c>
      <c r="V997" s="1655" t="s">
        <v>42</v>
      </c>
      <c r="W997" s="1655" t="s">
        <v>571</v>
      </c>
    </row>
    <row r="998" spans="1:23">
      <c r="A998" s="1655" t="s">
        <v>415</v>
      </c>
      <c r="B998" s="1655" t="s">
        <v>1165</v>
      </c>
      <c r="C998" s="1656">
        <v>3500</v>
      </c>
      <c r="D998" s="1655" t="s">
        <v>42</v>
      </c>
      <c r="E998" s="1655" t="s">
        <v>571</v>
      </c>
      <c r="G998" s="1655" t="s">
        <v>415</v>
      </c>
      <c r="H998" s="1655" t="s">
        <v>1165</v>
      </c>
      <c r="I998" s="1655">
        <v>500</v>
      </c>
      <c r="J998" s="1655" t="s">
        <v>42</v>
      </c>
      <c r="K998" s="1655" t="s">
        <v>571</v>
      </c>
      <c r="M998" s="1655" t="s">
        <v>415</v>
      </c>
      <c r="N998" s="1655" t="s">
        <v>1165</v>
      </c>
      <c r="O998" s="1655">
        <v>3100</v>
      </c>
      <c r="P998" s="1655" t="s">
        <v>42</v>
      </c>
      <c r="Q998" s="1655" t="s">
        <v>571</v>
      </c>
      <c r="S998" s="1655" t="s">
        <v>415</v>
      </c>
      <c r="T998" s="1655" t="s">
        <v>1165</v>
      </c>
      <c r="U998" s="1656">
        <v>0</v>
      </c>
      <c r="V998" s="1655" t="s">
        <v>42</v>
      </c>
      <c r="W998" s="1655" t="s">
        <v>571</v>
      </c>
    </row>
    <row r="999" spans="1:23">
      <c r="A999" s="1655" t="s">
        <v>415</v>
      </c>
      <c r="B999" s="1655" t="s">
        <v>1166</v>
      </c>
      <c r="C999" s="1656">
        <v>1000</v>
      </c>
      <c r="D999" s="1655" t="s">
        <v>42</v>
      </c>
      <c r="E999" s="1655" t="s">
        <v>571</v>
      </c>
      <c r="G999" s="1655" t="s">
        <v>415</v>
      </c>
      <c r="H999" s="1655" t="s">
        <v>1166</v>
      </c>
      <c r="I999" s="1655">
        <v>0</v>
      </c>
      <c r="J999" s="1655" t="s">
        <v>42</v>
      </c>
      <c r="K999" s="1655" t="s">
        <v>571</v>
      </c>
      <c r="M999" s="1655" t="s">
        <v>415</v>
      </c>
      <c r="N999" s="1655" t="s">
        <v>1166</v>
      </c>
      <c r="O999" s="1655">
        <v>10278</v>
      </c>
      <c r="P999" s="1655" t="s">
        <v>42</v>
      </c>
      <c r="Q999" s="1655" t="s">
        <v>571</v>
      </c>
      <c r="S999" s="1655" t="s">
        <v>415</v>
      </c>
      <c r="T999" s="1655" t="s">
        <v>1166</v>
      </c>
      <c r="U999" s="1656">
        <v>0</v>
      </c>
      <c r="V999" s="1655" t="s">
        <v>42</v>
      </c>
      <c r="W999" s="1655" t="s">
        <v>571</v>
      </c>
    </row>
    <row r="1000" spans="1:23">
      <c r="A1000" s="1655" t="s">
        <v>415</v>
      </c>
      <c r="B1000" s="1655" t="s">
        <v>1167</v>
      </c>
      <c r="C1000" s="1656">
        <v>100</v>
      </c>
      <c r="D1000" s="1655" t="s">
        <v>42</v>
      </c>
      <c r="E1000" s="1655" t="s">
        <v>571</v>
      </c>
      <c r="G1000" s="1655" t="s">
        <v>415</v>
      </c>
      <c r="H1000" s="1655" t="s">
        <v>1167</v>
      </c>
      <c r="I1000" s="1655">
        <v>0</v>
      </c>
      <c r="J1000" s="1655" t="s">
        <v>42</v>
      </c>
      <c r="K1000" s="1655" t="s">
        <v>571</v>
      </c>
      <c r="M1000" s="1655" t="s">
        <v>415</v>
      </c>
      <c r="N1000" s="1655" t="s">
        <v>1167</v>
      </c>
      <c r="O1000" s="1655">
        <v>100</v>
      </c>
      <c r="P1000" s="1655" t="s">
        <v>42</v>
      </c>
      <c r="Q1000" s="1655" t="s">
        <v>571</v>
      </c>
      <c r="S1000" s="1655" t="s">
        <v>415</v>
      </c>
      <c r="T1000" s="1655" t="s">
        <v>1167</v>
      </c>
      <c r="U1000" s="1656">
        <v>0</v>
      </c>
      <c r="V1000" s="1655" t="s">
        <v>42</v>
      </c>
      <c r="W1000" s="1655" t="s">
        <v>571</v>
      </c>
    </row>
    <row r="1001" spans="1:23">
      <c r="A1001" s="1655" t="s">
        <v>415</v>
      </c>
      <c r="B1001" s="1655" t="s">
        <v>1262</v>
      </c>
      <c r="C1001" s="1656">
        <v>100</v>
      </c>
      <c r="D1001" s="1655" t="s">
        <v>42</v>
      </c>
      <c r="E1001" s="1655" t="s">
        <v>571</v>
      </c>
      <c r="G1001" s="1655" t="s">
        <v>415</v>
      </c>
      <c r="H1001" s="1655" t="s">
        <v>1262</v>
      </c>
      <c r="I1001" s="1655">
        <v>0</v>
      </c>
      <c r="J1001" s="1655" t="s">
        <v>42</v>
      </c>
      <c r="K1001" s="1655" t="s">
        <v>571</v>
      </c>
      <c r="M1001" s="1655" t="s">
        <v>415</v>
      </c>
      <c r="N1001" s="1655" t="s">
        <v>1262</v>
      </c>
      <c r="O1001" s="1655">
        <v>150</v>
      </c>
      <c r="P1001" s="1655" t="s">
        <v>42</v>
      </c>
      <c r="Q1001" s="1655" t="s">
        <v>571</v>
      </c>
      <c r="S1001" s="1655" t="s">
        <v>415</v>
      </c>
      <c r="T1001" s="1655" t="s">
        <v>1262</v>
      </c>
      <c r="U1001" s="1656">
        <v>0</v>
      </c>
      <c r="V1001" s="1655" t="s">
        <v>42</v>
      </c>
      <c r="W1001" s="1655" t="s">
        <v>571</v>
      </c>
    </row>
    <row r="1002" spans="1:23">
      <c r="A1002" s="1655" t="s">
        <v>415</v>
      </c>
      <c r="B1002" s="1655" t="s">
        <v>1263</v>
      </c>
      <c r="C1002" s="1656">
        <v>0</v>
      </c>
      <c r="D1002" s="1655" t="s">
        <v>42</v>
      </c>
      <c r="E1002" s="1655" t="s">
        <v>571</v>
      </c>
      <c r="G1002" s="1655" t="s">
        <v>415</v>
      </c>
      <c r="H1002" s="1655" t="s">
        <v>1263</v>
      </c>
      <c r="I1002" s="1655">
        <v>0</v>
      </c>
      <c r="J1002" s="1655" t="s">
        <v>42</v>
      </c>
      <c r="K1002" s="1655" t="s">
        <v>571</v>
      </c>
      <c r="M1002" s="1655" t="s">
        <v>415</v>
      </c>
      <c r="N1002" s="1655" t="s">
        <v>1263</v>
      </c>
      <c r="O1002" s="1655">
        <v>0</v>
      </c>
      <c r="P1002" s="1655" t="s">
        <v>42</v>
      </c>
      <c r="Q1002" s="1655" t="s">
        <v>571</v>
      </c>
      <c r="S1002" s="1655" t="s">
        <v>415</v>
      </c>
      <c r="T1002" s="1655" t="s">
        <v>1263</v>
      </c>
      <c r="U1002" s="1656">
        <v>0</v>
      </c>
      <c r="V1002" s="1655" t="s">
        <v>42</v>
      </c>
      <c r="W1002" s="1655" t="s">
        <v>571</v>
      </c>
    </row>
    <row r="1003" spans="1:23">
      <c r="A1003" s="1655" t="s">
        <v>415</v>
      </c>
      <c r="B1003" s="1655" t="s">
        <v>1264</v>
      </c>
      <c r="C1003" s="1656">
        <v>0</v>
      </c>
      <c r="D1003" s="1655" t="s">
        <v>42</v>
      </c>
      <c r="E1003" s="1655" t="s">
        <v>571</v>
      </c>
      <c r="G1003" s="1655" t="s">
        <v>415</v>
      </c>
      <c r="H1003" s="1655" t="s">
        <v>1264</v>
      </c>
      <c r="I1003" s="1655">
        <v>0</v>
      </c>
      <c r="J1003" s="1655" t="s">
        <v>42</v>
      </c>
      <c r="K1003" s="1655" t="s">
        <v>571</v>
      </c>
      <c r="M1003" s="1655" t="s">
        <v>415</v>
      </c>
      <c r="N1003" s="1655" t="s">
        <v>1264</v>
      </c>
      <c r="O1003" s="1655">
        <v>0</v>
      </c>
      <c r="P1003" s="1655" t="s">
        <v>42</v>
      </c>
      <c r="Q1003" s="1655" t="s">
        <v>571</v>
      </c>
      <c r="S1003" s="1655" t="s">
        <v>415</v>
      </c>
      <c r="T1003" s="1655" t="s">
        <v>1264</v>
      </c>
      <c r="U1003" s="1656">
        <v>0</v>
      </c>
      <c r="V1003" s="1655" t="s">
        <v>42</v>
      </c>
      <c r="W1003" s="1655" t="s">
        <v>571</v>
      </c>
    </row>
    <row r="1004" spans="1:23">
      <c r="A1004" s="1655" t="s">
        <v>415</v>
      </c>
      <c r="B1004" s="1655" t="s">
        <v>1265</v>
      </c>
      <c r="C1004" s="1656">
        <v>0</v>
      </c>
      <c r="D1004" s="1655" t="s">
        <v>42</v>
      </c>
      <c r="E1004" s="1655" t="s">
        <v>571</v>
      </c>
      <c r="G1004" s="1655" t="s">
        <v>415</v>
      </c>
      <c r="H1004" s="1655" t="s">
        <v>1265</v>
      </c>
      <c r="I1004" s="1655">
        <v>0</v>
      </c>
      <c r="J1004" s="1655" t="s">
        <v>42</v>
      </c>
      <c r="K1004" s="1655" t="s">
        <v>571</v>
      </c>
      <c r="M1004" s="1655" t="s">
        <v>415</v>
      </c>
      <c r="N1004" s="1655" t="s">
        <v>1265</v>
      </c>
      <c r="O1004" s="1655">
        <v>0</v>
      </c>
      <c r="P1004" s="1655" t="s">
        <v>42</v>
      </c>
      <c r="Q1004" s="1655" t="s">
        <v>571</v>
      </c>
      <c r="S1004" s="1655" t="s">
        <v>415</v>
      </c>
      <c r="T1004" s="1655" t="s">
        <v>1265</v>
      </c>
      <c r="U1004" s="1656">
        <v>0</v>
      </c>
      <c r="V1004" s="1655" t="s">
        <v>42</v>
      </c>
      <c r="W1004" s="1655" t="s">
        <v>571</v>
      </c>
    </row>
    <row r="1005" spans="1:23">
      <c r="A1005" s="1655" t="s">
        <v>415</v>
      </c>
      <c r="B1005" s="1655" t="s">
        <v>1266</v>
      </c>
      <c r="C1005" s="1656">
        <v>0</v>
      </c>
      <c r="D1005" s="1655" t="s">
        <v>42</v>
      </c>
      <c r="E1005" s="1655" t="s">
        <v>571</v>
      </c>
      <c r="G1005" s="1655" t="s">
        <v>415</v>
      </c>
      <c r="H1005" s="1655" t="s">
        <v>1266</v>
      </c>
      <c r="I1005" s="1655">
        <v>0</v>
      </c>
      <c r="J1005" s="1655" t="s">
        <v>42</v>
      </c>
      <c r="K1005" s="1655" t="s">
        <v>571</v>
      </c>
      <c r="M1005" s="1655" t="s">
        <v>415</v>
      </c>
      <c r="N1005" s="1655" t="s">
        <v>1266</v>
      </c>
      <c r="O1005" s="1655">
        <v>0</v>
      </c>
      <c r="P1005" s="1655" t="s">
        <v>42</v>
      </c>
      <c r="Q1005" s="1655" t="s">
        <v>571</v>
      </c>
      <c r="S1005" s="1655" t="s">
        <v>415</v>
      </c>
      <c r="T1005" s="1655" t="s">
        <v>1266</v>
      </c>
      <c r="U1005" s="1656">
        <v>0</v>
      </c>
      <c r="V1005" s="1655" t="s">
        <v>42</v>
      </c>
      <c r="W1005" s="1655" t="s">
        <v>571</v>
      </c>
    </row>
    <row r="1006" spans="1:23">
      <c r="A1006" s="1655" t="s">
        <v>415</v>
      </c>
      <c r="B1006" s="1655" t="s">
        <v>1267</v>
      </c>
      <c r="C1006" s="1656">
        <v>0</v>
      </c>
      <c r="D1006" s="1655" t="s">
        <v>42</v>
      </c>
      <c r="E1006" s="1655" t="s">
        <v>571</v>
      </c>
      <c r="G1006" s="1655" t="s">
        <v>415</v>
      </c>
      <c r="H1006" s="1655" t="s">
        <v>1267</v>
      </c>
      <c r="I1006" s="1655">
        <v>0</v>
      </c>
      <c r="J1006" s="1655" t="s">
        <v>42</v>
      </c>
      <c r="K1006" s="1655" t="s">
        <v>571</v>
      </c>
      <c r="M1006" s="1655" t="s">
        <v>415</v>
      </c>
      <c r="N1006" s="1655" t="s">
        <v>1267</v>
      </c>
      <c r="O1006" s="1655">
        <v>0</v>
      </c>
      <c r="P1006" s="1655" t="s">
        <v>42</v>
      </c>
      <c r="Q1006" s="1655" t="s">
        <v>571</v>
      </c>
      <c r="S1006" s="1655" t="s">
        <v>415</v>
      </c>
      <c r="T1006" s="1655" t="s">
        <v>1267</v>
      </c>
      <c r="U1006" s="1656">
        <v>0</v>
      </c>
      <c r="V1006" s="1655" t="s">
        <v>42</v>
      </c>
      <c r="W1006" s="1655" t="s">
        <v>571</v>
      </c>
    </row>
    <row r="1007" spans="1:23">
      <c r="A1007" s="1655" t="s">
        <v>415</v>
      </c>
      <c r="B1007" s="1655" t="s">
        <v>1170</v>
      </c>
      <c r="C1007" s="1655">
        <v>1</v>
      </c>
      <c r="D1007" s="1655" t="s">
        <v>42</v>
      </c>
      <c r="E1007" s="1655" t="s">
        <v>572</v>
      </c>
      <c r="G1007" s="1655" t="s">
        <v>415</v>
      </c>
      <c r="H1007" s="1655" t="s">
        <v>1170</v>
      </c>
      <c r="I1007" s="1655">
        <v>12</v>
      </c>
      <c r="J1007" s="1655" t="s">
        <v>42</v>
      </c>
      <c r="K1007" s="1655" t="s">
        <v>572</v>
      </c>
      <c r="M1007" s="1655" t="s">
        <v>415</v>
      </c>
      <c r="N1007" s="1655" t="s">
        <v>1170</v>
      </c>
      <c r="O1007" s="1655">
        <v>1</v>
      </c>
      <c r="P1007" s="1655" t="s">
        <v>42</v>
      </c>
      <c r="Q1007" s="1655" t="s">
        <v>572</v>
      </c>
      <c r="S1007" s="1655" t="s">
        <v>415</v>
      </c>
      <c r="T1007" s="1655" t="s">
        <v>1170</v>
      </c>
      <c r="U1007" s="1655">
        <v>0</v>
      </c>
      <c r="V1007" s="1655" t="s">
        <v>42</v>
      </c>
      <c r="W1007" s="1655" t="s">
        <v>572</v>
      </c>
    </row>
    <row r="1008" spans="1:23">
      <c r="A1008" s="1655" t="s">
        <v>415</v>
      </c>
      <c r="B1008" s="1655" t="s">
        <v>1171</v>
      </c>
      <c r="C1008" s="1655">
        <v>1</v>
      </c>
      <c r="D1008" s="1655" t="s">
        <v>42</v>
      </c>
      <c r="E1008" s="1655" t="s">
        <v>572</v>
      </c>
      <c r="G1008" s="1655" t="s">
        <v>415</v>
      </c>
      <c r="H1008" s="1655" t="s">
        <v>1171</v>
      </c>
      <c r="I1008" s="1655">
        <v>1</v>
      </c>
      <c r="J1008" s="1655" t="s">
        <v>42</v>
      </c>
      <c r="K1008" s="1655" t="s">
        <v>572</v>
      </c>
      <c r="M1008" s="1655" t="s">
        <v>415</v>
      </c>
      <c r="N1008" s="1655" t="s">
        <v>1171</v>
      </c>
      <c r="O1008" s="1655">
        <v>1</v>
      </c>
      <c r="P1008" s="1655" t="s">
        <v>42</v>
      </c>
      <c r="Q1008" s="1655" t="s">
        <v>572</v>
      </c>
      <c r="S1008" s="1655" t="s">
        <v>415</v>
      </c>
      <c r="T1008" s="1655" t="s">
        <v>1171</v>
      </c>
      <c r="U1008" s="1655">
        <v>0</v>
      </c>
      <c r="V1008" s="1655" t="s">
        <v>42</v>
      </c>
      <c r="W1008" s="1655" t="s">
        <v>572</v>
      </c>
    </row>
    <row r="1009" spans="1:23">
      <c r="A1009" s="1655" t="s">
        <v>415</v>
      </c>
      <c r="B1009" s="1655" t="s">
        <v>1172</v>
      </c>
      <c r="C1009" s="1655">
        <v>1</v>
      </c>
      <c r="D1009" s="1655" t="s">
        <v>42</v>
      </c>
      <c r="E1009" s="1655" t="s">
        <v>572</v>
      </c>
      <c r="G1009" s="1655" t="s">
        <v>415</v>
      </c>
      <c r="H1009" s="1655" t="s">
        <v>1172</v>
      </c>
      <c r="I1009" s="1655">
        <v>0</v>
      </c>
      <c r="J1009" s="1655" t="s">
        <v>42</v>
      </c>
      <c r="K1009" s="1655" t="s">
        <v>572</v>
      </c>
      <c r="M1009" s="1655" t="s">
        <v>415</v>
      </c>
      <c r="N1009" s="1655" t="s">
        <v>1172</v>
      </c>
      <c r="O1009" s="1655">
        <v>1</v>
      </c>
      <c r="P1009" s="1655" t="s">
        <v>42</v>
      </c>
      <c r="Q1009" s="1655" t="s">
        <v>572</v>
      </c>
      <c r="S1009" s="1655" t="s">
        <v>415</v>
      </c>
      <c r="T1009" s="1655" t="s">
        <v>1172</v>
      </c>
      <c r="U1009" s="1655">
        <v>0</v>
      </c>
      <c r="V1009" s="1655" t="s">
        <v>42</v>
      </c>
      <c r="W1009" s="1655" t="s">
        <v>572</v>
      </c>
    </row>
    <row r="1010" spans="1:23">
      <c r="A1010" s="1655" t="s">
        <v>415</v>
      </c>
      <c r="B1010" s="1655" t="s">
        <v>1173</v>
      </c>
      <c r="C1010" s="1655">
        <v>26</v>
      </c>
      <c r="D1010" s="1655" t="s">
        <v>42</v>
      </c>
      <c r="E1010" s="1655" t="s">
        <v>572</v>
      </c>
      <c r="G1010" s="1655" t="s">
        <v>415</v>
      </c>
      <c r="H1010" s="1655" t="s">
        <v>1173</v>
      </c>
      <c r="I1010" s="1655">
        <v>0</v>
      </c>
      <c r="J1010" s="1655" t="s">
        <v>42</v>
      </c>
      <c r="K1010" s="1655" t="s">
        <v>572</v>
      </c>
      <c r="M1010" s="1655" t="s">
        <v>415</v>
      </c>
      <c r="N1010" s="1655" t="s">
        <v>1173</v>
      </c>
      <c r="O1010" s="1655">
        <v>26</v>
      </c>
      <c r="P1010" s="1655" t="s">
        <v>42</v>
      </c>
      <c r="Q1010" s="1655" t="s">
        <v>572</v>
      </c>
      <c r="S1010" s="1655" t="s">
        <v>415</v>
      </c>
      <c r="T1010" s="1655" t="s">
        <v>1173</v>
      </c>
      <c r="U1010" s="1655">
        <v>0</v>
      </c>
      <c r="V1010" s="1655" t="s">
        <v>42</v>
      </c>
      <c r="W1010" s="1655" t="s">
        <v>572</v>
      </c>
    </row>
    <row r="1011" spans="1:23">
      <c r="A1011" s="1655" t="s">
        <v>415</v>
      </c>
      <c r="B1011" s="1655" t="s">
        <v>1956</v>
      </c>
      <c r="C1011" s="1655">
        <v>1</v>
      </c>
      <c r="D1011" s="1655" t="s">
        <v>42</v>
      </c>
      <c r="E1011" s="1655" t="s">
        <v>572</v>
      </c>
      <c r="G1011" s="1655" t="s">
        <v>415</v>
      </c>
      <c r="H1011" s="1655" t="s">
        <v>1956</v>
      </c>
      <c r="I1011" s="1655">
        <v>0</v>
      </c>
      <c r="J1011" s="1655" t="s">
        <v>42</v>
      </c>
      <c r="K1011" s="1655" t="s">
        <v>572</v>
      </c>
      <c r="M1011" s="1655" t="s">
        <v>415</v>
      </c>
      <c r="N1011" s="1655" t="s">
        <v>1956</v>
      </c>
      <c r="O1011" s="1655">
        <v>12</v>
      </c>
      <c r="P1011" s="1655" t="s">
        <v>42</v>
      </c>
      <c r="Q1011" s="1655" t="s">
        <v>572</v>
      </c>
      <c r="S1011" s="1655" t="s">
        <v>415</v>
      </c>
      <c r="T1011" s="1655" t="s">
        <v>1956</v>
      </c>
      <c r="U1011" s="1655">
        <v>0</v>
      </c>
      <c r="V1011" s="1655" t="s">
        <v>42</v>
      </c>
      <c r="W1011" s="1655" t="s">
        <v>572</v>
      </c>
    </row>
    <row r="1012" spans="1:23">
      <c r="A1012" s="1655" t="s">
        <v>415</v>
      </c>
      <c r="B1012" s="1655" t="s">
        <v>1268</v>
      </c>
      <c r="C1012" s="1655">
        <v>0</v>
      </c>
      <c r="D1012" s="1655" t="s">
        <v>42</v>
      </c>
      <c r="E1012" s="1655" t="s">
        <v>572</v>
      </c>
      <c r="G1012" s="1655" t="s">
        <v>415</v>
      </c>
      <c r="H1012" s="1655" t="s">
        <v>1268</v>
      </c>
      <c r="I1012" s="1655">
        <v>0</v>
      </c>
      <c r="J1012" s="1655" t="s">
        <v>42</v>
      </c>
      <c r="K1012" s="1655" t="s">
        <v>572</v>
      </c>
      <c r="M1012" s="1655" t="s">
        <v>415</v>
      </c>
      <c r="N1012" s="1655" t="s">
        <v>1268</v>
      </c>
      <c r="O1012" s="1655">
        <v>0</v>
      </c>
      <c r="P1012" s="1655" t="s">
        <v>42</v>
      </c>
      <c r="Q1012" s="1655" t="s">
        <v>572</v>
      </c>
      <c r="S1012" s="1655" t="s">
        <v>415</v>
      </c>
      <c r="T1012" s="1655" t="s">
        <v>1268</v>
      </c>
      <c r="U1012" s="1655">
        <v>0</v>
      </c>
      <c r="V1012" s="1655" t="s">
        <v>42</v>
      </c>
      <c r="W1012" s="1655" t="s">
        <v>572</v>
      </c>
    </row>
    <row r="1013" spans="1:23">
      <c r="A1013" s="1655" t="s">
        <v>415</v>
      </c>
      <c r="B1013" s="1655" t="s">
        <v>1269</v>
      </c>
      <c r="C1013" s="1655">
        <v>0</v>
      </c>
      <c r="D1013" s="1655" t="s">
        <v>42</v>
      </c>
      <c r="E1013" s="1655" t="s">
        <v>572</v>
      </c>
      <c r="G1013" s="1655" t="s">
        <v>415</v>
      </c>
      <c r="H1013" s="1655" t="s">
        <v>1269</v>
      </c>
      <c r="I1013" s="1655">
        <v>0</v>
      </c>
      <c r="J1013" s="1655" t="s">
        <v>42</v>
      </c>
      <c r="K1013" s="1655" t="s">
        <v>572</v>
      </c>
      <c r="M1013" s="1655" t="s">
        <v>415</v>
      </c>
      <c r="N1013" s="1655" t="s">
        <v>1269</v>
      </c>
      <c r="O1013" s="1655">
        <v>0</v>
      </c>
      <c r="P1013" s="1655" t="s">
        <v>42</v>
      </c>
      <c r="Q1013" s="1655" t="s">
        <v>572</v>
      </c>
      <c r="S1013" s="1655" t="s">
        <v>415</v>
      </c>
      <c r="T1013" s="1655" t="s">
        <v>1269</v>
      </c>
      <c r="U1013" s="1655">
        <v>0</v>
      </c>
      <c r="V1013" s="1655" t="s">
        <v>42</v>
      </c>
      <c r="W1013" s="1655" t="s">
        <v>572</v>
      </c>
    </row>
    <row r="1014" spans="1:23">
      <c r="A1014" s="1655" t="s">
        <v>415</v>
      </c>
      <c r="B1014" s="1655" t="s">
        <v>1270</v>
      </c>
      <c r="C1014" s="1655">
        <v>0</v>
      </c>
      <c r="D1014" s="1655" t="s">
        <v>42</v>
      </c>
      <c r="E1014" s="1655" t="s">
        <v>572</v>
      </c>
      <c r="G1014" s="1655" t="s">
        <v>415</v>
      </c>
      <c r="H1014" s="1655" t="s">
        <v>1270</v>
      </c>
      <c r="I1014" s="1655">
        <v>0</v>
      </c>
      <c r="J1014" s="1655" t="s">
        <v>42</v>
      </c>
      <c r="K1014" s="1655" t="s">
        <v>572</v>
      </c>
      <c r="M1014" s="1655" t="s">
        <v>415</v>
      </c>
      <c r="N1014" s="1655" t="s">
        <v>1270</v>
      </c>
      <c r="O1014" s="1655">
        <v>0</v>
      </c>
      <c r="P1014" s="1655" t="s">
        <v>42</v>
      </c>
      <c r="Q1014" s="1655" t="s">
        <v>572</v>
      </c>
      <c r="S1014" s="1655" t="s">
        <v>415</v>
      </c>
      <c r="T1014" s="1655" t="s">
        <v>1270</v>
      </c>
      <c r="U1014" s="1655">
        <v>0</v>
      </c>
      <c r="V1014" s="1655" t="s">
        <v>42</v>
      </c>
      <c r="W1014" s="1655" t="s">
        <v>572</v>
      </c>
    </row>
    <row r="1015" spans="1:23">
      <c r="A1015" s="1655" t="s">
        <v>415</v>
      </c>
      <c r="B1015" s="1655" t="s">
        <v>1271</v>
      </c>
      <c r="C1015" s="1655">
        <v>0</v>
      </c>
      <c r="D1015" s="1655" t="s">
        <v>42</v>
      </c>
      <c r="E1015" s="1655" t="s">
        <v>572</v>
      </c>
      <c r="G1015" s="1655" t="s">
        <v>415</v>
      </c>
      <c r="H1015" s="1655" t="s">
        <v>1271</v>
      </c>
      <c r="I1015" s="1655">
        <v>0</v>
      </c>
      <c r="J1015" s="1655" t="s">
        <v>42</v>
      </c>
      <c r="K1015" s="1655" t="s">
        <v>572</v>
      </c>
      <c r="M1015" s="1655" t="s">
        <v>415</v>
      </c>
      <c r="N1015" s="1655" t="s">
        <v>1271</v>
      </c>
      <c r="O1015" s="1655">
        <v>0</v>
      </c>
      <c r="P1015" s="1655" t="s">
        <v>42</v>
      </c>
      <c r="Q1015" s="1655" t="s">
        <v>572</v>
      </c>
      <c r="S1015" s="1655" t="s">
        <v>415</v>
      </c>
      <c r="T1015" s="1655" t="s">
        <v>1271</v>
      </c>
      <c r="U1015" s="1655">
        <v>0</v>
      </c>
      <c r="V1015" s="1655" t="s">
        <v>42</v>
      </c>
      <c r="W1015" s="1655" t="s">
        <v>572</v>
      </c>
    </row>
    <row r="1016" spans="1:23">
      <c r="A1016" s="1655" t="s">
        <v>415</v>
      </c>
      <c r="B1016" s="1655" t="s">
        <v>1174</v>
      </c>
      <c r="C1016" s="1655">
        <v>0</v>
      </c>
      <c r="D1016" s="1655" t="s">
        <v>42</v>
      </c>
      <c r="E1016" s="1655" t="s">
        <v>572</v>
      </c>
      <c r="G1016" s="1655" t="s">
        <v>415</v>
      </c>
      <c r="H1016" s="1655" t="s">
        <v>1174</v>
      </c>
      <c r="I1016" s="1655">
        <v>0</v>
      </c>
      <c r="J1016" s="1655" t="s">
        <v>42</v>
      </c>
      <c r="K1016" s="1655" t="s">
        <v>572</v>
      </c>
      <c r="M1016" s="1655" t="s">
        <v>415</v>
      </c>
      <c r="N1016" s="1655" t="s">
        <v>1174</v>
      </c>
      <c r="O1016" s="1655">
        <v>0</v>
      </c>
      <c r="P1016" s="1655" t="s">
        <v>42</v>
      </c>
      <c r="Q1016" s="1655" t="s">
        <v>572</v>
      </c>
      <c r="S1016" s="1655" t="s">
        <v>415</v>
      </c>
      <c r="T1016" s="1655" t="s">
        <v>1174</v>
      </c>
      <c r="U1016" s="1655">
        <v>0</v>
      </c>
      <c r="V1016" s="1655" t="s">
        <v>42</v>
      </c>
      <c r="W1016" s="1655" t="s">
        <v>572</v>
      </c>
    </row>
    <row r="1017" spans="1:23">
      <c r="A1017" s="1655" t="s">
        <v>415</v>
      </c>
      <c r="B1017" s="1655" t="s">
        <v>1178</v>
      </c>
      <c r="C1017" s="1655" t="s">
        <v>42</v>
      </c>
      <c r="D1017" s="1655" t="s">
        <v>42</v>
      </c>
      <c r="E1017" s="1655" t="s">
        <v>569</v>
      </c>
      <c r="G1017" s="1655" t="s">
        <v>415</v>
      </c>
      <c r="H1017" s="1655" t="s">
        <v>1178</v>
      </c>
      <c r="I1017" s="1655" t="s">
        <v>42</v>
      </c>
      <c r="J1017" s="1655" t="s">
        <v>42</v>
      </c>
      <c r="K1017" s="1655" t="s">
        <v>569</v>
      </c>
      <c r="M1017" s="1655" t="s">
        <v>415</v>
      </c>
      <c r="N1017" s="1655" t="s">
        <v>1178</v>
      </c>
      <c r="O1017" s="1655" t="s">
        <v>42</v>
      </c>
      <c r="P1017" s="1655" t="s">
        <v>42</v>
      </c>
      <c r="Q1017" s="1655" t="s">
        <v>569</v>
      </c>
      <c r="S1017" s="1655" t="s">
        <v>415</v>
      </c>
      <c r="T1017" s="1655" t="s">
        <v>1178</v>
      </c>
      <c r="U1017" s="1655" t="s">
        <v>42</v>
      </c>
      <c r="V1017" s="1655" t="s">
        <v>42</v>
      </c>
      <c r="W1017" s="1655" t="s">
        <v>569</v>
      </c>
    </row>
    <row r="1018" spans="1:23">
      <c r="A1018" s="1655" t="s">
        <v>415</v>
      </c>
      <c r="B1018" s="1655" t="s">
        <v>1179</v>
      </c>
      <c r="C1018" s="1655" t="s">
        <v>42</v>
      </c>
      <c r="D1018" s="1655" t="s">
        <v>42</v>
      </c>
      <c r="E1018" s="1655" t="s">
        <v>569</v>
      </c>
      <c r="G1018" s="1655" t="s">
        <v>415</v>
      </c>
      <c r="H1018" s="1655" t="s">
        <v>1179</v>
      </c>
      <c r="I1018" s="1655" t="s">
        <v>42</v>
      </c>
      <c r="J1018" s="1655" t="s">
        <v>42</v>
      </c>
      <c r="K1018" s="1655" t="s">
        <v>569</v>
      </c>
      <c r="M1018" s="1655" t="s">
        <v>415</v>
      </c>
      <c r="N1018" s="1655" t="s">
        <v>1179</v>
      </c>
      <c r="O1018" s="1655" t="s">
        <v>42</v>
      </c>
      <c r="P1018" s="1655" t="s">
        <v>42</v>
      </c>
      <c r="Q1018" s="1655" t="s">
        <v>569</v>
      </c>
      <c r="S1018" s="1655" t="s">
        <v>415</v>
      </c>
      <c r="T1018" s="1655" t="s">
        <v>1179</v>
      </c>
      <c r="U1018" s="1655" t="s">
        <v>42</v>
      </c>
      <c r="V1018" s="1655" t="s">
        <v>42</v>
      </c>
      <c r="W1018" s="1655" t="s">
        <v>569</v>
      </c>
    </row>
    <row r="1019" spans="1:23">
      <c r="A1019" s="1655" t="s">
        <v>415</v>
      </c>
      <c r="B1019" s="1655" t="s">
        <v>1180</v>
      </c>
      <c r="C1019" s="1655" t="s">
        <v>42</v>
      </c>
      <c r="D1019" s="1655" t="s">
        <v>42</v>
      </c>
      <c r="E1019" s="1655" t="s">
        <v>569</v>
      </c>
      <c r="G1019" s="1655" t="s">
        <v>415</v>
      </c>
      <c r="H1019" s="1655" t="s">
        <v>1180</v>
      </c>
      <c r="I1019" s="1655" t="s">
        <v>42</v>
      </c>
      <c r="J1019" s="1655" t="s">
        <v>42</v>
      </c>
      <c r="K1019" s="1655" t="s">
        <v>569</v>
      </c>
      <c r="M1019" s="1655" t="s">
        <v>415</v>
      </c>
      <c r="N1019" s="1655" t="s">
        <v>1180</v>
      </c>
      <c r="O1019" s="1655" t="s">
        <v>42</v>
      </c>
      <c r="P1019" s="1655" t="s">
        <v>42</v>
      </c>
      <c r="Q1019" s="1655" t="s">
        <v>569</v>
      </c>
      <c r="S1019" s="1655" t="s">
        <v>415</v>
      </c>
      <c r="T1019" s="1655" t="s">
        <v>1180</v>
      </c>
      <c r="U1019" s="1655" t="s">
        <v>42</v>
      </c>
      <c r="V1019" s="1655" t="s">
        <v>42</v>
      </c>
      <c r="W1019" s="1655" t="s">
        <v>569</v>
      </c>
    </row>
    <row r="1020" spans="1:23">
      <c r="A1020" s="1655" t="s">
        <v>415</v>
      </c>
      <c r="B1020" s="1655" t="s">
        <v>1181</v>
      </c>
      <c r="C1020" s="1655" t="s">
        <v>43</v>
      </c>
      <c r="D1020" s="1655" t="s">
        <v>42</v>
      </c>
      <c r="E1020" s="1655" t="s">
        <v>569</v>
      </c>
      <c r="G1020" s="1655" t="s">
        <v>415</v>
      </c>
      <c r="H1020" s="1655" t="s">
        <v>1181</v>
      </c>
      <c r="I1020" s="1655" t="s">
        <v>42</v>
      </c>
      <c r="J1020" s="1655" t="s">
        <v>42</v>
      </c>
      <c r="K1020" s="1655" t="s">
        <v>569</v>
      </c>
      <c r="M1020" s="1655" t="s">
        <v>415</v>
      </c>
      <c r="N1020" s="1655" t="s">
        <v>1181</v>
      </c>
      <c r="O1020" s="1655" t="s">
        <v>42</v>
      </c>
      <c r="P1020" s="1655" t="s">
        <v>42</v>
      </c>
      <c r="Q1020" s="1655" t="s">
        <v>569</v>
      </c>
      <c r="S1020" s="1655" t="s">
        <v>415</v>
      </c>
      <c r="T1020" s="1655" t="s">
        <v>1181</v>
      </c>
      <c r="U1020" s="1655" t="s">
        <v>42</v>
      </c>
      <c r="V1020" s="1655" t="s">
        <v>42</v>
      </c>
      <c r="W1020" s="1655" t="s">
        <v>569</v>
      </c>
    </row>
    <row r="1021" spans="1:23">
      <c r="A1021" s="1655" t="s">
        <v>415</v>
      </c>
      <c r="B1021" s="1655" t="s">
        <v>1182</v>
      </c>
      <c r="C1021" s="1655" t="s">
        <v>42</v>
      </c>
      <c r="D1021" s="1655" t="s">
        <v>42</v>
      </c>
      <c r="E1021" s="1655" t="s">
        <v>569</v>
      </c>
      <c r="G1021" s="1655" t="s">
        <v>415</v>
      </c>
      <c r="H1021" s="1655" t="s">
        <v>1182</v>
      </c>
      <c r="I1021" s="1655" t="s">
        <v>42</v>
      </c>
      <c r="J1021" s="1655" t="s">
        <v>42</v>
      </c>
      <c r="K1021" s="1655" t="s">
        <v>569</v>
      </c>
      <c r="M1021" s="1655" t="s">
        <v>415</v>
      </c>
      <c r="N1021" s="1655" t="s">
        <v>1182</v>
      </c>
      <c r="O1021" s="1655" t="s">
        <v>42</v>
      </c>
      <c r="P1021" s="1655" t="s">
        <v>42</v>
      </c>
      <c r="Q1021" s="1655" t="s">
        <v>569</v>
      </c>
      <c r="S1021" s="1655" t="s">
        <v>415</v>
      </c>
      <c r="T1021" s="1655" t="s">
        <v>1182</v>
      </c>
      <c r="U1021" s="1655" t="s">
        <v>42</v>
      </c>
      <c r="V1021" s="1655" t="s">
        <v>42</v>
      </c>
      <c r="W1021" s="1655" t="s">
        <v>569</v>
      </c>
    </row>
    <row r="1022" spans="1:23">
      <c r="A1022" s="1655" t="s">
        <v>415</v>
      </c>
      <c r="B1022" s="1655" t="s">
        <v>1183</v>
      </c>
      <c r="C1022" s="1655" t="s">
        <v>43</v>
      </c>
      <c r="D1022" s="1655" t="s">
        <v>42</v>
      </c>
      <c r="E1022" s="1655" t="s">
        <v>569</v>
      </c>
      <c r="G1022" s="1655" t="s">
        <v>415</v>
      </c>
      <c r="H1022" s="1655" t="s">
        <v>1183</v>
      </c>
      <c r="I1022" s="1655" t="s">
        <v>42</v>
      </c>
      <c r="J1022" s="1655" t="s">
        <v>42</v>
      </c>
      <c r="K1022" s="1655" t="s">
        <v>569</v>
      </c>
      <c r="M1022" s="1655" t="s">
        <v>415</v>
      </c>
      <c r="N1022" s="1655" t="s">
        <v>1183</v>
      </c>
      <c r="O1022" s="1655" t="s">
        <v>43</v>
      </c>
      <c r="P1022" s="1655" t="s">
        <v>42</v>
      </c>
      <c r="Q1022" s="1655" t="s">
        <v>569</v>
      </c>
      <c r="S1022" s="1655" t="s">
        <v>415</v>
      </c>
      <c r="T1022" s="1655" t="s">
        <v>1183</v>
      </c>
      <c r="U1022" s="1655" t="s">
        <v>42</v>
      </c>
      <c r="V1022" s="1655" t="s">
        <v>42</v>
      </c>
      <c r="W1022" s="1655" t="s">
        <v>569</v>
      </c>
    </row>
    <row r="1023" spans="1:23">
      <c r="A1023" s="1655" t="s">
        <v>415</v>
      </c>
      <c r="B1023" s="1655" t="s">
        <v>1184</v>
      </c>
      <c r="C1023" s="1655" t="s">
        <v>43</v>
      </c>
      <c r="D1023" s="1655" t="s">
        <v>42</v>
      </c>
      <c r="E1023" s="1655" t="s">
        <v>569</v>
      </c>
      <c r="G1023" s="1655" t="s">
        <v>415</v>
      </c>
      <c r="H1023" s="1655" t="s">
        <v>1184</v>
      </c>
      <c r="I1023" s="1655" t="s">
        <v>42</v>
      </c>
      <c r="J1023" s="1655" t="s">
        <v>42</v>
      </c>
      <c r="K1023" s="1655" t="s">
        <v>569</v>
      </c>
      <c r="M1023" s="1655" t="s">
        <v>415</v>
      </c>
      <c r="N1023" s="1655" t="s">
        <v>1184</v>
      </c>
      <c r="O1023" s="1655" t="s">
        <v>43</v>
      </c>
      <c r="P1023" s="1655" t="s">
        <v>42</v>
      </c>
      <c r="Q1023" s="1655" t="s">
        <v>569</v>
      </c>
      <c r="S1023" s="1655" t="s">
        <v>415</v>
      </c>
      <c r="T1023" s="1655" t="s">
        <v>1184</v>
      </c>
      <c r="U1023" s="1655" t="s">
        <v>42</v>
      </c>
      <c r="V1023" s="1655" t="s">
        <v>42</v>
      </c>
      <c r="W1023" s="1655" t="s">
        <v>569</v>
      </c>
    </row>
    <row r="1024" spans="1:23">
      <c r="A1024" s="1655" t="s">
        <v>415</v>
      </c>
      <c r="B1024" s="1655" t="s">
        <v>1185</v>
      </c>
      <c r="C1024" s="1655" t="s">
        <v>43</v>
      </c>
      <c r="D1024" s="1655" t="s">
        <v>42</v>
      </c>
      <c r="E1024" s="1655" t="s">
        <v>569</v>
      </c>
      <c r="G1024" s="1655" t="s">
        <v>415</v>
      </c>
      <c r="H1024" s="1655" t="s">
        <v>1185</v>
      </c>
      <c r="I1024" s="1655" t="s">
        <v>42</v>
      </c>
      <c r="J1024" s="1655" t="s">
        <v>42</v>
      </c>
      <c r="K1024" s="1655" t="s">
        <v>569</v>
      </c>
      <c r="M1024" s="1655" t="s">
        <v>415</v>
      </c>
      <c r="N1024" s="1655" t="s">
        <v>1185</v>
      </c>
      <c r="O1024" s="1655" t="s">
        <v>43</v>
      </c>
      <c r="P1024" s="1655" t="s">
        <v>42</v>
      </c>
      <c r="Q1024" s="1655" t="s">
        <v>569</v>
      </c>
      <c r="S1024" s="1655" t="s">
        <v>415</v>
      </c>
      <c r="T1024" s="1655" t="s">
        <v>1185</v>
      </c>
      <c r="U1024" s="1655" t="s">
        <v>42</v>
      </c>
      <c r="V1024" s="1655" t="s">
        <v>42</v>
      </c>
      <c r="W1024" s="1655" t="s">
        <v>569</v>
      </c>
    </row>
    <row r="1025" spans="1:23">
      <c r="A1025" s="1655" t="s">
        <v>415</v>
      </c>
      <c r="B1025" s="1655" t="s">
        <v>1186</v>
      </c>
      <c r="C1025" s="1655" t="s">
        <v>43</v>
      </c>
      <c r="D1025" s="1655" t="s">
        <v>42</v>
      </c>
      <c r="E1025" s="1655" t="s">
        <v>569</v>
      </c>
      <c r="G1025" s="1655" t="s">
        <v>415</v>
      </c>
      <c r="H1025" s="1655" t="s">
        <v>1186</v>
      </c>
      <c r="I1025" s="1656" t="s">
        <v>42</v>
      </c>
      <c r="J1025" s="1655" t="s">
        <v>42</v>
      </c>
      <c r="K1025" s="1655" t="s">
        <v>569</v>
      </c>
      <c r="M1025" s="1655" t="s">
        <v>415</v>
      </c>
      <c r="N1025" s="1655" t="s">
        <v>1186</v>
      </c>
      <c r="O1025" s="1656" t="s">
        <v>43</v>
      </c>
      <c r="P1025" s="1655" t="s">
        <v>42</v>
      </c>
      <c r="Q1025" s="1655" t="s">
        <v>569</v>
      </c>
      <c r="S1025" s="1655" t="s">
        <v>415</v>
      </c>
      <c r="T1025" s="1655" t="s">
        <v>1186</v>
      </c>
      <c r="U1025" s="1656" t="s">
        <v>42</v>
      </c>
      <c r="V1025" s="1655" t="s">
        <v>42</v>
      </c>
      <c r="W1025" s="1655" t="s">
        <v>569</v>
      </c>
    </row>
    <row r="1026" spans="1:23">
      <c r="A1026" s="1655" t="s">
        <v>415</v>
      </c>
      <c r="B1026" s="1655" t="s">
        <v>1187</v>
      </c>
      <c r="C1026" s="1655" t="s">
        <v>43</v>
      </c>
      <c r="D1026" s="1655" t="s">
        <v>42</v>
      </c>
      <c r="E1026" s="1655" t="s">
        <v>569</v>
      </c>
      <c r="G1026" s="1655" t="s">
        <v>415</v>
      </c>
      <c r="H1026" s="1655" t="s">
        <v>1187</v>
      </c>
      <c r="I1026" s="1655" t="s">
        <v>42</v>
      </c>
      <c r="J1026" s="1655" t="s">
        <v>42</v>
      </c>
      <c r="K1026" s="1655" t="s">
        <v>569</v>
      </c>
      <c r="M1026" s="1655" t="s">
        <v>415</v>
      </c>
      <c r="N1026" s="1655" t="s">
        <v>1187</v>
      </c>
      <c r="O1026" s="1655" t="s">
        <v>43</v>
      </c>
      <c r="P1026" s="1655" t="s">
        <v>42</v>
      </c>
      <c r="Q1026" s="1655" t="s">
        <v>569</v>
      </c>
      <c r="S1026" s="1655" t="s">
        <v>415</v>
      </c>
      <c r="T1026" s="1655" t="s">
        <v>1187</v>
      </c>
      <c r="U1026" s="1655" t="s">
        <v>42</v>
      </c>
      <c r="V1026" s="1655" t="s">
        <v>42</v>
      </c>
      <c r="W1026" s="1655" t="s">
        <v>569</v>
      </c>
    </row>
    <row r="1027" spans="1:23">
      <c r="A1027" s="1655" t="s">
        <v>415</v>
      </c>
      <c r="B1027" s="1655" t="s">
        <v>1199</v>
      </c>
      <c r="C1027" s="1655" t="s">
        <v>395</v>
      </c>
      <c r="D1027" s="1655" t="s">
        <v>42</v>
      </c>
      <c r="E1027" s="1655" t="s">
        <v>569</v>
      </c>
      <c r="G1027" s="1655" t="s">
        <v>415</v>
      </c>
      <c r="H1027" s="1655" t="s">
        <v>1199</v>
      </c>
      <c r="I1027" s="1656" t="s">
        <v>395</v>
      </c>
      <c r="J1027" s="1655" t="s">
        <v>42</v>
      </c>
      <c r="K1027" s="1655" t="s">
        <v>569</v>
      </c>
      <c r="M1027" s="1655" t="s">
        <v>415</v>
      </c>
      <c r="N1027" s="1655" t="s">
        <v>1199</v>
      </c>
      <c r="O1027" s="1656" t="s">
        <v>395</v>
      </c>
      <c r="P1027" s="1655" t="s">
        <v>42</v>
      </c>
      <c r="Q1027" s="1655" t="s">
        <v>569</v>
      </c>
      <c r="S1027" s="1655" t="s">
        <v>415</v>
      </c>
      <c r="T1027" s="1655" t="s">
        <v>1199</v>
      </c>
      <c r="U1027" s="1656" t="s">
        <v>395</v>
      </c>
      <c r="V1027" s="1655" t="s">
        <v>42</v>
      </c>
      <c r="W1027" s="1655" t="s">
        <v>569</v>
      </c>
    </row>
    <row r="1028" spans="1:23">
      <c r="A1028" s="1655" t="s">
        <v>415</v>
      </c>
      <c r="B1028" s="1655" t="s">
        <v>1200</v>
      </c>
      <c r="C1028" s="1655" t="s">
        <v>395</v>
      </c>
      <c r="D1028" s="1655" t="s">
        <v>42</v>
      </c>
      <c r="E1028" s="1655" t="s">
        <v>569</v>
      </c>
      <c r="G1028" s="1655" t="s">
        <v>415</v>
      </c>
      <c r="H1028" s="1655" t="s">
        <v>1200</v>
      </c>
      <c r="I1028" s="1659" t="s">
        <v>402</v>
      </c>
      <c r="J1028" s="1655" t="s">
        <v>42</v>
      </c>
      <c r="K1028" s="1655" t="s">
        <v>569</v>
      </c>
      <c r="M1028" s="1655" t="s">
        <v>415</v>
      </c>
      <c r="N1028" s="1655" t="s">
        <v>1200</v>
      </c>
      <c r="O1028" s="1659" t="s">
        <v>395</v>
      </c>
      <c r="P1028" s="1655" t="s">
        <v>42</v>
      </c>
      <c r="Q1028" s="1655" t="s">
        <v>569</v>
      </c>
      <c r="S1028" s="1655" t="s">
        <v>415</v>
      </c>
      <c r="T1028" s="1655" t="s">
        <v>1200</v>
      </c>
      <c r="U1028" s="1659" t="s">
        <v>395</v>
      </c>
      <c r="V1028" s="1655" t="s">
        <v>42</v>
      </c>
      <c r="W1028" s="1655" t="s">
        <v>569</v>
      </c>
    </row>
    <row r="1029" spans="1:23">
      <c r="A1029" s="1655" t="s">
        <v>415</v>
      </c>
      <c r="B1029" s="1655" t="s">
        <v>1201</v>
      </c>
      <c r="C1029" s="1656" t="s">
        <v>395</v>
      </c>
      <c r="D1029" s="1655" t="s">
        <v>42</v>
      </c>
      <c r="E1029" s="1655" t="s">
        <v>569</v>
      </c>
      <c r="G1029" s="1655" t="s">
        <v>415</v>
      </c>
      <c r="H1029" s="1655" t="s">
        <v>1201</v>
      </c>
      <c r="I1029" s="1656" t="s">
        <v>395</v>
      </c>
      <c r="J1029" s="1655" t="s">
        <v>42</v>
      </c>
      <c r="K1029" s="1655" t="s">
        <v>569</v>
      </c>
      <c r="M1029" s="1655" t="s">
        <v>415</v>
      </c>
      <c r="N1029" s="1655" t="s">
        <v>1201</v>
      </c>
      <c r="O1029" s="1656" t="s">
        <v>395</v>
      </c>
      <c r="P1029" s="1655" t="s">
        <v>42</v>
      </c>
      <c r="Q1029" s="1655" t="s">
        <v>569</v>
      </c>
      <c r="S1029" s="1655" t="s">
        <v>415</v>
      </c>
      <c r="T1029" s="1655" t="s">
        <v>1201</v>
      </c>
      <c r="U1029" s="1656" t="s">
        <v>395</v>
      </c>
      <c r="V1029" s="1655" t="s">
        <v>42</v>
      </c>
      <c r="W1029" s="1655" t="s">
        <v>569</v>
      </c>
    </row>
    <row r="1030" spans="1:23">
      <c r="A1030" s="1655" t="s">
        <v>415</v>
      </c>
      <c r="B1030" s="1655" t="s">
        <v>1202</v>
      </c>
      <c r="C1030" s="1658" t="s">
        <v>402</v>
      </c>
      <c r="D1030" s="1655" t="s">
        <v>42</v>
      </c>
      <c r="E1030" s="1655" t="s">
        <v>569</v>
      </c>
      <c r="G1030" s="1655" t="s">
        <v>415</v>
      </c>
      <c r="H1030" s="1655" t="s">
        <v>1202</v>
      </c>
      <c r="I1030" s="1658" t="s">
        <v>395</v>
      </c>
      <c r="J1030" s="1655" t="s">
        <v>42</v>
      </c>
      <c r="K1030" s="1655" t="s">
        <v>569</v>
      </c>
      <c r="M1030" s="1655" t="s">
        <v>415</v>
      </c>
      <c r="N1030" s="1655" t="s">
        <v>1202</v>
      </c>
      <c r="O1030" s="1658" t="s">
        <v>395</v>
      </c>
      <c r="P1030" s="1655" t="s">
        <v>42</v>
      </c>
      <c r="Q1030" s="1655" t="s">
        <v>569</v>
      </c>
      <c r="S1030" s="1655" t="s">
        <v>415</v>
      </c>
      <c r="T1030" s="1655" t="s">
        <v>1202</v>
      </c>
      <c r="U1030" s="1658" t="s">
        <v>395</v>
      </c>
      <c r="V1030" s="1655" t="s">
        <v>42</v>
      </c>
      <c r="W1030" s="1655" t="s">
        <v>569</v>
      </c>
    </row>
    <row r="1031" spans="1:23">
      <c r="A1031" s="1655" t="s">
        <v>415</v>
      </c>
      <c r="B1031" s="1655" t="s">
        <v>1203</v>
      </c>
      <c r="C1031" s="1656" t="s">
        <v>395</v>
      </c>
      <c r="D1031" s="1655" t="s">
        <v>42</v>
      </c>
      <c r="E1031" s="1655" t="s">
        <v>569</v>
      </c>
      <c r="G1031" s="1655" t="s">
        <v>415</v>
      </c>
      <c r="H1031" s="1655" t="s">
        <v>1203</v>
      </c>
      <c r="I1031" s="1656" t="s">
        <v>395</v>
      </c>
      <c r="J1031" s="1655" t="s">
        <v>42</v>
      </c>
      <c r="K1031" s="1655" t="s">
        <v>569</v>
      </c>
      <c r="M1031" s="1655" t="s">
        <v>415</v>
      </c>
      <c r="N1031" s="1655" t="s">
        <v>1203</v>
      </c>
      <c r="O1031" s="1656" t="s">
        <v>395</v>
      </c>
      <c r="P1031" s="1655" t="s">
        <v>42</v>
      </c>
      <c r="Q1031" s="1655" t="s">
        <v>569</v>
      </c>
      <c r="S1031" s="1655" t="s">
        <v>415</v>
      </c>
      <c r="T1031" s="1655" t="s">
        <v>1203</v>
      </c>
      <c r="U1031" s="1656" t="s">
        <v>395</v>
      </c>
      <c r="V1031" s="1655" t="s">
        <v>42</v>
      </c>
      <c r="W1031" s="1655" t="s">
        <v>569</v>
      </c>
    </row>
    <row r="1032" spans="1:23">
      <c r="A1032" s="1655" t="s">
        <v>415</v>
      </c>
      <c r="B1032" s="1655" t="s">
        <v>1204</v>
      </c>
      <c r="C1032" s="1656" t="s">
        <v>402</v>
      </c>
      <c r="D1032" s="1655" t="s">
        <v>42</v>
      </c>
      <c r="E1032" s="1655" t="s">
        <v>569</v>
      </c>
      <c r="G1032" s="1655" t="s">
        <v>415</v>
      </c>
      <c r="H1032" s="1655" t="s">
        <v>1204</v>
      </c>
      <c r="I1032" s="1656" t="s">
        <v>395</v>
      </c>
      <c r="J1032" s="1655" t="s">
        <v>42</v>
      </c>
      <c r="K1032" s="1655" t="s">
        <v>569</v>
      </c>
      <c r="M1032" s="1655" t="s">
        <v>415</v>
      </c>
      <c r="N1032" s="1655" t="s">
        <v>1204</v>
      </c>
      <c r="O1032" s="1656" t="s">
        <v>395</v>
      </c>
      <c r="P1032" s="1655" t="s">
        <v>42</v>
      </c>
      <c r="Q1032" s="1655" t="s">
        <v>569</v>
      </c>
      <c r="S1032" s="1655" t="s">
        <v>415</v>
      </c>
      <c r="T1032" s="1655" t="s">
        <v>1204</v>
      </c>
      <c r="U1032" s="1656" t="s">
        <v>395</v>
      </c>
      <c r="V1032" s="1655" t="s">
        <v>42</v>
      </c>
      <c r="W1032" s="1655" t="s">
        <v>569</v>
      </c>
    </row>
    <row r="1033" spans="1:23">
      <c r="A1033" s="1655" t="s">
        <v>415</v>
      </c>
      <c r="B1033" s="1655" t="s">
        <v>1205</v>
      </c>
      <c r="C1033" s="1655" t="s">
        <v>402</v>
      </c>
      <c r="D1033" s="1655" t="s">
        <v>42</v>
      </c>
      <c r="E1033" s="1655" t="s">
        <v>569</v>
      </c>
      <c r="G1033" s="1655" t="s">
        <v>415</v>
      </c>
      <c r="H1033" s="1655" t="s">
        <v>1205</v>
      </c>
      <c r="I1033" s="1655" t="s">
        <v>395</v>
      </c>
      <c r="J1033" s="1655" t="s">
        <v>42</v>
      </c>
      <c r="K1033" s="1655" t="s">
        <v>569</v>
      </c>
      <c r="M1033" s="1655" t="s">
        <v>415</v>
      </c>
      <c r="N1033" s="1655" t="s">
        <v>1205</v>
      </c>
      <c r="O1033" s="1655" t="s">
        <v>395</v>
      </c>
      <c r="P1033" s="1655" t="s">
        <v>42</v>
      </c>
      <c r="Q1033" s="1655" t="s">
        <v>569</v>
      </c>
      <c r="S1033" s="1655" t="s">
        <v>415</v>
      </c>
      <c r="T1033" s="1655" t="s">
        <v>1205</v>
      </c>
      <c r="U1033" s="1655" t="s">
        <v>395</v>
      </c>
      <c r="V1033" s="1655" t="s">
        <v>42</v>
      </c>
      <c r="W1033" s="1655" t="s">
        <v>569</v>
      </c>
    </row>
    <row r="1034" spans="1:23">
      <c r="A1034" s="1655" t="s">
        <v>415</v>
      </c>
      <c r="B1034" s="1655" t="s">
        <v>1206</v>
      </c>
      <c r="C1034" s="1656" t="s">
        <v>402</v>
      </c>
      <c r="D1034" s="1655" t="s">
        <v>42</v>
      </c>
      <c r="E1034" s="1655" t="s">
        <v>569</v>
      </c>
      <c r="G1034" s="1655" t="s">
        <v>415</v>
      </c>
      <c r="H1034" s="1655" t="s">
        <v>1206</v>
      </c>
      <c r="I1034" s="1656" t="s">
        <v>395</v>
      </c>
      <c r="J1034" s="1655" t="s">
        <v>42</v>
      </c>
      <c r="K1034" s="1655" t="s">
        <v>569</v>
      </c>
      <c r="M1034" s="1655" t="s">
        <v>415</v>
      </c>
      <c r="N1034" s="1655" t="s">
        <v>1206</v>
      </c>
      <c r="O1034" s="1656" t="s">
        <v>395</v>
      </c>
      <c r="P1034" s="1655" t="s">
        <v>42</v>
      </c>
      <c r="Q1034" s="1655" t="s">
        <v>569</v>
      </c>
      <c r="S1034" s="1655" t="s">
        <v>415</v>
      </c>
      <c r="T1034" s="1655" t="s">
        <v>1206</v>
      </c>
      <c r="U1034" s="1656" t="s">
        <v>395</v>
      </c>
      <c r="V1034" s="1655" t="s">
        <v>42</v>
      </c>
      <c r="W1034" s="1655" t="s">
        <v>569</v>
      </c>
    </row>
    <row r="1035" spans="1:23">
      <c r="A1035" s="1655" t="s">
        <v>415</v>
      </c>
      <c r="B1035" s="1655" t="s">
        <v>1207</v>
      </c>
      <c r="C1035" s="1655" t="s">
        <v>402</v>
      </c>
      <c r="D1035" s="1655" t="s">
        <v>42</v>
      </c>
      <c r="E1035" s="1655" t="s">
        <v>569</v>
      </c>
      <c r="G1035" s="1655" t="s">
        <v>415</v>
      </c>
      <c r="H1035" s="1655" t="s">
        <v>1207</v>
      </c>
      <c r="I1035" s="1655" t="s">
        <v>402</v>
      </c>
      <c r="J1035" s="1655" t="s">
        <v>42</v>
      </c>
      <c r="K1035" s="1655" t="s">
        <v>569</v>
      </c>
      <c r="M1035" s="1655" t="s">
        <v>415</v>
      </c>
      <c r="N1035" s="1655" t="s">
        <v>1207</v>
      </c>
      <c r="O1035" s="1655" t="s">
        <v>402</v>
      </c>
      <c r="P1035" s="1655" t="s">
        <v>42</v>
      </c>
      <c r="Q1035" s="1655" t="s">
        <v>569</v>
      </c>
      <c r="S1035" s="1655" t="s">
        <v>415</v>
      </c>
      <c r="T1035" s="1655" t="s">
        <v>1207</v>
      </c>
      <c r="U1035" s="1655" t="s">
        <v>395</v>
      </c>
      <c r="V1035" s="1655" t="s">
        <v>42</v>
      </c>
      <c r="W1035" s="1655" t="s">
        <v>569</v>
      </c>
    </row>
    <row r="1036" spans="1:23">
      <c r="A1036" s="1655" t="s">
        <v>415</v>
      </c>
      <c r="B1036" s="1655" t="s">
        <v>1208</v>
      </c>
      <c r="C1036" s="1656" t="s">
        <v>402</v>
      </c>
      <c r="D1036" s="1655" t="s">
        <v>42</v>
      </c>
      <c r="E1036" s="1655" t="s">
        <v>569</v>
      </c>
      <c r="G1036" s="1655" t="s">
        <v>415</v>
      </c>
      <c r="H1036" s="1655" t="s">
        <v>1208</v>
      </c>
      <c r="I1036" s="1656" t="s">
        <v>402</v>
      </c>
      <c r="J1036" s="1655" t="s">
        <v>42</v>
      </c>
      <c r="K1036" s="1655" t="s">
        <v>569</v>
      </c>
      <c r="M1036" s="1655" t="s">
        <v>415</v>
      </c>
      <c r="N1036" s="1655" t="s">
        <v>1208</v>
      </c>
      <c r="O1036" s="1656" t="s">
        <v>402</v>
      </c>
      <c r="P1036" s="1655" t="s">
        <v>42</v>
      </c>
      <c r="Q1036" s="1655" t="s">
        <v>569</v>
      </c>
      <c r="S1036" s="1655" t="s">
        <v>415</v>
      </c>
      <c r="T1036" s="1655" t="s">
        <v>1208</v>
      </c>
      <c r="U1036" s="1656" t="s">
        <v>395</v>
      </c>
      <c r="V1036" s="1655" t="s">
        <v>42</v>
      </c>
      <c r="W1036" s="1655" t="s">
        <v>569</v>
      </c>
    </row>
    <row r="1037" spans="1:23">
      <c r="A1037" s="1655" t="s">
        <v>415</v>
      </c>
      <c r="B1037" s="1655" t="s">
        <v>889</v>
      </c>
      <c r="C1037" s="1659">
        <v>2050</v>
      </c>
      <c r="D1037" s="1655" t="s">
        <v>42</v>
      </c>
      <c r="E1037" s="1655" t="s">
        <v>6</v>
      </c>
      <c r="G1037" s="1655" t="s">
        <v>415</v>
      </c>
      <c r="H1037" s="1655" t="s">
        <v>889</v>
      </c>
      <c r="I1037" s="1659" t="s">
        <v>570</v>
      </c>
      <c r="J1037" s="1655" t="s">
        <v>43</v>
      </c>
      <c r="K1037" s="1655" t="s">
        <v>6</v>
      </c>
      <c r="M1037" s="1655" t="s">
        <v>415</v>
      </c>
      <c r="N1037" s="1655" t="s">
        <v>889</v>
      </c>
      <c r="O1037" s="1659">
        <v>2040</v>
      </c>
      <c r="P1037" s="1655" t="s">
        <v>42</v>
      </c>
      <c r="Q1037" s="1655" t="s">
        <v>6</v>
      </c>
      <c r="S1037" s="1655" t="s">
        <v>415</v>
      </c>
      <c r="T1037" s="1655" t="s">
        <v>889</v>
      </c>
      <c r="U1037" s="1659" t="s">
        <v>570</v>
      </c>
      <c r="V1037" s="1655" t="s">
        <v>43</v>
      </c>
      <c r="W1037" s="1655" t="s">
        <v>6</v>
      </c>
    </row>
    <row r="1038" spans="1:23">
      <c r="A1038" s="1655" t="s">
        <v>415</v>
      </c>
      <c r="B1038" s="1655" t="s">
        <v>614</v>
      </c>
      <c r="C1038" s="1659">
        <v>0</v>
      </c>
      <c r="D1038" s="1655" t="s">
        <v>42</v>
      </c>
      <c r="E1038" s="1655" t="s">
        <v>571</v>
      </c>
      <c r="G1038" s="1655" t="s">
        <v>415</v>
      </c>
      <c r="H1038" s="1655" t="s">
        <v>614</v>
      </c>
      <c r="I1038" s="1659">
        <v>0</v>
      </c>
      <c r="J1038" s="1655" t="s">
        <v>42</v>
      </c>
      <c r="K1038" s="1655" t="s">
        <v>571</v>
      </c>
      <c r="M1038" s="1655" t="s">
        <v>415</v>
      </c>
      <c r="N1038" s="1655" t="s">
        <v>614</v>
      </c>
      <c r="O1038" s="1659">
        <v>700000</v>
      </c>
      <c r="P1038" s="1655" t="s">
        <v>42</v>
      </c>
      <c r="Q1038" s="1655" t="s">
        <v>571</v>
      </c>
      <c r="S1038" s="1655" t="s">
        <v>415</v>
      </c>
      <c r="T1038" s="1655" t="s">
        <v>614</v>
      </c>
      <c r="U1038" s="1659">
        <v>0</v>
      </c>
      <c r="V1038" s="1655" t="s">
        <v>42</v>
      </c>
      <c r="W1038" s="1655" t="s">
        <v>571</v>
      </c>
    </row>
    <row r="1039" spans="1:23">
      <c r="A1039" s="1655" t="s">
        <v>415</v>
      </c>
      <c r="B1039" s="1655" t="s">
        <v>615</v>
      </c>
      <c r="C1039" s="1656">
        <v>0</v>
      </c>
      <c r="D1039" s="1655" t="s">
        <v>42</v>
      </c>
      <c r="E1039" s="1655" t="s">
        <v>571</v>
      </c>
      <c r="G1039" s="1655" t="s">
        <v>415</v>
      </c>
      <c r="H1039" s="1655" t="s">
        <v>615</v>
      </c>
      <c r="I1039" s="1658">
        <v>0</v>
      </c>
      <c r="J1039" s="1655" t="s">
        <v>42</v>
      </c>
      <c r="K1039" s="1655" t="s">
        <v>571</v>
      </c>
      <c r="M1039" s="1655" t="s">
        <v>415</v>
      </c>
      <c r="N1039" s="1655" t="s">
        <v>615</v>
      </c>
      <c r="O1039" s="1658">
        <v>0</v>
      </c>
      <c r="P1039" s="1655" t="s">
        <v>42</v>
      </c>
      <c r="Q1039" s="1655" t="s">
        <v>571</v>
      </c>
      <c r="S1039" s="1655" t="s">
        <v>415</v>
      </c>
      <c r="T1039" s="1655" t="s">
        <v>615</v>
      </c>
      <c r="U1039" s="1656">
        <v>0</v>
      </c>
      <c r="V1039" s="1655" t="s">
        <v>42</v>
      </c>
      <c r="W1039" s="1655" t="s">
        <v>571</v>
      </c>
    </row>
    <row r="1040" spans="1:23">
      <c r="A1040" s="1655" t="s">
        <v>415</v>
      </c>
      <c r="B1040" s="1655" t="s">
        <v>892</v>
      </c>
      <c r="C1040" s="1658">
        <v>7.0000000000000007E-2</v>
      </c>
      <c r="D1040" s="1655" t="s">
        <v>42</v>
      </c>
      <c r="E1040" s="1655" t="s">
        <v>80</v>
      </c>
      <c r="G1040" s="1655" t="s">
        <v>415</v>
      </c>
      <c r="H1040" s="1655" t="s">
        <v>892</v>
      </c>
      <c r="I1040" s="1658">
        <v>7.0000000000000007E-2</v>
      </c>
      <c r="J1040" s="1655" t="s">
        <v>42</v>
      </c>
      <c r="K1040" s="1655" t="s">
        <v>80</v>
      </c>
      <c r="M1040" s="1655" t="s">
        <v>415</v>
      </c>
      <c r="N1040" s="1655" t="s">
        <v>892</v>
      </c>
      <c r="O1040" s="1658">
        <v>7.0000000000000007E-2</v>
      </c>
      <c r="P1040" s="1655" t="s">
        <v>42</v>
      </c>
      <c r="Q1040" s="1655" t="s">
        <v>80</v>
      </c>
      <c r="S1040" s="1655" t="s">
        <v>415</v>
      </c>
      <c r="T1040" s="1655" t="s">
        <v>892</v>
      </c>
      <c r="U1040" s="1658">
        <v>0</v>
      </c>
      <c r="V1040" s="1655" t="s">
        <v>42</v>
      </c>
      <c r="W1040" s="1655" t="s">
        <v>80</v>
      </c>
    </row>
    <row r="1041" spans="1:23">
      <c r="A1041" s="1655" t="s">
        <v>415</v>
      </c>
      <c r="B1041" s="1655" t="s">
        <v>893</v>
      </c>
      <c r="C1041" s="1656">
        <v>350000</v>
      </c>
      <c r="D1041" s="1655" t="s">
        <v>42</v>
      </c>
      <c r="E1041" s="1655" t="s">
        <v>571</v>
      </c>
      <c r="G1041" s="1655" t="s">
        <v>415</v>
      </c>
      <c r="H1041" s="1655" t="s">
        <v>893</v>
      </c>
      <c r="I1041" s="1655">
        <v>0</v>
      </c>
      <c r="J1041" s="1655" t="s">
        <v>42</v>
      </c>
      <c r="K1041" s="1655" t="s">
        <v>571</v>
      </c>
      <c r="M1041" s="1655" t="s">
        <v>415</v>
      </c>
      <c r="N1041" s="1655" t="s">
        <v>893</v>
      </c>
      <c r="O1041" s="1655">
        <v>215000</v>
      </c>
      <c r="P1041" s="1655" t="s">
        <v>42</v>
      </c>
      <c r="Q1041" s="1655" t="s">
        <v>571</v>
      </c>
      <c r="S1041" s="1655" t="s">
        <v>415</v>
      </c>
      <c r="T1041" s="1655" t="s">
        <v>893</v>
      </c>
      <c r="U1041" s="1656">
        <v>0</v>
      </c>
      <c r="V1041" s="1655" t="s">
        <v>42</v>
      </c>
      <c r="W1041" s="1655" t="s">
        <v>571</v>
      </c>
    </row>
    <row r="1042" spans="1:23">
      <c r="A1042" s="1655" t="s">
        <v>415</v>
      </c>
      <c r="B1042" s="1655" t="s">
        <v>894</v>
      </c>
      <c r="C1042" s="1656">
        <v>65000</v>
      </c>
      <c r="D1042" s="1655" t="s">
        <v>42</v>
      </c>
      <c r="E1042" s="1655" t="s">
        <v>571</v>
      </c>
      <c r="G1042" s="1655" t="s">
        <v>415</v>
      </c>
      <c r="H1042" s="1655" t="s">
        <v>894</v>
      </c>
      <c r="I1042" s="1656">
        <v>0</v>
      </c>
      <c r="J1042" s="1655" t="s">
        <v>42</v>
      </c>
      <c r="K1042" s="1655" t="s">
        <v>571</v>
      </c>
      <c r="M1042" s="1655" t="s">
        <v>415</v>
      </c>
      <c r="N1042" s="1655" t="s">
        <v>894</v>
      </c>
      <c r="O1042" s="1656">
        <v>255000</v>
      </c>
      <c r="P1042" s="1655" t="s">
        <v>42</v>
      </c>
      <c r="Q1042" s="1655" t="s">
        <v>571</v>
      </c>
      <c r="S1042" s="1655" t="s">
        <v>415</v>
      </c>
      <c r="T1042" s="1655" t="s">
        <v>894</v>
      </c>
      <c r="U1042" s="1656">
        <v>0</v>
      </c>
      <c r="V1042" s="1655" t="s">
        <v>42</v>
      </c>
      <c r="W1042" s="1655" t="s">
        <v>571</v>
      </c>
    </row>
    <row r="1043" spans="1:23">
      <c r="A1043" s="1655" t="s">
        <v>415</v>
      </c>
      <c r="B1043" s="1655" t="s">
        <v>895</v>
      </c>
      <c r="C1043" s="1659">
        <v>0.15</v>
      </c>
      <c r="D1043" s="1655" t="s">
        <v>42</v>
      </c>
      <c r="E1043" s="1655" t="s">
        <v>80</v>
      </c>
      <c r="G1043" s="1655" t="s">
        <v>415</v>
      </c>
      <c r="H1043" s="1655" t="s">
        <v>895</v>
      </c>
      <c r="I1043" s="1659">
        <v>0.15</v>
      </c>
      <c r="J1043" s="1655" t="s">
        <v>42</v>
      </c>
      <c r="K1043" s="1655" t="s">
        <v>80</v>
      </c>
      <c r="M1043" s="1655" t="s">
        <v>415</v>
      </c>
      <c r="N1043" s="1655" t="s">
        <v>895</v>
      </c>
      <c r="O1043" s="1659">
        <v>0.15</v>
      </c>
      <c r="P1043" s="1655" t="s">
        <v>42</v>
      </c>
      <c r="Q1043" s="1655" t="s">
        <v>80</v>
      </c>
      <c r="S1043" s="1655" t="s">
        <v>415</v>
      </c>
      <c r="T1043" s="1655" t="s">
        <v>895</v>
      </c>
      <c r="U1043" s="1659">
        <v>0.15</v>
      </c>
      <c r="V1043" s="1655" t="s">
        <v>42</v>
      </c>
      <c r="W1043" s="1655" t="s">
        <v>80</v>
      </c>
    </row>
    <row r="1044" spans="1:23">
      <c r="A1044" s="1655" t="s">
        <v>415</v>
      </c>
      <c r="B1044" s="1655" t="s">
        <v>1957</v>
      </c>
      <c r="C1044" s="1659">
        <v>4200</v>
      </c>
      <c r="D1044" s="1655" t="s">
        <v>42</v>
      </c>
      <c r="E1044" s="1655" t="s">
        <v>571</v>
      </c>
      <c r="G1044" s="1655" t="s">
        <v>415</v>
      </c>
      <c r="H1044" s="1655" t="s">
        <v>1957</v>
      </c>
      <c r="I1044" s="1659">
        <v>0</v>
      </c>
      <c r="J1044" s="1655" t="s">
        <v>42</v>
      </c>
      <c r="K1044" s="1655" t="s">
        <v>571</v>
      </c>
      <c r="M1044" s="1655" t="s">
        <v>415</v>
      </c>
      <c r="N1044" s="1655" t="s">
        <v>1957</v>
      </c>
      <c r="O1044" s="1659">
        <v>1500</v>
      </c>
      <c r="P1044" s="1655" t="s">
        <v>42</v>
      </c>
      <c r="Q1044" s="1655" t="s">
        <v>571</v>
      </c>
      <c r="S1044" s="1655" t="s">
        <v>415</v>
      </c>
      <c r="T1044" s="1655" t="s">
        <v>1957</v>
      </c>
      <c r="U1044" s="1659">
        <v>0</v>
      </c>
      <c r="V1044" s="1655" t="s">
        <v>42</v>
      </c>
      <c r="W1044" s="1655" t="s">
        <v>571</v>
      </c>
    </row>
    <row r="1045" spans="1:23">
      <c r="A1045" s="1655" t="s">
        <v>415</v>
      </c>
      <c r="B1045" s="1655" t="s">
        <v>2630</v>
      </c>
      <c r="C1045" s="1658">
        <v>0.02</v>
      </c>
      <c r="D1045" s="1655" t="s">
        <v>42</v>
      </c>
      <c r="E1045" s="1655" t="s">
        <v>80</v>
      </c>
      <c r="G1045" s="1655" t="s">
        <v>415</v>
      </c>
      <c r="H1045" s="1655" t="s">
        <v>2630</v>
      </c>
      <c r="I1045" s="1658">
        <v>0.02</v>
      </c>
      <c r="J1045" s="1655" t="s">
        <v>42</v>
      </c>
      <c r="K1045" s="1655" t="s">
        <v>80</v>
      </c>
      <c r="M1045" s="1655" t="s">
        <v>415</v>
      </c>
      <c r="N1045" s="1655" t="s">
        <v>2630</v>
      </c>
      <c r="O1045" s="1658">
        <v>2.7E-2</v>
      </c>
      <c r="P1045" s="1655" t="s">
        <v>42</v>
      </c>
      <c r="Q1045" s="1655" t="s">
        <v>80</v>
      </c>
      <c r="S1045" s="1655" t="s">
        <v>415</v>
      </c>
      <c r="T1045" s="1655" t="s">
        <v>2630</v>
      </c>
      <c r="U1045" s="1658">
        <v>2.7E-2</v>
      </c>
      <c r="V1045" s="1655" t="s">
        <v>42</v>
      </c>
      <c r="W1045" s="1655" t="s">
        <v>80</v>
      </c>
    </row>
    <row r="1046" spans="1:23">
      <c r="A1046" s="1655" t="s">
        <v>76</v>
      </c>
      <c r="B1046" s="1655" t="s">
        <v>1082</v>
      </c>
      <c r="C1046" s="1658" t="s">
        <v>504</v>
      </c>
      <c r="D1046" s="1655" t="s">
        <v>42</v>
      </c>
      <c r="E1046" s="1655" t="s">
        <v>569</v>
      </c>
      <c r="G1046" s="1655" t="s">
        <v>76</v>
      </c>
      <c r="H1046" s="1655" t="s">
        <v>1082</v>
      </c>
      <c r="I1046" s="1658" t="s">
        <v>504</v>
      </c>
      <c r="J1046" s="1655" t="s">
        <v>42</v>
      </c>
      <c r="K1046" s="1655" t="s">
        <v>569</v>
      </c>
      <c r="M1046" s="1655" t="s">
        <v>76</v>
      </c>
      <c r="N1046" s="1655" t="s">
        <v>1082</v>
      </c>
      <c r="O1046" s="1658" t="s">
        <v>504</v>
      </c>
      <c r="P1046" s="1655" t="s">
        <v>42</v>
      </c>
      <c r="Q1046" s="1655" t="s">
        <v>569</v>
      </c>
      <c r="S1046" s="1655" t="s">
        <v>76</v>
      </c>
      <c r="T1046" s="1655" t="s">
        <v>1082</v>
      </c>
      <c r="U1046" s="1658" t="s">
        <v>504</v>
      </c>
      <c r="V1046" s="1655" t="s">
        <v>42</v>
      </c>
      <c r="W1046" s="1655" t="s">
        <v>569</v>
      </c>
    </row>
    <row r="1047" spans="1:23">
      <c r="A1047" s="1655" t="s">
        <v>76</v>
      </c>
      <c r="B1047" s="1655" t="s">
        <v>1162</v>
      </c>
      <c r="C1047" s="1656">
        <v>3200</v>
      </c>
      <c r="D1047" s="1655" t="s">
        <v>42</v>
      </c>
      <c r="E1047" s="1655" t="s">
        <v>571</v>
      </c>
      <c r="G1047" s="1655" t="s">
        <v>76</v>
      </c>
      <c r="H1047" s="1655" t="s">
        <v>1162</v>
      </c>
      <c r="I1047" s="1656">
        <v>2200</v>
      </c>
      <c r="J1047" s="1655" t="s">
        <v>42</v>
      </c>
      <c r="K1047" s="1655" t="s">
        <v>571</v>
      </c>
      <c r="M1047" s="1655" t="s">
        <v>76</v>
      </c>
      <c r="N1047" s="1655" t="s">
        <v>1162</v>
      </c>
      <c r="O1047" s="1656">
        <v>3600</v>
      </c>
      <c r="P1047" s="1655" t="s">
        <v>42</v>
      </c>
      <c r="Q1047" s="1655" t="s">
        <v>571</v>
      </c>
      <c r="S1047" s="1655" t="s">
        <v>76</v>
      </c>
      <c r="T1047" s="1655" t="s">
        <v>1162</v>
      </c>
      <c r="U1047" s="1656">
        <v>2300</v>
      </c>
      <c r="V1047" s="1655" t="s">
        <v>42</v>
      </c>
      <c r="W1047" s="1655" t="s">
        <v>571</v>
      </c>
    </row>
    <row r="1048" spans="1:23">
      <c r="A1048" s="1655" t="s">
        <v>76</v>
      </c>
      <c r="B1048" s="1655" t="s">
        <v>1163</v>
      </c>
      <c r="C1048" s="1656">
        <v>2034</v>
      </c>
      <c r="D1048" s="1655" t="s">
        <v>42</v>
      </c>
      <c r="E1048" s="1655" t="s">
        <v>572</v>
      </c>
      <c r="G1048" s="1655" t="s">
        <v>76</v>
      </c>
      <c r="H1048" s="1655" t="s">
        <v>1163</v>
      </c>
      <c r="I1048" s="1656">
        <v>2052</v>
      </c>
      <c r="J1048" s="1655" t="s">
        <v>42</v>
      </c>
      <c r="K1048" s="1655" t="s">
        <v>572</v>
      </c>
      <c r="M1048" s="1655" t="s">
        <v>76</v>
      </c>
      <c r="N1048" s="1655" t="s">
        <v>1163</v>
      </c>
      <c r="O1048" s="1656">
        <v>2020</v>
      </c>
      <c r="P1048" s="1655" t="s">
        <v>42</v>
      </c>
      <c r="Q1048" s="1655" t="s">
        <v>572</v>
      </c>
      <c r="S1048" s="1655" t="s">
        <v>76</v>
      </c>
      <c r="T1048" s="1655" t="s">
        <v>1163</v>
      </c>
      <c r="U1048" s="1656">
        <v>2022</v>
      </c>
      <c r="V1048" s="1655" t="s">
        <v>42</v>
      </c>
      <c r="W1048" s="1655" t="s">
        <v>572</v>
      </c>
    </row>
    <row r="1049" spans="1:23">
      <c r="A1049" s="1655" t="s">
        <v>76</v>
      </c>
      <c r="B1049" s="1655" t="s">
        <v>573</v>
      </c>
      <c r="C1049" s="1659" t="s">
        <v>570</v>
      </c>
      <c r="D1049" s="1655" t="s">
        <v>43</v>
      </c>
      <c r="E1049" s="1655" t="s">
        <v>572</v>
      </c>
      <c r="G1049" s="1655" t="s">
        <v>76</v>
      </c>
      <c r="H1049" s="1655" t="s">
        <v>573</v>
      </c>
      <c r="I1049" s="1659" t="s">
        <v>570</v>
      </c>
      <c r="J1049" s="1655" t="s">
        <v>43</v>
      </c>
      <c r="K1049" s="1655" t="s">
        <v>572</v>
      </c>
      <c r="M1049" s="1655" t="s">
        <v>76</v>
      </c>
      <c r="N1049" s="1655" t="s">
        <v>573</v>
      </c>
      <c r="O1049" s="1659" t="s">
        <v>570</v>
      </c>
      <c r="P1049" s="1655" t="s">
        <v>43</v>
      </c>
      <c r="Q1049" s="1655" t="s">
        <v>572</v>
      </c>
      <c r="S1049" s="1655" t="s">
        <v>76</v>
      </c>
      <c r="T1049" s="1655" t="s">
        <v>573</v>
      </c>
      <c r="U1049" s="1659" t="s">
        <v>570</v>
      </c>
      <c r="V1049" s="1655" t="s">
        <v>43</v>
      </c>
      <c r="W1049" s="1655" t="s">
        <v>572</v>
      </c>
    </row>
    <row r="1050" spans="1:23">
      <c r="A1050" s="1655" t="s">
        <v>76</v>
      </c>
      <c r="B1050" s="1655" t="s">
        <v>1164</v>
      </c>
      <c r="C1050" s="1659">
        <v>1.3100000000000001E-2</v>
      </c>
      <c r="D1050" s="1655" t="s">
        <v>42</v>
      </c>
      <c r="E1050" s="1655" t="s">
        <v>80</v>
      </c>
      <c r="G1050" s="1655" t="s">
        <v>76</v>
      </c>
      <c r="H1050" s="1655" t="s">
        <v>1164</v>
      </c>
      <c r="I1050" s="1659">
        <v>1.4E-2</v>
      </c>
      <c r="J1050" s="1655" t="s">
        <v>42</v>
      </c>
      <c r="K1050" s="1655" t="s">
        <v>80</v>
      </c>
      <c r="M1050" s="1655" t="s">
        <v>76</v>
      </c>
      <c r="N1050" s="1655" t="s">
        <v>1164</v>
      </c>
      <c r="O1050" s="1659">
        <v>1.4E-2</v>
      </c>
      <c r="P1050" s="1655" t="s">
        <v>42</v>
      </c>
      <c r="Q1050" s="1655" t="s">
        <v>80</v>
      </c>
      <c r="S1050" s="1655" t="s">
        <v>76</v>
      </c>
      <c r="T1050" s="1655" t="s">
        <v>1164</v>
      </c>
      <c r="U1050" s="1659">
        <v>1.4999999999999999E-2</v>
      </c>
      <c r="V1050" s="1655" t="s">
        <v>42</v>
      </c>
      <c r="W1050" s="1655" t="s">
        <v>80</v>
      </c>
    </row>
    <row r="1051" spans="1:23">
      <c r="A1051" s="1655" t="s">
        <v>76</v>
      </c>
      <c r="B1051" s="1655" t="s">
        <v>1165</v>
      </c>
      <c r="C1051" s="1658">
        <v>0.85</v>
      </c>
      <c r="D1051" s="1655" t="s">
        <v>42</v>
      </c>
      <c r="E1051" s="1655" t="s">
        <v>80</v>
      </c>
      <c r="G1051" s="1655" t="s">
        <v>76</v>
      </c>
      <c r="H1051" s="1655" t="s">
        <v>1165</v>
      </c>
      <c r="I1051" s="1658">
        <v>0.85</v>
      </c>
      <c r="J1051" s="1655" t="s">
        <v>42</v>
      </c>
      <c r="K1051" s="1655" t="s">
        <v>80</v>
      </c>
      <c r="M1051" s="1655" t="s">
        <v>76</v>
      </c>
      <c r="N1051" s="1655" t="s">
        <v>1165</v>
      </c>
      <c r="O1051" s="1658">
        <v>0.85</v>
      </c>
      <c r="P1051" s="1655" t="s">
        <v>42</v>
      </c>
      <c r="Q1051" s="1655" t="s">
        <v>80</v>
      </c>
      <c r="S1051" s="1655" t="s">
        <v>76</v>
      </c>
      <c r="T1051" s="1655" t="s">
        <v>1165</v>
      </c>
      <c r="U1051" s="1658">
        <v>0.5</v>
      </c>
      <c r="V1051" s="1655" t="s">
        <v>42</v>
      </c>
      <c r="W1051" s="1655" t="s">
        <v>80</v>
      </c>
    </row>
    <row r="1052" spans="1:23">
      <c r="A1052" s="1655" t="s">
        <v>76</v>
      </c>
      <c r="B1052" s="1655" t="s">
        <v>1083</v>
      </c>
      <c r="C1052" s="1658" t="s">
        <v>505</v>
      </c>
      <c r="D1052" s="1655" t="s">
        <v>42</v>
      </c>
      <c r="E1052" s="1655" t="s">
        <v>569</v>
      </c>
      <c r="G1052" s="1655" t="s">
        <v>76</v>
      </c>
      <c r="H1052" s="1655" t="s">
        <v>1083</v>
      </c>
      <c r="I1052" s="1658" t="s">
        <v>505</v>
      </c>
      <c r="J1052" s="1655" t="s">
        <v>42</v>
      </c>
      <c r="K1052" s="1655" t="s">
        <v>569</v>
      </c>
      <c r="M1052" s="1655" t="s">
        <v>76</v>
      </c>
      <c r="N1052" s="1655" t="s">
        <v>1083</v>
      </c>
      <c r="O1052" s="1658" t="s">
        <v>505</v>
      </c>
      <c r="P1052" s="1655" t="s">
        <v>42</v>
      </c>
      <c r="Q1052" s="1655" t="s">
        <v>569</v>
      </c>
      <c r="S1052" s="1655" t="s">
        <v>76</v>
      </c>
      <c r="T1052" s="1655" t="s">
        <v>1083</v>
      </c>
      <c r="U1052" s="1658" t="s">
        <v>505</v>
      </c>
      <c r="V1052" s="1655" t="s">
        <v>42</v>
      </c>
      <c r="W1052" s="1655" t="s">
        <v>569</v>
      </c>
    </row>
    <row r="1053" spans="1:23">
      <c r="A1053" s="1655" t="s">
        <v>76</v>
      </c>
      <c r="B1053" s="1655" t="s">
        <v>1168</v>
      </c>
      <c r="C1053" s="1656">
        <v>3000</v>
      </c>
      <c r="D1053" s="1655" t="s">
        <v>42</v>
      </c>
      <c r="E1053" s="1655" t="s">
        <v>571</v>
      </c>
      <c r="G1053" s="1655" t="s">
        <v>76</v>
      </c>
      <c r="H1053" s="1655" t="s">
        <v>1168</v>
      </c>
      <c r="I1053" s="1655">
        <v>0</v>
      </c>
      <c r="J1053" s="1655" t="s">
        <v>42</v>
      </c>
      <c r="K1053" s="1655" t="s">
        <v>571</v>
      </c>
      <c r="M1053" s="1655" t="s">
        <v>76</v>
      </c>
      <c r="N1053" s="1655" t="s">
        <v>1168</v>
      </c>
      <c r="O1053" s="1655">
        <v>3100</v>
      </c>
      <c r="P1053" s="1655" t="s">
        <v>42</v>
      </c>
      <c r="Q1053" s="1655" t="s">
        <v>571</v>
      </c>
      <c r="S1053" s="1655" t="s">
        <v>76</v>
      </c>
      <c r="T1053" s="1655" t="s">
        <v>1168</v>
      </c>
      <c r="U1053" s="1656">
        <v>0</v>
      </c>
      <c r="V1053" s="1655" t="s">
        <v>42</v>
      </c>
      <c r="W1053" s="1655" t="s">
        <v>571</v>
      </c>
    </row>
    <row r="1054" spans="1:23">
      <c r="A1054" s="1655" t="s">
        <v>76</v>
      </c>
      <c r="B1054" s="1655" t="s">
        <v>1169</v>
      </c>
      <c r="C1054" s="1656">
        <v>2036</v>
      </c>
      <c r="D1054" s="1655" t="s">
        <v>42</v>
      </c>
      <c r="E1054" s="1655" t="s">
        <v>572</v>
      </c>
      <c r="G1054" s="1655" t="s">
        <v>76</v>
      </c>
      <c r="H1054" s="1655" t="s">
        <v>1169</v>
      </c>
      <c r="I1054" s="1656" t="s">
        <v>570</v>
      </c>
      <c r="J1054" s="1655" t="s">
        <v>43</v>
      </c>
      <c r="K1054" s="1655" t="s">
        <v>572</v>
      </c>
      <c r="M1054" s="1655" t="s">
        <v>76</v>
      </c>
      <c r="N1054" s="1655" t="s">
        <v>1169</v>
      </c>
      <c r="O1054" s="1656">
        <v>2020</v>
      </c>
      <c r="P1054" s="1655" t="s">
        <v>42</v>
      </c>
      <c r="Q1054" s="1655" t="s">
        <v>572</v>
      </c>
      <c r="S1054" s="1655" t="s">
        <v>76</v>
      </c>
      <c r="T1054" s="1655" t="s">
        <v>1169</v>
      </c>
      <c r="U1054" s="1656" t="s">
        <v>570</v>
      </c>
      <c r="V1054" s="1655" t="s">
        <v>43</v>
      </c>
      <c r="W1054" s="1655" t="s">
        <v>572</v>
      </c>
    </row>
    <row r="1055" spans="1:23">
      <c r="A1055" s="1655" t="s">
        <v>76</v>
      </c>
      <c r="B1055" s="1655" t="s">
        <v>589</v>
      </c>
      <c r="C1055" s="1655" t="s">
        <v>570</v>
      </c>
      <c r="D1055" s="1655" t="s">
        <v>43</v>
      </c>
      <c r="E1055" s="1655" t="s">
        <v>572</v>
      </c>
      <c r="G1055" s="1655" t="s">
        <v>76</v>
      </c>
      <c r="H1055" s="1655" t="s">
        <v>589</v>
      </c>
      <c r="I1055" s="1659" t="s">
        <v>570</v>
      </c>
      <c r="J1055" s="1655" t="s">
        <v>43</v>
      </c>
      <c r="K1055" s="1655" t="s">
        <v>572</v>
      </c>
      <c r="M1055" s="1655" t="s">
        <v>76</v>
      </c>
      <c r="N1055" s="1655" t="s">
        <v>589</v>
      </c>
      <c r="O1055" s="1659" t="s">
        <v>570</v>
      </c>
      <c r="P1055" s="1655" t="s">
        <v>43</v>
      </c>
      <c r="Q1055" s="1655" t="s">
        <v>572</v>
      </c>
      <c r="S1055" s="1655" t="s">
        <v>76</v>
      </c>
      <c r="T1055" s="1655" t="s">
        <v>589</v>
      </c>
      <c r="U1055" s="1655" t="s">
        <v>570</v>
      </c>
      <c r="V1055" s="1655" t="s">
        <v>43</v>
      </c>
      <c r="W1055" s="1655" t="s">
        <v>572</v>
      </c>
    </row>
    <row r="1056" spans="1:23">
      <c r="A1056" s="1655" t="s">
        <v>76</v>
      </c>
      <c r="B1056" s="1655" t="s">
        <v>1170</v>
      </c>
      <c r="C1056" s="1655">
        <v>1.3100000000000001E-2</v>
      </c>
      <c r="D1056" s="1655" t="s">
        <v>42</v>
      </c>
      <c r="E1056" s="1655" t="s">
        <v>80</v>
      </c>
      <c r="G1056" s="1655" t="s">
        <v>76</v>
      </c>
      <c r="H1056" s="1655" t="s">
        <v>1170</v>
      </c>
      <c r="I1056" s="1659">
        <v>0</v>
      </c>
      <c r="J1056" s="1655" t="s">
        <v>42</v>
      </c>
      <c r="K1056" s="1655" t="s">
        <v>80</v>
      </c>
      <c r="M1056" s="1655" t="s">
        <v>76</v>
      </c>
      <c r="N1056" s="1655" t="s">
        <v>1170</v>
      </c>
      <c r="O1056" s="1659">
        <v>1.4E-2</v>
      </c>
      <c r="P1056" s="1655" t="s">
        <v>42</v>
      </c>
      <c r="Q1056" s="1655" t="s">
        <v>80</v>
      </c>
      <c r="S1056" s="1655" t="s">
        <v>76</v>
      </c>
      <c r="T1056" s="1655" t="s">
        <v>1170</v>
      </c>
      <c r="U1056" s="1656">
        <v>0</v>
      </c>
      <c r="V1056" s="1655" t="s">
        <v>42</v>
      </c>
      <c r="W1056" s="1655" t="s">
        <v>80</v>
      </c>
    </row>
    <row r="1057" spans="1:23">
      <c r="A1057" s="1655" t="s">
        <v>76</v>
      </c>
      <c r="B1057" s="1655" t="s">
        <v>1171</v>
      </c>
      <c r="C1057" s="1658">
        <v>0.85</v>
      </c>
      <c r="D1057" s="1655" t="s">
        <v>42</v>
      </c>
      <c r="E1057" s="1655" t="s">
        <v>80</v>
      </c>
      <c r="G1057" s="1655" t="s">
        <v>76</v>
      </c>
      <c r="H1057" s="1655" t="s">
        <v>1171</v>
      </c>
      <c r="I1057" s="1658">
        <v>0</v>
      </c>
      <c r="J1057" s="1655" t="s">
        <v>42</v>
      </c>
      <c r="K1057" s="1655" t="s">
        <v>80</v>
      </c>
      <c r="M1057" s="1655" t="s">
        <v>76</v>
      </c>
      <c r="N1057" s="1655" t="s">
        <v>1171</v>
      </c>
      <c r="O1057" s="1658">
        <v>0.85</v>
      </c>
      <c r="P1057" s="1655" t="s">
        <v>42</v>
      </c>
      <c r="Q1057" s="1655" t="s">
        <v>80</v>
      </c>
      <c r="S1057" s="1655" t="s">
        <v>76</v>
      </c>
      <c r="T1057" s="1655" t="s">
        <v>1171</v>
      </c>
      <c r="U1057" s="1658">
        <v>0</v>
      </c>
      <c r="V1057" s="1655" t="s">
        <v>42</v>
      </c>
      <c r="W1057" s="1655" t="s">
        <v>80</v>
      </c>
    </row>
    <row r="1058" spans="1:23">
      <c r="A1058" s="1655" t="s">
        <v>76</v>
      </c>
      <c r="B1058" s="1655" t="s">
        <v>1084</v>
      </c>
      <c r="C1058" s="1658" t="s">
        <v>2105</v>
      </c>
      <c r="D1058" s="1655" t="s">
        <v>42</v>
      </c>
      <c r="E1058" s="1655" t="s">
        <v>569</v>
      </c>
      <c r="G1058" s="1655" t="s">
        <v>76</v>
      </c>
      <c r="H1058" s="1655" t="s">
        <v>1084</v>
      </c>
      <c r="I1058" s="1658" t="s">
        <v>2117</v>
      </c>
      <c r="J1058" s="1655" t="s">
        <v>42</v>
      </c>
      <c r="K1058" s="1655" t="s">
        <v>569</v>
      </c>
      <c r="M1058" s="1655" t="s">
        <v>76</v>
      </c>
      <c r="N1058" s="1655" t="s">
        <v>1084</v>
      </c>
      <c r="O1058" s="1658" t="s">
        <v>2105</v>
      </c>
      <c r="P1058" s="1655" t="s">
        <v>42</v>
      </c>
      <c r="Q1058" s="1655" t="s">
        <v>569</v>
      </c>
      <c r="S1058" s="1655" t="s">
        <v>76</v>
      </c>
      <c r="T1058" s="1655" t="s">
        <v>1084</v>
      </c>
      <c r="U1058" s="1658" t="s">
        <v>2387</v>
      </c>
      <c r="V1058" s="1655" t="s">
        <v>42</v>
      </c>
      <c r="W1058" s="1655" t="s">
        <v>569</v>
      </c>
    </row>
    <row r="1059" spans="1:23">
      <c r="A1059" s="1655" t="s">
        <v>76</v>
      </c>
      <c r="B1059" s="1655" t="s">
        <v>1175</v>
      </c>
      <c r="C1059" s="1656">
        <v>1500</v>
      </c>
      <c r="D1059" s="1655" t="s">
        <v>42</v>
      </c>
      <c r="E1059" s="1655" t="s">
        <v>571</v>
      </c>
      <c r="G1059" s="1655" t="s">
        <v>76</v>
      </c>
      <c r="H1059" s="1655" t="s">
        <v>1175</v>
      </c>
      <c r="I1059" s="1655">
        <v>5000</v>
      </c>
      <c r="J1059" s="1655" t="s">
        <v>42</v>
      </c>
      <c r="K1059" s="1655" t="s">
        <v>571</v>
      </c>
      <c r="M1059" s="1655" t="s">
        <v>76</v>
      </c>
      <c r="N1059" s="1655" t="s">
        <v>1175</v>
      </c>
      <c r="O1059" s="1655">
        <v>900</v>
      </c>
      <c r="P1059" s="1655" t="s">
        <v>42</v>
      </c>
      <c r="Q1059" s="1655" t="s">
        <v>571</v>
      </c>
      <c r="S1059" s="1655" t="s">
        <v>76</v>
      </c>
      <c r="T1059" s="1655" t="s">
        <v>1175</v>
      </c>
      <c r="U1059" s="1656">
        <v>1250</v>
      </c>
      <c r="V1059" s="1655" t="s">
        <v>42</v>
      </c>
      <c r="W1059" s="1655" t="s">
        <v>571</v>
      </c>
    </row>
    <row r="1060" spans="1:23">
      <c r="A1060" s="1655" t="s">
        <v>76</v>
      </c>
      <c r="B1060" s="1655" t="s">
        <v>1176</v>
      </c>
      <c r="C1060" s="1656">
        <v>2034</v>
      </c>
      <c r="D1060" s="1655" t="s">
        <v>42</v>
      </c>
      <c r="E1060" s="1655" t="s">
        <v>572</v>
      </c>
      <c r="G1060" s="1655" t="s">
        <v>76</v>
      </c>
      <c r="H1060" s="1655" t="s">
        <v>1176</v>
      </c>
      <c r="I1060" s="1656">
        <v>2022</v>
      </c>
      <c r="J1060" s="1655" t="s">
        <v>42</v>
      </c>
      <c r="K1060" s="1655" t="s">
        <v>572</v>
      </c>
      <c r="M1060" s="1655" t="s">
        <v>76</v>
      </c>
      <c r="N1060" s="1655" t="s">
        <v>1176</v>
      </c>
      <c r="O1060" s="1656">
        <v>2020</v>
      </c>
      <c r="P1060" s="1655" t="s">
        <v>42</v>
      </c>
      <c r="Q1060" s="1655" t="s">
        <v>572</v>
      </c>
      <c r="S1060" s="1655" t="s">
        <v>76</v>
      </c>
      <c r="T1060" s="1655" t="s">
        <v>1176</v>
      </c>
      <c r="U1060" s="1656">
        <v>2022</v>
      </c>
      <c r="V1060" s="1655" t="s">
        <v>42</v>
      </c>
      <c r="W1060" s="1655" t="s">
        <v>572</v>
      </c>
    </row>
    <row r="1061" spans="1:23">
      <c r="A1061" s="1655" t="s">
        <v>76</v>
      </c>
      <c r="B1061" s="1655" t="s">
        <v>1177</v>
      </c>
      <c r="C1061" s="1655" t="s">
        <v>570</v>
      </c>
      <c r="D1061" s="1655" t="s">
        <v>43</v>
      </c>
      <c r="E1061" s="1655" t="s">
        <v>572</v>
      </c>
      <c r="G1061" s="1655" t="s">
        <v>76</v>
      </c>
      <c r="H1061" s="1655" t="s">
        <v>1177</v>
      </c>
      <c r="I1061" s="1655">
        <v>2052</v>
      </c>
      <c r="J1061" s="1655" t="s">
        <v>42</v>
      </c>
      <c r="K1061" s="1655" t="s">
        <v>572</v>
      </c>
      <c r="M1061" s="1655" t="s">
        <v>76</v>
      </c>
      <c r="N1061" s="1655" t="s">
        <v>1177</v>
      </c>
      <c r="O1061" s="1655" t="s">
        <v>570</v>
      </c>
      <c r="P1061" s="1655" t="s">
        <v>43</v>
      </c>
      <c r="Q1061" s="1655" t="s">
        <v>572</v>
      </c>
      <c r="S1061" s="1655" t="s">
        <v>76</v>
      </c>
      <c r="T1061" s="1655" t="s">
        <v>1177</v>
      </c>
      <c r="U1061" s="1655" t="s">
        <v>570</v>
      </c>
      <c r="V1061" s="1655" t="s">
        <v>43</v>
      </c>
      <c r="W1061" s="1655" t="s">
        <v>572</v>
      </c>
    </row>
    <row r="1062" spans="1:23">
      <c r="A1062" s="1655" t="s">
        <v>76</v>
      </c>
      <c r="B1062" s="1655" t="s">
        <v>1178</v>
      </c>
      <c r="C1062" s="1656">
        <v>1.4999999999999999E-2</v>
      </c>
      <c r="D1062" s="1655" t="s">
        <v>42</v>
      </c>
      <c r="E1062" s="1655" t="s">
        <v>80</v>
      </c>
      <c r="G1062" s="1655" t="s">
        <v>76</v>
      </c>
      <c r="H1062" s="1655" t="s">
        <v>1178</v>
      </c>
      <c r="I1062" s="1656">
        <v>1.4999999999999999E-2</v>
      </c>
      <c r="J1062" s="1655" t="s">
        <v>42</v>
      </c>
      <c r="K1062" s="1655" t="s">
        <v>80</v>
      </c>
      <c r="M1062" s="1655" t="s">
        <v>76</v>
      </c>
      <c r="N1062" s="1655" t="s">
        <v>1178</v>
      </c>
      <c r="O1062" s="1656">
        <v>1.2999999999999999E-2</v>
      </c>
      <c r="P1062" s="1655" t="s">
        <v>42</v>
      </c>
      <c r="Q1062" s="1655" t="s">
        <v>80</v>
      </c>
      <c r="S1062" s="1655" t="s">
        <v>76</v>
      </c>
      <c r="T1062" s="1655" t="s">
        <v>1178</v>
      </c>
      <c r="U1062" s="1656">
        <v>1.4999999999999999E-2</v>
      </c>
      <c r="V1062" s="1655" t="s">
        <v>42</v>
      </c>
      <c r="W1062" s="1655" t="s">
        <v>80</v>
      </c>
    </row>
    <row r="1063" spans="1:23">
      <c r="A1063" s="1655" t="s">
        <v>76</v>
      </c>
      <c r="B1063" s="1655" t="s">
        <v>1179</v>
      </c>
      <c r="C1063" s="1655">
        <v>1</v>
      </c>
      <c r="D1063" s="1655" t="s">
        <v>42</v>
      </c>
      <c r="E1063" s="1655" t="s">
        <v>80</v>
      </c>
      <c r="G1063" s="1655" t="s">
        <v>76</v>
      </c>
      <c r="H1063" s="1655" t="s">
        <v>1179</v>
      </c>
      <c r="I1063" s="1655">
        <v>1</v>
      </c>
      <c r="J1063" s="1655" t="s">
        <v>42</v>
      </c>
      <c r="K1063" s="1655" t="s">
        <v>80</v>
      </c>
      <c r="M1063" s="1655" t="s">
        <v>76</v>
      </c>
      <c r="N1063" s="1655" t="s">
        <v>1179</v>
      </c>
      <c r="O1063" s="1655">
        <v>1</v>
      </c>
      <c r="P1063" s="1655" t="s">
        <v>42</v>
      </c>
      <c r="Q1063" s="1655" t="s">
        <v>80</v>
      </c>
      <c r="S1063" s="1655" t="s">
        <v>76</v>
      </c>
      <c r="T1063" s="1655" t="s">
        <v>1179</v>
      </c>
      <c r="U1063" s="1655">
        <v>0</v>
      </c>
      <c r="V1063" s="1655" t="s">
        <v>42</v>
      </c>
      <c r="W1063" s="1655" t="s">
        <v>80</v>
      </c>
    </row>
    <row r="1064" spans="1:23">
      <c r="A1064" s="1655" t="s">
        <v>76</v>
      </c>
      <c r="B1064" s="1655" t="s">
        <v>1085</v>
      </c>
      <c r="C1064" s="1655" t="s">
        <v>2304</v>
      </c>
      <c r="D1064" s="1655" t="s">
        <v>42</v>
      </c>
      <c r="E1064" s="1655" t="s">
        <v>569</v>
      </c>
      <c r="G1064" s="1655" t="s">
        <v>76</v>
      </c>
      <c r="H1064" s="1655" t="s">
        <v>1085</v>
      </c>
      <c r="I1064" s="1655" t="s">
        <v>2657</v>
      </c>
      <c r="J1064" s="1655" t="s">
        <v>42</v>
      </c>
      <c r="K1064" s="1655" t="s">
        <v>569</v>
      </c>
      <c r="M1064" s="1655" t="s">
        <v>76</v>
      </c>
      <c r="N1064" s="1655" t="s">
        <v>1085</v>
      </c>
      <c r="O1064" s="1655" t="s">
        <v>2105</v>
      </c>
      <c r="P1064" s="1655" t="s">
        <v>42</v>
      </c>
      <c r="Q1064" s="1655" t="s">
        <v>569</v>
      </c>
      <c r="S1064" s="1655" t="s">
        <v>76</v>
      </c>
      <c r="T1064" s="1655" t="s">
        <v>1085</v>
      </c>
      <c r="U1064" s="1655" t="s">
        <v>2117</v>
      </c>
      <c r="V1064" s="1655" t="s">
        <v>42</v>
      </c>
      <c r="W1064" s="1655" t="s">
        <v>569</v>
      </c>
    </row>
    <row r="1065" spans="1:23">
      <c r="A1065" s="1655" t="s">
        <v>76</v>
      </c>
      <c r="B1065" s="1655" t="s">
        <v>1197</v>
      </c>
      <c r="C1065" s="1656">
        <v>9500</v>
      </c>
      <c r="D1065" s="1655" t="s">
        <v>42</v>
      </c>
      <c r="E1065" s="1655" t="s">
        <v>571</v>
      </c>
      <c r="G1065" s="1655" t="s">
        <v>76</v>
      </c>
      <c r="H1065" s="1655" t="s">
        <v>1197</v>
      </c>
      <c r="I1065" s="1655">
        <v>0</v>
      </c>
      <c r="J1065" s="1655" t="s">
        <v>42</v>
      </c>
      <c r="K1065" s="1655" t="s">
        <v>571</v>
      </c>
      <c r="M1065" s="1655" t="s">
        <v>76</v>
      </c>
      <c r="N1065" s="1655" t="s">
        <v>1197</v>
      </c>
      <c r="O1065" s="1655">
        <v>1125</v>
      </c>
      <c r="P1065" s="1655" t="s">
        <v>42</v>
      </c>
      <c r="Q1065" s="1655" t="s">
        <v>571</v>
      </c>
      <c r="S1065" s="1655" t="s">
        <v>76</v>
      </c>
      <c r="T1065" s="1655" t="s">
        <v>1197</v>
      </c>
      <c r="U1065" s="1656">
        <v>0</v>
      </c>
      <c r="V1065" s="1655" t="s">
        <v>42</v>
      </c>
      <c r="W1065" s="1655" t="s">
        <v>571</v>
      </c>
    </row>
    <row r="1066" spans="1:23">
      <c r="A1066" s="1655" t="s">
        <v>76</v>
      </c>
      <c r="B1066" s="1655" t="s">
        <v>1198</v>
      </c>
      <c r="C1066" s="1656">
        <v>2000</v>
      </c>
      <c r="D1066" s="1655" t="s">
        <v>42</v>
      </c>
      <c r="E1066" s="1655" t="s">
        <v>572</v>
      </c>
      <c r="G1066" s="1655" t="s">
        <v>76</v>
      </c>
      <c r="H1066" s="1655" t="s">
        <v>1198</v>
      </c>
      <c r="I1066" s="1656" t="s">
        <v>570</v>
      </c>
      <c r="J1066" s="1655" t="s">
        <v>43</v>
      </c>
      <c r="K1066" s="1655" t="s">
        <v>572</v>
      </c>
      <c r="M1066" s="1655" t="s">
        <v>76</v>
      </c>
      <c r="N1066" s="1655" t="s">
        <v>1198</v>
      </c>
      <c r="O1066" s="1656">
        <v>2020</v>
      </c>
      <c r="P1066" s="1655" t="s">
        <v>42</v>
      </c>
      <c r="Q1066" s="1655" t="s">
        <v>572</v>
      </c>
      <c r="S1066" s="1655" t="s">
        <v>76</v>
      </c>
      <c r="T1066" s="1655" t="s">
        <v>1198</v>
      </c>
      <c r="U1066" s="1656" t="s">
        <v>570</v>
      </c>
      <c r="V1066" s="1655" t="s">
        <v>43</v>
      </c>
      <c r="W1066" s="1655" t="s">
        <v>572</v>
      </c>
    </row>
    <row r="1067" spans="1:23">
      <c r="A1067" s="1655" t="s">
        <v>76</v>
      </c>
      <c r="B1067" s="1655" t="s">
        <v>1094</v>
      </c>
      <c r="C1067" s="1656">
        <v>2034</v>
      </c>
      <c r="D1067" s="1655" t="s">
        <v>42</v>
      </c>
      <c r="E1067" s="1655" t="s">
        <v>572</v>
      </c>
      <c r="G1067" s="1655" t="s">
        <v>76</v>
      </c>
      <c r="H1067" s="1655" t="s">
        <v>1094</v>
      </c>
      <c r="I1067" s="1656" t="s">
        <v>570</v>
      </c>
      <c r="J1067" s="1655" t="s">
        <v>43</v>
      </c>
      <c r="K1067" s="1655" t="s">
        <v>572</v>
      </c>
      <c r="M1067" s="1655" t="s">
        <v>76</v>
      </c>
      <c r="N1067" s="1655" t="s">
        <v>1094</v>
      </c>
      <c r="O1067" s="1656" t="s">
        <v>570</v>
      </c>
      <c r="P1067" s="1655" t="s">
        <v>43</v>
      </c>
      <c r="Q1067" s="1655" t="s">
        <v>572</v>
      </c>
      <c r="S1067" s="1655" t="s">
        <v>76</v>
      </c>
      <c r="T1067" s="1655" t="s">
        <v>1094</v>
      </c>
      <c r="U1067" s="1656" t="s">
        <v>570</v>
      </c>
      <c r="V1067" s="1655" t="s">
        <v>43</v>
      </c>
      <c r="W1067" s="1655" t="s">
        <v>572</v>
      </c>
    </row>
    <row r="1068" spans="1:23">
      <c r="A1068" s="1655" t="s">
        <v>76</v>
      </c>
      <c r="B1068" s="1655" t="s">
        <v>1199</v>
      </c>
      <c r="C1068" s="1655">
        <v>0.02</v>
      </c>
      <c r="D1068" s="1655" t="s">
        <v>42</v>
      </c>
      <c r="E1068" s="1655" t="s">
        <v>80</v>
      </c>
      <c r="G1068" s="1655" t="s">
        <v>76</v>
      </c>
      <c r="H1068" s="1655" t="s">
        <v>1199</v>
      </c>
      <c r="I1068" s="1656">
        <v>0</v>
      </c>
      <c r="J1068" s="1655" t="s">
        <v>42</v>
      </c>
      <c r="K1068" s="1655" t="s">
        <v>80</v>
      </c>
      <c r="M1068" s="1655" t="s">
        <v>76</v>
      </c>
      <c r="N1068" s="1655" t="s">
        <v>1199</v>
      </c>
      <c r="O1068" s="1656">
        <v>1.0999999999999999E-2</v>
      </c>
      <c r="P1068" s="1655" t="s">
        <v>42</v>
      </c>
      <c r="Q1068" s="1655" t="s">
        <v>80</v>
      </c>
      <c r="S1068" s="1655" t="s">
        <v>76</v>
      </c>
      <c r="T1068" s="1655" t="s">
        <v>1199</v>
      </c>
      <c r="U1068" s="1656">
        <v>0</v>
      </c>
      <c r="V1068" s="1655" t="s">
        <v>42</v>
      </c>
      <c r="W1068" s="1655" t="s">
        <v>80</v>
      </c>
    </row>
    <row r="1069" spans="1:23">
      <c r="A1069" s="1655" t="s">
        <v>76</v>
      </c>
      <c r="B1069" s="1655" t="s">
        <v>1200</v>
      </c>
      <c r="C1069" s="1655">
        <v>1</v>
      </c>
      <c r="D1069" s="1655" t="s">
        <v>42</v>
      </c>
      <c r="E1069" s="1655" t="s">
        <v>80</v>
      </c>
      <c r="G1069" s="1655" t="s">
        <v>76</v>
      </c>
      <c r="H1069" s="1655" t="s">
        <v>1200</v>
      </c>
      <c r="I1069" s="1655">
        <v>1</v>
      </c>
      <c r="J1069" s="1655" t="s">
        <v>42</v>
      </c>
      <c r="K1069" s="1655" t="s">
        <v>80</v>
      </c>
      <c r="M1069" s="1655" t="s">
        <v>76</v>
      </c>
      <c r="N1069" s="1655" t="s">
        <v>1200</v>
      </c>
      <c r="O1069" s="1655">
        <v>1</v>
      </c>
      <c r="P1069" s="1655" t="s">
        <v>42</v>
      </c>
      <c r="Q1069" s="1655" t="s">
        <v>80</v>
      </c>
      <c r="S1069" s="1655" t="s">
        <v>76</v>
      </c>
      <c r="T1069" s="1655" t="s">
        <v>1200</v>
      </c>
      <c r="U1069" s="1655">
        <v>0</v>
      </c>
      <c r="V1069" s="1655" t="s">
        <v>42</v>
      </c>
      <c r="W1069" s="1655" t="s">
        <v>80</v>
      </c>
    </row>
    <row r="1070" spans="1:23">
      <c r="A1070" s="1655" t="s">
        <v>76</v>
      </c>
      <c r="B1070" s="1655" t="s">
        <v>1086</v>
      </c>
      <c r="C1070" s="1655" t="s">
        <v>2305</v>
      </c>
      <c r="D1070" s="1655" t="s">
        <v>42</v>
      </c>
      <c r="E1070" s="1655" t="s">
        <v>569</v>
      </c>
      <c r="G1070" s="1655" t="s">
        <v>76</v>
      </c>
      <c r="H1070" s="1655" t="s">
        <v>1086</v>
      </c>
      <c r="I1070" s="1655" t="s">
        <v>1340</v>
      </c>
      <c r="J1070" s="1655" t="s">
        <v>42</v>
      </c>
      <c r="K1070" s="1655" t="s">
        <v>569</v>
      </c>
      <c r="M1070" s="1655" t="s">
        <v>76</v>
      </c>
      <c r="N1070" s="1655" t="s">
        <v>1086</v>
      </c>
      <c r="O1070" s="1655" t="s">
        <v>1340</v>
      </c>
      <c r="P1070" s="1655" t="s">
        <v>42</v>
      </c>
      <c r="Q1070" s="1655" t="s">
        <v>569</v>
      </c>
      <c r="S1070" s="1655" t="s">
        <v>76</v>
      </c>
      <c r="T1070" s="1655" t="s">
        <v>1086</v>
      </c>
      <c r="U1070" s="1655" t="s">
        <v>1340</v>
      </c>
      <c r="V1070" s="1655" t="s">
        <v>42</v>
      </c>
      <c r="W1070" s="1655" t="s">
        <v>569</v>
      </c>
    </row>
    <row r="1071" spans="1:23">
      <c r="A1071" s="1655" t="s">
        <v>76</v>
      </c>
      <c r="B1071" s="1655" t="s">
        <v>1231</v>
      </c>
      <c r="C1071" s="1656">
        <v>8000</v>
      </c>
      <c r="D1071" s="1655" t="s">
        <v>42</v>
      </c>
      <c r="E1071" s="1655" t="s">
        <v>571</v>
      </c>
      <c r="G1071" s="1655" t="s">
        <v>76</v>
      </c>
      <c r="H1071" s="1655" t="s">
        <v>1231</v>
      </c>
      <c r="I1071" s="1655">
        <v>0</v>
      </c>
      <c r="J1071" s="1655" t="s">
        <v>42</v>
      </c>
      <c r="K1071" s="1655" t="s">
        <v>571</v>
      </c>
      <c r="M1071" s="1655" t="s">
        <v>76</v>
      </c>
      <c r="N1071" s="1655" t="s">
        <v>1231</v>
      </c>
      <c r="O1071" s="1655">
        <v>0</v>
      </c>
      <c r="P1071" s="1655" t="s">
        <v>42</v>
      </c>
      <c r="Q1071" s="1655" t="s">
        <v>571</v>
      </c>
      <c r="S1071" s="1655" t="s">
        <v>76</v>
      </c>
      <c r="T1071" s="1655" t="s">
        <v>1231</v>
      </c>
      <c r="U1071" s="1656">
        <v>0</v>
      </c>
      <c r="V1071" s="1655" t="s">
        <v>42</v>
      </c>
      <c r="W1071" s="1655" t="s">
        <v>571</v>
      </c>
    </row>
    <row r="1072" spans="1:23">
      <c r="A1072" s="1655" t="s">
        <v>76</v>
      </c>
      <c r="B1072" s="1655" t="s">
        <v>1232</v>
      </c>
      <c r="C1072" s="1656">
        <v>2000</v>
      </c>
      <c r="D1072" s="1655" t="s">
        <v>42</v>
      </c>
      <c r="E1072" s="1655" t="s">
        <v>572</v>
      </c>
      <c r="G1072" s="1655" t="s">
        <v>76</v>
      </c>
      <c r="H1072" s="1655" t="s">
        <v>1232</v>
      </c>
      <c r="I1072" s="1656" t="s">
        <v>570</v>
      </c>
      <c r="J1072" s="1655" t="s">
        <v>43</v>
      </c>
      <c r="K1072" s="1655" t="s">
        <v>572</v>
      </c>
      <c r="M1072" s="1655" t="s">
        <v>76</v>
      </c>
      <c r="N1072" s="1655" t="s">
        <v>1232</v>
      </c>
      <c r="O1072" s="1656" t="s">
        <v>570</v>
      </c>
      <c r="P1072" s="1655" t="s">
        <v>43</v>
      </c>
      <c r="Q1072" s="1655" t="s">
        <v>572</v>
      </c>
      <c r="S1072" s="1655" t="s">
        <v>76</v>
      </c>
      <c r="T1072" s="1655" t="s">
        <v>1232</v>
      </c>
      <c r="U1072" s="1656" t="s">
        <v>570</v>
      </c>
      <c r="V1072" s="1655" t="s">
        <v>43</v>
      </c>
      <c r="W1072" s="1655" t="s">
        <v>572</v>
      </c>
    </row>
    <row r="1073" spans="1:23">
      <c r="A1073" s="1655" t="s">
        <v>76</v>
      </c>
      <c r="B1073" s="1655" t="s">
        <v>1233</v>
      </c>
      <c r="C1073" s="1659">
        <v>2036</v>
      </c>
      <c r="D1073" s="1655" t="s">
        <v>42</v>
      </c>
      <c r="E1073" s="1655" t="s">
        <v>572</v>
      </c>
      <c r="G1073" s="1655" t="s">
        <v>76</v>
      </c>
      <c r="H1073" s="1655" t="s">
        <v>1233</v>
      </c>
      <c r="I1073" s="1659" t="s">
        <v>570</v>
      </c>
      <c r="J1073" s="1655" t="s">
        <v>43</v>
      </c>
      <c r="K1073" s="1655" t="s">
        <v>572</v>
      </c>
      <c r="M1073" s="1655" t="s">
        <v>76</v>
      </c>
      <c r="N1073" s="1655" t="s">
        <v>1233</v>
      </c>
      <c r="O1073" s="1655" t="s">
        <v>570</v>
      </c>
      <c r="P1073" s="1655" t="s">
        <v>43</v>
      </c>
      <c r="Q1073" s="1655" t="s">
        <v>572</v>
      </c>
      <c r="S1073" s="1655" t="s">
        <v>76</v>
      </c>
      <c r="T1073" s="1655" t="s">
        <v>1233</v>
      </c>
      <c r="U1073" s="1655" t="s">
        <v>570</v>
      </c>
      <c r="V1073" s="1655" t="s">
        <v>43</v>
      </c>
      <c r="W1073" s="1655" t="s">
        <v>572</v>
      </c>
    </row>
    <row r="1074" spans="1:23">
      <c r="A1074" s="1655" t="s">
        <v>76</v>
      </c>
      <c r="B1074" s="1655" t="s">
        <v>1234</v>
      </c>
      <c r="C1074" s="1659">
        <v>0.02</v>
      </c>
      <c r="D1074" s="1655" t="s">
        <v>42</v>
      </c>
      <c r="E1074" s="1655" t="s">
        <v>80</v>
      </c>
      <c r="G1074" s="1655" t="s">
        <v>76</v>
      </c>
      <c r="H1074" s="1655" t="s">
        <v>1234</v>
      </c>
      <c r="I1074" s="1659">
        <v>0</v>
      </c>
      <c r="J1074" s="1655" t="s">
        <v>42</v>
      </c>
      <c r="K1074" s="1655" t="s">
        <v>80</v>
      </c>
      <c r="M1074" s="1655" t="s">
        <v>76</v>
      </c>
      <c r="N1074" s="1655" t="s">
        <v>1234</v>
      </c>
      <c r="O1074" s="1656">
        <v>0</v>
      </c>
      <c r="P1074" s="1655" t="s">
        <v>42</v>
      </c>
      <c r="Q1074" s="1655" t="s">
        <v>80</v>
      </c>
      <c r="S1074" s="1655" t="s">
        <v>76</v>
      </c>
      <c r="T1074" s="1655" t="s">
        <v>1234</v>
      </c>
      <c r="U1074" s="1656">
        <v>0</v>
      </c>
      <c r="V1074" s="1655" t="s">
        <v>42</v>
      </c>
      <c r="W1074" s="1655" t="s">
        <v>80</v>
      </c>
    </row>
    <row r="1075" spans="1:23">
      <c r="A1075" s="1655" t="s">
        <v>76</v>
      </c>
      <c r="B1075" s="1655" t="s">
        <v>2193</v>
      </c>
      <c r="C1075" s="1658">
        <v>1</v>
      </c>
      <c r="D1075" s="1655" t="s">
        <v>42</v>
      </c>
      <c r="E1075" s="1655" t="s">
        <v>80</v>
      </c>
      <c r="G1075" s="1655" t="s">
        <v>76</v>
      </c>
      <c r="H1075" s="1655" t="s">
        <v>2193</v>
      </c>
      <c r="I1075" s="1658">
        <v>0</v>
      </c>
      <c r="J1075" s="1655" t="s">
        <v>42</v>
      </c>
      <c r="K1075" s="1655" t="s">
        <v>80</v>
      </c>
      <c r="M1075" s="1655" t="s">
        <v>76</v>
      </c>
      <c r="N1075" s="1655" t="s">
        <v>2193</v>
      </c>
      <c r="O1075" s="1658">
        <v>0</v>
      </c>
      <c r="P1075" s="1655" t="s">
        <v>42</v>
      </c>
      <c r="Q1075" s="1655" t="s">
        <v>80</v>
      </c>
      <c r="S1075" s="1655" t="s">
        <v>76</v>
      </c>
      <c r="T1075" s="1655" t="s">
        <v>2193</v>
      </c>
      <c r="U1075" s="1658">
        <v>0</v>
      </c>
      <c r="V1075" s="1655" t="s">
        <v>42</v>
      </c>
      <c r="W1075" s="1655" t="s">
        <v>80</v>
      </c>
    </row>
    <row r="1076" spans="1:23">
      <c r="A1076" s="1655" t="s">
        <v>76</v>
      </c>
      <c r="B1076" s="1655" t="s">
        <v>878</v>
      </c>
      <c r="C1076" s="1658" t="s">
        <v>1341</v>
      </c>
      <c r="D1076" s="1655" t="s">
        <v>42</v>
      </c>
      <c r="E1076" s="1655" t="s">
        <v>569</v>
      </c>
      <c r="G1076" s="1655" t="s">
        <v>76</v>
      </c>
      <c r="H1076" s="1655" t="s">
        <v>878</v>
      </c>
      <c r="I1076" s="1658" t="s">
        <v>1341</v>
      </c>
      <c r="J1076" s="1655" t="s">
        <v>42</v>
      </c>
      <c r="K1076" s="1655" t="s">
        <v>569</v>
      </c>
      <c r="M1076" s="1655" t="s">
        <v>76</v>
      </c>
      <c r="N1076" s="1655" t="s">
        <v>878</v>
      </c>
      <c r="O1076" s="1658" t="s">
        <v>1341</v>
      </c>
      <c r="P1076" s="1655" t="s">
        <v>42</v>
      </c>
      <c r="Q1076" s="1655" t="s">
        <v>569</v>
      </c>
      <c r="S1076" s="1655" t="s">
        <v>76</v>
      </c>
      <c r="T1076" s="1655" t="s">
        <v>878</v>
      </c>
      <c r="U1076" s="1658" t="s">
        <v>1341</v>
      </c>
      <c r="V1076" s="1655" t="s">
        <v>42</v>
      </c>
      <c r="W1076" s="1655" t="s">
        <v>569</v>
      </c>
    </row>
    <row r="1077" spans="1:23">
      <c r="A1077" s="1655" t="s">
        <v>76</v>
      </c>
      <c r="B1077" s="1655" t="s">
        <v>879</v>
      </c>
      <c r="C1077" s="1656">
        <v>0</v>
      </c>
      <c r="D1077" s="1655" t="s">
        <v>42</v>
      </c>
      <c r="E1077" s="1655" t="s">
        <v>571</v>
      </c>
      <c r="G1077" s="1655" t="s">
        <v>76</v>
      </c>
      <c r="H1077" s="1655" t="s">
        <v>879</v>
      </c>
      <c r="I1077" s="1656">
        <v>0</v>
      </c>
      <c r="J1077" s="1655" t="s">
        <v>42</v>
      </c>
      <c r="K1077" s="1655" t="s">
        <v>571</v>
      </c>
      <c r="M1077" s="1655" t="s">
        <v>76</v>
      </c>
      <c r="N1077" s="1655" t="s">
        <v>879</v>
      </c>
      <c r="O1077" s="1656">
        <v>0</v>
      </c>
      <c r="P1077" s="1655" t="s">
        <v>42</v>
      </c>
      <c r="Q1077" s="1655" t="s">
        <v>571</v>
      </c>
      <c r="S1077" s="1655" t="s">
        <v>76</v>
      </c>
      <c r="T1077" s="1655" t="s">
        <v>879</v>
      </c>
      <c r="U1077" s="1656">
        <v>0</v>
      </c>
      <c r="V1077" s="1655" t="s">
        <v>42</v>
      </c>
      <c r="W1077" s="1655" t="s">
        <v>571</v>
      </c>
    </row>
    <row r="1078" spans="1:23">
      <c r="A1078" s="1655" t="s">
        <v>76</v>
      </c>
      <c r="B1078" s="1655" t="s">
        <v>880</v>
      </c>
      <c r="C1078" s="1656" t="s">
        <v>570</v>
      </c>
      <c r="D1078" s="1655" t="s">
        <v>43</v>
      </c>
      <c r="E1078" s="1655" t="s">
        <v>572</v>
      </c>
      <c r="G1078" s="1655" t="s">
        <v>76</v>
      </c>
      <c r="H1078" s="1655" t="s">
        <v>880</v>
      </c>
      <c r="I1078" s="1656" t="s">
        <v>570</v>
      </c>
      <c r="J1078" s="1655" t="s">
        <v>43</v>
      </c>
      <c r="K1078" s="1655" t="s">
        <v>572</v>
      </c>
      <c r="M1078" s="1655" t="s">
        <v>76</v>
      </c>
      <c r="N1078" s="1655" t="s">
        <v>880</v>
      </c>
      <c r="O1078" s="1656" t="s">
        <v>570</v>
      </c>
      <c r="P1078" s="1655" t="s">
        <v>43</v>
      </c>
      <c r="Q1078" s="1655" t="s">
        <v>572</v>
      </c>
      <c r="S1078" s="1655" t="s">
        <v>76</v>
      </c>
      <c r="T1078" s="1655" t="s">
        <v>880</v>
      </c>
      <c r="U1078" s="1656" t="s">
        <v>570</v>
      </c>
      <c r="V1078" s="1655" t="s">
        <v>43</v>
      </c>
      <c r="W1078" s="1655" t="s">
        <v>572</v>
      </c>
    </row>
    <row r="1079" spans="1:23">
      <c r="A1079" s="1655" t="s">
        <v>76</v>
      </c>
      <c r="B1079" s="1655" t="s">
        <v>881</v>
      </c>
      <c r="C1079" s="1659" t="s">
        <v>570</v>
      </c>
      <c r="D1079" s="1655" t="s">
        <v>43</v>
      </c>
      <c r="E1079" s="1655" t="s">
        <v>572</v>
      </c>
      <c r="G1079" s="1655" t="s">
        <v>76</v>
      </c>
      <c r="H1079" s="1655" t="s">
        <v>881</v>
      </c>
      <c r="I1079" s="1659" t="s">
        <v>570</v>
      </c>
      <c r="J1079" s="1655" t="s">
        <v>43</v>
      </c>
      <c r="K1079" s="1655" t="s">
        <v>572</v>
      </c>
      <c r="M1079" s="1655" t="s">
        <v>76</v>
      </c>
      <c r="N1079" s="1655" t="s">
        <v>881</v>
      </c>
      <c r="O1079" s="1659" t="s">
        <v>570</v>
      </c>
      <c r="P1079" s="1655" t="s">
        <v>43</v>
      </c>
      <c r="Q1079" s="1655" t="s">
        <v>572</v>
      </c>
      <c r="S1079" s="1655" t="s">
        <v>76</v>
      </c>
      <c r="T1079" s="1655" t="s">
        <v>881</v>
      </c>
      <c r="U1079" s="1659" t="s">
        <v>570</v>
      </c>
      <c r="V1079" s="1655" t="s">
        <v>43</v>
      </c>
      <c r="W1079" s="1655" t="s">
        <v>572</v>
      </c>
    </row>
    <row r="1080" spans="1:23">
      <c r="A1080" s="1655" t="s">
        <v>76</v>
      </c>
      <c r="B1080" s="1655" t="s">
        <v>882</v>
      </c>
      <c r="C1080" s="1659">
        <v>0</v>
      </c>
      <c r="D1080" s="1655" t="s">
        <v>42</v>
      </c>
      <c r="E1080" s="1655" t="s">
        <v>80</v>
      </c>
      <c r="G1080" s="1655" t="s">
        <v>76</v>
      </c>
      <c r="H1080" s="1655" t="s">
        <v>882</v>
      </c>
      <c r="I1080" s="1659">
        <v>0</v>
      </c>
      <c r="J1080" s="1655" t="s">
        <v>42</v>
      </c>
      <c r="K1080" s="1655" t="s">
        <v>80</v>
      </c>
      <c r="M1080" s="1655" t="s">
        <v>76</v>
      </c>
      <c r="N1080" s="1655" t="s">
        <v>882</v>
      </c>
      <c r="O1080" s="1659">
        <v>0</v>
      </c>
      <c r="P1080" s="1655" t="s">
        <v>42</v>
      </c>
      <c r="Q1080" s="1655" t="s">
        <v>80</v>
      </c>
      <c r="S1080" s="1655" t="s">
        <v>76</v>
      </c>
      <c r="T1080" s="1655" t="s">
        <v>882</v>
      </c>
      <c r="U1080" s="1659">
        <v>0</v>
      </c>
      <c r="V1080" s="1655" t="s">
        <v>42</v>
      </c>
      <c r="W1080" s="1655" t="s">
        <v>80</v>
      </c>
    </row>
    <row r="1081" spans="1:23">
      <c r="A1081" s="1655" t="s">
        <v>76</v>
      </c>
      <c r="B1081" s="1655" t="s">
        <v>2194</v>
      </c>
      <c r="C1081" s="1658">
        <v>0</v>
      </c>
      <c r="D1081" s="1655" t="s">
        <v>42</v>
      </c>
      <c r="E1081" s="1655" t="s">
        <v>80</v>
      </c>
      <c r="G1081" s="1655" t="s">
        <v>76</v>
      </c>
      <c r="H1081" s="1655" t="s">
        <v>2194</v>
      </c>
      <c r="I1081" s="1658">
        <v>0</v>
      </c>
      <c r="J1081" s="1655" t="s">
        <v>42</v>
      </c>
      <c r="K1081" s="1655" t="s">
        <v>80</v>
      </c>
      <c r="M1081" s="1655" t="s">
        <v>76</v>
      </c>
      <c r="N1081" s="1655" t="s">
        <v>2194</v>
      </c>
      <c r="O1081" s="1658">
        <v>0</v>
      </c>
      <c r="P1081" s="1655" t="s">
        <v>42</v>
      </c>
      <c r="Q1081" s="1655" t="s">
        <v>80</v>
      </c>
      <c r="S1081" s="1655" t="s">
        <v>76</v>
      </c>
      <c r="T1081" s="1655" t="s">
        <v>2194</v>
      </c>
      <c r="U1081" s="1658">
        <v>0</v>
      </c>
      <c r="V1081" s="1655" t="s">
        <v>42</v>
      </c>
      <c r="W1081" s="1655" t="s">
        <v>80</v>
      </c>
    </row>
    <row r="1082" spans="1:23">
      <c r="A1082" s="1655" t="s">
        <v>76</v>
      </c>
      <c r="B1082" s="1655" t="s">
        <v>896</v>
      </c>
      <c r="C1082" s="1658" t="s">
        <v>1342</v>
      </c>
      <c r="D1082" s="1655" t="s">
        <v>42</v>
      </c>
      <c r="E1082" s="1655" t="s">
        <v>569</v>
      </c>
      <c r="G1082" s="1655" t="s">
        <v>76</v>
      </c>
      <c r="H1082" s="1655" t="s">
        <v>896</v>
      </c>
      <c r="I1082" s="1658" t="s">
        <v>1342</v>
      </c>
      <c r="J1082" s="1655" t="s">
        <v>42</v>
      </c>
      <c r="K1082" s="1655" t="s">
        <v>569</v>
      </c>
      <c r="M1082" s="1655" t="s">
        <v>76</v>
      </c>
      <c r="N1082" s="1655" t="s">
        <v>896</v>
      </c>
      <c r="O1082" s="1658" t="s">
        <v>1342</v>
      </c>
      <c r="P1082" s="1655" t="s">
        <v>42</v>
      </c>
      <c r="Q1082" s="1655" t="s">
        <v>569</v>
      </c>
      <c r="S1082" s="1655" t="s">
        <v>76</v>
      </c>
      <c r="T1082" s="1655" t="s">
        <v>896</v>
      </c>
      <c r="U1082" s="1658" t="s">
        <v>1342</v>
      </c>
      <c r="V1082" s="1655" t="s">
        <v>42</v>
      </c>
      <c r="W1082" s="1655" t="s">
        <v>569</v>
      </c>
    </row>
    <row r="1083" spans="1:23">
      <c r="A1083" s="1655" t="s">
        <v>76</v>
      </c>
      <c r="B1083" s="1655" t="s">
        <v>897</v>
      </c>
      <c r="C1083" s="1656">
        <v>0</v>
      </c>
      <c r="D1083" s="1655" t="s">
        <v>42</v>
      </c>
      <c r="E1083" s="1655" t="s">
        <v>571</v>
      </c>
      <c r="G1083" s="1655" t="s">
        <v>76</v>
      </c>
      <c r="H1083" s="1655" t="s">
        <v>897</v>
      </c>
      <c r="I1083" s="1655">
        <v>0</v>
      </c>
      <c r="J1083" s="1655" t="s">
        <v>42</v>
      </c>
      <c r="K1083" s="1655" t="s">
        <v>571</v>
      </c>
      <c r="M1083" s="1655" t="s">
        <v>76</v>
      </c>
      <c r="N1083" s="1655" t="s">
        <v>897</v>
      </c>
      <c r="O1083" s="1655">
        <v>0</v>
      </c>
      <c r="P1083" s="1655" t="s">
        <v>42</v>
      </c>
      <c r="Q1083" s="1655" t="s">
        <v>571</v>
      </c>
      <c r="S1083" s="1655" t="s">
        <v>76</v>
      </c>
      <c r="T1083" s="1655" t="s">
        <v>897</v>
      </c>
      <c r="U1083" s="1656">
        <v>0</v>
      </c>
      <c r="V1083" s="1655" t="s">
        <v>42</v>
      </c>
      <c r="W1083" s="1655" t="s">
        <v>571</v>
      </c>
    </row>
    <row r="1084" spans="1:23">
      <c r="A1084" s="1655" t="s">
        <v>76</v>
      </c>
      <c r="B1084" s="1655" t="s">
        <v>898</v>
      </c>
      <c r="C1084" s="1656" t="s">
        <v>570</v>
      </c>
      <c r="D1084" s="1655" t="s">
        <v>43</v>
      </c>
      <c r="E1084" s="1655" t="s">
        <v>572</v>
      </c>
      <c r="G1084" s="1655" t="s">
        <v>76</v>
      </c>
      <c r="H1084" s="1655" t="s">
        <v>898</v>
      </c>
      <c r="I1084" s="1656" t="s">
        <v>570</v>
      </c>
      <c r="J1084" s="1655" t="s">
        <v>43</v>
      </c>
      <c r="K1084" s="1655" t="s">
        <v>572</v>
      </c>
      <c r="M1084" s="1655" t="s">
        <v>76</v>
      </c>
      <c r="N1084" s="1655" t="s">
        <v>898</v>
      </c>
      <c r="O1084" s="1656" t="s">
        <v>570</v>
      </c>
      <c r="P1084" s="1655" t="s">
        <v>43</v>
      </c>
      <c r="Q1084" s="1655" t="s">
        <v>572</v>
      </c>
      <c r="S1084" s="1655" t="s">
        <v>76</v>
      </c>
      <c r="T1084" s="1655" t="s">
        <v>898</v>
      </c>
      <c r="U1084" s="1656" t="s">
        <v>570</v>
      </c>
      <c r="V1084" s="1655" t="s">
        <v>43</v>
      </c>
      <c r="W1084" s="1655" t="s">
        <v>572</v>
      </c>
    </row>
    <row r="1085" spans="1:23">
      <c r="A1085" s="1655" t="s">
        <v>76</v>
      </c>
      <c r="B1085" s="1655" t="s">
        <v>899</v>
      </c>
      <c r="C1085" s="1659" t="s">
        <v>570</v>
      </c>
      <c r="D1085" s="1655" t="s">
        <v>43</v>
      </c>
      <c r="E1085" s="1655" t="s">
        <v>572</v>
      </c>
      <c r="G1085" s="1655" t="s">
        <v>76</v>
      </c>
      <c r="H1085" s="1655" t="s">
        <v>899</v>
      </c>
      <c r="I1085" s="1659" t="s">
        <v>570</v>
      </c>
      <c r="J1085" s="1655" t="s">
        <v>43</v>
      </c>
      <c r="K1085" s="1655" t="s">
        <v>572</v>
      </c>
      <c r="M1085" s="1655" t="s">
        <v>76</v>
      </c>
      <c r="N1085" s="1655" t="s">
        <v>899</v>
      </c>
      <c r="O1085" s="1659" t="s">
        <v>570</v>
      </c>
      <c r="P1085" s="1655" t="s">
        <v>43</v>
      </c>
      <c r="Q1085" s="1655" t="s">
        <v>572</v>
      </c>
      <c r="S1085" s="1655" t="s">
        <v>76</v>
      </c>
      <c r="T1085" s="1655" t="s">
        <v>899</v>
      </c>
      <c r="U1085" s="1659" t="s">
        <v>570</v>
      </c>
      <c r="V1085" s="1655" t="s">
        <v>43</v>
      </c>
      <c r="W1085" s="1655" t="s">
        <v>572</v>
      </c>
    </row>
    <row r="1086" spans="1:23">
      <c r="A1086" s="1655" t="s">
        <v>76</v>
      </c>
      <c r="B1086" s="1655" t="s">
        <v>900</v>
      </c>
      <c r="C1086" s="1659">
        <v>0</v>
      </c>
      <c r="D1086" s="1655" t="s">
        <v>42</v>
      </c>
      <c r="E1086" s="1655" t="s">
        <v>80</v>
      </c>
      <c r="G1086" s="1655" t="s">
        <v>76</v>
      </c>
      <c r="H1086" s="1655" t="s">
        <v>900</v>
      </c>
      <c r="I1086" s="1659">
        <v>0</v>
      </c>
      <c r="J1086" s="1655" t="s">
        <v>42</v>
      </c>
      <c r="K1086" s="1655" t="s">
        <v>80</v>
      </c>
      <c r="M1086" s="1655" t="s">
        <v>76</v>
      </c>
      <c r="N1086" s="1655" t="s">
        <v>900</v>
      </c>
      <c r="O1086" s="1659">
        <v>0</v>
      </c>
      <c r="P1086" s="1655" t="s">
        <v>42</v>
      </c>
      <c r="Q1086" s="1655" t="s">
        <v>80</v>
      </c>
      <c r="S1086" s="1655" t="s">
        <v>76</v>
      </c>
      <c r="T1086" s="1655" t="s">
        <v>900</v>
      </c>
      <c r="U1086" s="1659">
        <v>0</v>
      </c>
      <c r="V1086" s="1655" t="s">
        <v>42</v>
      </c>
      <c r="W1086" s="1655" t="s">
        <v>80</v>
      </c>
    </row>
    <row r="1087" spans="1:23">
      <c r="A1087" s="1655" t="s">
        <v>76</v>
      </c>
      <c r="B1087" s="1655" t="s">
        <v>901</v>
      </c>
      <c r="C1087" s="1658">
        <v>0</v>
      </c>
      <c r="D1087" s="1655" t="s">
        <v>42</v>
      </c>
      <c r="E1087" s="1655" t="s">
        <v>80</v>
      </c>
      <c r="G1087" s="1655" t="s">
        <v>76</v>
      </c>
      <c r="H1087" s="1655" t="s">
        <v>901</v>
      </c>
      <c r="I1087" s="1658">
        <v>0</v>
      </c>
      <c r="J1087" s="1655" t="s">
        <v>42</v>
      </c>
      <c r="K1087" s="1655" t="s">
        <v>80</v>
      </c>
      <c r="M1087" s="1655" t="s">
        <v>76</v>
      </c>
      <c r="N1087" s="1655" t="s">
        <v>901</v>
      </c>
      <c r="O1087" s="2035">
        <v>0</v>
      </c>
      <c r="P1087" s="1655" t="s">
        <v>42</v>
      </c>
      <c r="Q1087" s="1655" t="s">
        <v>80</v>
      </c>
      <c r="S1087" s="1655" t="s">
        <v>76</v>
      </c>
      <c r="T1087" s="1655" t="s">
        <v>901</v>
      </c>
      <c r="U1087" s="1658">
        <v>0</v>
      </c>
      <c r="V1087" s="1655" t="s">
        <v>42</v>
      </c>
      <c r="W1087" s="1655" t="s">
        <v>80</v>
      </c>
    </row>
    <row r="1088" spans="1:23">
      <c r="A1088" s="1655" t="s">
        <v>76</v>
      </c>
      <c r="B1088" s="1655" t="s">
        <v>1087</v>
      </c>
      <c r="C1088" s="1658" t="s">
        <v>1343</v>
      </c>
      <c r="D1088" s="1655" t="s">
        <v>42</v>
      </c>
      <c r="E1088" s="1655" t="s">
        <v>569</v>
      </c>
      <c r="G1088" s="1655" t="s">
        <v>76</v>
      </c>
      <c r="H1088" s="1655" t="s">
        <v>1087</v>
      </c>
      <c r="I1088" s="1658" t="s">
        <v>1343</v>
      </c>
      <c r="J1088" s="1655" t="s">
        <v>42</v>
      </c>
      <c r="K1088" s="1655" t="s">
        <v>569</v>
      </c>
      <c r="M1088" s="1655" t="s">
        <v>76</v>
      </c>
      <c r="N1088" s="1655" t="s">
        <v>1087</v>
      </c>
      <c r="O1088" s="2035" t="s">
        <v>1343</v>
      </c>
      <c r="P1088" s="1655" t="s">
        <v>42</v>
      </c>
      <c r="Q1088" s="1655" t="s">
        <v>569</v>
      </c>
      <c r="S1088" s="1655" t="s">
        <v>76</v>
      </c>
      <c r="T1088" s="1655" t="s">
        <v>1087</v>
      </c>
      <c r="U1088" s="1658" t="s">
        <v>1343</v>
      </c>
      <c r="V1088" s="1655" t="s">
        <v>42</v>
      </c>
      <c r="W1088" s="1655" t="s">
        <v>569</v>
      </c>
    </row>
    <row r="1089" spans="1:23">
      <c r="A1089" s="1655" t="s">
        <v>76</v>
      </c>
      <c r="B1089" s="1655" t="s">
        <v>1958</v>
      </c>
      <c r="C1089" s="1656">
        <v>0</v>
      </c>
      <c r="D1089" s="1655" t="s">
        <v>42</v>
      </c>
      <c r="E1089" s="1655" t="s">
        <v>571</v>
      </c>
      <c r="G1089" s="1655" t="s">
        <v>76</v>
      </c>
      <c r="H1089" s="1655" t="s">
        <v>1958</v>
      </c>
      <c r="I1089" s="1656">
        <v>0</v>
      </c>
      <c r="J1089" s="1655" t="s">
        <v>42</v>
      </c>
      <c r="K1089" s="1655" t="s">
        <v>571</v>
      </c>
      <c r="M1089" s="1655" t="s">
        <v>76</v>
      </c>
      <c r="N1089" s="1655" t="s">
        <v>1958</v>
      </c>
      <c r="O1089" s="1656">
        <v>0</v>
      </c>
      <c r="P1089" s="1655" t="s">
        <v>42</v>
      </c>
      <c r="Q1089" s="1655" t="s">
        <v>571</v>
      </c>
      <c r="S1089" s="1655" t="s">
        <v>76</v>
      </c>
      <c r="T1089" s="1655" t="s">
        <v>1958</v>
      </c>
      <c r="U1089" s="1656">
        <v>0</v>
      </c>
      <c r="V1089" s="1655" t="s">
        <v>42</v>
      </c>
      <c r="W1089" s="1655" t="s">
        <v>571</v>
      </c>
    </row>
    <row r="1090" spans="1:23">
      <c r="A1090" s="1655" t="s">
        <v>76</v>
      </c>
      <c r="B1090" s="1655" t="s">
        <v>1959</v>
      </c>
      <c r="C1090" s="1656" t="s">
        <v>570</v>
      </c>
      <c r="D1090" s="1655" t="s">
        <v>43</v>
      </c>
      <c r="E1090" s="1655" t="s">
        <v>572</v>
      </c>
      <c r="G1090" s="1655" t="s">
        <v>76</v>
      </c>
      <c r="H1090" s="1655" t="s">
        <v>1959</v>
      </c>
      <c r="I1090" s="1656" t="s">
        <v>570</v>
      </c>
      <c r="J1090" s="1655" t="s">
        <v>43</v>
      </c>
      <c r="K1090" s="1655" t="s">
        <v>572</v>
      </c>
      <c r="M1090" s="1655" t="s">
        <v>76</v>
      </c>
      <c r="N1090" s="1655" t="s">
        <v>1959</v>
      </c>
      <c r="O1090" s="1656" t="s">
        <v>570</v>
      </c>
      <c r="P1090" s="1655" t="s">
        <v>43</v>
      </c>
      <c r="Q1090" s="1655" t="s">
        <v>572</v>
      </c>
      <c r="S1090" s="1655" t="s">
        <v>76</v>
      </c>
      <c r="T1090" s="1655" t="s">
        <v>1959</v>
      </c>
      <c r="U1090" s="1656" t="s">
        <v>570</v>
      </c>
      <c r="V1090" s="1655" t="s">
        <v>43</v>
      </c>
      <c r="W1090" s="1655" t="s">
        <v>572</v>
      </c>
    </row>
    <row r="1091" spans="1:23">
      <c r="A1091" s="1655" t="s">
        <v>76</v>
      </c>
      <c r="B1091" s="1655" t="s">
        <v>1960</v>
      </c>
      <c r="C1091" s="1659" t="s">
        <v>570</v>
      </c>
      <c r="D1091" s="1655" t="s">
        <v>43</v>
      </c>
      <c r="E1091" s="1655" t="s">
        <v>572</v>
      </c>
      <c r="G1091" s="1655" t="s">
        <v>76</v>
      </c>
      <c r="H1091" s="1655" t="s">
        <v>1960</v>
      </c>
      <c r="I1091" s="1659" t="s">
        <v>570</v>
      </c>
      <c r="J1091" s="1655" t="s">
        <v>43</v>
      </c>
      <c r="K1091" s="1655" t="s">
        <v>572</v>
      </c>
      <c r="M1091" s="1655" t="s">
        <v>76</v>
      </c>
      <c r="N1091" s="1655" t="s">
        <v>1960</v>
      </c>
      <c r="O1091" s="1659" t="s">
        <v>570</v>
      </c>
      <c r="P1091" s="1655" t="s">
        <v>43</v>
      </c>
      <c r="Q1091" s="1655" t="s">
        <v>572</v>
      </c>
      <c r="S1091" s="1655" t="s">
        <v>76</v>
      </c>
      <c r="T1091" s="1655" t="s">
        <v>1960</v>
      </c>
      <c r="U1091" s="1659" t="s">
        <v>570</v>
      </c>
      <c r="V1091" s="1655" t="s">
        <v>43</v>
      </c>
      <c r="W1091" s="1655" t="s">
        <v>572</v>
      </c>
    </row>
    <row r="1092" spans="1:23">
      <c r="A1092" s="1655" t="s">
        <v>76</v>
      </c>
      <c r="B1092" s="1655" t="s">
        <v>1961</v>
      </c>
      <c r="C1092" s="1659">
        <v>0</v>
      </c>
      <c r="D1092" s="1655" t="s">
        <v>42</v>
      </c>
      <c r="E1092" s="1655" t="s">
        <v>80</v>
      </c>
      <c r="G1092" s="1655" t="s">
        <v>76</v>
      </c>
      <c r="H1092" s="1655" t="s">
        <v>1961</v>
      </c>
      <c r="I1092" s="1659">
        <v>0</v>
      </c>
      <c r="J1092" s="1655" t="s">
        <v>42</v>
      </c>
      <c r="K1092" s="1655" t="s">
        <v>80</v>
      </c>
      <c r="M1092" s="1655" t="s">
        <v>76</v>
      </c>
      <c r="N1092" s="1655" t="s">
        <v>1961</v>
      </c>
      <c r="O1092" s="1659">
        <v>0</v>
      </c>
      <c r="P1092" s="1655" t="s">
        <v>42</v>
      </c>
      <c r="Q1092" s="1655" t="s">
        <v>80</v>
      </c>
      <c r="S1092" s="1655" t="s">
        <v>76</v>
      </c>
      <c r="T1092" s="1655" t="s">
        <v>1961</v>
      </c>
      <c r="U1092" s="1659">
        <v>0</v>
      </c>
      <c r="V1092" s="1655" t="s">
        <v>42</v>
      </c>
      <c r="W1092" s="1655" t="s">
        <v>80</v>
      </c>
    </row>
    <row r="1093" spans="1:23">
      <c r="A1093" s="1655" t="s">
        <v>76</v>
      </c>
      <c r="B1093" s="1655" t="s">
        <v>2074</v>
      </c>
      <c r="C1093" s="1658">
        <v>0</v>
      </c>
      <c r="D1093" s="1655" t="s">
        <v>42</v>
      </c>
      <c r="E1093" s="1655" t="s">
        <v>80</v>
      </c>
      <c r="G1093" s="1655" t="s">
        <v>76</v>
      </c>
      <c r="H1093" s="1655" t="s">
        <v>2074</v>
      </c>
      <c r="I1093" s="1658">
        <v>0</v>
      </c>
      <c r="J1093" s="1655" t="s">
        <v>42</v>
      </c>
      <c r="K1093" s="1655" t="s">
        <v>80</v>
      </c>
      <c r="M1093" s="1655" t="s">
        <v>76</v>
      </c>
      <c r="N1093" s="1655" t="s">
        <v>2074</v>
      </c>
      <c r="O1093" s="1658">
        <v>0</v>
      </c>
      <c r="P1093" s="1655" t="s">
        <v>42</v>
      </c>
      <c r="Q1093" s="1655" t="s">
        <v>80</v>
      </c>
      <c r="S1093" s="1655" t="s">
        <v>76</v>
      </c>
      <c r="T1093" s="1655" t="s">
        <v>2074</v>
      </c>
      <c r="U1093" s="1658">
        <v>0</v>
      </c>
      <c r="V1093" s="1655" t="s">
        <v>42</v>
      </c>
      <c r="W1093" s="1655" t="s">
        <v>80</v>
      </c>
    </row>
    <row r="1094" spans="1:23">
      <c r="A1094" s="1655" t="s">
        <v>76</v>
      </c>
      <c r="B1094" s="1655" t="s">
        <v>1088</v>
      </c>
      <c r="C1094" s="1658" t="s">
        <v>2117</v>
      </c>
      <c r="D1094" s="1655" t="s">
        <v>42</v>
      </c>
      <c r="E1094" s="1655" t="s">
        <v>569</v>
      </c>
      <c r="G1094" s="1655" t="s">
        <v>76</v>
      </c>
      <c r="H1094" s="1655" t="s">
        <v>1088</v>
      </c>
      <c r="I1094" s="1658" t="s">
        <v>2117</v>
      </c>
      <c r="J1094" s="1655" t="s">
        <v>42</v>
      </c>
      <c r="K1094" s="1655" t="s">
        <v>569</v>
      </c>
      <c r="M1094" s="1655" t="s">
        <v>76</v>
      </c>
      <c r="N1094" s="1655" t="s">
        <v>1088</v>
      </c>
      <c r="O1094" s="1658" t="s">
        <v>2117</v>
      </c>
      <c r="P1094" s="1655" t="s">
        <v>42</v>
      </c>
      <c r="Q1094" s="1655" t="s">
        <v>569</v>
      </c>
      <c r="S1094" s="1655" t="s">
        <v>76</v>
      </c>
      <c r="T1094" s="1655" t="s">
        <v>1088</v>
      </c>
      <c r="U1094" s="1658" t="s">
        <v>2117</v>
      </c>
      <c r="V1094" s="1655" t="s">
        <v>42</v>
      </c>
      <c r="W1094" s="1655" t="s">
        <v>569</v>
      </c>
    </row>
    <row r="1095" spans="1:23">
      <c r="A1095" s="1655" t="s">
        <v>76</v>
      </c>
      <c r="B1095" s="1655" t="s">
        <v>1962</v>
      </c>
      <c r="C1095" s="1656">
        <v>0</v>
      </c>
      <c r="D1095" s="1655" t="s">
        <v>42</v>
      </c>
      <c r="E1095" s="1655" t="s">
        <v>571</v>
      </c>
      <c r="G1095" s="1655" t="s">
        <v>76</v>
      </c>
      <c r="H1095" s="1655" t="s">
        <v>1962</v>
      </c>
      <c r="I1095" s="1658">
        <v>0</v>
      </c>
      <c r="J1095" s="1655" t="s">
        <v>42</v>
      </c>
      <c r="K1095" s="1655" t="s">
        <v>571</v>
      </c>
      <c r="M1095" s="1655" t="s">
        <v>76</v>
      </c>
      <c r="N1095" s="1655" t="s">
        <v>1962</v>
      </c>
      <c r="O1095" s="1658">
        <v>0</v>
      </c>
      <c r="P1095" s="1655" t="s">
        <v>42</v>
      </c>
      <c r="Q1095" s="1655" t="s">
        <v>571</v>
      </c>
      <c r="S1095" s="1655" t="s">
        <v>76</v>
      </c>
      <c r="T1095" s="1655" t="s">
        <v>1962</v>
      </c>
      <c r="U1095" s="1656">
        <v>0</v>
      </c>
      <c r="V1095" s="1655" t="s">
        <v>42</v>
      </c>
      <c r="W1095" s="1655" t="s">
        <v>571</v>
      </c>
    </row>
    <row r="1096" spans="1:23">
      <c r="A1096" s="1655" t="s">
        <v>76</v>
      </c>
      <c r="B1096" s="1655" t="s">
        <v>1248</v>
      </c>
      <c r="C1096" s="1656" t="s">
        <v>570</v>
      </c>
      <c r="D1096" s="1655" t="s">
        <v>43</v>
      </c>
      <c r="E1096" s="1655" t="s">
        <v>572</v>
      </c>
      <c r="G1096" s="1655" t="s">
        <v>76</v>
      </c>
      <c r="H1096" s="1655" t="s">
        <v>1248</v>
      </c>
      <c r="I1096" s="1656" t="s">
        <v>570</v>
      </c>
      <c r="J1096" s="1655" t="s">
        <v>43</v>
      </c>
      <c r="K1096" s="1655" t="s">
        <v>572</v>
      </c>
      <c r="M1096" s="1655" t="s">
        <v>76</v>
      </c>
      <c r="N1096" s="1655" t="s">
        <v>1248</v>
      </c>
      <c r="O1096" s="1656" t="s">
        <v>570</v>
      </c>
      <c r="P1096" s="1655" t="s">
        <v>43</v>
      </c>
      <c r="Q1096" s="1655" t="s">
        <v>572</v>
      </c>
      <c r="S1096" s="1655" t="s">
        <v>76</v>
      </c>
      <c r="T1096" s="1655" t="s">
        <v>1248</v>
      </c>
      <c r="U1096" s="1656" t="s">
        <v>570</v>
      </c>
      <c r="V1096" s="1655" t="s">
        <v>43</v>
      </c>
      <c r="W1096" s="1655" t="s">
        <v>572</v>
      </c>
    </row>
    <row r="1097" spans="1:23">
      <c r="A1097" s="1655" t="s">
        <v>76</v>
      </c>
      <c r="B1097" s="1655" t="s">
        <v>1249</v>
      </c>
      <c r="C1097" s="1656" t="s">
        <v>570</v>
      </c>
      <c r="D1097" s="1655" t="s">
        <v>43</v>
      </c>
      <c r="E1097" s="1655" t="s">
        <v>572</v>
      </c>
      <c r="G1097" s="1655" t="s">
        <v>76</v>
      </c>
      <c r="H1097" s="1655" t="s">
        <v>1249</v>
      </c>
      <c r="I1097" s="1656" t="s">
        <v>570</v>
      </c>
      <c r="J1097" s="1655" t="s">
        <v>43</v>
      </c>
      <c r="K1097" s="1655" t="s">
        <v>572</v>
      </c>
      <c r="M1097" s="1655" t="s">
        <v>76</v>
      </c>
      <c r="N1097" s="1655" t="s">
        <v>1249</v>
      </c>
      <c r="O1097" s="1656" t="s">
        <v>570</v>
      </c>
      <c r="P1097" s="1655" t="s">
        <v>43</v>
      </c>
      <c r="Q1097" s="1655" t="s">
        <v>572</v>
      </c>
      <c r="S1097" s="1655" t="s">
        <v>76</v>
      </c>
      <c r="T1097" s="1655" t="s">
        <v>1249</v>
      </c>
      <c r="U1097" s="1656" t="s">
        <v>570</v>
      </c>
      <c r="V1097" s="1655" t="s">
        <v>43</v>
      </c>
      <c r="W1097" s="1655" t="s">
        <v>572</v>
      </c>
    </row>
    <row r="1098" spans="1:23">
      <c r="A1098" s="1655" t="s">
        <v>76</v>
      </c>
      <c r="B1098" s="1655" t="s">
        <v>1250</v>
      </c>
      <c r="C1098" s="1656">
        <v>0</v>
      </c>
      <c r="D1098" s="1655" t="s">
        <v>42</v>
      </c>
      <c r="E1098" s="1655" t="s">
        <v>80</v>
      </c>
      <c r="G1098" s="1655" t="s">
        <v>76</v>
      </c>
      <c r="H1098" s="1655" t="s">
        <v>1250</v>
      </c>
      <c r="I1098" s="1656">
        <v>0</v>
      </c>
      <c r="J1098" s="1655" t="s">
        <v>42</v>
      </c>
      <c r="K1098" s="1655" t="s">
        <v>80</v>
      </c>
      <c r="M1098" s="1655" t="s">
        <v>76</v>
      </c>
      <c r="N1098" s="1655" t="s">
        <v>1250</v>
      </c>
      <c r="O1098" s="1656">
        <v>0</v>
      </c>
      <c r="P1098" s="1655" t="s">
        <v>42</v>
      </c>
      <c r="Q1098" s="1655" t="s">
        <v>80</v>
      </c>
      <c r="S1098" s="1655" t="s">
        <v>76</v>
      </c>
      <c r="T1098" s="1655" t="s">
        <v>1250</v>
      </c>
      <c r="U1098" s="1656">
        <v>0</v>
      </c>
      <c r="V1098" s="1655" t="s">
        <v>42</v>
      </c>
      <c r="W1098" s="1655" t="s">
        <v>80</v>
      </c>
    </row>
    <row r="1099" spans="1:23">
      <c r="A1099" s="1655" t="s">
        <v>76</v>
      </c>
      <c r="B1099" s="1655" t="s">
        <v>2195</v>
      </c>
      <c r="C1099" s="1656">
        <v>0</v>
      </c>
      <c r="D1099" s="1655" t="s">
        <v>42</v>
      </c>
      <c r="E1099" s="1655" t="s">
        <v>80</v>
      </c>
      <c r="G1099" s="1655" t="s">
        <v>76</v>
      </c>
      <c r="H1099" s="1655" t="s">
        <v>2195</v>
      </c>
      <c r="I1099" s="1656">
        <v>0</v>
      </c>
      <c r="J1099" s="1655" t="s">
        <v>42</v>
      </c>
      <c r="K1099" s="1655" t="s">
        <v>80</v>
      </c>
      <c r="M1099" s="1655" t="s">
        <v>76</v>
      </c>
      <c r="N1099" s="1655" t="s">
        <v>2195</v>
      </c>
      <c r="O1099" s="1656">
        <v>0</v>
      </c>
      <c r="P1099" s="1655" t="s">
        <v>42</v>
      </c>
      <c r="Q1099" s="1655" t="s">
        <v>80</v>
      </c>
      <c r="S1099" s="1655" t="s">
        <v>76</v>
      </c>
      <c r="T1099" s="1655" t="s">
        <v>2195</v>
      </c>
      <c r="U1099" s="1656">
        <v>0</v>
      </c>
      <c r="V1099" s="1655" t="s">
        <v>42</v>
      </c>
      <c r="W1099" s="1655" t="s">
        <v>80</v>
      </c>
    </row>
    <row r="1100" spans="1:23">
      <c r="A1100" s="1655" t="s">
        <v>76</v>
      </c>
      <c r="B1100" s="1655" t="s">
        <v>975</v>
      </c>
      <c r="C1100" s="1656" t="s">
        <v>1344</v>
      </c>
      <c r="D1100" s="1655" t="s">
        <v>42</v>
      </c>
      <c r="E1100" s="1655" t="s">
        <v>569</v>
      </c>
      <c r="G1100" s="1655" t="s">
        <v>76</v>
      </c>
      <c r="H1100" s="1655" t="s">
        <v>975</v>
      </c>
      <c r="I1100" s="1656" t="s">
        <v>1344</v>
      </c>
      <c r="J1100" s="1655" t="s">
        <v>42</v>
      </c>
      <c r="K1100" s="1655" t="s">
        <v>569</v>
      </c>
      <c r="M1100" s="1655" t="s">
        <v>76</v>
      </c>
      <c r="N1100" s="1655" t="s">
        <v>975</v>
      </c>
      <c r="O1100" s="1656" t="s">
        <v>1344</v>
      </c>
      <c r="P1100" s="1655" t="s">
        <v>42</v>
      </c>
      <c r="Q1100" s="1655" t="s">
        <v>569</v>
      </c>
      <c r="S1100" s="1655" t="s">
        <v>76</v>
      </c>
      <c r="T1100" s="1655" t="s">
        <v>975</v>
      </c>
      <c r="U1100" s="1656" t="s">
        <v>1344</v>
      </c>
      <c r="V1100" s="1655" t="s">
        <v>42</v>
      </c>
      <c r="W1100" s="1655" t="s">
        <v>569</v>
      </c>
    </row>
    <row r="1101" spans="1:23">
      <c r="A1101" s="1655" t="s">
        <v>76</v>
      </c>
      <c r="B1101" s="1655" t="s">
        <v>976</v>
      </c>
      <c r="C1101" s="1656">
        <v>0</v>
      </c>
      <c r="D1101" s="1655" t="s">
        <v>42</v>
      </c>
      <c r="E1101" s="1655" t="s">
        <v>571</v>
      </c>
      <c r="G1101" s="1655" t="s">
        <v>76</v>
      </c>
      <c r="H1101" s="1655" t="s">
        <v>976</v>
      </c>
      <c r="I1101" s="1656">
        <v>0</v>
      </c>
      <c r="J1101" s="1655" t="s">
        <v>42</v>
      </c>
      <c r="K1101" s="1655" t="s">
        <v>571</v>
      </c>
      <c r="M1101" s="1655" t="s">
        <v>76</v>
      </c>
      <c r="N1101" s="1655" t="s">
        <v>976</v>
      </c>
      <c r="O1101" s="1656">
        <v>0</v>
      </c>
      <c r="P1101" s="1655" t="s">
        <v>42</v>
      </c>
      <c r="Q1101" s="1655" t="s">
        <v>571</v>
      </c>
      <c r="S1101" s="1655" t="s">
        <v>76</v>
      </c>
      <c r="T1101" s="1655" t="s">
        <v>976</v>
      </c>
      <c r="U1101" s="1656">
        <v>0</v>
      </c>
      <c r="V1101" s="1655" t="s">
        <v>42</v>
      </c>
      <c r="W1101" s="1655" t="s">
        <v>571</v>
      </c>
    </row>
    <row r="1102" spans="1:23">
      <c r="A1102" s="1655" t="s">
        <v>76</v>
      </c>
      <c r="B1102" s="1655" t="s">
        <v>977</v>
      </c>
      <c r="C1102" s="1656" t="s">
        <v>570</v>
      </c>
      <c r="D1102" s="1655" t="s">
        <v>43</v>
      </c>
      <c r="E1102" s="1655" t="s">
        <v>572</v>
      </c>
      <c r="G1102" s="1655" t="s">
        <v>76</v>
      </c>
      <c r="H1102" s="1655" t="s">
        <v>977</v>
      </c>
      <c r="I1102" s="1656" t="s">
        <v>570</v>
      </c>
      <c r="J1102" s="1655" t="s">
        <v>43</v>
      </c>
      <c r="K1102" s="1655" t="s">
        <v>572</v>
      </c>
      <c r="M1102" s="1655" t="s">
        <v>76</v>
      </c>
      <c r="N1102" s="1655" t="s">
        <v>977</v>
      </c>
      <c r="O1102" s="1656" t="s">
        <v>570</v>
      </c>
      <c r="P1102" s="1655" t="s">
        <v>43</v>
      </c>
      <c r="Q1102" s="1655" t="s">
        <v>572</v>
      </c>
      <c r="S1102" s="1655" t="s">
        <v>76</v>
      </c>
      <c r="T1102" s="1655" t="s">
        <v>977</v>
      </c>
      <c r="U1102" s="1656" t="s">
        <v>570</v>
      </c>
      <c r="V1102" s="1655" t="s">
        <v>43</v>
      </c>
      <c r="W1102" s="1655" t="s">
        <v>572</v>
      </c>
    </row>
    <row r="1103" spans="1:23">
      <c r="A1103" s="1655" t="s">
        <v>76</v>
      </c>
      <c r="B1103" s="1655" t="s">
        <v>624</v>
      </c>
      <c r="C1103" s="1656" t="s">
        <v>570</v>
      </c>
      <c r="D1103" s="1655" t="s">
        <v>43</v>
      </c>
      <c r="E1103" s="1655" t="s">
        <v>572</v>
      </c>
      <c r="G1103" s="1655" t="s">
        <v>76</v>
      </c>
      <c r="H1103" s="1655" t="s">
        <v>624</v>
      </c>
      <c r="I1103" s="1656" t="s">
        <v>570</v>
      </c>
      <c r="J1103" s="1655" t="s">
        <v>43</v>
      </c>
      <c r="K1103" s="1655" t="s">
        <v>572</v>
      </c>
      <c r="M1103" s="1655" t="s">
        <v>76</v>
      </c>
      <c r="N1103" s="1655" t="s">
        <v>624</v>
      </c>
      <c r="O1103" s="1656" t="s">
        <v>570</v>
      </c>
      <c r="P1103" s="1655" t="s">
        <v>43</v>
      </c>
      <c r="Q1103" s="1655" t="s">
        <v>572</v>
      </c>
      <c r="S1103" s="1655" t="s">
        <v>76</v>
      </c>
      <c r="T1103" s="1655" t="s">
        <v>624</v>
      </c>
      <c r="U1103" s="1656" t="s">
        <v>570</v>
      </c>
      <c r="V1103" s="1655" t="s">
        <v>43</v>
      </c>
      <c r="W1103" s="1655" t="s">
        <v>572</v>
      </c>
    </row>
    <row r="1104" spans="1:23">
      <c r="A1104" s="1655" t="s">
        <v>76</v>
      </c>
      <c r="B1104" s="1655" t="s">
        <v>978</v>
      </c>
      <c r="C1104" s="1656">
        <v>0</v>
      </c>
      <c r="D1104" s="1655" t="s">
        <v>42</v>
      </c>
      <c r="E1104" s="1655" t="s">
        <v>80</v>
      </c>
      <c r="G1104" s="1655" t="s">
        <v>76</v>
      </c>
      <c r="H1104" s="1655" t="s">
        <v>978</v>
      </c>
      <c r="I1104" s="1656">
        <v>0</v>
      </c>
      <c r="J1104" s="1655" t="s">
        <v>42</v>
      </c>
      <c r="K1104" s="1655" t="s">
        <v>80</v>
      </c>
      <c r="M1104" s="1655" t="s">
        <v>76</v>
      </c>
      <c r="N1104" s="1655" t="s">
        <v>978</v>
      </c>
      <c r="O1104" s="1656">
        <v>0</v>
      </c>
      <c r="P1104" s="1655" t="s">
        <v>42</v>
      </c>
      <c r="Q1104" s="1655" t="s">
        <v>80</v>
      </c>
      <c r="S1104" s="1655" t="s">
        <v>76</v>
      </c>
      <c r="T1104" s="1655" t="s">
        <v>978</v>
      </c>
      <c r="U1104" s="1656">
        <v>0</v>
      </c>
      <c r="V1104" s="1655" t="s">
        <v>42</v>
      </c>
      <c r="W1104" s="1655" t="s">
        <v>80</v>
      </c>
    </row>
    <row r="1105" spans="1:23">
      <c r="A1105" s="1655" t="s">
        <v>76</v>
      </c>
      <c r="B1105" s="1655" t="s">
        <v>979</v>
      </c>
      <c r="C1105" s="1656">
        <v>0</v>
      </c>
      <c r="D1105" s="1655" t="s">
        <v>42</v>
      </c>
      <c r="E1105" s="1655" t="s">
        <v>80</v>
      </c>
      <c r="G1105" s="1655" t="s">
        <v>76</v>
      </c>
      <c r="H1105" s="1655" t="s">
        <v>979</v>
      </c>
      <c r="I1105" s="1656">
        <v>0</v>
      </c>
      <c r="J1105" s="1655" t="s">
        <v>42</v>
      </c>
      <c r="K1105" s="1655" t="s">
        <v>80</v>
      </c>
      <c r="M1105" s="1655" t="s">
        <v>76</v>
      </c>
      <c r="N1105" s="1655" t="s">
        <v>979</v>
      </c>
      <c r="O1105" s="1656">
        <v>0</v>
      </c>
      <c r="P1105" s="1655" t="s">
        <v>42</v>
      </c>
      <c r="Q1105" s="1655" t="s">
        <v>80</v>
      </c>
      <c r="S1105" s="1655" t="s">
        <v>76</v>
      </c>
      <c r="T1105" s="1655" t="s">
        <v>979</v>
      </c>
      <c r="U1105" s="1656">
        <v>0</v>
      </c>
      <c r="V1105" s="1655" t="s">
        <v>42</v>
      </c>
      <c r="W1105" s="1655" t="s">
        <v>80</v>
      </c>
    </row>
    <row r="1106" spans="1:23">
      <c r="A1106" s="1655" t="s">
        <v>76</v>
      </c>
      <c r="B1106" s="1655" t="s">
        <v>2196</v>
      </c>
      <c r="C1106" s="1656">
        <v>0</v>
      </c>
      <c r="D1106" s="1655" t="s">
        <v>42</v>
      </c>
      <c r="E1106" s="1655" t="s">
        <v>80</v>
      </c>
      <c r="G1106" s="1655" t="s">
        <v>76</v>
      </c>
      <c r="H1106" s="1655" t="s">
        <v>2196</v>
      </c>
      <c r="I1106" s="1656">
        <v>0</v>
      </c>
      <c r="J1106" s="1655" t="s">
        <v>42</v>
      </c>
      <c r="K1106" s="1655" t="s">
        <v>80</v>
      </c>
      <c r="M1106" s="1655" t="s">
        <v>76</v>
      </c>
      <c r="N1106" s="1655" t="s">
        <v>2196</v>
      </c>
      <c r="O1106" s="1656">
        <v>0</v>
      </c>
      <c r="P1106" s="1655" t="s">
        <v>42</v>
      </c>
      <c r="Q1106" s="1655" t="s">
        <v>80</v>
      </c>
      <c r="S1106" s="1655" t="s">
        <v>76</v>
      </c>
      <c r="T1106" s="1655" t="s">
        <v>2196</v>
      </c>
      <c r="U1106" s="1656">
        <v>0</v>
      </c>
      <c r="V1106" s="1655" t="s">
        <v>42</v>
      </c>
      <c r="W1106" s="1655" t="s">
        <v>80</v>
      </c>
    </row>
    <row r="1107" spans="1:23">
      <c r="A1107" s="1655" t="s">
        <v>76</v>
      </c>
      <c r="B1107" s="1655" t="s">
        <v>645</v>
      </c>
      <c r="C1107" s="1656">
        <v>0</v>
      </c>
      <c r="D1107" s="1655" t="s">
        <v>42</v>
      </c>
      <c r="E1107" s="1655" t="s">
        <v>571</v>
      </c>
      <c r="G1107" s="1655" t="s">
        <v>76</v>
      </c>
      <c r="H1107" s="1655" t="s">
        <v>645</v>
      </c>
      <c r="I1107" s="1656">
        <v>0</v>
      </c>
      <c r="J1107" s="1655" t="s">
        <v>42</v>
      </c>
      <c r="K1107" s="1655" t="s">
        <v>571</v>
      </c>
      <c r="M1107" s="1655" t="s">
        <v>76</v>
      </c>
      <c r="N1107" s="1655" t="s">
        <v>645</v>
      </c>
      <c r="O1107" s="1656">
        <v>0</v>
      </c>
      <c r="P1107" s="1655" t="s">
        <v>42</v>
      </c>
      <c r="Q1107" s="1655" t="s">
        <v>571</v>
      </c>
      <c r="S1107" s="1655" t="s">
        <v>76</v>
      </c>
      <c r="T1107" s="1655" t="s">
        <v>645</v>
      </c>
      <c r="U1107" s="1656">
        <v>0</v>
      </c>
      <c r="V1107" s="1655" t="s">
        <v>42</v>
      </c>
      <c r="W1107" s="1655" t="s">
        <v>571</v>
      </c>
    </row>
    <row r="1108" spans="1:23">
      <c r="A1108" s="1655" t="s">
        <v>76</v>
      </c>
      <c r="B1108" s="1655" t="s">
        <v>646</v>
      </c>
      <c r="C1108" s="1656">
        <v>0</v>
      </c>
      <c r="D1108" s="1655" t="s">
        <v>42</v>
      </c>
      <c r="E1108" s="1655" t="s">
        <v>571</v>
      </c>
      <c r="G1108" s="1655" t="s">
        <v>76</v>
      </c>
      <c r="H1108" s="1655" t="s">
        <v>646</v>
      </c>
      <c r="I1108" s="1656">
        <v>0</v>
      </c>
      <c r="J1108" s="1655" t="s">
        <v>42</v>
      </c>
      <c r="K1108" s="1655" t="s">
        <v>571</v>
      </c>
      <c r="M1108" s="1655" t="s">
        <v>76</v>
      </c>
      <c r="N1108" s="1655" t="s">
        <v>646</v>
      </c>
      <c r="O1108" s="1656">
        <v>0</v>
      </c>
      <c r="P1108" s="1655" t="s">
        <v>42</v>
      </c>
      <c r="Q1108" s="1655" t="s">
        <v>571</v>
      </c>
      <c r="S1108" s="1655" t="s">
        <v>76</v>
      </c>
      <c r="T1108" s="1655" t="s">
        <v>646</v>
      </c>
      <c r="U1108" s="1656">
        <v>25000</v>
      </c>
      <c r="V1108" s="1655" t="s">
        <v>42</v>
      </c>
      <c r="W1108" s="1655" t="s">
        <v>571</v>
      </c>
    </row>
    <row r="1109" spans="1:23">
      <c r="A1109" s="1655" t="s">
        <v>76</v>
      </c>
      <c r="B1109" s="1655" t="s">
        <v>647</v>
      </c>
      <c r="C1109" s="1656">
        <v>0</v>
      </c>
      <c r="D1109" s="1655" t="s">
        <v>42</v>
      </c>
      <c r="E1109" s="1655" t="s">
        <v>571</v>
      </c>
      <c r="G1109" s="1655" t="s">
        <v>76</v>
      </c>
      <c r="H1109" s="1655" t="s">
        <v>647</v>
      </c>
      <c r="I1109" s="1656">
        <v>0</v>
      </c>
      <c r="J1109" s="1655" t="s">
        <v>42</v>
      </c>
      <c r="K1109" s="1655" t="s">
        <v>571</v>
      </c>
      <c r="M1109" s="1655" t="s">
        <v>76</v>
      </c>
      <c r="N1109" s="1655" t="s">
        <v>647</v>
      </c>
      <c r="O1109" s="1656">
        <v>0</v>
      </c>
      <c r="P1109" s="1655" t="s">
        <v>42</v>
      </c>
      <c r="Q1109" s="1655" t="s">
        <v>571</v>
      </c>
      <c r="S1109" s="1655" t="s">
        <v>76</v>
      </c>
      <c r="T1109" s="1655" t="s">
        <v>647</v>
      </c>
      <c r="U1109" s="1656">
        <v>0</v>
      </c>
      <c r="V1109" s="1655" t="s">
        <v>42</v>
      </c>
      <c r="W1109" s="1655" t="s">
        <v>571</v>
      </c>
    </row>
    <row r="1110" spans="1:23">
      <c r="A1110" s="1655" t="s">
        <v>76</v>
      </c>
      <c r="B1110" s="1655" t="s">
        <v>648</v>
      </c>
      <c r="C1110" s="1656">
        <v>0</v>
      </c>
      <c r="D1110" s="1655" t="s">
        <v>42</v>
      </c>
      <c r="E1110" s="1655" t="s">
        <v>571</v>
      </c>
      <c r="G1110" s="1655" t="s">
        <v>76</v>
      </c>
      <c r="H1110" s="1655" t="s">
        <v>648</v>
      </c>
      <c r="I1110" s="1656">
        <v>0</v>
      </c>
      <c r="J1110" s="1655" t="s">
        <v>42</v>
      </c>
      <c r="K1110" s="1655" t="s">
        <v>571</v>
      </c>
      <c r="M1110" s="1655" t="s">
        <v>76</v>
      </c>
      <c r="N1110" s="1655" t="s">
        <v>648</v>
      </c>
      <c r="O1110" s="1656">
        <v>0</v>
      </c>
      <c r="P1110" s="1655" t="s">
        <v>42</v>
      </c>
      <c r="Q1110" s="1655" t="s">
        <v>571</v>
      </c>
      <c r="S1110" s="1655" t="s">
        <v>76</v>
      </c>
      <c r="T1110" s="1655" t="s">
        <v>648</v>
      </c>
      <c r="U1110" s="1656">
        <v>0</v>
      </c>
      <c r="V1110" s="1655" t="s">
        <v>42</v>
      </c>
      <c r="W1110" s="1655" t="s">
        <v>571</v>
      </c>
    </row>
    <row r="1111" spans="1:23">
      <c r="A1111" s="1655" t="s">
        <v>76</v>
      </c>
      <c r="B1111" s="1655" t="s">
        <v>1141</v>
      </c>
      <c r="C1111" s="1656">
        <v>0</v>
      </c>
      <c r="D1111" s="1655" t="s">
        <v>42</v>
      </c>
      <c r="E1111" s="1655" t="s">
        <v>571</v>
      </c>
      <c r="G1111" s="1655" t="s">
        <v>76</v>
      </c>
      <c r="H1111" s="1655" t="s">
        <v>1141</v>
      </c>
      <c r="I1111" s="1656">
        <v>0</v>
      </c>
      <c r="J1111" s="1655" t="s">
        <v>42</v>
      </c>
      <c r="K1111" s="1655" t="s">
        <v>571</v>
      </c>
      <c r="M1111" s="1655" t="s">
        <v>76</v>
      </c>
      <c r="N1111" s="1655" t="s">
        <v>1141</v>
      </c>
      <c r="O1111" s="1656">
        <v>0</v>
      </c>
      <c r="P1111" s="1655" t="s">
        <v>42</v>
      </c>
      <c r="Q1111" s="1655" t="s">
        <v>571</v>
      </c>
      <c r="S1111" s="1655" t="s">
        <v>76</v>
      </c>
      <c r="T1111" s="1655" t="s">
        <v>1141</v>
      </c>
      <c r="U1111" s="1656">
        <v>0</v>
      </c>
      <c r="V1111" s="1655" t="s">
        <v>42</v>
      </c>
      <c r="W1111" s="1655" t="s">
        <v>571</v>
      </c>
    </row>
    <row r="1112" spans="1:23">
      <c r="A1112" s="1655" t="s">
        <v>76</v>
      </c>
      <c r="B1112" s="1655" t="s">
        <v>1142</v>
      </c>
      <c r="C1112" s="1656">
        <v>0</v>
      </c>
      <c r="D1112" s="1655" t="s">
        <v>42</v>
      </c>
      <c r="E1112" s="1655" t="s">
        <v>571</v>
      </c>
      <c r="G1112" s="1655" t="s">
        <v>76</v>
      </c>
      <c r="H1112" s="1655" t="s">
        <v>1142</v>
      </c>
      <c r="I1112" s="1656">
        <v>0</v>
      </c>
      <c r="J1112" s="1655" t="s">
        <v>42</v>
      </c>
      <c r="K1112" s="1655" t="s">
        <v>571</v>
      </c>
      <c r="M1112" s="1655" t="s">
        <v>76</v>
      </c>
      <c r="N1112" s="1655" t="s">
        <v>1142</v>
      </c>
      <c r="O1112" s="1656">
        <v>0</v>
      </c>
      <c r="P1112" s="1655" t="s">
        <v>42</v>
      </c>
      <c r="Q1112" s="1655" t="s">
        <v>571</v>
      </c>
      <c r="S1112" s="1655" t="s">
        <v>76</v>
      </c>
      <c r="T1112" s="1655" t="s">
        <v>1142</v>
      </c>
      <c r="U1112" s="1656">
        <v>0</v>
      </c>
      <c r="V1112" s="1655" t="s">
        <v>42</v>
      </c>
      <c r="W1112" s="1655" t="s">
        <v>571</v>
      </c>
    </row>
    <row r="1113" spans="1:23">
      <c r="A1113" s="1655" t="s">
        <v>76</v>
      </c>
      <c r="B1113" s="1655" t="s">
        <v>1143</v>
      </c>
      <c r="C1113" s="1656">
        <v>0</v>
      </c>
      <c r="D1113" s="1655" t="s">
        <v>42</v>
      </c>
      <c r="E1113" s="1655" t="s">
        <v>571</v>
      </c>
      <c r="G1113" s="1655" t="s">
        <v>76</v>
      </c>
      <c r="H1113" s="1655" t="s">
        <v>1143</v>
      </c>
      <c r="I1113" s="1656">
        <v>0</v>
      </c>
      <c r="J1113" s="1655" t="s">
        <v>42</v>
      </c>
      <c r="K1113" s="1655" t="s">
        <v>571</v>
      </c>
      <c r="M1113" s="1655" t="s">
        <v>76</v>
      </c>
      <c r="N1113" s="1655" t="s">
        <v>1143</v>
      </c>
      <c r="O1113" s="1656">
        <v>0</v>
      </c>
      <c r="P1113" s="1655" t="s">
        <v>42</v>
      </c>
      <c r="Q1113" s="1655" t="s">
        <v>571</v>
      </c>
      <c r="S1113" s="1655" t="s">
        <v>76</v>
      </c>
      <c r="T1113" s="1655" t="s">
        <v>1143</v>
      </c>
      <c r="U1113" s="1656">
        <v>0</v>
      </c>
      <c r="V1113" s="1655" t="s">
        <v>42</v>
      </c>
      <c r="W1113" s="1655" t="s">
        <v>571</v>
      </c>
    </row>
    <row r="1114" spans="1:23">
      <c r="A1114" s="1655" t="s">
        <v>76</v>
      </c>
      <c r="B1114" s="1655" t="s">
        <v>649</v>
      </c>
      <c r="C1114" s="1656">
        <v>0</v>
      </c>
      <c r="D1114" s="1655" t="s">
        <v>42</v>
      </c>
      <c r="E1114" s="1655" t="s">
        <v>571</v>
      </c>
      <c r="G1114" s="1655" t="s">
        <v>76</v>
      </c>
      <c r="H1114" s="1655" t="s">
        <v>649</v>
      </c>
      <c r="I1114" s="1656">
        <v>0</v>
      </c>
      <c r="J1114" s="1655" t="s">
        <v>42</v>
      </c>
      <c r="K1114" s="1655" t="s">
        <v>571</v>
      </c>
      <c r="M1114" s="1655" t="s">
        <v>76</v>
      </c>
      <c r="N1114" s="1655" t="s">
        <v>649</v>
      </c>
      <c r="O1114" s="1656">
        <v>0</v>
      </c>
      <c r="P1114" s="1655" t="s">
        <v>42</v>
      </c>
      <c r="Q1114" s="1655" t="s">
        <v>571</v>
      </c>
      <c r="S1114" s="1655" t="s">
        <v>76</v>
      </c>
      <c r="T1114" s="1655" t="s">
        <v>649</v>
      </c>
      <c r="U1114" s="1656">
        <v>0</v>
      </c>
      <c r="V1114" s="1655" t="s">
        <v>42</v>
      </c>
      <c r="W1114" s="1655" t="s">
        <v>571</v>
      </c>
    </row>
    <row r="1115" spans="1:23">
      <c r="A1115" s="1655" t="s">
        <v>76</v>
      </c>
      <c r="B1115" s="1655" t="s">
        <v>650</v>
      </c>
      <c r="C1115" s="1656">
        <v>0</v>
      </c>
      <c r="D1115" s="1655" t="s">
        <v>42</v>
      </c>
      <c r="E1115" s="1655" t="s">
        <v>571</v>
      </c>
      <c r="G1115" s="1655" t="s">
        <v>76</v>
      </c>
      <c r="H1115" s="1655" t="s">
        <v>650</v>
      </c>
      <c r="I1115" s="1656">
        <v>0</v>
      </c>
      <c r="J1115" s="1655" t="s">
        <v>42</v>
      </c>
      <c r="K1115" s="1655" t="s">
        <v>571</v>
      </c>
      <c r="M1115" s="1655" t="s">
        <v>76</v>
      </c>
      <c r="N1115" s="1655" t="s">
        <v>650</v>
      </c>
      <c r="O1115" s="1656">
        <v>0</v>
      </c>
      <c r="P1115" s="1655" t="s">
        <v>42</v>
      </c>
      <c r="Q1115" s="1655" t="s">
        <v>571</v>
      </c>
      <c r="S1115" s="1655" t="s">
        <v>76</v>
      </c>
      <c r="T1115" s="1655" t="s">
        <v>650</v>
      </c>
      <c r="U1115" s="1656">
        <v>0</v>
      </c>
      <c r="V1115" s="1655" t="s">
        <v>42</v>
      </c>
      <c r="W1115" s="1655" t="s">
        <v>571</v>
      </c>
    </row>
    <row r="1116" spans="1:23">
      <c r="A1116" s="1655" t="s">
        <v>76</v>
      </c>
      <c r="B1116" s="1655" t="s">
        <v>651</v>
      </c>
      <c r="C1116" s="1656">
        <v>0</v>
      </c>
      <c r="D1116" s="1655" t="s">
        <v>42</v>
      </c>
      <c r="E1116" s="1655" t="s">
        <v>571</v>
      </c>
      <c r="G1116" s="1655" t="s">
        <v>76</v>
      </c>
      <c r="H1116" s="1655" t="s">
        <v>651</v>
      </c>
      <c r="I1116" s="1656">
        <v>0</v>
      </c>
      <c r="J1116" s="1655" t="s">
        <v>42</v>
      </c>
      <c r="K1116" s="1655" t="s">
        <v>571</v>
      </c>
      <c r="M1116" s="1655" t="s">
        <v>76</v>
      </c>
      <c r="N1116" s="1655" t="s">
        <v>651</v>
      </c>
      <c r="O1116" s="1656">
        <v>0</v>
      </c>
      <c r="P1116" s="1655" t="s">
        <v>42</v>
      </c>
      <c r="Q1116" s="1655" t="s">
        <v>571</v>
      </c>
      <c r="S1116" s="1655" t="s">
        <v>76</v>
      </c>
      <c r="T1116" s="1655" t="s">
        <v>651</v>
      </c>
      <c r="U1116" s="1656">
        <v>0</v>
      </c>
      <c r="V1116" s="1655" t="s">
        <v>42</v>
      </c>
      <c r="W1116" s="1655" t="s">
        <v>571</v>
      </c>
    </row>
    <row r="1117" spans="1:23">
      <c r="A1117" s="1655" t="s">
        <v>76</v>
      </c>
      <c r="B1117" s="1655" t="s">
        <v>652</v>
      </c>
      <c r="C1117" s="1656">
        <v>0</v>
      </c>
      <c r="D1117" s="1655" t="s">
        <v>42</v>
      </c>
      <c r="E1117" s="1655" t="s">
        <v>571</v>
      </c>
      <c r="G1117" s="1655" t="s">
        <v>76</v>
      </c>
      <c r="H1117" s="1655" t="s">
        <v>652</v>
      </c>
      <c r="I1117" s="1656">
        <v>0</v>
      </c>
      <c r="J1117" s="1655" t="s">
        <v>42</v>
      </c>
      <c r="K1117" s="1655" t="s">
        <v>571</v>
      </c>
      <c r="M1117" s="1655" t="s">
        <v>76</v>
      </c>
      <c r="N1117" s="1655" t="s">
        <v>652</v>
      </c>
      <c r="O1117" s="1656">
        <v>0</v>
      </c>
      <c r="P1117" s="1655" t="s">
        <v>42</v>
      </c>
      <c r="Q1117" s="1655" t="s">
        <v>571</v>
      </c>
      <c r="S1117" s="1655" t="s">
        <v>76</v>
      </c>
      <c r="T1117" s="1655" t="s">
        <v>652</v>
      </c>
      <c r="U1117" s="1656">
        <v>0</v>
      </c>
      <c r="V1117" s="1655" t="s">
        <v>42</v>
      </c>
      <c r="W1117" s="1655" t="s">
        <v>571</v>
      </c>
    </row>
    <row r="1118" spans="1:23">
      <c r="A1118" s="1655" t="s">
        <v>76</v>
      </c>
      <c r="B1118" s="1655" t="s">
        <v>653</v>
      </c>
      <c r="C1118" s="1656">
        <v>0</v>
      </c>
      <c r="D1118" s="1655" t="s">
        <v>42</v>
      </c>
      <c r="E1118" s="1655" t="s">
        <v>571</v>
      </c>
      <c r="G1118" s="1655" t="s">
        <v>76</v>
      </c>
      <c r="H1118" s="1655" t="s">
        <v>653</v>
      </c>
      <c r="I1118" s="1656">
        <v>0</v>
      </c>
      <c r="J1118" s="1655" t="s">
        <v>42</v>
      </c>
      <c r="K1118" s="1655" t="s">
        <v>571</v>
      </c>
      <c r="M1118" s="1655" t="s">
        <v>76</v>
      </c>
      <c r="N1118" s="1655" t="s">
        <v>653</v>
      </c>
      <c r="O1118" s="1656">
        <v>0</v>
      </c>
      <c r="P1118" s="1655" t="s">
        <v>42</v>
      </c>
      <c r="Q1118" s="1655" t="s">
        <v>571</v>
      </c>
      <c r="S1118" s="1655" t="s">
        <v>76</v>
      </c>
      <c r="T1118" s="1655" t="s">
        <v>653</v>
      </c>
      <c r="U1118" s="1656">
        <v>0</v>
      </c>
      <c r="V1118" s="1655" t="s">
        <v>42</v>
      </c>
      <c r="W1118" s="1655" t="s">
        <v>571</v>
      </c>
    </row>
    <row r="1119" spans="1:23">
      <c r="A1119" s="1655" t="s">
        <v>76</v>
      </c>
      <c r="B1119" s="1655" t="s">
        <v>654</v>
      </c>
      <c r="C1119" s="1656">
        <v>0</v>
      </c>
      <c r="D1119" s="1655" t="s">
        <v>42</v>
      </c>
      <c r="E1119" s="1655" t="s">
        <v>571</v>
      </c>
      <c r="G1119" s="1655" t="s">
        <v>76</v>
      </c>
      <c r="H1119" s="1655" t="s">
        <v>654</v>
      </c>
      <c r="I1119" s="1656">
        <v>0</v>
      </c>
      <c r="J1119" s="1655" t="s">
        <v>42</v>
      </c>
      <c r="K1119" s="1655" t="s">
        <v>571</v>
      </c>
      <c r="M1119" s="1655" t="s">
        <v>76</v>
      </c>
      <c r="N1119" s="1655" t="s">
        <v>654</v>
      </c>
      <c r="O1119" s="1656">
        <v>0</v>
      </c>
      <c r="P1119" s="1655" t="s">
        <v>42</v>
      </c>
      <c r="Q1119" s="1655" t="s">
        <v>571</v>
      </c>
      <c r="S1119" s="1655" t="s">
        <v>76</v>
      </c>
      <c r="T1119" s="1655" t="s">
        <v>654</v>
      </c>
      <c r="U1119" s="1656">
        <v>0</v>
      </c>
      <c r="V1119" s="1655" t="s">
        <v>42</v>
      </c>
      <c r="W1119" s="1655" t="s">
        <v>571</v>
      </c>
    </row>
    <row r="1120" spans="1:23">
      <c r="A1120" s="1655" t="s">
        <v>76</v>
      </c>
      <c r="B1120" s="1655" t="s">
        <v>655</v>
      </c>
      <c r="C1120" s="1656">
        <v>0</v>
      </c>
      <c r="D1120" s="1655" t="s">
        <v>42</v>
      </c>
      <c r="E1120" s="1655" t="s">
        <v>571</v>
      </c>
      <c r="G1120" s="1655" t="s">
        <v>76</v>
      </c>
      <c r="H1120" s="1655" t="s">
        <v>655</v>
      </c>
      <c r="I1120" s="1656">
        <v>0</v>
      </c>
      <c r="J1120" s="1655" t="s">
        <v>42</v>
      </c>
      <c r="K1120" s="1655" t="s">
        <v>571</v>
      </c>
      <c r="M1120" s="1655" t="s">
        <v>76</v>
      </c>
      <c r="N1120" s="1655" t="s">
        <v>655</v>
      </c>
      <c r="O1120" s="1656">
        <v>0</v>
      </c>
      <c r="P1120" s="1655" t="s">
        <v>42</v>
      </c>
      <c r="Q1120" s="1655" t="s">
        <v>571</v>
      </c>
      <c r="S1120" s="1655" t="s">
        <v>76</v>
      </c>
      <c r="T1120" s="1655" t="s">
        <v>655</v>
      </c>
      <c r="U1120" s="1656">
        <v>0</v>
      </c>
      <c r="V1120" s="1655" t="s">
        <v>42</v>
      </c>
      <c r="W1120" s="1655" t="s">
        <v>571</v>
      </c>
    </row>
    <row r="1121" spans="1:23">
      <c r="A1121" s="1655" t="s">
        <v>76</v>
      </c>
      <c r="B1121" s="1655" t="s">
        <v>656</v>
      </c>
      <c r="C1121" s="1656">
        <v>0</v>
      </c>
      <c r="D1121" s="1655" t="s">
        <v>42</v>
      </c>
      <c r="E1121" s="1655" t="s">
        <v>571</v>
      </c>
      <c r="G1121" s="1655" t="s">
        <v>76</v>
      </c>
      <c r="H1121" s="1655" t="s">
        <v>656</v>
      </c>
      <c r="I1121" s="1656">
        <v>0</v>
      </c>
      <c r="J1121" s="1655" t="s">
        <v>42</v>
      </c>
      <c r="K1121" s="1655" t="s">
        <v>571</v>
      </c>
      <c r="M1121" s="1655" t="s">
        <v>76</v>
      </c>
      <c r="N1121" s="1655" t="s">
        <v>656</v>
      </c>
      <c r="O1121" s="1656">
        <v>0</v>
      </c>
      <c r="P1121" s="1655" t="s">
        <v>42</v>
      </c>
      <c r="Q1121" s="1655" t="s">
        <v>571</v>
      </c>
      <c r="S1121" s="1655" t="s">
        <v>76</v>
      </c>
      <c r="T1121" s="1655" t="s">
        <v>656</v>
      </c>
      <c r="U1121" s="1656">
        <v>0</v>
      </c>
      <c r="V1121" s="1655" t="s">
        <v>42</v>
      </c>
      <c r="W1121" s="1655" t="s">
        <v>571</v>
      </c>
    </row>
    <row r="1122" spans="1:23">
      <c r="A1122" s="1655" t="s">
        <v>76</v>
      </c>
      <c r="B1122" s="1655" t="s">
        <v>657</v>
      </c>
      <c r="C1122" s="1656">
        <v>0</v>
      </c>
      <c r="D1122" s="1655" t="s">
        <v>42</v>
      </c>
      <c r="E1122" s="1655" t="s">
        <v>571</v>
      </c>
      <c r="G1122" s="1655" t="s">
        <v>76</v>
      </c>
      <c r="H1122" s="1655" t="s">
        <v>657</v>
      </c>
      <c r="I1122" s="1656">
        <v>0</v>
      </c>
      <c r="J1122" s="1655" t="s">
        <v>42</v>
      </c>
      <c r="K1122" s="1655" t="s">
        <v>571</v>
      </c>
      <c r="M1122" s="1655" t="s">
        <v>76</v>
      </c>
      <c r="N1122" s="1655" t="s">
        <v>657</v>
      </c>
      <c r="O1122" s="1656">
        <v>0</v>
      </c>
      <c r="P1122" s="1655" t="s">
        <v>42</v>
      </c>
      <c r="Q1122" s="1655" t="s">
        <v>571</v>
      </c>
      <c r="S1122" s="1655" t="s">
        <v>76</v>
      </c>
      <c r="T1122" s="1655" t="s">
        <v>657</v>
      </c>
      <c r="U1122" s="1656">
        <v>0</v>
      </c>
      <c r="V1122" s="1655" t="s">
        <v>42</v>
      </c>
      <c r="W1122" s="1655" t="s">
        <v>571</v>
      </c>
    </row>
    <row r="1123" spans="1:23">
      <c r="A1123" s="1655" t="s">
        <v>76</v>
      </c>
      <c r="B1123" s="1655" t="s">
        <v>658</v>
      </c>
      <c r="C1123" s="1656">
        <v>0</v>
      </c>
      <c r="D1123" s="1655" t="s">
        <v>42</v>
      </c>
      <c r="E1123" s="1655" t="s">
        <v>571</v>
      </c>
      <c r="G1123" s="1655" t="s">
        <v>76</v>
      </c>
      <c r="H1123" s="1655" t="s">
        <v>658</v>
      </c>
      <c r="I1123" s="1656">
        <v>0</v>
      </c>
      <c r="J1123" s="1655" t="s">
        <v>42</v>
      </c>
      <c r="K1123" s="1655" t="s">
        <v>571</v>
      </c>
      <c r="M1123" s="1655" t="s">
        <v>76</v>
      </c>
      <c r="N1123" s="1655" t="s">
        <v>658</v>
      </c>
      <c r="O1123" s="1656">
        <v>0</v>
      </c>
      <c r="P1123" s="1655" t="s">
        <v>42</v>
      </c>
      <c r="Q1123" s="1655" t="s">
        <v>571</v>
      </c>
      <c r="S1123" s="1655" t="s">
        <v>76</v>
      </c>
      <c r="T1123" s="1655" t="s">
        <v>658</v>
      </c>
      <c r="U1123" s="1656">
        <v>0</v>
      </c>
      <c r="V1123" s="1655" t="s">
        <v>42</v>
      </c>
      <c r="W1123" s="1655" t="s">
        <v>571</v>
      </c>
    </row>
    <row r="1124" spans="1:23">
      <c r="A1124" s="1655" t="s">
        <v>76</v>
      </c>
      <c r="B1124" s="1655" t="s">
        <v>659</v>
      </c>
      <c r="C1124" s="1656">
        <v>0</v>
      </c>
      <c r="D1124" s="1655" t="s">
        <v>42</v>
      </c>
      <c r="E1124" s="1655" t="s">
        <v>571</v>
      </c>
      <c r="G1124" s="1655" t="s">
        <v>76</v>
      </c>
      <c r="H1124" s="1655" t="s">
        <v>659</v>
      </c>
      <c r="I1124" s="1656">
        <v>0</v>
      </c>
      <c r="J1124" s="1655" t="s">
        <v>42</v>
      </c>
      <c r="K1124" s="1655" t="s">
        <v>571</v>
      </c>
      <c r="M1124" s="1655" t="s">
        <v>76</v>
      </c>
      <c r="N1124" s="1655" t="s">
        <v>659</v>
      </c>
      <c r="O1124" s="1656">
        <v>0</v>
      </c>
      <c r="P1124" s="1655" t="s">
        <v>42</v>
      </c>
      <c r="Q1124" s="1655" t="s">
        <v>571</v>
      </c>
      <c r="S1124" s="1655" t="s">
        <v>76</v>
      </c>
      <c r="T1124" s="1655" t="s">
        <v>659</v>
      </c>
      <c r="U1124" s="1656">
        <v>0</v>
      </c>
      <c r="V1124" s="1655" t="s">
        <v>42</v>
      </c>
      <c r="W1124" s="1655" t="s">
        <v>571</v>
      </c>
    </row>
    <row r="1125" spans="1:23">
      <c r="A1125" s="1655" t="s">
        <v>76</v>
      </c>
      <c r="B1125" s="1655" t="s">
        <v>660</v>
      </c>
      <c r="C1125" s="1656">
        <v>0</v>
      </c>
      <c r="D1125" s="1655" t="s">
        <v>42</v>
      </c>
      <c r="E1125" s="1655" t="s">
        <v>571</v>
      </c>
      <c r="G1125" s="1655" t="s">
        <v>76</v>
      </c>
      <c r="H1125" s="1655" t="s">
        <v>660</v>
      </c>
      <c r="I1125" s="1656">
        <v>0</v>
      </c>
      <c r="J1125" s="1655" t="s">
        <v>42</v>
      </c>
      <c r="K1125" s="1655" t="s">
        <v>571</v>
      </c>
      <c r="M1125" s="1655" t="s">
        <v>76</v>
      </c>
      <c r="N1125" s="1655" t="s">
        <v>660</v>
      </c>
      <c r="O1125" s="1656">
        <v>0</v>
      </c>
      <c r="P1125" s="1655" t="s">
        <v>42</v>
      </c>
      <c r="Q1125" s="1655" t="s">
        <v>571</v>
      </c>
      <c r="S1125" s="1655" t="s">
        <v>76</v>
      </c>
      <c r="T1125" s="1655" t="s">
        <v>660</v>
      </c>
      <c r="U1125" s="1656">
        <v>0</v>
      </c>
      <c r="V1125" s="1655" t="s">
        <v>42</v>
      </c>
      <c r="W1125" s="1655" t="s">
        <v>571</v>
      </c>
    </row>
    <row r="1126" spans="1:23">
      <c r="A1126" s="1655" t="s">
        <v>76</v>
      </c>
      <c r="B1126" s="1655" t="s">
        <v>1144</v>
      </c>
      <c r="C1126" s="1656">
        <v>0</v>
      </c>
      <c r="D1126" s="1655" t="s">
        <v>42</v>
      </c>
      <c r="E1126" s="1655" t="s">
        <v>571</v>
      </c>
      <c r="G1126" s="1655" t="s">
        <v>76</v>
      </c>
      <c r="H1126" s="1655" t="s">
        <v>1144</v>
      </c>
      <c r="I1126" s="1656">
        <v>0</v>
      </c>
      <c r="J1126" s="1655" t="s">
        <v>42</v>
      </c>
      <c r="K1126" s="1655" t="s">
        <v>571</v>
      </c>
      <c r="M1126" s="1655" t="s">
        <v>76</v>
      </c>
      <c r="N1126" s="1655" t="s">
        <v>1144</v>
      </c>
      <c r="O1126" s="1656">
        <v>0</v>
      </c>
      <c r="P1126" s="1655" t="s">
        <v>42</v>
      </c>
      <c r="Q1126" s="1655" t="s">
        <v>571</v>
      </c>
      <c r="S1126" s="1655" t="s">
        <v>76</v>
      </c>
      <c r="T1126" s="1655" t="s">
        <v>1144</v>
      </c>
      <c r="U1126" s="1656">
        <v>0</v>
      </c>
      <c r="V1126" s="1655" t="s">
        <v>42</v>
      </c>
      <c r="W1126" s="1655" t="s">
        <v>571</v>
      </c>
    </row>
    <row r="1127" spans="1:23">
      <c r="A1127" s="1655" t="s">
        <v>76</v>
      </c>
      <c r="B1127" s="1655" t="s">
        <v>1145</v>
      </c>
      <c r="C1127" s="1656">
        <v>0</v>
      </c>
      <c r="D1127" s="1655" t="s">
        <v>42</v>
      </c>
      <c r="E1127" s="1655" t="s">
        <v>571</v>
      </c>
      <c r="G1127" s="1655" t="s">
        <v>76</v>
      </c>
      <c r="H1127" s="1655" t="s">
        <v>1145</v>
      </c>
      <c r="I1127" s="1656">
        <v>0</v>
      </c>
      <c r="J1127" s="1655" t="s">
        <v>42</v>
      </c>
      <c r="K1127" s="1655" t="s">
        <v>571</v>
      </c>
      <c r="M1127" s="1655" t="s">
        <v>76</v>
      </c>
      <c r="N1127" s="1655" t="s">
        <v>1145</v>
      </c>
      <c r="O1127" s="1656">
        <v>0</v>
      </c>
      <c r="P1127" s="1655" t="s">
        <v>42</v>
      </c>
      <c r="Q1127" s="1655" t="s">
        <v>571</v>
      </c>
      <c r="S1127" s="1655" t="s">
        <v>76</v>
      </c>
      <c r="T1127" s="1655" t="s">
        <v>1145</v>
      </c>
      <c r="U1127" s="1656">
        <v>0</v>
      </c>
      <c r="V1127" s="1655" t="s">
        <v>42</v>
      </c>
      <c r="W1127" s="1655" t="s">
        <v>571</v>
      </c>
    </row>
    <row r="1128" spans="1:23">
      <c r="A1128" s="1655" t="s">
        <v>76</v>
      </c>
      <c r="B1128" s="1655" t="s">
        <v>1146</v>
      </c>
      <c r="C1128" s="1656">
        <v>0</v>
      </c>
      <c r="D1128" s="1655" t="s">
        <v>42</v>
      </c>
      <c r="E1128" s="1655" t="s">
        <v>571</v>
      </c>
      <c r="G1128" s="1655" t="s">
        <v>76</v>
      </c>
      <c r="H1128" s="1655" t="s">
        <v>1146</v>
      </c>
      <c r="I1128" s="1656">
        <v>0</v>
      </c>
      <c r="J1128" s="1655" t="s">
        <v>42</v>
      </c>
      <c r="K1128" s="1655" t="s">
        <v>571</v>
      </c>
      <c r="M1128" s="1655" t="s">
        <v>76</v>
      </c>
      <c r="N1128" s="1655" t="s">
        <v>1146</v>
      </c>
      <c r="O1128" s="1656">
        <v>0</v>
      </c>
      <c r="P1128" s="1655" t="s">
        <v>42</v>
      </c>
      <c r="Q1128" s="1655" t="s">
        <v>571</v>
      </c>
      <c r="S1128" s="1655" t="s">
        <v>76</v>
      </c>
      <c r="T1128" s="1655" t="s">
        <v>1146</v>
      </c>
      <c r="U1128" s="1656">
        <v>0</v>
      </c>
      <c r="V1128" s="1655" t="s">
        <v>42</v>
      </c>
      <c r="W1128" s="1655" t="s">
        <v>571</v>
      </c>
    </row>
    <row r="1129" spans="1:23">
      <c r="A1129" s="1655" t="s">
        <v>76</v>
      </c>
      <c r="B1129" s="1655" t="s">
        <v>1147</v>
      </c>
      <c r="C1129" s="1656">
        <v>0</v>
      </c>
      <c r="D1129" s="1655" t="s">
        <v>42</v>
      </c>
      <c r="E1129" s="1655" t="s">
        <v>571</v>
      </c>
      <c r="G1129" s="1655" t="s">
        <v>76</v>
      </c>
      <c r="H1129" s="1655" t="s">
        <v>1147</v>
      </c>
      <c r="I1129" s="1656">
        <v>0</v>
      </c>
      <c r="J1129" s="1655" t="s">
        <v>42</v>
      </c>
      <c r="K1129" s="1655" t="s">
        <v>571</v>
      </c>
      <c r="M1129" s="1655" t="s">
        <v>76</v>
      </c>
      <c r="N1129" s="1655" t="s">
        <v>1147</v>
      </c>
      <c r="O1129" s="1656">
        <v>0</v>
      </c>
      <c r="P1129" s="1655" t="s">
        <v>42</v>
      </c>
      <c r="Q1129" s="1655" t="s">
        <v>571</v>
      </c>
      <c r="S1129" s="1655" t="s">
        <v>76</v>
      </c>
      <c r="T1129" s="1655" t="s">
        <v>1147</v>
      </c>
      <c r="U1129" s="1656">
        <v>0</v>
      </c>
      <c r="V1129" s="1655" t="s">
        <v>42</v>
      </c>
      <c r="W1129" s="1655" t="s">
        <v>571</v>
      </c>
    </row>
    <row r="1130" spans="1:23">
      <c r="A1130" s="1655" t="s">
        <v>76</v>
      </c>
      <c r="B1130" s="1655" t="s">
        <v>1148</v>
      </c>
      <c r="C1130" s="1656">
        <v>0</v>
      </c>
      <c r="D1130" s="1655" t="s">
        <v>42</v>
      </c>
      <c r="E1130" s="1655" t="s">
        <v>571</v>
      </c>
      <c r="G1130" s="1655" t="s">
        <v>76</v>
      </c>
      <c r="H1130" s="1655" t="s">
        <v>1148</v>
      </c>
      <c r="I1130" s="1656">
        <v>0</v>
      </c>
      <c r="J1130" s="1655" t="s">
        <v>42</v>
      </c>
      <c r="K1130" s="1655" t="s">
        <v>571</v>
      </c>
      <c r="M1130" s="1655" t="s">
        <v>76</v>
      </c>
      <c r="N1130" s="1655" t="s">
        <v>1148</v>
      </c>
      <c r="O1130" s="1656">
        <v>0</v>
      </c>
      <c r="P1130" s="1655" t="s">
        <v>42</v>
      </c>
      <c r="Q1130" s="1655" t="s">
        <v>571</v>
      </c>
      <c r="S1130" s="1655" t="s">
        <v>76</v>
      </c>
      <c r="T1130" s="1655" t="s">
        <v>1148</v>
      </c>
      <c r="U1130" s="1656">
        <v>0</v>
      </c>
      <c r="V1130" s="1655" t="s">
        <v>42</v>
      </c>
      <c r="W1130" s="1655" t="s">
        <v>571</v>
      </c>
    </row>
    <row r="1131" spans="1:23">
      <c r="A1131" s="1655" t="s">
        <v>76</v>
      </c>
      <c r="B1131" s="1655" t="s">
        <v>661</v>
      </c>
      <c r="C1131" s="1656">
        <v>0</v>
      </c>
      <c r="D1131" s="1655" t="s">
        <v>42</v>
      </c>
      <c r="E1131" s="1655" t="s">
        <v>571</v>
      </c>
      <c r="G1131" s="1655" t="s">
        <v>76</v>
      </c>
      <c r="H1131" s="1655" t="s">
        <v>661</v>
      </c>
      <c r="I1131" s="1656">
        <v>0</v>
      </c>
      <c r="J1131" s="1655" t="s">
        <v>42</v>
      </c>
      <c r="K1131" s="1655" t="s">
        <v>571</v>
      </c>
      <c r="M1131" s="1655" t="s">
        <v>76</v>
      </c>
      <c r="N1131" s="1655" t="s">
        <v>661</v>
      </c>
      <c r="O1131" s="1656">
        <v>0</v>
      </c>
      <c r="P1131" s="1655" t="s">
        <v>42</v>
      </c>
      <c r="Q1131" s="1655" t="s">
        <v>571</v>
      </c>
      <c r="S1131" s="1655" t="s">
        <v>76</v>
      </c>
      <c r="T1131" s="1655" t="s">
        <v>661</v>
      </c>
      <c r="U1131" s="1656">
        <v>0</v>
      </c>
      <c r="V1131" s="1655" t="s">
        <v>42</v>
      </c>
      <c r="W1131" s="1655" t="s">
        <v>571</v>
      </c>
    </row>
    <row r="1132" spans="1:23">
      <c r="A1132" s="1655" t="s">
        <v>76</v>
      </c>
      <c r="B1132" s="1655" t="s">
        <v>662</v>
      </c>
      <c r="C1132" s="1656">
        <v>0</v>
      </c>
      <c r="D1132" s="1655" t="s">
        <v>42</v>
      </c>
      <c r="E1132" s="1655" t="s">
        <v>571</v>
      </c>
      <c r="G1132" s="1655" t="s">
        <v>76</v>
      </c>
      <c r="H1132" s="1655" t="s">
        <v>662</v>
      </c>
      <c r="I1132" s="1656">
        <v>0</v>
      </c>
      <c r="J1132" s="1655" t="s">
        <v>42</v>
      </c>
      <c r="K1132" s="1655" t="s">
        <v>571</v>
      </c>
      <c r="M1132" s="1655" t="s">
        <v>76</v>
      </c>
      <c r="N1132" s="1655" t="s">
        <v>662</v>
      </c>
      <c r="O1132" s="1656">
        <v>0</v>
      </c>
      <c r="P1132" s="1655" t="s">
        <v>42</v>
      </c>
      <c r="Q1132" s="1655" t="s">
        <v>571</v>
      </c>
      <c r="S1132" s="1655" t="s">
        <v>76</v>
      </c>
      <c r="T1132" s="1655" t="s">
        <v>662</v>
      </c>
      <c r="U1132" s="1656">
        <v>0</v>
      </c>
      <c r="V1132" s="1655" t="s">
        <v>42</v>
      </c>
      <c r="W1132" s="1655" t="s">
        <v>571</v>
      </c>
    </row>
    <row r="1133" spans="1:23">
      <c r="A1133" s="1655" t="s">
        <v>76</v>
      </c>
      <c r="B1133" s="1655" t="s">
        <v>663</v>
      </c>
      <c r="C1133" s="1656">
        <v>0</v>
      </c>
      <c r="D1133" s="1655" t="s">
        <v>42</v>
      </c>
      <c r="E1133" s="1655" t="s">
        <v>571</v>
      </c>
      <c r="G1133" s="1655" t="s">
        <v>76</v>
      </c>
      <c r="H1133" s="1655" t="s">
        <v>663</v>
      </c>
      <c r="I1133" s="1656">
        <v>0</v>
      </c>
      <c r="J1133" s="1655" t="s">
        <v>42</v>
      </c>
      <c r="K1133" s="1655" t="s">
        <v>571</v>
      </c>
      <c r="M1133" s="1655" t="s">
        <v>76</v>
      </c>
      <c r="N1133" s="1655" t="s">
        <v>663</v>
      </c>
      <c r="O1133" s="1656">
        <v>0</v>
      </c>
      <c r="P1133" s="1655" t="s">
        <v>42</v>
      </c>
      <c r="Q1133" s="1655" t="s">
        <v>571</v>
      </c>
      <c r="S1133" s="1655" t="s">
        <v>76</v>
      </c>
      <c r="T1133" s="1655" t="s">
        <v>663</v>
      </c>
      <c r="U1133" s="1656">
        <v>0</v>
      </c>
      <c r="V1133" s="1655" t="s">
        <v>42</v>
      </c>
      <c r="W1133" s="1655" t="s">
        <v>571</v>
      </c>
    </row>
    <row r="1134" spans="1:23">
      <c r="A1134" s="1655" t="s">
        <v>76</v>
      </c>
      <c r="B1134" s="1655" t="s">
        <v>1149</v>
      </c>
      <c r="C1134" s="1656">
        <v>0</v>
      </c>
      <c r="D1134" s="1655" t="s">
        <v>42</v>
      </c>
      <c r="E1134" s="1655" t="s">
        <v>571</v>
      </c>
      <c r="G1134" s="1655" t="s">
        <v>76</v>
      </c>
      <c r="H1134" s="1655" t="s">
        <v>1149</v>
      </c>
      <c r="I1134" s="1656">
        <v>0</v>
      </c>
      <c r="J1134" s="1655" t="s">
        <v>42</v>
      </c>
      <c r="K1134" s="1655" t="s">
        <v>571</v>
      </c>
      <c r="M1134" s="1655" t="s">
        <v>76</v>
      </c>
      <c r="N1134" s="1655" t="s">
        <v>1149</v>
      </c>
      <c r="O1134" s="1656">
        <v>0</v>
      </c>
      <c r="P1134" s="1655" t="s">
        <v>42</v>
      </c>
      <c r="Q1134" s="1655" t="s">
        <v>571</v>
      </c>
      <c r="S1134" s="1655" t="s">
        <v>76</v>
      </c>
      <c r="T1134" s="1655" t="s">
        <v>1149</v>
      </c>
      <c r="U1134" s="1656">
        <v>0</v>
      </c>
      <c r="V1134" s="1655" t="s">
        <v>42</v>
      </c>
      <c r="W1134" s="1655" t="s">
        <v>571</v>
      </c>
    </row>
    <row r="1135" spans="1:23">
      <c r="A1135" s="1655" t="s">
        <v>76</v>
      </c>
      <c r="B1135" s="1655" t="s">
        <v>1150</v>
      </c>
      <c r="C1135" s="1656">
        <v>0</v>
      </c>
      <c r="D1135" s="1655" t="s">
        <v>42</v>
      </c>
      <c r="E1135" s="1655" t="s">
        <v>571</v>
      </c>
      <c r="G1135" s="1655" t="s">
        <v>76</v>
      </c>
      <c r="H1135" s="1655" t="s">
        <v>1150</v>
      </c>
      <c r="I1135" s="1656">
        <v>0</v>
      </c>
      <c r="J1135" s="1655" t="s">
        <v>42</v>
      </c>
      <c r="K1135" s="1655" t="s">
        <v>571</v>
      </c>
      <c r="M1135" s="1655" t="s">
        <v>76</v>
      </c>
      <c r="N1135" s="1655" t="s">
        <v>1150</v>
      </c>
      <c r="O1135" s="1656">
        <v>0</v>
      </c>
      <c r="P1135" s="1655" t="s">
        <v>42</v>
      </c>
      <c r="Q1135" s="1655" t="s">
        <v>571</v>
      </c>
      <c r="S1135" s="1655" t="s">
        <v>76</v>
      </c>
      <c r="T1135" s="1655" t="s">
        <v>1150</v>
      </c>
      <c r="U1135" s="1656">
        <v>0</v>
      </c>
      <c r="V1135" s="1655" t="s">
        <v>42</v>
      </c>
      <c r="W1135" s="1655" t="s">
        <v>571</v>
      </c>
    </row>
    <row r="1136" spans="1:23">
      <c r="A1136" s="1655" t="s">
        <v>76</v>
      </c>
      <c r="B1136" s="1655" t="s">
        <v>1151</v>
      </c>
      <c r="C1136" s="1656">
        <v>0</v>
      </c>
      <c r="D1136" s="1655" t="s">
        <v>42</v>
      </c>
      <c r="E1136" s="1655" t="s">
        <v>571</v>
      </c>
      <c r="G1136" s="1655" t="s">
        <v>76</v>
      </c>
      <c r="H1136" s="1655" t="s">
        <v>1151</v>
      </c>
      <c r="I1136" s="1656">
        <v>0</v>
      </c>
      <c r="J1136" s="1655" t="s">
        <v>42</v>
      </c>
      <c r="K1136" s="1655" t="s">
        <v>571</v>
      </c>
      <c r="M1136" s="1655" t="s">
        <v>76</v>
      </c>
      <c r="N1136" s="1655" t="s">
        <v>1151</v>
      </c>
      <c r="O1136" s="1656">
        <v>0</v>
      </c>
      <c r="P1136" s="1655" t="s">
        <v>42</v>
      </c>
      <c r="Q1136" s="1655" t="s">
        <v>571</v>
      </c>
      <c r="S1136" s="1655" t="s">
        <v>76</v>
      </c>
      <c r="T1136" s="1655" t="s">
        <v>1151</v>
      </c>
      <c r="U1136" s="1656">
        <v>0</v>
      </c>
      <c r="V1136" s="1655" t="s">
        <v>42</v>
      </c>
      <c r="W1136" s="1655" t="s">
        <v>571</v>
      </c>
    </row>
    <row r="1137" spans="1:23">
      <c r="A1137" s="1655" t="s">
        <v>76</v>
      </c>
      <c r="B1137" s="1655" t="s">
        <v>664</v>
      </c>
      <c r="C1137" s="1656">
        <v>0</v>
      </c>
      <c r="D1137" s="1655" t="s">
        <v>42</v>
      </c>
      <c r="E1137" s="1655" t="s">
        <v>571</v>
      </c>
      <c r="G1137" s="1655" t="s">
        <v>76</v>
      </c>
      <c r="H1137" s="1655" t="s">
        <v>664</v>
      </c>
      <c r="I1137" s="1656">
        <v>0</v>
      </c>
      <c r="J1137" s="1655" t="s">
        <v>42</v>
      </c>
      <c r="K1137" s="1655" t="s">
        <v>571</v>
      </c>
      <c r="M1137" s="1655" t="s">
        <v>76</v>
      </c>
      <c r="N1137" s="1655" t="s">
        <v>664</v>
      </c>
      <c r="O1137" s="1656">
        <v>0</v>
      </c>
      <c r="P1137" s="1655" t="s">
        <v>42</v>
      </c>
      <c r="Q1137" s="1655" t="s">
        <v>571</v>
      </c>
      <c r="S1137" s="1655" t="s">
        <v>76</v>
      </c>
      <c r="T1137" s="1655" t="s">
        <v>664</v>
      </c>
      <c r="U1137" s="1656">
        <v>0</v>
      </c>
      <c r="V1137" s="1655" t="s">
        <v>42</v>
      </c>
      <c r="W1137" s="1655" t="s">
        <v>571</v>
      </c>
    </row>
    <row r="1138" spans="1:23">
      <c r="A1138" s="1655" t="s">
        <v>76</v>
      </c>
      <c r="B1138" s="1655" t="s">
        <v>665</v>
      </c>
      <c r="C1138" s="1656">
        <v>0</v>
      </c>
      <c r="D1138" s="1655" t="s">
        <v>42</v>
      </c>
      <c r="E1138" s="1655" t="s">
        <v>571</v>
      </c>
      <c r="G1138" s="1655" t="s">
        <v>76</v>
      </c>
      <c r="H1138" s="1655" t="s">
        <v>665</v>
      </c>
      <c r="I1138" s="1656">
        <v>0</v>
      </c>
      <c r="J1138" s="1655" t="s">
        <v>42</v>
      </c>
      <c r="K1138" s="1655" t="s">
        <v>571</v>
      </c>
      <c r="M1138" s="1655" t="s">
        <v>76</v>
      </c>
      <c r="N1138" s="1655" t="s">
        <v>665</v>
      </c>
      <c r="O1138" s="1656">
        <v>0</v>
      </c>
      <c r="P1138" s="1655" t="s">
        <v>42</v>
      </c>
      <c r="Q1138" s="1655" t="s">
        <v>571</v>
      </c>
      <c r="S1138" s="1655" t="s">
        <v>76</v>
      </c>
      <c r="T1138" s="1655" t="s">
        <v>665</v>
      </c>
      <c r="U1138" s="1656">
        <v>0</v>
      </c>
      <c r="V1138" s="1655" t="s">
        <v>42</v>
      </c>
      <c r="W1138" s="1655" t="s">
        <v>571</v>
      </c>
    </row>
    <row r="1139" spans="1:23">
      <c r="A1139" s="1655" t="s">
        <v>76</v>
      </c>
      <c r="B1139" s="1655" t="s">
        <v>1152</v>
      </c>
      <c r="C1139" s="1656">
        <v>0</v>
      </c>
      <c r="D1139" s="1655" t="s">
        <v>42</v>
      </c>
      <c r="E1139" s="1655" t="s">
        <v>571</v>
      </c>
      <c r="G1139" s="1655" t="s">
        <v>76</v>
      </c>
      <c r="H1139" s="1655" t="s">
        <v>1152</v>
      </c>
      <c r="I1139" s="1656">
        <v>0</v>
      </c>
      <c r="J1139" s="1655" t="s">
        <v>42</v>
      </c>
      <c r="K1139" s="1655" t="s">
        <v>571</v>
      </c>
      <c r="M1139" s="1655" t="s">
        <v>76</v>
      </c>
      <c r="N1139" s="1655" t="s">
        <v>1152</v>
      </c>
      <c r="O1139" s="1656">
        <v>0</v>
      </c>
      <c r="P1139" s="1655" t="s">
        <v>42</v>
      </c>
      <c r="Q1139" s="1655" t="s">
        <v>571</v>
      </c>
      <c r="S1139" s="1655" t="s">
        <v>76</v>
      </c>
      <c r="T1139" s="1655" t="s">
        <v>1152</v>
      </c>
      <c r="U1139" s="1656">
        <v>0</v>
      </c>
      <c r="V1139" s="1655" t="s">
        <v>42</v>
      </c>
      <c r="W1139" s="1655" t="s">
        <v>571</v>
      </c>
    </row>
    <row r="1140" spans="1:23">
      <c r="A1140" s="1655" t="s">
        <v>76</v>
      </c>
      <c r="B1140" s="1655" t="s">
        <v>1153</v>
      </c>
      <c r="C1140" s="1656">
        <v>0</v>
      </c>
      <c r="D1140" s="1655" t="s">
        <v>42</v>
      </c>
      <c r="E1140" s="1655" t="s">
        <v>571</v>
      </c>
      <c r="G1140" s="1655" t="s">
        <v>76</v>
      </c>
      <c r="H1140" s="1655" t="s">
        <v>1153</v>
      </c>
      <c r="I1140" s="1656">
        <v>0</v>
      </c>
      <c r="J1140" s="1655" t="s">
        <v>42</v>
      </c>
      <c r="K1140" s="1655" t="s">
        <v>571</v>
      </c>
      <c r="M1140" s="1655" t="s">
        <v>76</v>
      </c>
      <c r="N1140" s="1655" t="s">
        <v>1153</v>
      </c>
      <c r="O1140" s="1656">
        <v>0</v>
      </c>
      <c r="P1140" s="1655" t="s">
        <v>42</v>
      </c>
      <c r="Q1140" s="1655" t="s">
        <v>571</v>
      </c>
      <c r="S1140" s="1655" t="s">
        <v>76</v>
      </c>
      <c r="T1140" s="1655" t="s">
        <v>1153</v>
      </c>
      <c r="U1140" s="1656">
        <v>0</v>
      </c>
      <c r="V1140" s="1655" t="s">
        <v>42</v>
      </c>
      <c r="W1140" s="1655" t="s">
        <v>571</v>
      </c>
    </row>
    <row r="1141" spans="1:23">
      <c r="A1141" s="1655" t="s">
        <v>76</v>
      </c>
      <c r="B1141" s="1655" t="s">
        <v>1963</v>
      </c>
      <c r="C1141" s="1656">
        <v>0</v>
      </c>
      <c r="D1141" s="1655" t="s">
        <v>42</v>
      </c>
      <c r="E1141" s="1655" t="s">
        <v>571</v>
      </c>
      <c r="G1141" s="1655" t="s">
        <v>76</v>
      </c>
      <c r="H1141" s="1655" t="s">
        <v>1963</v>
      </c>
      <c r="I1141" s="1656">
        <v>0</v>
      </c>
      <c r="J1141" s="1655" t="s">
        <v>42</v>
      </c>
      <c r="K1141" s="1655" t="s">
        <v>571</v>
      </c>
      <c r="M1141" s="1655" t="s">
        <v>76</v>
      </c>
      <c r="N1141" s="1655" t="s">
        <v>1963</v>
      </c>
      <c r="O1141" s="1656">
        <v>0</v>
      </c>
      <c r="P1141" s="1655" t="s">
        <v>42</v>
      </c>
      <c r="Q1141" s="1655" t="s">
        <v>571</v>
      </c>
      <c r="S1141" s="1655" t="s">
        <v>76</v>
      </c>
      <c r="T1141" s="1655" t="s">
        <v>1963</v>
      </c>
      <c r="U1141" s="1656">
        <v>0</v>
      </c>
      <c r="V1141" s="1655" t="s">
        <v>42</v>
      </c>
      <c r="W1141" s="1655" t="s">
        <v>571</v>
      </c>
    </row>
    <row r="1142" spans="1:23">
      <c r="A1142" s="1655" t="s">
        <v>76</v>
      </c>
      <c r="B1142" s="1655" t="s">
        <v>1964</v>
      </c>
      <c r="C1142" s="1656">
        <v>0</v>
      </c>
      <c r="D1142" s="1655" t="s">
        <v>42</v>
      </c>
      <c r="E1142" s="1655" t="s">
        <v>571</v>
      </c>
      <c r="G1142" s="1655" t="s">
        <v>76</v>
      </c>
      <c r="H1142" s="1655" t="s">
        <v>1964</v>
      </c>
      <c r="I1142" s="1656">
        <v>0</v>
      </c>
      <c r="J1142" s="1655" t="s">
        <v>42</v>
      </c>
      <c r="K1142" s="1655" t="s">
        <v>571</v>
      </c>
      <c r="M1142" s="1655" t="s">
        <v>76</v>
      </c>
      <c r="N1142" s="1655" t="s">
        <v>1964</v>
      </c>
      <c r="O1142" s="1656">
        <v>0</v>
      </c>
      <c r="P1142" s="1655" t="s">
        <v>42</v>
      </c>
      <c r="Q1142" s="1655" t="s">
        <v>571</v>
      </c>
      <c r="S1142" s="1655" t="s">
        <v>76</v>
      </c>
      <c r="T1142" s="1655" t="s">
        <v>1964</v>
      </c>
      <c r="U1142" s="1656">
        <v>0</v>
      </c>
      <c r="V1142" s="1655" t="s">
        <v>42</v>
      </c>
      <c r="W1142" s="1655" t="s">
        <v>571</v>
      </c>
    </row>
    <row r="1143" spans="1:23">
      <c r="A1143" s="1655" t="s">
        <v>76</v>
      </c>
      <c r="B1143" s="1655" t="s">
        <v>1965</v>
      </c>
      <c r="C1143" s="1656">
        <v>0</v>
      </c>
      <c r="D1143" s="1655" t="s">
        <v>42</v>
      </c>
      <c r="E1143" s="1655" t="s">
        <v>571</v>
      </c>
      <c r="G1143" s="1655" t="s">
        <v>76</v>
      </c>
      <c r="H1143" s="1655" t="s">
        <v>1965</v>
      </c>
      <c r="I1143" s="1656">
        <v>0</v>
      </c>
      <c r="J1143" s="1655" t="s">
        <v>42</v>
      </c>
      <c r="K1143" s="1655" t="s">
        <v>571</v>
      </c>
      <c r="M1143" s="1655" t="s">
        <v>76</v>
      </c>
      <c r="N1143" s="1655" t="s">
        <v>1965</v>
      </c>
      <c r="O1143" s="1656">
        <v>0</v>
      </c>
      <c r="P1143" s="1655" t="s">
        <v>42</v>
      </c>
      <c r="Q1143" s="1655" t="s">
        <v>571</v>
      </c>
      <c r="S1143" s="1655" t="s">
        <v>76</v>
      </c>
      <c r="T1143" s="1655" t="s">
        <v>1965</v>
      </c>
      <c r="U1143" s="1656">
        <v>0</v>
      </c>
      <c r="V1143" s="1655" t="s">
        <v>42</v>
      </c>
      <c r="W1143" s="1655" t="s">
        <v>571</v>
      </c>
    </row>
    <row r="1144" spans="1:23">
      <c r="A1144" s="1655" t="s">
        <v>76</v>
      </c>
      <c r="B1144" s="1655" t="s">
        <v>1966</v>
      </c>
      <c r="C1144" s="1656">
        <v>0</v>
      </c>
      <c r="D1144" s="1655" t="s">
        <v>42</v>
      </c>
      <c r="E1144" s="1655" t="s">
        <v>571</v>
      </c>
      <c r="G1144" s="1655" t="s">
        <v>76</v>
      </c>
      <c r="H1144" s="1655" t="s">
        <v>1966</v>
      </c>
      <c r="I1144" s="1656">
        <v>0</v>
      </c>
      <c r="J1144" s="1655" t="s">
        <v>42</v>
      </c>
      <c r="K1144" s="1655" t="s">
        <v>571</v>
      </c>
      <c r="M1144" s="1655" t="s">
        <v>76</v>
      </c>
      <c r="N1144" s="1655" t="s">
        <v>1966</v>
      </c>
      <c r="O1144" s="1656">
        <v>0</v>
      </c>
      <c r="P1144" s="1655" t="s">
        <v>42</v>
      </c>
      <c r="Q1144" s="1655" t="s">
        <v>571</v>
      </c>
      <c r="S1144" s="1655" t="s">
        <v>76</v>
      </c>
      <c r="T1144" s="1655" t="s">
        <v>1966</v>
      </c>
      <c r="U1144" s="1656">
        <v>0</v>
      </c>
      <c r="V1144" s="1655" t="s">
        <v>42</v>
      </c>
      <c r="W1144" s="1655" t="s">
        <v>571</v>
      </c>
    </row>
    <row r="1145" spans="1:23">
      <c r="A1145" s="1655" t="s">
        <v>76</v>
      </c>
      <c r="B1145" s="1655" t="s">
        <v>1967</v>
      </c>
      <c r="C1145" s="1656">
        <v>0</v>
      </c>
      <c r="D1145" s="1655" t="s">
        <v>42</v>
      </c>
      <c r="E1145" s="1655" t="s">
        <v>571</v>
      </c>
      <c r="G1145" s="1655" t="s">
        <v>76</v>
      </c>
      <c r="H1145" s="1655" t="s">
        <v>1967</v>
      </c>
      <c r="I1145" s="1656">
        <v>0</v>
      </c>
      <c r="J1145" s="1655" t="s">
        <v>42</v>
      </c>
      <c r="K1145" s="1655" t="s">
        <v>571</v>
      </c>
      <c r="M1145" s="1655" t="s">
        <v>76</v>
      </c>
      <c r="N1145" s="1655" t="s">
        <v>1967</v>
      </c>
      <c r="O1145" s="1656">
        <v>0</v>
      </c>
      <c r="P1145" s="1655" t="s">
        <v>42</v>
      </c>
      <c r="Q1145" s="1655" t="s">
        <v>571</v>
      </c>
      <c r="S1145" s="1655" t="s">
        <v>76</v>
      </c>
      <c r="T1145" s="1655" t="s">
        <v>1967</v>
      </c>
      <c r="U1145" s="1656">
        <v>0</v>
      </c>
      <c r="V1145" s="1655" t="s">
        <v>42</v>
      </c>
      <c r="W1145" s="1655" t="s">
        <v>571</v>
      </c>
    </row>
    <row r="1146" spans="1:23">
      <c r="A1146" s="1655" t="s">
        <v>76</v>
      </c>
      <c r="B1146" s="1655" t="s">
        <v>1968</v>
      </c>
      <c r="C1146" s="1656">
        <v>0</v>
      </c>
      <c r="D1146" s="1655" t="s">
        <v>42</v>
      </c>
      <c r="E1146" s="1655" t="s">
        <v>571</v>
      </c>
      <c r="G1146" s="1655" t="s">
        <v>76</v>
      </c>
      <c r="H1146" s="1655" t="s">
        <v>1968</v>
      </c>
      <c r="I1146" s="1656">
        <v>0</v>
      </c>
      <c r="J1146" s="1655" t="s">
        <v>42</v>
      </c>
      <c r="K1146" s="1655" t="s">
        <v>571</v>
      </c>
      <c r="M1146" s="1655" t="s">
        <v>76</v>
      </c>
      <c r="N1146" s="1655" t="s">
        <v>1968</v>
      </c>
      <c r="O1146" s="1656">
        <v>0</v>
      </c>
      <c r="P1146" s="1655" t="s">
        <v>42</v>
      </c>
      <c r="Q1146" s="1655" t="s">
        <v>571</v>
      </c>
      <c r="S1146" s="1655" t="s">
        <v>76</v>
      </c>
      <c r="T1146" s="1655" t="s">
        <v>1968</v>
      </c>
      <c r="U1146" s="1656">
        <v>0</v>
      </c>
      <c r="V1146" s="1655" t="s">
        <v>42</v>
      </c>
      <c r="W1146" s="1655" t="s">
        <v>571</v>
      </c>
    </row>
    <row r="1147" spans="1:23">
      <c r="A1147" s="1655" t="s">
        <v>76</v>
      </c>
      <c r="B1147" s="1655" t="s">
        <v>1969</v>
      </c>
      <c r="C1147" s="1656">
        <v>0</v>
      </c>
      <c r="D1147" s="1655" t="s">
        <v>42</v>
      </c>
      <c r="E1147" s="1655" t="s">
        <v>571</v>
      </c>
      <c r="G1147" s="1655" t="s">
        <v>76</v>
      </c>
      <c r="H1147" s="1655" t="s">
        <v>1969</v>
      </c>
      <c r="I1147" s="1656">
        <v>0</v>
      </c>
      <c r="J1147" s="1655" t="s">
        <v>42</v>
      </c>
      <c r="K1147" s="1655" t="s">
        <v>571</v>
      </c>
      <c r="M1147" s="1655" t="s">
        <v>76</v>
      </c>
      <c r="N1147" s="1655" t="s">
        <v>1969</v>
      </c>
      <c r="O1147" s="1656">
        <v>0</v>
      </c>
      <c r="P1147" s="1655" t="s">
        <v>42</v>
      </c>
      <c r="Q1147" s="1655" t="s">
        <v>571</v>
      </c>
      <c r="S1147" s="1655" t="s">
        <v>76</v>
      </c>
      <c r="T1147" s="1655" t="s">
        <v>1969</v>
      </c>
      <c r="U1147" s="1656">
        <v>0</v>
      </c>
      <c r="V1147" s="1655" t="s">
        <v>42</v>
      </c>
      <c r="W1147" s="1655" t="s">
        <v>571</v>
      </c>
    </row>
    <row r="1148" spans="1:23">
      <c r="A1148" s="1655" t="s">
        <v>76</v>
      </c>
      <c r="B1148" s="1655" t="s">
        <v>1970</v>
      </c>
      <c r="C1148" s="1656">
        <v>0</v>
      </c>
      <c r="D1148" s="1655" t="s">
        <v>42</v>
      </c>
      <c r="E1148" s="1655" t="s">
        <v>571</v>
      </c>
      <c r="G1148" s="1655" t="s">
        <v>76</v>
      </c>
      <c r="H1148" s="1655" t="s">
        <v>1970</v>
      </c>
      <c r="I1148" s="1656">
        <v>0</v>
      </c>
      <c r="J1148" s="1655" t="s">
        <v>42</v>
      </c>
      <c r="K1148" s="1655" t="s">
        <v>571</v>
      </c>
      <c r="M1148" s="1655" t="s">
        <v>76</v>
      </c>
      <c r="N1148" s="1655" t="s">
        <v>1970</v>
      </c>
      <c r="O1148" s="1656">
        <v>0</v>
      </c>
      <c r="P1148" s="1655" t="s">
        <v>42</v>
      </c>
      <c r="Q1148" s="1655" t="s">
        <v>571</v>
      </c>
      <c r="S1148" s="1655" t="s">
        <v>76</v>
      </c>
      <c r="T1148" s="1655" t="s">
        <v>1970</v>
      </c>
      <c r="U1148" s="1656">
        <v>0</v>
      </c>
      <c r="V1148" s="1655" t="s">
        <v>42</v>
      </c>
      <c r="W1148" s="1655" t="s">
        <v>571</v>
      </c>
    </row>
    <row r="1149" spans="1:23">
      <c r="A1149" s="1655" t="s">
        <v>76</v>
      </c>
      <c r="B1149" s="1655" t="s">
        <v>1971</v>
      </c>
      <c r="C1149" s="1656">
        <v>0</v>
      </c>
      <c r="D1149" s="1655" t="s">
        <v>42</v>
      </c>
      <c r="E1149" s="1655" t="s">
        <v>571</v>
      </c>
      <c r="G1149" s="1655" t="s">
        <v>76</v>
      </c>
      <c r="H1149" s="1655" t="s">
        <v>1971</v>
      </c>
      <c r="I1149" s="1656">
        <v>0</v>
      </c>
      <c r="J1149" s="1655" t="s">
        <v>42</v>
      </c>
      <c r="K1149" s="1655" t="s">
        <v>571</v>
      </c>
      <c r="M1149" s="1655" t="s">
        <v>76</v>
      </c>
      <c r="N1149" s="1655" t="s">
        <v>1971</v>
      </c>
      <c r="O1149" s="1656">
        <v>0</v>
      </c>
      <c r="P1149" s="1655" t="s">
        <v>42</v>
      </c>
      <c r="Q1149" s="1655" t="s">
        <v>571</v>
      </c>
      <c r="S1149" s="1655" t="s">
        <v>76</v>
      </c>
      <c r="T1149" s="1655" t="s">
        <v>1971</v>
      </c>
      <c r="U1149" s="1656">
        <v>0</v>
      </c>
      <c r="V1149" s="1655" t="s">
        <v>42</v>
      </c>
      <c r="W1149" s="1655" t="s">
        <v>571</v>
      </c>
    </row>
    <row r="1150" spans="1:23">
      <c r="A1150" s="1655" t="s">
        <v>76</v>
      </c>
      <c r="B1150" s="1655" t="s">
        <v>1972</v>
      </c>
      <c r="C1150" s="1656">
        <v>0</v>
      </c>
      <c r="D1150" s="1655" t="s">
        <v>42</v>
      </c>
      <c r="E1150" s="1655" t="s">
        <v>571</v>
      </c>
      <c r="G1150" s="1655" t="s">
        <v>76</v>
      </c>
      <c r="H1150" s="1655" t="s">
        <v>1972</v>
      </c>
      <c r="I1150" s="1656">
        <v>0</v>
      </c>
      <c r="J1150" s="1655" t="s">
        <v>42</v>
      </c>
      <c r="K1150" s="1655" t="s">
        <v>571</v>
      </c>
      <c r="M1150" s="1655" t="s">
        <v>76</v>
      </c>
      <c r="N1150" s="1655" t="s">
        <v>1972</v>
      </c>
      <c r="O1150" s="1656">
        <v>0</v>
      </c>
      <c r="P1150" s="1655" t="s">
        <v>42</v>
      </c>
      <c r="Q1150" s="1655" t="s">
        <v>571</v>
      </c>
      <c r="S1150" s="1655" t="s">
        <v>76</v>
      </c>
      <c r="T1150" s="1655" t="s">
        <v>1972</v>
      </c>
      <c r="U1150" s="1656">
        <v>0</v>
      </c>
      <c r="V1150" s="1655" t="s">
        <v>42</v>
      </c>
      <c r="W1150" s="1655" t="s">
        <v>571</v>
      </c>
    </row>
    <row r="1151" spans="1:23">
      <c r="A1151" s="1655" t="s">
        <v>76</v>
      </c>
      <c r="B1151" s="1655" t="s">
        <v>1973</v>
      </c>
      <c r="C1151" s="1656">
        <v>0</v>
      </c>
      <c r="D1151" s="1655" t="s">
        <v>42</v>
      </c>
      <c r="E1151" s="1655" t="s">
        <v>571</v>
      </c>
      <c r="G1151" s="1655" t="s">
        <v>76</v>
      </c>
      <c r="H1151" s="1655" t="s">
        <v>1973</v>
      </c>
      <c r="I1151" s="1656">
        <v>0</v>
      </c>
      <c r="J1151" s="1655" t="s">
        <v>42</v>
      </c>
      <c r="K1151" s="1655" t="s">
        <v>571</v>
      </c>
      <c r="M1151" s="1655" t="s">
        <v>76</v>
      </c>
      <c r="N1151" s="1655" t="s">
        <v>1973</v>
      </c>
      <c r="O1151" s="1656">
        <v>0</v>
      </c>
      <c r="P1151" s="1655" t="s">
        <v>42</v>
      </c>
      <c r="Q1151" s="1655" t="s">
        <v>571</v>
      </c>
      <c r="S1151" s="1655" t="s">
        <v>76</v>
      </c>
      <c r="T1151" s="1655" t="s">
        <v>1973</v>
      </c>
      <c r="U1151" s="1656">
        <v>0</v>
      </c>
      <c r="V1151" s="1655" t="s">
        <v>42</v>
      </c>
      <c r="W1151" s="1655" t="s">
        <v>571</v>
      </c>
    </row>
    <row r="1152" spans="1:23">
      <c r="A1152" s="1655" t="s">
        <v>76</v>
      </c>
      <c r="B1152" s="1655" t="s">
        <v>1974</v>
      </c>
      <c r="C1152" s="1656">
        <v>0</v>
      </c>
      <c r="D1152" s="1655" t="s">
        <v>42</v>
      </c>
      <c r="E1152" s="1655" t="s">
        <v>571</v>
      </c>
      <c r="G1152" s="1655" t="s">
        <v>76</v>
      </c>
      <c r="H1152" s="1655" t="s">
        <v>1974</v>
      </c>
      <c r="I1152" s="1656">
        <v>0</v>
      </c>
      <c r="J1152" s="1655" t="s">
        <v>42</v>
      </c>
      <c r="K1152" s="1655" t="s">
        <v>571</v>
      </c>
      <c r="M1152" s="1655" t="s">
        <v>76</v>
      </c>
      <c r="N1152" s="1655" t="s">
        <v>1974</v>
      </c>
      <c r="O1152" s="1656">
        <v>0</v>
      </c>
      <c r="P1152" s="1655" t="s">
        <v>42</v>
      </c>
      <c r="Q1152" s="1655" t="s">
        <v>571</v>
      </c>
      <c r="S1152" s="1655" t="s">
        <v>76</v>
      </c>
      <c r="T1152" s="1655" t="s">
        <v>1974</v>
      </c>
      <c r="U1152" s="1656">
        <v>0</v>
      </c>
      <c r="V1152" s="1655" t="s">
        <v>42</v>
      </c>
      <c r="W1152" s="1655" t="s">
        <v>571</v>
      </c>
    </row>
    <row r="1153" spans="1:23">
      <c r="A1153" s="1655" t="s">
        <v>76</v>
      </c>
      <c r="B1153" s="1655" t="s">
        <v>1975</v>
      </c>
      <c r="C1153" s="1656">
        <v>0</v>
      </c>
      <c r="D1153" s="1655" t="s">
        <v>42</v>
      </c>
      <c r="E1153" s="1655" t="s">
        <v>571</v>
      </c>
      <c r="G1153" s="1655" t="s">
        <v>76</v>
      </c>
      <c r="H1153" s="1655" t="s">
        <v>1975</v>
      </c>
      <c r="I1153" s="1656">
        <v>0</v>
      </c>
      <c r="J1153" s="1655" t="s">
        <v>42</v>
      </c>
      <c r="K1153" s="1655" t="s">
        <v>571</v>
      </c>
      <c r="M1153" s="1655" t="s">
        <v>76</v>
      </c>
      <c r="N1153" s="1655" t="s">
        <v>1975</v>
      </c>
      <c r="O1153" s="1656">
        <v>0</v>
      </c>
      <c r="P1153" s="1655" t="s">
        <v>42</v>
      </c>
      <c r="Q1153" s="1655" t="s">
        <v>571</v>
      </c>
      <c r="S1153" s="1655" t="s">
        <v>76</v>
      </c>
      <c r="T1153" s="1655" t="s">
        <v>1975</v>
      </c>
      <c r="U1153" s="1656">
        <v>0</v>
      </c>
      <c r="V1153" s="1655" t="s">
        <v>42</v>
      </c>
      <c r="W1153" s="1655" t="s">
        <v>571</v>
      </c>
    </row>
    <row r="1154" spans="1:23">
      <c r="A1154" s="1655" t="s">
        <v>76</v>
      </c>
      <c r="B1154" s="1655" t="s">
        <v>1976</v>
      </c>
      <c r="C1154" s="1656">
        <v>0</v>
      </c>
      <c r="D1154" s="1655" t="s">
        <v>42</v>
      </c>
      <c r="E1154" s="1655" t="s">
        <v>571</v>
      </c>
      <c r="G1154" s="1655" t="s">
        <v>76</v>
      </c>
      <c r="H1154" s="1655" t="s">
        <v>1976</v>
      </c>
      <c r="I1154" s="1656">
        <v>0</v>
      </c>
      <c r="J1154" s="1655" t="s">
        <v>42</v>
      </c>
      <c r="K1154" s="1655" t="s">
        <v>571</v>
      </c>
      <c r="M1154" s="1655" t="s">
        <v>76</v>
      </c>
      <c r="N1154" s="1655" t="s">
        <v>1976</v>
      </c>
      <c r="O1154" s="1656">
        <v>0</v>
      </c>
      <c r="P1154" s="1655" t="s">
        <v>42</v>
      </c>
      <c r="Q1154" s="1655" t="s">
        <v>571</v>
      </c>
      <c r="S1154" s="1655" t="s">
        <v>76</v>
      </c>
      <c r="T1154" s="1655" t="s">
        <v>1976</v>
      </c>
      <c r="U1154" s="1656">
        <v>0</v>
      </c>
      <c r="V1154" s="1655" t="s">
        <v>42</v>
      </c>
      <c r="W1154" s="1655" t="s">
        <v>571</v>
      </c>
    </row>
    <row r="1155" spans="1:23">
      <c r="A1155" s="1655" t="s">
        <v>76</v>
      </c>
      <c r="B1155" s="1655" t="s">
        <v>2197</v>
      </c>
      <c r="C1155" s="1656">
        <v>0</v>
      </c>
      <c r="D1155" s="1655" t="s">
        <v>42</v>
      </c>
      <c r="E1155" s="1655" t="s">
        <v>571</v>
      </c>
      <c r="G1155" s="1655" t="s">
        <v>76</v>
      </c>
      <c r="H1155" s="1655" t="s">
        <v>2197</v>
      </c>
      <c r="I1155" s="1656">
        <v>0</v>
      </c>
      <c r="J1155" s="1655" t="s">
        <v>42</v>
      </c>
      <c r="K1155" s="1655" t="s">
        <v>571</v>
      </c>
      <c r="M1155" s="1655" t="s">
        <v>76</v>
      </c>
      <c r="N1155" s="1655" t="s">
        <v>2197</v>
      </c>
      <c r="O1155" s="1656">
        <v>0</v>
      </c>
      <c r="P1155" s="1655" t="s">
        <v>42</v>
      </c>
      <c r="Q1155" s="1655" t="s">
        <v>571</v>
      </c>
      <c r="S1155" s="1655" t="s">
        <v>76</v>
      </c>
      <c r="T1155" s="1655" t="s">
        <v>2197</v>
      </c>
      <c r="U1155" s="1656">
        <v>0</v>
      </c>
      <c r="V1155" s="1655" t="s">
        <v>42</v>
      </c>
      <c r="W1155" s="1655" t="s">
        <v>571</v>
      </c>
    </row>
    <row r="1156" spans="1:23">
      <c r="A1156" s="1655" t="s">
        <v>76</v>
      </c>
      <c r="B1156" s="1655" t="s">
        <v>2198</v>
      </c>
      <c r="C1156" s="1656">
        <v>0</v>
      </c>
      <c r="D1156" s="1655" t="s">
        <v>42</v>
      </c>
      <c r="E1156" s="1655" t="s">
        <v>571</v>
      </c>
      <c r="G1156" s="1655" t="s">
        <v>76</v>
      </c>
      <c r="H1156" s="1655" t="s">
        <v>2198</v>
      </c>
      <c r="I1156" s="1656">
        <v>0</v>
      </c>
      <c r="J1156" s="1655" t="s">
        <v>42</v>
      </c>
      <c r="K1156" s="1655" t="s">
        <v>571</v>
      </c>
      <c r="M1156" s="1655" t="s">
        <v>76</v>
      </c>
      <c r="N1156" s="1655" t="s">
        <v>2198</v>
      </c>
      <c r="O1156" s="1656">
        <v>0</v>
      </c>
      <c r="P1156" s="1655" t="s">
        <v>42</v>
      </c>
      <c r="Q1156" s="1655" t="s">
        <v>571</v>
      </c>
      <c r="S1156" s="1655" t="s">
        <v>76</v>
      </c>
      <c r="T1156" s="1655" t="s">
        <v>2198</v>
      </c>
      <c r="U1156" s="1656">
        <v>0</v>
      </c>
      <c r="V1156" s="1655" t="s">
        <v>42</v>
      </c>
      <c r="W1156" s="1655" t="s">
        <v>571</v>
      </c>
    </row>
    <row r="1157" spans="1:23">
      <c r="A1157" s="1655" t="s">
        <v>76</v>
      </c>
      <c r="B1157" s="1655" t="s">
        <v>2199</v>
      </c>
      <c r="C1157" s="1656">
        <v>0</v>
      </c>
      <c r="D1157" s="1655" t="s">
        <v>42</v>
      </c>
      <c r="E1157" s="1655" t="s">
        <v>571</v>
      </c>
      <c r="G1157" s="1655" t="s">
        <v>76</v>
      </c>
      <c r="H1157" s="1655" t="s">
        <v>2199</v>
      </c>
      <c r="I1157" s="1656">
        <v>0</v>
      </c>
      <c r="J1157" s="1655" t="s">
        <v>42</v>
      </c>
      <c r="K1157" s="1655" t="s">
        <v>571</v>
      </c>
      <c r="M1157" s="1655" t="s">
        <v>76</v>
      </c>
      <c r="N1157" s="1655" t="s">
        <v>2199</v>
      </c>
      <c r="O1157" s="1656">
        <v>0</v>
      </c>
      <c r="P1157" s="1655" t="s">
        <v>42</v>
      </c>
      <c r="Q1157" s="1655" t="s">
        <v>571</v>
      </c>
      <c r="S1157" s="1655" t="s">
        <v>76</v>
      </c>
      <c r="T1157" s="1655" t="s">
        <v>2199</v>
      </c>
      <c r="U1157" s="1656">
        <v>0</v>
      </c>
      <c r="V1157" s="1655" t="s">
        <v>42</v>
      </c>
      <c r="W1157" s="1655" t="s">
        <v>571</v>
      </c>
    </row>
    <row r="1158" spans="1:23">
      <c r="A1158" s="1655" t="s">
        <v>76</v>
      </c>
      <c r="B1158" s="1655" t="s">
        <v>2200</v>
      </c>
      <c r="C1158" s="1656">
        <v>0</v>
      </c>
      <c r="D1158" s="1655" t="s">
        <v>42</v>
      </c>
      <c r="E1158" s="1655" t="s">
        <v>571</v>
      </c>
      <c r="G1158" s="1655" t="s">
        <v>76</v>
      </c>
      <c r="H1158" s="1655" t="s">
        <v>2200</v>
      </c>
      <c r="I1158" s="1656">
        <v>0</v>
      </c>
      <c r="J1158" s="1655" t="s">
        <v>42</v>
      </c>
      <c r="K1158" s="1655" t="s">
        <v>571</v>
      </c>
      <c r="M1158" s="1655" t="s">
        <v>76</v>
      </c>
      <c r="N1158" s="1655" t="s">
        <v>2200</v>
      </c>
      <c r="O1158" s="1656">
        <v>0</v>
      </c>
      <c r="P1158" s="1655" t="s">
        <v>42</v>
      </c>
      <c r="Q1158" s="1655" t="s">
        <v>571</v>
      </c>
      <c r="S1158" s="1655" t="s">
        <v>76</v>
      </c>
      <c r="T1158" s="1655" t="s">
        <v>2200</v>
      </c>
      <c r="U1158" s="1656">
        <v>0</v>
      </c>
      <c r="V1158" s="1655" t="s">
        <v>42</v>
      </c>
      <c r="W1158" s="1655" t="s">
        <v>571</v>
      </c>
    </row>
    <row r="1159" spans="1:23">
      <c r="A1159" s="1655" t="s">
        <v>76</v>
      </c>
      <c r="B1159" s="1655" t="s">
        <v>2201</v>
      </c>
      <c r="C1159" s="1656">
        <v>0</v>
      </c>
      <c r="D1159" s="1655" t="s">
        <v>42</v>
      </c>
      <c r="E1159" s="1655" t="s">
        <v>571</v>
      </c>
      <c r="G1159" s="1655" t="s">
        <v>76</v>
      </c>
      <c r="H1159" s="1655" t="s">
        <v>2201</v>
      </c>
      <c r="I1159" s="1656">
        <v>0</v>
      </c>
      <c r="J1159" s="1655" t="s">
        <v>42</v>
      </c>
      <c r="K1159" s="1655" t="s">
        <v>571</v>
      </c>
      <c r="M1159" s="1655" t="s">
        <v>76</v>
      </c>
      <c r="N1159" s="1655" t="s">
        <v>2201</v>
      </c>
      <c r="O1159" s="1656">
        <v>0</v>
      </c>
      <c r="P1159" s="1655" t="s">
        <v>42</v>
      </c>
      <c r="Q1159" s="1655" t="s">
        <v>571</v>
      </c>
      <c r="S1159" s="1655" t="s">
        <v>76</v>
      </c>
      <c r="T1159" s="1655" t="s">
        <v>2201</v>
      </c>
      <c r="U1159" s="1656">
        <v>0</v>
      </c>
      <c r="V1159" s="1655" t="s">
        <v>42</v>
      </c>
      <c r="W1159" s="1655" t="s">
        <v>571</v>
      </c>
    </row>
    <row r="1160" spans="1:23">
      <c r="A1160" s="1655" t="s">
        <v>76</v>
      </c>
      <c r="B1160" s="1655" t="s">
        <v>2202</v>
      </c>
      <c r="C1160" s="1656">
        <v>0</v>
      </c>
      <c r="D1160" s="1655" t="s">
        <v>42</v>
      </c>
      <c r="E1160" s="1655" t="s">
        <v>571</v>
      </c>
      <c r="G1160" s="1655" t="s">
        <v>76</v>
      </c>
      <c r="H1160" s="1655" t="s">
        <v>2202</v>
      </c>
      <c r="I1160" s="1656">
        <v>0</v>
      </c>
      <c r="J1160" s="1655" t="s">
        <v>42</v>
      </c>
      <c r="K1160" s="1655" t="s">
        <v>571</v>
      </c>
      <c r="M1160" s="1655" t="s">
        <v>76</v>
      </c>
      <c r="N1160" s="1655" t="s">
        <v>2202</v>
      </c>
      <c r="O1160" s="1656">
        <v>0</v>
      </c>
      <c r="P1160" s="1655" t="s">
        <v>42</v>
      </c>
      <c r="Q1160" s="1655" t="s">
        <v>571</v>
      </c>
      <c r="S1160" s="1655" t="s">
        <v>76</v>
      </c>
      <c r="T1160" s="1655" t="s">
        <v>2202</v>
      </c>
      <c r="U1160" s="1656">
        <v>0</v>
      </c>
      <c r="V1160" s="1655" t="s">
        <v>42</v>
      </c>
      <c r="W1160" s="1655" t="s">
        <v>571</v>
      </c>
    </row>
    <row r="1161" spans="1:23">
      <c r="A1161" s="1655" t="s">
        <v>76</v>
      </c>
      <c r="B1161" s="1655" t="s">
        <v>2203</v>
      </c>
      <c r="C1161" s="1656">
        <v>0</v>
      </c>
      <c r="D1161" s="1655" t="s">
        <v>42</v>
      </c>
      <c r="E1161" s="1655" t="s">
        <v>571</v>
      </c>
      <c r="G1161" s="1655" t="s">
        <v>76</v>
      </c>
      <c r="H1161" s="1655" t="s">
        <v>2203</v>
      </c>
      <c r="I1161" s="1656">
        <v>0</v>
      </c>
      <c r="J1161" s="1655" t="s">
        <v>42</v>
      </c>
      <c r="K1161" s="1655" t="s">
        <v>571</v>
      </c>
      <c r="M1161" s="1655" t="s">
        <v>76</v>
      </c>
      <c r="N1161" s="1655" t="s">
        <v>2203</v>
      </c>
      <c r="O1161" s="1656">
        <v>0</v>
      </c>
      <c r="P1161" s="1655" t="s">
        <v>42</v>
      </c>
      <c r="Q1161" s="1655" t="s">
        <v>571</v>
      </c>
      <c r="S1161" s="1655" t="s">
        <v>76</v>
      </c>
      <c r="T1161" s="1655" t="s">
        <v>2203</v>
      </c>
      <c r="U1161" s="1656">
        <v>0</v>
      </c>
      <c r="V1161" s="1655" t="s">
        <v>42</v>
      </c>
      <c r="W1161" s="1655" t="s">
        <v>571</v>
      </c>
    </row>
    <row r="1162" spans="1:23">
      <c r="A1162" s="1655" t="s">
        <v>76</v>
      </c>
      <c r="B1162" s="1655" t="s">
        <v>2204</v>
      </c>
      <c r="C1162" s="1656">
        <v>0</v>
      </c>
      <c r="D1162" s="1655" t="s">
        <v>42</v>
      </c>
      <c r="E1162" s="1655" t="s">
        <v>571</v>
      </c>
      <c r="G1162" s="1655" t="s">
        <v>76</v>
      </c>
      <c r="H1162" s="1655" t="s">
        <v>2204</v>
      </c>
      <c r="I1162" s="1656">
        <v>0</v>
      </c>
      <c r="J1162" s="1655" t="s">
        <v>42</v>
      </c>
      <c r="K1162" s="1655" t="s">
        <v>571</v>
      </c>
      <c r="M1162" s="1655" t="s">
        <v>76</v>
      </c>
      <c r="N1162" s="1655" t="s">
        <v>2204</v>
      </c>
      <c r="O1162" s="1656">
        <v>0</v>
      </c>
      <c r="P1162" s="1655" t="s">
        <v>42</v>
      </c>
      <c r="Q1162" s="1655" t="s">
        <v>571</v>
      </c>
      <c r="S1162" s="1655" t="s">
        <v>76</v>
      </c>
      <c r="T1162" s="1655" t="s">
        <v>2204</v>
      </c>
      <c r="U1162" s="1656">
        <v>0</v>
      </c>
      <c r="V1162" s="1655" t="s">
        <v>42</v>
      </c>
      <c r="W1162" s="1655" t="s">
        <v>571</v>
      </c>
    </row>
    <row r="1163" spans="1:23">
      <c r="A1163" s="1655" t="s">
        <v>76</v>
      </c>
      <c r="B1163" s="1655" t="s">
        <v>2205</v>
      </c>
      <c r="C1163" s="1656">
        <v>0</v>
      </c>
      <c r="D1163" s="1655" t="s">
        <v>42</v>
      </c>
      <c r="E1163" s="1655" t="s">
        <v>571</v>
      </c>
      <c r="G1163" s="1655" t="s">
        <v>76</v>
      </c>
      <c r="H1163" s="1655" t="s">
        <v>2205</v>
      </c>
      <c r="I1163" s="1656">
        <v>0</v>
      </c>
      <c r="J1163" s="1655" t="s">
        <v>42</v>
      </c>
      <c r="K1163" s="1655" t="s">
        <v>571</v>
      </c>
      <c r="M1163" s="1655" t="s">
        <v>76</v>
      </c>
      <c r="N1163" s="1655" t="s">
        <v>2205</v>
      </c>
      <c r="O1163" s="1656">
        <v>0</v>
      </c>
      <c r="P1163" s="1655" t="s">
        <v>42</v>
      </c>
      <c r="Q1163" s="1655" t="s">
        <v>571</v>
      </c>
      <c r="S1163" s="1655" t="s">
        <v>76</v>
      </c>
      <c r="T1163" s="1655" t="s">
        <v>2205</v>
      </c>
      <c r="U1163" s="1656">
        <v>0</v>
      </c>
      <c r="V1163" s="1655" t="s">
        <v>42</v>
      </c>
      <c r="W1163" s="1655" t="s">
        <v>571</v>
      </c>
    </row>
    <row r="1164" spans="1:23">
      <c r="A1164" s="1655" t="s">
        <v>76</v>
      </c>
      <c r="B1164" s="1655" t="s">
        <v>2206</v>
      </c>
      <c r="C1164" s="1656">
        <v>0</v>
      </c>
      <c r="D1164" s="1655" t="s">
        <v>42</v>
      </c>
      <c r="E1164" s="1655" t="s">
        <v>571</v>
      </c>
      <c r="G1164" s="1655" t="s">
        <v>76</v>
      </c>
      <c r="H1164" s="1655" t="s">
        <v>2206</v>
      </c>
      <c r="I1164" s="1656">
        <v>0</v>
      </c>
      <c r="J1164" s="1655" t="s">
        <v>42</v>
      </c>
      <c r="K1164" s="1655" t="s">
        <v>571</v>
      </c>
      <c r="M1164" s="1655" t="s">
        <v>76</v>
      </c>
      <c r="N1164" s="1655" t="s">
        <v>2206</v>
      </c>
      <c r="O1164" s="1656">
        <v>0</v>
      </c>
      <c r="P1164" s="1655" t="s">
        <v>42</v>
      </c>
      <c r="Q1164" s="1655" t="s">
        <v>571</v>
      </c>
      <c r="S1164" s="1655" t="s">
        <v>76</v>
      </c>
      <c r="T1164" s="1655" t="s">
        <v>2206</v>
      </c>
      <c r="U1164" s="1656">
        <v>0</v>
      </c>
      <c r="V1164" s="1655" t="s">
        <v>42</v>
      </c>
      <c r="W1164" s="1655" t="s">
        <v>571</v>
      </c>
    </row>
    <row r="1165" spans="1:23">
      <c r="A1165" s="1655" t="s">
        <v>76</v>
      </c>
      <c r="B1165" s="1655" t="s">
        <v>2207</v>
      </c>
      <c r="C1165" s="1656">
        <v>0</v>
      </c>
      <c r="D1165" s="1655" t="s">
        <v>42</v>
      </c>
      <c r="E1165" s="1655" t="s">
        <v>571</v>
      </c>
      <c r="G1165" s="1655" t="s">
        <v>76</v>
      </c>
      <c r="H1165" s="1655" t="s">
        <v>2207</v>
      </c>
      <c r="I1165" s="1656">
        <v>0</v>
      </c>
      <c r="J1165" s="1655" t="s">
        <v>42</v>
      </c>
      <c r="K1165" s="1655" t="s">
        <v>571</v>
      </c>
      <c r="M1165" s="1655" t="s">
        <v>76</v>
      </c>
      <c r="N1165" s="1655" t="s">
        <v>2207</v>
      </c>
      <c r="O1165" s="1656">
        <v>0</v>
      </c>
      <c r="P1165" s="1655" t="s">
        <v>42</v>
      </c>
      <c r="Q1165" s="1655" t="s">
        <v>571</v>
      </c>
      <c r="S1165" s="1655" t="s">
        <v>76</v>
      </c>
      <c r="T1165" s="1655" t="s">
        <v>2207</v>
      </c>
      <c r="U1165" s="1656">
        <v>0</v>
      </c>
      <c r="V1165" s="1655" t="s">
        <v>42</v>
      </c>
      <c r="W1165" s="1655" t="s">
        <v>571</v>
      </c>
    </row>
    <row r="1166" spans="1:23">
      <c r="A1166" s="1655" t="s">
        <v>76</v>
      </c>
      <c r="B1166" s="1655" t="s">
        <v>2208</v>
      </c>
      <c r="C1166" s="1656">
        <v>0</v>
      </c>
      <c r="D1166" s="1655" t="s">
        <v>42</v>
      </c>
      <c r="E1166" s="1655" t="s">
        <v>571</v>
      </c>
      <c r="G1166" s="1655" t="s">
        <v>76</v>
      </c>
      <c r="H1166" s="1655" t="s">
        <v>2208</v>
      </c>
      <c r="I1166" s="1656">
        <v>0</v>
      </c>
      <c r="J1166" s="1655" t="s">
        <v>42</v>
      </c>
      <c r="K1166" s="1655" t="s">
        <v>571</v>
      </c>
      <c r="M1166" s="1655" t="s">
        <v>76</v>
      </c>
      <c r="N1166" s="1655" t="s">
        <v>2208</v>
      </c>
      <c r="O1166" s="1656">
        <v>0</v>
      </c>
      <c r="P1166" s="1655" t="s">
        <v>42</v>
      </c>
      <c r="Q1166" s="1655" t="s">
        <v>571</v>
      </c>
      <c r="S1166" s="1655" t="s">
        <v>76</v>
      </c>
      <c r="T1166" s="1655" t="s">
        <v>2208</v>
      </c>
      <c r="U1166" s="1656">
        <v>0</v>
      </c>
      <c r="V1166" s="1655" t="s">
        <v>42</v>
      </c>
      <c r="W1166" s="1655" t="s">
        <v>571</v>
      </c>
    </row>
    <row r="1167" spans="1:23">
      <c r="A1167" s="1655" t="s">
        <v>76</v>
      </c>
      <c r="B1167" s="1655" t="s">
        <v>2209</v>
      </c>
      <c r="C1167" s="1656">
        <v>0</v>
      </c>
      <c r="D1167" s="1655" t="s">
        <v>42</v>
      </c>
      <c r="E1167" s="1655" t="s">
        <v>571</v>
      </c>
      <c r="G1167" s="1655" t="s">
        <v>76</v>
      </c>
      <c r="H1167" s="1655" t="s">
        <v>2209</v>
      </c>
      <c r="I1167" s="1656">
        <v>0</v>
      </c>
      <c r="J1167" s="1655" t="s">
        <v>42</v>
      </c>
      <c r="K1167" s="1655" t="s">
        <v>571</v>
      </c>
      <c r="M1167" s="1655" t="s">
        <v>76</v>
      </c>
      <c r="N1167" s="1655" t="s">
        <v>2209</v>
      </c>
      <c r="O1167" s="1656">
        <v>0</v>
      </c>
      <c r="P1167" s="1655" t="s">
        <v>42</v>
      </c>
      <c r="Q1167" s="1655" t="s">
        <v>571</v>
      </c>
      <c r="S1167" s="1655" t="s">
        <v>76</v>
      </c>
      <c r="T1167" s="1655" t="s">
        <v>2209</v>
      </c>
      <c r="U1167" s="1656">
        <v>0</v>
      </c>
      <c r="V1167" s="1655" t="s">
        <v>42</v>
      </c>
      <c r="W1167" s="1655" t="s">
        <v>571</v>
      </c>
    </row>
    <row r="1168" spans="1:23">
      <c r="A1168" s="1655" t="s">
        <v>76</v>
      </c>
      <c r="B1168" s="1655" t="s">
        <v>2210</v>
      </c>
      <c r="C1168" s="1656">
        <v>0</v>
      </c>
      <c r="D1168" s="1655" t="s">
        <v>42</v>
      </c>
      <c r="E1168" s="1655" t="s">
        <v>571</v>
      </c>
      <c r="G1168" s="1655" t="s">
        <v>76</v>
      </c>
      <c r="H1168" s="1655" t="s">
        <v>2210</v>
      </c>
      <c r="I1168" s="1656">
        <v>0</v>
      </c>
      <c r="J1168" s="1655" t="s">
        <v>42</v>
      </c>
      <c r="K1168" s="1655" t="s">
        <v>571</v>
      </c>
      <c r="M1168" s="1655" t="s">
        <v>76</v>
      </c>
      <c r="N1168" s="1655" t="s">
        <v>2210</v>
      </c>
      <c r="O1168" s="1656">
        <v>0</v>
      </c>
      <c r="P1168" s="1655" t="s">
        <v>42</v>
      </c>
      <c r="Q1168" s="1655" t="s">
        <v>571</v>
      </c>
      <c r="S1168" s="1655" t="s">
        <v>76</v>
      </c>
      <c r="T1168" s="1655" t="s">
        <v>2210</v>
      </c>
      <c r="U1168" s="1656">
        <v>0</v>
      </c>
      <c r="V1168" s="1655" t="s">
        <v>42</v>
      </c>
      <c r="W1168" s="1655" t="s">
        <v>571</v>
      </c>
    </row>
    <row r="1169" spans="1:23">
      <c r="A1169" s="1655" t="s">
        <v>76</v>
      </c>
      <c r="B1169" s="1655" t="s">
        <v>2211</v>
      </c>
      <c r="C1169" s="1656">
        <v>0</v>
      </c>
      <c r="D1169" s="1655" t="s">
        <v>42</v>
      </c>
      <c r="E1169" s="1655" t="s">
        <v>571</v>
      </c>
      <c r="G1169" s="1655" t="s">
        <v>76</v>
      </c>
      <c r="H1169" s="1655" t="s">
        <v>2211</v>
      </c>
      <c r="I1169" s="1656">
        <v>0</v>
      </c>
      <c r="J1169" s="1655" t="s">
        <v>42</v>
      </c>
      <c r="K1169" s="1655" t="s">
        <v>571</v>
      </c>
      <c r="M1169" s="1655" t="s">
        <v>76</v>
      </c>
      <c r="N1169" s="1655" t="s">
        <v>2211</v>
      </c>
      <c r="O1169" s="1656">
        <v>0</v>
      </c>
      <c r="P1169" s="1655" t="s">
        <v>42</v>
      </c>
      <c r="Q1169" s="1655" t="s">
        <v>571</v>
      </c>
      <c r="S1169" s="1655" t="s">
        <v>76</v>
      </c>
      <c r="T1169" s="1655" t="s">
        <v>2211</v>
      </c>
      <c r="U1169" s="1656">
        <v>0</v>
      </c>
      <c r="V1169" s="1655" t="s">
        <v>42</v>
      </c>
      <c r="W1169" s="1655" t="s">
        <v>571</v>
      </c>
    </row>
    <row r="1170" spans="1:23">
      <c r="A1170" s="1655" t="s">
        <v>76</v>
      </c>
      <c r="B1170" s="1655" t="s">
        <v>2212</v>
      </c>
      <c r="C1170" s="1656">
        <v>0</v>
      </c>
      <c r="D1170" s="1655" t="s">
        <v>42</v>
      </c>
      <c r="E1170" s="1655" t="s">
        <v>571</v>
      </c>
      <c r="G1170" s="1655" t="s">
        <v>76</v>
      </c>
      <c r="H1170" s="1655" t="s">
        <v>2212</v>
      </c>
      <c r="I1170" s="1656">
        <v>0</v>
      </c>
      <c r="J1170" s="1655" t="s">
        <v>42</v>
      </c>
      <c r="K1170" s="1655" t="s">
        <v>571</v>
      </c>
      <c r="M1170" s="1655" t="s">
        <v>76</v>
      </c>
      <c r="N1170" s="1655" t="s">
        <v>2212</v>
      </c>
      <c r="O1170" s="1656">
        <v>0</v>
      </c>
      <c r="P1170" s="1655" t="s">
        <v>42</v>
      </c>
      <c r="Q1170" s="1655" t="s">
        <v>571</v>
      </c>
      <c r="S1170" s="1655" t="s">
        <v>76</v>
      </c>
      <c r="T1170" s="1655" t="s">
        <v>2212</v>
      </c>
      <c r="U1170" s="1656">
        <v>0</v>
      </c>
      <c r="V1170" s="1655" t="s">
        <v>42</v>
      </c>
      <c r="W1170" s="1655" t="s">
        <v>571</v>
      </c>
    </row>
    <row r="1171" spans="1:23">
      <c r="A1171" s="1655" t="s">
        <v>76</v>
      </c>
      <c r="B1171" s="1655" t="s">
        <v>2213</v>
      </c>
      <c r="C1171" s="1656">
        <v>0</v>
      </c>
      <c r="D1171" s="1655" t="s">
        <v>42</v>
      </c>
      <c r="E1171" s="1655" t="s">
        <v>571</v>
      </c>
      <c r="G1171" s="1655" t="s">
        <v>76</v>
      </c>
      <c r="H1171" s="1655" t="s">
        <v>2213</v>
      </c>
      <c r="I1171" s="1656">
        <v>0</v>
      </c>
      <c r="J1171" s="1655" t="s">
        <v>42</v>
      </c>
      <c r="K1171" s="1655" t="s">
        <v>571</v>
      </c>
      <c r="M1171" s="1655" t="s">
        <v>76</v>
      </c>
      <c r="N1171" s="1655" t="s">
        <v>2213</v>
      </c>
      <c r="O1171" s="1656">
        <v>0</v>
      </c>
      <c r="P1171" s="1655" t="s">
        <v>42</v>
      </c>
      <c r="Q1171" s="1655" t="s">
        <v>571</v>
      </c>
      <c r="S1171" s="1655" t="s">
        <v>76</v>
      </c>
      <c r="T1171" s="1655" t="s">
        <v>2213</v>
      </c>
      <c r="U1171" s="1656">
        <v>0</v>
      </c>
      <c r="V1171" s="1655" t="s">
        <v>42</v>
      </c>
      <c r="W1171" s="1655" t="s">
        <v>571</v>
      </c>
    </row>
    <row r="1172" spans="1:23">
      <c r="A1172" s="1655" t="s">
        <v>76</v>
      </c>
      <c r="B1172" s="1655" t="s">
        <v>2214</v>
      </c>
      <c r="C1172" s="1656">
        <v>0</v>
      </c>
      <c r="D1172" s="1655" t="s">
        <v>42</v>
      </c>
      <c r="E1172" s="1655" t="s">
        <v>571</v>
      </c>
      <c r="G1172" s="1655" t="s">
        <v>76</v>
      </c>
      <c r="H1172" s="1655" t="s">
        <v>2214</v>
      </c>
      <c r="I1172" s="1656">
        <v>0</v>
      </c>
      <c r="J1172" s="1655" t="s">
        <v>42</v>
      </c>
      <c r="K1172" s="1655" t="s">
        <v>571</v>
      </c>
      <c r="M1172" s="1655" t="s">
        <v>76</v>
      </c>
      <c r="N1172" s="1655" t="s">
        <v>2214</v>
      </c>
      <c r="O1172" s="1656">
        <v>0</v>
      </c>
      <c r="P1172" s="1655" t="s">
        <v>42</v>
      </c>
      <c r="Q1172" s="1655" t="s">
        <v>571</v>
      </c>
      <c r="S1172" s="1655" t="s">
        <v>76</v>
      </c>
      <c r="T1172" s="1655" t="s">
        <v>2214</v>
      </c>
      <c r="U1172" s="1656">
        <v>0</v>
      </c>
      <c r="V1172" s="1655" t="s">
        <v>42</v>
      </c>
      <c r="W1172" s="1655" t="s">
        <v>571</v>
      </c>
    </row>
    <row r="1173" spans="1:23">
      <c r="A1173" s="1655" t="s">
        <v>76</v>
      </c>
      <c r="B1173" s="1655" t="s">
        <v>2215</v>
      </c>
      <c r="C1173" s="1656">
        <v>0</v>
      </c>
      <c r="D1173" s="1655" t="s">
        <v>42</v>
      </c>
      <c r="E1173" s="1655" t="s">
        <v>571</v>
      </c>
      <c r="G1173" s="1655" t="s">
        <v>76</v>
      </c>
      <c r="H1173" s="1655" t="s">
        <v>2215</v>
      </c>
      <c r="I1173" s="1656">
        <v>0</v>
      </c>
      <c r="J1173" s="1655" t="s">
        <v>42</v>
      </c>
      <c r="K1173" s="1655" t="s">
        <v>571</v>
      </c>
      <c r="M1173" s="1655" t="s">
        <v>76</v>
      </c>
      <c r="N1173" s="1655" t="s">
        <v>2215</v>
      </c>
      <c r="O1173" s="1656">
        <v>0</v>
      </c>
      <c r="P1173" s="1655" t="s">
        <v>42</v>
      </c>
      <c r="Q1173" s="1655" t="s">
        <v>571</v>
      </c>
      <c r="S1173" s="1655" t="s">
        <v>76</v>
      </c>
      <c r="T1173" s="1655" t="s">
        <v>2215</v>
      </c>
      <c r="U1173" s="1656">
        <v>0</v>
      </c>
      <c r="V1173" s="1655" t="s">
        <v>42</v>
      </c>
      <c r="W1173" s="1655" t="s">
        <v>571</v>
      </c>
    </row>
    <row r="1174" spans="1:23">
      <c r="A1174" s="1655" t="s">
        <v>76</v>
      </c>
      <c r="B1174" s="1655" t="s">
        <v>2216</v>
      </c>
      <c r="C1174" s="1656">
        <v>0</v>
      </c>
      <c r="D1174" s="1655" t="s">
        <v>42</v>
      </c>
      <c r="E1174" s="1655" t="s">
        <v>571</v>
      </c>
      <c r="G1174" s="1655" t="s">
        <v>76</v>
      </c>
      <c r="H1174" s="1655" t="s">
        <v>2216</v>
      </c>
      <c r="I1174" s="1656">
        <v>0</v>
      </c>
      <c r="J1174" s="1655" t="s">
        <v>42</v>
      </c>
      <c r="K1174" s="1655" t="s">
        <v>571</v>
      </c>
      <c r="M1174" s="1655" t="s">
        <v>76</v>
      </c>
      <c r="N1174" s="1655" t="s">
        <v>2216</v>
      </c>
      <c r="O1174" s="1656">
        <v>0</v>
      </c>
      <c r="P1174" s="1655" t="s">
        <v>42</v>
      </c>
      <c r="Q1174" s="1655" t="s">
        <v>571</v>
      </c>
      <c r="S1174" s="1655" t="s">
        <v>76</v>
      </c>
      <c r="T1174" s="1655" t="s">
        <v>2216</v>
      </c>
      <c r="U1174" s="1656">
        <v>0</v>
      </c>
      <c r="V1174" s="1655" t="s">
        <v>42</v>
      </c>
      <c r="W1174" s="1655" t="s">
        <v>571</v>
      </c>
    </row>
    <row r="1175" spans="1:23">
      <c r="A1175" s="1655" t="s">
        <v>76</v>
      </c>
      <c r="B1175" s="1655" t="s">
        <v>2217</v>
      </c>
      <c r="C1175" s="1656">
        <v>0</v>
      </c>
      <c r="D1175" s="1655" t="s">
        <v>42</v>
      </c>
      <c r="E1175" s="1655" t="s">
        <v>571</v>
      </c>
      <c r="G1175" s="1655" t="s">
        <v>76</v>
      </c>
      <c r="H1175" s="1655" t="s">
        <v>2217</v>
      </c>
      <c r="I1175" s="1656">
        <v>0</v>
      </c>
      <c r="J1175" s="1655" t="s">
        <v>42</v>
      </c>
      <c r="K1175" s="1655" t="s">
        <v>571</v>
      </c>
      <c r="M1175" s="1655" t="s">
        <v>76</v>
      </c>
      <c r="N1175" s="1655" t="s">
        <v>2217</v>
      </c>
      <c r="O1175" s="1656">
        <v>0</v>
      </c>
      <c r="P1175" s="1655" t="s">
        <v>42</v>
      </c>
      <c r="Q1175" s="1655" t="s">
        <v>571</v>
      </c>
      <c r="S1175" s="1655" t="s">
        <v>76</v>
      </c>
      <c r="T1175" s="1655" t="s">
        <v>2217</v>
      </c>
      <c r="U1175" s="1656">
        <v>0</v>
      </c>
      <c r="V1175" s="1655" t="s">
        <v>42</v>
      </c>
      <c r="W1175" s="1655" t="s">
        <v>571</v>
      </c>
    </row>
    <row r="1176" spans="1:23">
      <c r="A1176" s="1655" t="s">
        <v>76</v>
      </c>
      <c r="B1176" s="1655" t="s">
        <v>2218</v>
      </c>
      <c r="C1176" s="1656">
        <v>0</v>
      </c>
      <c r="D1176" s="1655" t="s">
        <v>42</v>
      </c>
      <c r="E1176" s="1655" t="s">
        <v>571</v>
      </c>
      <c r="G1176" s="1655" t="s">
        <v>76</v>
      </c>
      <c r="H1176" s="1655" t="s">
        <v>2218</v>
      </c>
      <c r="I1176" s="1656">
        <v>0</v>
      </c>
      <c r="J1176" s="1655" t="s">
        <v>42</v>
      </c>
      <c r="K1176" s="1655" t="s">
        <v>571</v>
      </c>
      <c r="M1176" s="1655" t="s">
        <v>76</v>
      </c>
      <c r="N1176" s="1655" t="s">
        <v>2218</v>
      </c>
      <c r="O1176" s="1656">
        <v>0</v>
      </c>
      <c r="P1176" s="1655" t="s">
        <v>42</v>
      </c>
      <c r="Q1176" s="1655" t="s">
        <v>571</v>
      </c>
      <c r="S1176" s="1655" t="s">
        <v>76</v>
      </c>
      <c r="T1176" s="1655" t="s">
        <v>2218</v>
      </c>
      <c r="U1176" s="1656">
        <v>0</v>
      </c>
      <c r="V1176" s="1655" t="s">
        <v>42</v>
      </c>
      <c r="W1176" s="1655" t="s">
        <v>571</v>
      </c>
    </row>
    <row r="1177" spans="1:23">
      <c r="A1177" s="1655" t="s">
        <v>76</v>
      </c>
      <c r="B1177" s="1655" t="s">
        <v>2219</v>
      </c>
      <c r="C1177" s="1656">
        <v>0</v>
      </c>
      <c r="D1177" s="1655" t="s">
        <v>42</v>
      </c>
      <c r="E1177" s="1655" t="s">
        <v>571</v>
      </c>
      <c r="G1177" s="1655" t="s">
        <v>76</v>
      </c>
      <c r="H1177" s="1655" t="s">
        <v>2219</v>
      </c>
      <c r="I1177" s="1656">
        <v>0</v>
      </c>
      <c r="J1177" s="1655" t="s">
        <v>42</v>
      </c>
      <c r="K1177" s="1655" t="s">
        <v>571</v>
      </c>
      <c r="M1177" s="1655" t="s">
        <v>76</v>
      </c>
      <c r="N1177" s="1655" t="s">
        <v>2219</v>
      </c>
      <c r="O1177" s="1656">
        <v>0</v>
      </c>
      <c r="P1177" s="1655" t="s">
        <v>42</v>
      </c>
      <c r="Q1177" s="1655" t="s">
        <v>571</v>
      </c>
      <c r="S1177" s="1655" t="s">
        <v>76</v>
      </c>
      <c r="T1177" s="1655" t="s">
        <v>2219</v>
      </c>
      <c r="U1177" s="1656">
        <v>0</v>
      </c>
      <c r="V1177" s="1655" t="s">
        <v>42</v>
      </c>
      <c r="W1177" s="1655" t="s">
        <v>571</v>
      </c>
    </row>
    <row r="1178" spans="1:23">
      <c r="A1178" s="1655" t="s">
        <v>76</v>
      </c>
      <c r="B1178" s="1655" t="s">
        <v>2220</v>
      </c>
      <c r="C1178" s="1656">
        <v>0</v>
      </c>
      <c r="D1178" s="1655" t="s">
        <v>42</v>
      </c>
      <c r="E1178" s="1655" t="s">
        <v>571</v>
      </c>
      <c r="G1178" s="1655" t="s">
        <v>76</v>
      </c>
      <c r="H1178" s="1655" t="s">
        <v>2220</v>
      </c>
      <c r="I1178" s="1656">
        <v>0</v>
      </c>
      <c r="J1178" s="1655" t="s">
        <v>42</v>
      </c>
      <c r="K1178" s="1655" t="s">
        <v>571</v>
      </c>
      <c r="M1178" s="1655" t="s">
        <v>76</v>
      </c>
      <c r="N1178" s="1655" t="s">
        <v>2220</v>
      </c>
      <c r="O1178" s="1656">
        <v>0</v>
      </c>
      <c r="P1178" s="1655" t="s">
        <v>42</v>
      </c>
      <c r="Q1178" s="1655" t="s">
        <v>571</v>
      </c>
      <c r="S1178" s="1655" t="s">
        <v>76</v>
      </c>
      <c r="T1178" s="1655" t="s">
        <v>2220</v>
      </c>
      <c r="U1178" s="1656">
        <v>0</v>
      </c>
      <c r="V1178" s="1655" t="s">
        <v>42</v>
      </c>
      <c r="W1178" s="1655" t="s">
        <v>571</v>
      </c>
    </row>
    <row r="1179" spans="1:23">
      <c r="A1179" s="1655" t="s">
        <v>76</v>
      </c>
      <c r="B1179" s="1655" t="s">
        <v>2221</v>
      </c>
      <c r="C1179" s="1656">
        <v>0</v>
      </c>
      <c r="D1179" s="1655" t="s">
        <v>42</v>
      </c>
      <c r="E1179" s="1655" t="s">
        <v>571</v>
      </c>
      <c r="G1179" s="1655" t="s">
        <v>76</v>
      </c>
      <c r="H1179" s="1655" t="s">
        <v>2221</v>
      </c>
      <c r="I1179" s="1656">
        <v>0</v>
      </c>
      <c r="J1179" s="1655" t="s">
        <v>42</v>
      </c>
      <c r="K1179" s="1655" t="s">
        <v>571</v>
      </c>
      <c r="M1179" s="1655" t="s">
        <v>76</v>
      </c>
      <c r="N1179" s="1655" t="s">
        <v>2221</v>
      </c>
      <c r="O1179" s="1656">
        <v>0</v>
      </c>
      <c r="P1179" s="1655" t="s">
        <v>42</v>
      </c>
      <c r="Q1179" s="1655" t="s">
        <v>571</v>
      </c>
      <c r="S1179" s="1655" t="s">
        <v>76</v>
      </c>
      <c r="T1179" s="1655" t="s">
        <v>2221</v>
      </c>
      <c r="U1179" s="1656">
        <v>0</v>
      </c>
      <c r="V1179" s="1655" t="s">
        <v>42</v>
      </c>
      <c r="W1179" s="1655" t="s">
        <v>571</v>
      </c>
    </row>
    <row r="1180" spans="1:23">
      <c r="A1180" s="1655" t="s">
        <v>76</v>
      </c>
      <c r="B1180" s="1655" t="s">
        <v>2222</v>
      </c>
      <c r="C1180" s="1656">
        <v>0</v>
      </c>
      <c r="D1180" s="1655" t="s">
        <v>42</v>
      </c>
      <c r="E1180" s="1655" t="s">
        <v>571</v>
      </c>
      <c r="G1180" s="1655" t="s">
        <v>76</v>
      </c>
      <c r="H1180" s="1655" t="s">
        <v>2222</v>
      </c>
      <c r="I1180" s="1656">
        <v>0</v>
      </c>
      <c r="J1180" s="1655" t="s">
        <v>42</v>
      </c>
      <c r="K1180" s="1655" t="s">
        <v>571</v>
      </c>
      <c r="M1180" s="1655" t="s">
        <v>76</v>
      </c>
      <c r="N1180" s="1655" t="s">
        <v>2222</v>
      </c>
      <c r="O1180" s="1656">
        <v>0</v>
      </c>
      <c r="P1180" s="1655" t="s">
        <v>42</v>
      </c>
      <c r="Q1180" s="1655" t="s">
        <v>571</v>
      </c>
      <c r="S1180" s="1655" t="s">
        <v>76</v>
      </c>
      <c r="T1180" s="1655" t="s">
        <v>2222</v>
      </c>
      <c r="U1180" s="1656">
        <v>0</v>
      </c>
      <c r="V1180" s="1655" t="s">
        <v>42</v>
      </c>
      <c r="W1180" s="1655" t="s">
        <v>571</v>
      </c>
    </row>
    <row r="1181" spans="1:23">
      <c r="A1181" s="1655" t="s">
        <v>76</v>
      </c>
      <c r="B1181" s="1655" t="s">
        <v>2223</v>
      </c>
      <c r="C1181" s="1656">
        <v>0</v>
      </c>
      <c r="D1181" s="1655" t="s">
        <v>42</v>
      </c>
      <c r="E1181" s="1655" t="s">
        <v>571</v>
      </c>
      <c r="G1181" s="1655" t="s">
        <v>76</v>
      </c>
      <c r="H1181" s="1655" t="s">
        <v>2223</v>
      </c>
      <c r="I1181" s="1656">
        <v>0</v>
      </c>
      <c r="J1181" s="1655" t="s">
        <v>42</v>
      </c>
      <c r="K1181" s="1655" t="s">
        <v>571</v>
      </c>
      <c r="M1181" s="1655" t="s">
        <v>76</v>
      </c>
      <c r="N1181" s="1655" t="s">
        <v>2223</v>
      </c>
      <c r="O1181" s="1656">
        <v>0</v>
      </c>
      <c r="P1181" s="1655" t="s">
        <v>42</v>
      </c>
      <c r="Q1181" s="1655" t="s">
        <v>571</v>
      </c>
      <c r="S1181" s="1655" t="s">
        <v>76</v>
      </c>
      <c r="T1181" s="1655" t="s">
        <v>2223</v>
      </c>
      <c r="U1181" s="1656">
        <v>0</v>
      </c>
      <c r="V1181" s="1655" t="s">
        <v>42</v>
      </c>
      <c r="W1181" s="1655" t="s">
        <v>571</v>
      </c>
    </row>
    <row r="1182" spans="1:23">
      <c r="A1182" s="1655" t="s">
        <v>76</v>
      </c>
      <c r="B1182" s="1655" t="s">
        <v>2224</v>
      </c>
      <c r="C1182" s="1656">
        <v>0</v>
      </c>
      <c r="D1182" s="1655" t="s">
        <v>42</v>
      </c>
      <c r="E1182" s="1655" t="s">
        <v>571</v>
      </c>
      <c r="G1182" s="1655" t="s">
        <v>76</v>
      </c>
      <c r="H1182" s="1655" t="s">
        <v>2224</v>
      </c>
      <c r="I1182" s="1656">
        <v>0</v>
      </c>
      <c r="J1182" s="1655" t="s">
        <v>42</v>
      </c>
      <c r="K1182" s="1655" t="s">
        <v>571</v>
      </c>
      <c r="M1182" s="1655" t="s">
        <v>76</v>
      </c>
      <c r="N1182" s="1655" t="s">
        <v>2224</v>
      </c>
      <c r="O1182" s="1656">
        <v>0</v>
      </c>
      <c r="P1182" s="1655" t="s">
        <v>42</v>
      </c>
      <c r="Q1182" s="1655" t="s">
        <v>571</v>
      </c>
      <c r="S1182" s="1655" t="s">
        <v>76</v>
      </c>
      <c r="T1182" s="1655" t="s">
        <v>2224</v>
      </c>
      <c r="U1182" s="1656">
        <v>0</v>
      </c>
      <c r="V1182" s="1655" t="s">
        <v>42</v>
      </c>
      <c r="W1182" s="1655" t="s">
        <v>571</v>
      </c>
    </row>
    <row r="1183" spans="1:23">
      <c r="A1183" s="1655" t="s">
        <v>76</v>
      </c>
      <c r="B1183" s="1655" t="s">
        <v>2225</v>
      </c>
      <c r="C1183" s="1656">
        <v>0</v>
      </c>
      <c r="D1183" s="1655" t="s">
        <v>42</v>
      </c>
      <c r="E1183" s="1655" t="s">
        <v>571</v>
      </c>
      <c r="G1183" s="1655" t="s">
        <v>76</v>
      </c>
      <c r="H1183" s="1655" t="s">
        <v>2225</v>
      </c>
      <c r="I1183" s="1656">
        <v>0</v>
      </c>
      <c r="J1183" s="1655" t="s">
        <v>42</v>
      </c>
      <c r="K1183" s="1655" t="s">
        <v>571</v>
      </c>
      <c r="M1183" s="1655" t="s">
        <v>76</v>
      </c>
      <c r="N1183" s="1655" t="s">
        <v>2225</v>
      </c>
      <c r="O1183" s="1656">
        <v>0</v>
      </c>
      <c r="P1183" s="1655" t="s">
        <v>42</v>
      </c>
      <c r="Q1183" s="1655" t="s">
        <v>571</v>
      </c>
      <c r="S1183" s="1655" t="s">
        <v>76</v>
      </c>
      <c r="T1183" s="1655" t="s">
        <v>2225</v>
      </c>
      <c r="U1183" s="1656">
        <v>0</v>
      </c>
      <c r="V1183" s="1655" t="s">
        <v>42</v>
      </c>
      <c r="W1183" s="1655" t="s">
        <v>571</v>
      </c>
    </row>
    <row r="1184" spans="1:23">
      <c r="A1184" s="1655" t="s">
        <v>76</v>
      </c>
      <c r="B1184" s="1655" t="s">
        <v>2226</v>
      </c>
      <c r="C1184" s="1656">
        <v>0</v>
      </c>
      <c r="D1184" s="1655" t="s">
        <v>42</v>
      </c>
      <c r="E1184" s="1655" t="s">
        <v>571</v>
      </c>
      <c r="G1184" s="1655" t="s">
        <v>76</v>
      </c>
      <c r="H1184" s="1655" t="s">
        <v>2226</v>
      </c>
      <c r="I1184" s="1656">
        <v>0</v>
      </c>
      <c r="J1184" s="1655" t="s">
        <v>42</v>
      </c>
      <c r="K1184" s="1655" t="s">
        <v>571</v>
      </c>
      <c r="M1184" s="1655" t="s">
        <v>76</v>
      </c>
      <c r="N1184" s="1655" t="s">
        <v>2226</v>
      </c>
      <c r="O1184" s="1656">
        <v>0</v>
      </c>
      <c r="P1184" s="1655" t="s">
        <v>42</v>
      </c>
      <c r="Q1184" s="1655" t="s">
        <v>571</v>
      </c>
      <c r="S1184" s="1655" t="s">
        <v>76</v>
      </c>
      <c r="T1184" s="1655" t="s">
        <v>2226</v>
      </c>
      <c r="U1184" s="1656">
        <v>0</v>
      </c>
      <c r="V1184" s="1655" t="s">
        <v>42</v>
      </c>
      <c r="W1184" s="1655" t="s">
        <v>571</v>
      </c>
    </row>
    <row r="1185" spans="1:23">
      <c r="A1185" s="1655" t="s">
        <v>76</v>
      </c>
      <c r="B1185" s="1655" t="s">
        <v>2227</v>
      </c>
      <c r="C1185" s="1656">
        <v>0</v>
      </c>
      <c r="D1185" s="1655" t="s">
        <v>42</v>
      </c>
      <c r="E1185" s="1655" t="s">
        <v>571</v>
      </c>
      <c r="G1185" s="1655" t="s">
        <v>76</v>
      </c>
      <c r="H1185" s="1655" t="s">
        <v>2227</v>
      </c>
      <c r="I1185" s="1656">
        <v>0</v>
      </c>
      <c r="J1185" s="1655" t="s">
        <v>42</v>
      </c>
      <c r="K1185" s="1655" t="s">
        <v>571</v>
      </c>
      <c r="M1185" s="1655" t="s">
        <v>76</v>
      </c>
      <c r="N1185" s="1655" t="s">
        <v>2227</v>
      </c>
      <c r="O1185" s="1656">
        <v>0</v>
      </c>
      <c r="P1185" s="1655" t="s">
        <v>42</v>
      </c>
      <c r="Q1185" s="1655" t="s">
        <v>571</v>
      </c>
      <c r="S1185" s="1655" t="s">
        <v>76</v>
      </c>
      <c r="T1185" s="1655" t="s">
        <v>2227</v>
      </c>
      <c r="U1185" s="1656">
        <v>0</v>
      </c>
      <c r="V1185" s="1655" t="s">
        <v>42</v>
      </c>
      <c r="W1185" s="1655" t="s">
        <v>571</v>
      </c>
    </row>
    <row r="1186" spans="1:23">
      <c r="A1186" s="1655" t="s">
        <v>76</v>
      </c>
      <c r="B1186" s="1655" t="s">
        <v>2228</v>
      </c>
      <c r="C1186" s="1656">
        <v>0</v>
      </c>
      <c r="D1186" s="1655" t="s">
        <v>42</v>
      </c>
      <c r="E1186" s="1655" t="s">
        <v>571</v>
      </c>
      <c r="G1186" s="1655" t="s">
        <v>76</v>
      </c>
      <c r="H1186" s="1655" t="s">
        <v>2228</v>
      </c>
      <c r="I1186" s="1656">
        <v>0</v>
      </c>
      <c r="J1186" s="1655" t="s">
        <v>42</v>
      </c>
      <c r="K1186" s="1655" t="s">
        <v>571</v>
      </c>
      <c r="M1186" s="1655" t="s">
        <v>76</v>
      </c>
      <c r="N1186" s="1655" t="s">
        <v>2228</v>
      </c>
      <c r="O1186" s="1656">
        <v>0</v>
      </c>
      <c r="P1186" s="1655" t="s">
        <v>42</v>
      </c>
      <c r="Q1186" s="1655" t="s">
        <v>571</v>
      </c>
      <c r="S1186" s="1655" t="s">
        <v>76</v>
      </c>
      <c r="T1186" s="1655" t="s">
        <v>2228</v>
      </c>
      <c r="U1186" s="1656">
        <v>0</v>
      </c>
      <c r="V1186" s="1655" t="s">
        <v>42</v>
      </c>
      <c r="W1186" s="1655" t="s">
        <v>571</v>
      </c>
    </row>
    <row r="1187" spans="1:23">
      <c r="A1187" s="1655" t="s">
        <v>76</v>
      </c>
      <c r="B1187" s="1655" t="s">
        <v>2229</v>
      </c>
      <c r="C1187" s="1656">
        <v>0</v>
      </c>
      <c r="D1187" s="1655" t="s">
        <v>42</v>
      </c>
      <c r="E1187" s="1655" t="s">
        <v>571</v>
      </c>
      <c r="G1187" s="1655" t="s">
        <v>76</v>
      </c>
      <c r="H1187" s="1655" t="s">
        <v>2229</v>
      </c>
      <c r="I1187" s="1656">
        <v>0</v>
      </c>
      <c r="J1187" s="1655" t="s">
        <v>42</v>
      </c>
      <c r="K1187" s="1655" t="s">
        <v>571</v>
      </c>
      <c r="M1187" s="1655" t="s">
        <v>76</v>
      </c>
      <c r="N1187" s="1655" t="s">
        <v>2229</v>
      </c>
      <c r="O1187" s="1656">
        <v>0</v>
      </c>
      <c r="P1187" s="1655" t="s">
        <v>42</v>
      </c>
      <c r="Q1187" s="1655" t="s">
        <v>571</v>
      </c>
      <c r="S1187" s="1655" t="s">
        <v>76</v>
      </c>
      <c r="T1187" s="1655" t="s">
        <v>2229</v>
      </c>
      <c r="U1187" s="1656">
        <v>0</v>
      </c>
      <c r="V1187" s="1655" t="s">
        <v>42</v>
      </c>
      <c r="W1187" s="1655" t="s">
        <v>571</v>
      </c>
    </row>
    <row r="1188" spans="1:23">
      <c r="A1188" s="1655" t="s">
        <v>76</v>
      </c>
      <c r="B1188" s="1655" t="s">
        <v>2230</v>
      </c>
      <c r="C1188" s="1656">
        <v>0</v>
      </c>
      <c r="D1188" s="1655" t="s">
        <v>42</v>
      </c>
      <c r="E1188" s="1655" t="s">
        <v>571</v>
      </c>
      <c r="G1188" s="1655" t="s">
        <v>76</v>
      </c>
      <c r="H1188" s="1655" t="s">
        <v>2230</v>
      </c>
      <c r="I1188" s="1656">
        <v>0</v>
      </c>
      <c r="J1188" s="1655" t="s">
        <v>42</v>
      </c>
      <c r="K1188" s="1655" t="s">
        <v>571</v>
      </c>
      <c r="M1188" s="1655" t="s">
        <v>76</v>
      </c>
      <c r="N1188" s="1655" t="s">
        <v>2230</v>
      </c>
      <c r="O1188" s="1656">
        <v>0</v>
      </c>
      <c r="P1188" s="1655" t="s">
        <v>42</v>
      </c>
      <c r="Q1188" s="1655" t="s">
        <v>571</v>
      </c>
      <c r="S1188" s="1655" t="s">
        <v>76</v>
      </c>
      <c r="T1188" s="1655" t="s">
        <v>2230</v>
      </c>
      <c r="U1188" s="1656">
        <v>0</v>
      </c>
      <c r="V1188" s="1655" t="s">
        <v>42</v>
      </c>
      <c r="W1188" s="1655" t="s">
        <v>571</v>
      </c>
    </row>
    <row r="1189" spans="1:23">
      <c r="A1189" s="1655" t="s">
        <v>76</v>
      </c>
      <c r="B1189" s="1655" t="s">
        <v>2231</v>
      </c>
      <c r="C1189" s="1656">
        <v>0</v>
      </c>
      <c r="D1189" s="1655" t="s">
        <v>42</v>
      </c>
      <c r="E1189" s="1655" t="s">
        <v>571</v>
      </c>
      <c r="G1189" s="1655" t="s">
        <v>76</v>
      </c>
      <c r="H1189" s="1655" t="s">
        <v>2231</v>
      </c>
      <c r="I1189" s="1656">
        <v>0</v>
      </c>
      <c r="J1189" s="1655" t="s">
        <v>42</v>
      </c>
      <c r="K1189" s="1655" t="s">
        <v>571</v>
      </c>
      <c r="M1189" s="1655" t="s">
        <v>76</v>
      </c>
      <c r="N1189" s="1655" t="s">
        <v>2231</v>
      </c>
      <c r="O1189" s="1656">
        <v>0</v>
      </c>
      <c r="P1189" s="1655" t="s">
        <v>42</v>
      </c>
      <c r="Q1189" s="1655" t="s">
        <v>571</v>
      </c>
      <c r="S1189" s="1655" t="s">
        <v>76</v>
      </c>
      <c r="T1189" s="1655" t="s">
        <v>2231</v>
      </c>
      <c r="U1189" s="1656">
        <v>0</v>
      </c>
      <c r="V1189" s="1655" t="s">
        <v>42</v>
      </c>
      <c r="W1189" s="1655" t="s">
        <v>571</v>
      </c>
    </row>
    <row r="1190" spans="1:23">
      <c r="A1190" s="1655" t="s">
        <v>76</v>
      </c>
      <c r="B1190" s="1655" t="s">
        <v>2232</v>
      </c>
      <c r="C1190" s="1656">
        <v>0</v>
      </c>
      <c r="D1190" s="1655" t="s">
        <v>42</v>
      </c>
      <c r="E1190" s="1655" t="s">
        <v>571</v>
      </c>
      <c r="G1190" s="1655" t="s">
        <v>76</v>
      </c>
      <c r="H1190" s="1655" t="s">
        <v>2232</v>
      </c>
      <c r="I1190" s="1656">
        <v>0</v>
      </c>
      <c r="J1190" s="1655" t="s">
        <v>42</v>
      </c>
      <c r="K1190" s="1655" t="s">
        <v>571</v>
      </c>
      <c r="M1190" s="1655" t="s">
        <v>76</v>
      </c>
      <c r="N1190" s="1655" t="s">
        <v>2232</v>
      </c>
      <c r="O1190" s="1656">
        <v>0</v>
      </c>
      <c r="P1190" s="1655" t="s">
        <v>42</v>
      </c>
      <c r="Q1190" s="1655" t="s">
        <v>571</v>
      </c>
      <c r="S1190" s="1655" t="s">
        <v>76</v>
      </c>
      <c r="T1190" s="1655" t="s">
        <v>2232</v>
      </c>
      <c r="U1190" s="1656">
        <v>0</v>
      </c>
      <c r="V1190" s="1655" t="s">
        <v>42</v>
      </c>
      <c r="W1190" s="1655" t="s">
        <v>571</v>
      </c>
    </row>
    <row r="1191" spans="1:23">
      <c r="A1191" s="1655" t="s">
        <v>76</v>
      </c>
      <c r="B1191" s="1655" t="s">
        <v>2233</v>
      </c>
      <c r="C1191" s="1656">
        <v>0</v>
      </c>
      <c r="D1191" s="1655" t="s">
        <v>42</v>
      </c>
      <c r="E1191" s="1655" t="s">
        <v>571</v>
      </c>
      <c r="G1191" s="1655" t="s">
        <v>76</v>
      </c>
      <c r="H1191" s="1655" t="s">
        <v>2233</v>
      </c>
      <c r="I1191" s="1656">
        <v>0</v>
      </c>
      <c r="J1191" s="1655" t="s">
        <v>42</v>
      </c>
      <c r="K1191" s="1655" t="s">
        <v>571</v>
      </c>
      <c r="M1191" s="1655" t="s">
        <v>76</v>
      </c>
      <c r="N1191" s="1655" t="s">
        <v>2233</v>
      </c>
      <c r="O1191" s="1656">
        <v>0</v>
      </c>
      <c r="P1191" s="1655" t="s">
        <v>42</v>
      </c>
      <c r="Q1191" s="1655" t="s">
        <v>571</v>
      </c>
      <c r="S1191" s="1655" t="s">
        <v>76</v>
      </c>
      <c r="T1191" s="1655" t="s">
        <v>2233</v>
      </c>
      <c r="U1191" s="1656">
        <v>0</v>
      </c>
      <c r="V1191" s="1655" t="s">
        <v>42</v>
      </c>
      <c r="W1191" s="1655" t="s">
        <v>571</v>
      </c>
    </row>
    <row r="1192" spans="1:23">
      <c r="A1192" s="1655" t="s">
        <v>76</v>
      </c>
      <c r="B1192" s="1655" t="s">
        <v>2234</v>
      </c>
      <c r="C1192" s="1656">
        <v>0</v>
      </c>
      <c r="D1192" s="1655" t="s">
        <v>42</v>
      </c>
      <c r="E1192" s="1655" t="s">
        <v>571</v>
      </c>
      <c r="G1192" s="1655" t="s">
        <v>76</v>
      </c>
      <c r="H1192" s="1655" t="s">
        <v>2234</v>
      </c>
      <c r="I1192" s="1656">
        <v>0</v>
      </c>
      <c r="J1192" s="1655" t="s">
        <v>42</v>
      </c>
      <c r="K1192" s="1655" t="s">
        <v>571</v>
      </c>
      <c r="M1192" s="1655" t="s">
        <v>76</v>
      </c>
      <c r="N1192" s="1655" t="s">
        <v>2234</v>
      </c>
      <c r="O1192" s="1656">
        <v>0</v>
      </c>
      <c r="P1192" s="1655" t="s">
        <v>42</v>
      </c>
      <c r="Q1192" s="1655" t="s">
        <v>571</v>
      </c>
      <c r="S1192" s="1655" t="s">
        <v>76</v>
      </c>
      <c r="T1192" s="1655" t="s">
        <v>2234</v>
      </c>
      <c r="U1192" s="1656">
        <v>0</v>
      </c>
      <c r="V1192" s="1655" t="s">
        <v>42</v>
      </c>
      <c r="W1192" s="1655" t="s">
        <v>571</v>
      </c>
    </row>
    <row r="1193" spans="1:23">
      <c r="A1193" s="1655" t="s">
        <v>76</v>
      </c>
      <c r="B1193" s="1655" t="s">
        <v>2235</v>
      </c>
      <c r="C1193" s="1656">
        <v>0</v>
      </c>
      <c r="D1193" s="1655" t="s">
        <v>42</v>
      </c>
      <c r="E1193" s="1655" t="s">
        <v>571</v>
      </c>
      <c r="G1193" s="1655" t="s">
        <v>76</v>
      </c>
      <c r="H1193" s="1655" t="s">
        <v>2235</v>
      </c>
      <c r="I1193" s="1656">
        <v>0</v>
      </c>
      <c r="J1193" s="1655" t="s">
        <v>42</v>
      </c>
      <c r="K1193" s="1655" t="s">
        <v>571</v>
      </c>
      <c r="M1193" s="1655" t="s">
        <v>76</v>
      </c>
      <c r="N1193" s="1655" t="s">
        <v>2235</v>
      </c>
      <c r="O1193" s="1656">
        <v>0</v>
      </c>
      <c r="P1193" s="1655" t="s">
        <v>42</v>
      </c>
      <c r="Q1193" s="1655" t="s">
        <v>571</v>
      </c>
      <c r="S1193" s="1655" t="s">
        <v>76</v>
      </c>
      <c r="T1193" s="1655" t="s">
        <v>2235</v>
      </c>
      <c r="U1193" s="1656">
        <v>0</v>
      </c>
      <c r="V1193" s="1655" t="s">
        <v>42</v>
      </c>
      <c r="W1193" s="1655" t="s">
        <v>571</v>
      </c>
    </row>
    <row r="1194" spans="1:23">
      <c r="A1194" s="1655" t="s">
        <v>76</v>
      </c>
      <c r="B1194" s="1655" t="s">
        <v>2236</v>
      </c>
      <c r="C1194" s="1656">
        <v>0</v>
      </c>
      <c r="D1194" s="1655" t="s">
        <v>42</v>
      </c>
      <c r="E1194" s="1655" t="s">
        <v>571</v>
      </c>
      <c r="G1194" s="1655" t="s">
        <v>76</v>
      </c>
      <c r="H1194" s="1655" t="s">
        <v>2236</v>
      </c>
      <c r="I1194" s="1656">
        <v>0</v>
      </c>
      <c r="J1194" s="1655" t="s">
        <v>42</v>
      </c>
      <c r="K1194" s="1655" t="s">
        <v>571</v>
      </c>
      <c r="M1194" s="1655" t="s">
        <v>76</v>
      </c>
      <c r="N1194" s="1655" t="s">
        <v>2236</v>
      </c>
      <c r="O1194" s="1656">
        <v>0</v>
      </c>
      <c r="P1194" s="1655" t="s">
        <v>42</v>
      </c>
      <c r="Q1194" s="1655" t="s">
        <v>571</v>
      </c>
      <c r="S1194" s="1655" t="s">
        <v>76</v>
      </c>
      <c r="T1194" s="1655" t="s">
        <v>2236</v>
      </c>
      <c r="U1194" s="1656">
        <v>0</v>
      </c>
      <c r="V1194" s="1655" t="s">
        <v>42</v>
      </c>
      <c r="W1194" s="1655" t="s">
        <v>571</v>
      </c>
    </row>
    <row r="1195" spans="1:23">
      <c r="A1195" s="1655" t="s">
        <v>76</v>
      </c>
      <c r="B1195" s="1655" t="s">
        <v>2237</v>
      </c>
      <c r="C1195" s="1656">
        <v>0</v>
      </c>
      <c r="D1195" s="1655" t="s">
        <v>42</v>
      </c>
      <c r="E1195" s="1655" t="s">
        <v>571</v>
      </c>
      <c r="G1195" s="1655" t="s">
        <v>76</v>
      </c>
      <c r="H1195" s="1655" t="s">
        <v>2237</v>
      </c>
      <c r="I1195" s="1656">
        <v>0</v>
      </c>
      <c r="J1195" s="1655" t="s">
        <v>42</v>
      </c>
      <c r="K1195" s="1655" t="s">
        <v>571</v>
      </c>
      <c r="M1195" s="1655" t="s">
        <v>76</v>
      </c>
      <c r="N1195" s="1655" t="s">
        <v>2237</v>
      </c>
      <c r="O1195" s="1656">
        <v>0</v>
      </c>
      <c r="P1195" s="1655" t="s">
        <v>42</v>
      </c>
      <c r="Q1195" s="1655" t="s">
        <v>571</v>
      </c>
      <c r="S1195" s="1655" t="s">
        <v>76</v>
      </c>
      <c r="T1195" s="1655" t="s">
        <v>2237</v>
      </c>
      <c r="U1195" s="1656">
        <v>0</v>
      </c>
      <c r="V1195" s="1655" t="s">
        <v>42</v>
      </c>
      <c r="W1195" s="1655" t="s">
        <v>571</v>
      </c>
    </row>
    <row r="1196" spans="1:23">
      <c r="A1196" s="1655" t="s">
        <v>76</v>
      </c>
      <c r="B1196" s="1655" t="s">
        <v>2238</v>
      </c>
      <c r="C1196" s="1656">
        <v>0</v>
      </c>
      <c r="D1196" s="1655" t="s">
        <v>42</v>
      </c>
      <c r="E1196" s="1655" t="s">
        <v>571</v>
      </c>
      <c r="G1196" s="1655" t="s">
        <v>76</v>
      </c>
      <c r="H1196" s="1655" t="s">
        <v>2238</v>
      </c>
      <c r="I1196" s="1656">
        <v>0</v>
      </c>
      <c r="J1196" s="1655" t="s">
        <v>42</v>
      </c>
      <c r="K1196" s="1655" t="s">
        <v>571</v>
      </c>
      <c r="M1196" s="1655" t="s">
        <v>76</v>
      </c>
      <c r="N1196" s="1655" t="s">
        <v>2238</v>
      </c>
      <c r="O1196" s="1656">
        <v>0</v>
      </c>
      <c r="P1196" s="1655" t="s">
        <v>42</v>
      </c>
      <c r="Q1196" s="1655" t="s">
        <v>571</v>
      </c>
      <c r="S1196" s="1655" t="s">
        <v>76</v>
      </c>
      <c r="T1196" s="1655" t="s">
        <v>2238</v>
      </c>
      <c r="U1196" s="1656">
        <v>0</v>
      </c>
      <c r="V1196" s="1655" t="s">
        <v>42</v>
      </c>
      <c r="W1196" s="1655" t="s">
        <v>571</v>
      </c>
    </row>
    <row r="1197" spans="1:23">
      <c r="A1197" s="1655" t="s">
        <v>76</v>
      </c>
      <c r="B1197" s="1655" t="s">
        <v>2239</v>
      </c>
      <c r="C1197" s="1656">
        <v>0</v>
      </c>
      <c r="D1197" s="1655" t="s">
        <v>42</v>
      </c>
      <c r="E1197" s="1655" t="s">
        <v>571</v>
      </c>
      <c r="G1197" s="1655" t="s">
        <v>76</v>
      </c>
      <c r="H1197" s="1655" t="s">
        <v>2239</v>
      </c>
      <c r="I1197" s="1656">
        <v>0</v>
      </c>
      <c r="J1197" s="1655" t="s">
        <v>42</v>
      </c>
      <c r="K1197" s="1655" t="s">
        <v>571</v>
      </c>
      <c r="M1197" s="1655" t="s">
        <v>76</v>
      </c>
      <c r="N1197" s="1655" t="s">
        <v>2239</v>
      </c>
      <c r="O1197" s="1656">
        <v>0</v>
      </c>
      <c r="P1197" s="1655" t="s">
        <v>42</v>
      </c>
      <c r="Q1197" s="1655" t="s">
        <v>571</v>
      </c>
      <c r="S1197" s="1655" t="s">
        <v>76</v>
      </c>
      <c r="T1197" s="1655" t="s">
        <v>2239</v>
      </c>
      <c r="U1197" s="1656">
        <v>0</v>
      </c>
      <c r="V1197" s="1655" t="s">
        <v>42</v>
      </c>
      <c r="W1197" s="1655" t="s">
        <v>571</v>
      </c>
    </row>
    <row r="1198" spans="1:23">
      <c r="A1198" s="1655" t="s">
        <v>76</v>
      </c>
      <c r="B1198" s="1655" t="s">
        <v>2240</v>
      </c>
      <c r="C1198" s="1656">
        <v>0</v>
      </c>
      <c r="D1198" s="1655" t="s">
        <v>42</v>
      </c>
      <c r="E1198" s="1655" t="s">
        <v>571</v>
      </c>
      <c r="G1198" s="1655" t="s">
        <v>76</v>
      </c>
      <c r="H1198" s="1655" t="s">
        <v>2240</v>
      </c>
      <c r="I1198" s="1656">
        <v>0</v>
      </c>
      <c r="J1198" s="1655" t="s">
        <v>42</v>
      </c>
      <c r="K1198" s="1655" t="s">
        <v>571</v>
      </c>
      <c r="M1198" s="1655" t="s">
        <v>76</v>
      </c>
      <c r="N1198" s="1655" t="s">
        <v>2240</v>
      </c>
      <c r="O1198" s="1656">
        <v>0</v>
      </c>
      <c r="P1198" s="1655" t="s">
        <v>42</v>
      </c>
      <c r="Q1198" s="1655" t="s">
        <v>571</v>
      </c>
      <c r="S1198" s="1655" t="s">
        <v>76</v>
      </c>
      <c r="T1198" s="1655" t="s">
        <v>2240</v>
      </c>
      <c r="U1198" s="1656">
        <v>0</v>
      </c>
      <c r="V1198" s="1655" t="s">
        <v>42</v>
      </c>
      <c r="W1198" s="1655" t="s">
        <v>571</v>
      </c>
    </row>
    <row r="1199" spans="1:23">
      <c r="A1199" s="1655" t="s">
        <v>76</v>
      </c>
      <c r="B1199" s="1655" t="s">
        <v>2241</v>
      </c>
      <c r="C1199" s="1656">
        <v>0</v>
      </c>
      <c r="D1199" s="1655" t="s">
        <v>42</v>
      </c>
      <c r="E1199" s="1655" t="s">
        <v>571</v>
      </c>
      <c r="G1199" s="1655" t="s">
        <v>76</v>
      </c>
      <c r="H1199" s="1655" t="s">
        <v>2241</v>
      </c>
      <c r="I1199" s="1656">
        <v>0</v>
      </c>
      <c r="J1199" s="1655" t="s">
        <v>42</v>
      </c>
      <c r="K1199" s="1655" t="s">
        <v>571</v>
      </c>
      <c r="M1199" s="1655" t="s">
        <v>76</v>
      </c>
      <c r="N1199" s="1655" t="s">
        <v>2241</v>
      </c>
      <c r="O1199" s="1656">
        <v>0</v>
      </c>
      <c r="P1199" s="1655" t="s">
        <v>42</v>
      </c>
      <c r="Q1199" s="1655" t="s">
        <v>571</v>
      </c>
      <c r="S1199" s="1655" t="s">
        <v>76</v>
      </c>
      <c r="T1199" s="1655" t="s">
        <v>2241</v>
      </c>
      <c r="U1199" s="1656">
        <v>0</v>
      </c>
      <c r="V1199" s="1655" t="s">
        <v>42</v>
      </c>
      <c r="W1199" s="1655" t="s">
        <v>571</v>
      </c>
    </row>
    <row r="1200" spans="1:23">
      <c r="A1200" s="1655" t="s">
        <v>76</v>
      </c>
      <c r="B1200" s="1655" t="s">
        <v>2242</v>
      </c>
      <c r="C1200" s="1656">
        <v>0</v>
      </c>
      <c r="D1200" s="1655" t="s">
        <v>42</v>
      </c>
      <c r="E1200" s="1655" t="s">
        <v>571</v>
      </c>
      <c r="G1200" s="1655" t="s">
        <v>76</v>
      </c>
      <c r="H1200" s="1655" t="s">
        <v>2242</v>
      </c>
      <c r="I1200" s="1656">
        <v>0</v>
      </c>
      <c r="J1200" s="1655" t="s">
        <v>42</v>
      </c>
      <c r="K1200" s="1655" t="s">
        <v>571</v>
      </c>
      <c r="M1200" s="1655" t="s">
        <v>76</v>
      </c>
      <c r="N1200" s="1655" t="s">
        <v>2242</v>
      </c>
      <c r="O1200" s="1656">
        <v>0</v>
      </c>
      <c r="P1200" s="1655" t="s">
        <v>42</v>
      </c>
      <c r="Q1200" s="1655" t="s">
        <v>571</v>
      </c>
      <c r="S1200" s="1655" t="s">
        <v>76</v>
      </c>
      <c r="T1200" s="1655" t="s">
        <v>2242</v>
      </c>
      <c r="U1200" s="1656">
        <v>0</v>
      </c>
      <c r="V1200" s="1655" t="s">
        <v>42</v>
      </c>
      <c r="W1200" s="1655" t="s">
        <v>571</v>
      </c>
    </row>
    <row r="1201" spans="1:23">
      <c r="A1201" s="1655" t="s">
        <v>76</v>
      </c>
      <c r="B1201" s="1655" t="s">
        <v>2243</v>
      </c>
      <c r="C1201" s="1656">
        <v>0</v>
      </c>
      <c r="D1201" s="1655" t="s">
        <v>42</v>
      </c>
      <c r="E1201" s="1655" t="s">
        <v>571</v>
      </c>
      <c r="G1201" s="1655" t="s">
        <v>76</v>
      </c>
      <c r="H1201" s="1655" t="s">
        <v>2243</v>
      </c>
      <c r="I1201" s="1656">
        <v>0</v>
      </c>
      <c r="J1201" s="1655" t="s">
        <v>42</v>
      </c>
      <c r="K1201" s="1655" t="s">
        <v>571</v>
      </c>
      <c r="M1201" s="1655" t="s">
        <v>76</v>
      </c>
      <c r="N1201" s="1655" t="s">
        <v>2243</v>
      </c>
      <c r="O1201" s="1656">
        <v>0</v>
      </c>
      <c r="P1201" s="1655" t="s">
        <v>42</v>
      </c>
      <c r="Q1201" s="1655" t="s">
        <v>571</v>
      </c>
      <c r="S1201" s="1655" t="s">
        <v>76</v>
      </c>
      <c r="T1201" s="1655" t="s">
        <v>2243</v>
      </c>
      <c r="U1201" s="1656">
        <v>0</v>
      </c>
      <c r="V1201" s="1655" t="s">
        <v>42</v>
      </c>
      <c r="W1201" s="1655" t="s">
        <v>571</v>
      </c>
    </row>
    <row r="1202" spans="1:23">
      <c r="A1202" s="1655" t="s">
        <v>76</v>
      </c>
      <c r="B1202" s="1655" t="s">
        <v>2244</v>
      </c>
      <c r="C1202" s="1656">
        <v>0</v>
      </c>
      <c r="D1202" s="1655" t="s">
        <v>42</v>
      </c>
      <c r="E1202" s="1655" t="s">
        <v>571</v>
      </c>
      <c r="G1202" s="1655" t="s">
        <v>76</v>
      </c>
      <c r="H1202" s="1655" t="s">
        <v>2244</v>
      </c>
      <c r="I1202" s="1656">
        <v>0</v>
      </c>
      <c r="J1202" s="1655" t="s">
        <v>42</v>
      </c>
      <c r="K1202" s="1655" t="s">
        <v>571</v>
      </c>
      <c r="M1202" s="1655" t="s">
        <v>76</v>
      </c>
      <c r="N1202" s="1655" t="s">
        <v>2244</v>
      </c>
      <c r="O1202" s="1656">
        <v>0</v>
      </c>
      <c r="P1202" s="1655" t="s">
        <v>42</v>
      </c>
      <c r="Q1202" s="1655" t="s">
        <v>571</v>
      </c>
      <c r="S1202" s="1655" t="s">
        <v>76</v>
      </c>
      <c r="T1202" s="1655" t="s">
        <v>2244</v>
      </c>
      <c r="U1202" s="1656">
        <v>0</v>
      </c>
      <c r="V1202" s="1655" t="s">
        <v>42</v>
      </c>
      <c r="W1202" s="1655" t="s">
        <v>571</v>
      </c>
    </row>
    <row r="1203" spans="1:23">
      <c r="A1203" s="1655" t="s">
        <v>76</v>
      </c>
      <c r="B1203" s="1655" t="s">
        <v>2245</v>
      </c>
      <c r="C1203" s="1656">
        <v>0</v>
      </c>
      <c r="D1203" s="1655" t="s">
        <v>42</v>
      </c>
      <c r="E1203" s="1655" t="s">
        <v>571</v>
      </c>
      <c r="G1203" s="1655" t="s">
        <v>76</v>
      </c>
      <c r="H1203" s="1655" t="s">
        <v>2245</v>
      </c>
      <c r="I1203" s="1656">
        <v>0</v>
      </c>
      <c r="J1203" s="1655" t="s">
        <v>42</v>
      </c>
      <c r="K1203" s="1655" t="s">
        <v>571</v>
      </c>
      <c r="M1203" s="1655" t="s">
        <v>76</v>
      </c>
      <c r="N1203" s="1655" t="s">
        <v>2245</v>
      </c>
      <c r="O1203" s="1656">
        <v>0</v>
      </c>
      <c r="P1203" s="1655" t="s">
        <v>42</v>
      </c>
      <c r="Q1203" s="1655" t="s">
        <v>571</v>
      </c>
      <c r="S1203" s="1655" t="s">
        <v>76</v>
      </c>
      <c r="T1203" s="1655" t="s">
        <v>2245</v>
      </c>
      <c r="U1203" s="1656">
        <v>0</v>
      </c>
      <c r="V1203" s="1655" t="s">
        <v>42</v>
      </c>
      <c r="W1203" s="1655" t="s">
        <v>571</v>
      </c>
    </row>
    <row r="1204" spans="1:23">
      <c r="A1204" s="1655" t="s">
        <v>76</v>
      </c>
      <c r="B1204" s="1655" t="s">
        <v>2246</v>
      </c>
      <c r="C1204" s="1656">
        <v>0</v>
      </c>
      <c r="D1204" s="1655" t="s">
        <v>42</v>
      </c>
      <c r="E1204" s="1655" t="s">
        <v>571</v>
      </c>
      <c r="G1204" s="1655" t="s">
        <v>76</v>
      </c>
      <c r="H1204" s="1655" t="s">
        <v>2246</v>
      </c>
      <c r="I1204" s="1656">
        <v>0</v>
      </c>
      <c r="J1204" s="1655" t="s">
        <v>42</v>
      </c>
      <c r="K1204" s="1655" t="s">
        <v>571</v>
      </c>
      <c r="M1204" s="1655" t="s">
        <v>76</v>
      </c>
      <c r="N1204" s="1655" t="s">
        <v>2246</v>
      </c>
      <c r="O1204" s="1656">
        <v>0</v>
      </c>
      <c r="P1204" s="1655" t="s">
        <v>42</v>
      </c>
      <c r="Q1204" s="1655" t="s">
        <v>571</v>
      </c>
      <c r="S1204" s="1655" t="s">
        <v>76</v>
      </c>
      <c r="T1204" s="1655" t="s">
        <v>2246</v>
      </c>
      <c r="U1204" s="1656">
        <v>0</v>
      </c>
      <c r="V1204" s="1655" t="s">
        <v>42</v>
      </c>
      <c r="W1204" s="1655" t="s">
        <v>571</v>
      </c>
    </row>
    <row r="1205" spans="1:23">
      <c r="A1205" s="1655" t="s">
        <v>76</v>
      </c>
      <c r="B1205" s="1655" t="s">
        <v>2247</v>
      </c>
      <c r="C1205" s="1656">
        <v>0</v>
      </c>
      <c r="D1205" s="1655" t="s">
        <v>42</v>
      </c>
      <c r="E1205" s="1655" t="s">
        <v>571</v>
      </c>
      <c r="G1205" s="1655" t="s">
        <v>76</v>
      </c>
      <c r="H1205" s="1655" t="s">
        <v>2247</v>
      </c>
      <c r="I1205" s="1656">
        <v>0</v>
      </c>
      <c r="J1205" s="1655" t="s">
        <v>42</v>
      </c>
      <c r="K1205" s="1655" t="s">
        <v>571</v>
      </c>
      <c r="M1205" s="1655" t="s">
        <v>76</v>
      </c>
      <c r="N1205" s="1655" t="s">
        <v>2247</v>
      </c>
      <c r="O1205" s="1656">
        <v>0</v>
      </c>
      <c r="P1205" s="1655" t="s">
        <v>42</v>
      </c>
      <c r="Q1205" s="1655" t="s">
        <v>571</v>
      </c>
      <c r="S1205" s="1655" t="s">
        <v>76</v>
      </c>
      <c r="T1205" s="1655" t="s">
        <v>2247</v>
      </c>
      <c r="U1205" s="1656">
        <v>0</v>
      </c>
      <c r="V1205" s="1655" t="s">
        <v>42</v>
      </c>
      <c r="W1205" s="1655" t="s">
        <v>571</v>
      </c>
    </row>
    <row r="1206" spans="1:23">
      <c r="A1206" s="1655" t="s">
        <v>76</v>
      </c>
      <c r="B1206" s="1655" t="s">
        <v>2248</v>
      </c>
      <c r="C1206" s="1656">
        <v>0</v>
      </c>
      <c r="D1206" s="1655" t="s">
        <v>42</v>
      </c>
      <c r="E1206" s="1655" t="s">
        <v>571</v>
      </c>
      <c r="G1206" s="1655" t="s">
        <v>76</v>
      </c>
      <c r="H1206" s="1655" t="s">
        <v>2248</v>
      </c>
      <c r="I1206" s="1656">
        <v>0</v>
      </c>
      <c r="J1206" s="1655" t="s">
        <v>42</v>
      </c>
      <c r="K1206" s="1655" t="s">
        <v>571</v>
      </c>
      <c r="M1206" s="1655" t="s">
        <v>76</v>
      </c>
      <c r="N1206" s="1655" t="s">
        <v>2248</v>
      </c>
      <c r="O1206" s="1656">
        <v>0</v>
      </c>
      <c r="P1206" s="1655" t="s">
        <v>42</v>
      </c>
      <c r="Q1206" s="1655" t="s">
        <v>571</v>
      </c>
      <c r="S1206" s="1655" t="s">
        <v>76</v>
      </c>
      <c r="T1206" s="1655" t="s">
        <v>2248</v>
      </c>
      <c r="U1206" s="1656">
        <v>0</v>
      </c>
      <c r="V1206" s="1655" t="s">
        <v>42</v>
      </c>
      <c r="W1206" s="1655" t="s">
        <v>571</v>
      </c>
    </row>
    <row r="1207" spans="1:23">
      <c r="A1207" s="1655" t="s">
        <v>76</v>
      </c>
      <c r="B1207" s="1655" t="s">
        <v>2249</v>
      </c>
      <c r="C1207" s="1656">
        <v>0</v>
      </c>
      <c r="D1207" s="1655" t="s">
        <v>42</v>
      </c>
      <c r="E1207" s="1655" t="s">
        <v>571</v>
      </c>
      <c r="G1207" s="1655" t="s">
        <v>76</v>
      </c>
      <c r="H1207" s="1655" t="s">
        <v>2249</v>
      </c>
      <c r="I1207" s="1656">
        <v>0</v>
      </c>
      <c r="J1207" s="1655" t="s">
        <v>42</v>
      </c>
      <c r="K1207" s="1655" t="s">
        <v>571</v>
      </c>
      <c r="M1207" s="1655" t="s">
        <v>76</v>
      </c>
      <c r="N1207" s="1655" t="s">
        <v>2249</v>
      </c>
      <c r="O1207" s="1656">
        <v>0</v>
      </c>
      <c r="P1207" s="1655" t="s">
        <v>42</v>
      </c>
      <c r="Q1207" s="1655" t="s">
        <v>571</v>
      </c>
      <c r="S1207" s="1655" t="s">
        <v>76</v>
      </c>
      <c r="T1207" s="1655" t="s">
        <v>2249</v>
      </c>
      <c r="U1207" s="1656">
        <v>0</v>
      </c>
      <c r="V1207" s="1655" t="s">
        <v>42</v>
      </c>
      <c r="W1207" s="1655" t="s">
        <v>571</v>
      </c>
    </row>
    <row r="1208" spans="1:23">
      <c r="A1208" s="1655" t="s">
        <v>76</v>
      </c>
      <c r="B1208" s="1655" t="s">
        <v>2250</v>
      </c>
      <c r="C1208" s="1656">
        <v>0</v>
      </c>
      <c r="D1208" s="1655" t="s">
        <v>42</v>
      </c>
      <c r="E1208" s="1655" t="s">
        <v>571</v>
      </c>
      <c r="G1208" s="1655" t="s">
        <v>76</v>
      </c>
      <c r="H1208" s="1655" t="s">
        <v>2250</v>
      </c>
      <c r="I1208" s="1656">
        <v>0</v>
      </c>
      <c r="J1208" s="1655" t="s">
        <v>42</v>
      </c>
      <c r="K1208" s="1655" t="s">
        <v>571</v>
      </c>
      <c r="M1208" s="1655" t="s">
        <v>76</v>
      </c>
      <c r="N1208" s="1655" t="s">
        <v>2250</v>
      </c>
      <c r="O1208" s="1656">
        <v>0</v>
      </c>
      <c r="P1208" s="1655" t="s">
        <v>42</v>
      </c>
      <c r="Q1208" s="1655" t="s">
        <v>571</v>
      </c>
      <c r="S1208" s="1655" t="s">
        <v>76</v>
      </c>
      <c r="T1208" s="1655" t="s">
        <v>2250</v>
      </c>
      <c r="U1208" s="1656">
        <v>0</v>
      </c>
      <c r="V1208" s="1655" t="s">
        <v>42</v>
      </c>
      <c r="W1208" s="1655" t="s">
        <v>571</v>
      </c>
    </row>
    <row r="1209" spans="1:23">
      <c r="A1209" s="1655" t="s">
        <v>76</v>
      </c>
      <c r="B1209" s="1655" t="s">
        <v>2251</v>
      </c>
      <c r="C1209" s="1656">
        <v>0</v>
      </c>
      <c r="D1209" s="1655" t="s">
        <v>42</v>
      </c>
      <c r="E1209" s="1655" t="s">
        <v>571</v>
      </c>
      <c r="G1209" s="1655" t="s">
        <v>76</v>
      </c>
      <c r="H1209" s="1655" t="s">
        <v>2251</v>
      </c>
      <c r="I1209" s="1656">
        <v>0</v>
      </c>
      <c r="J1209" s="1655" t="s">
        <v>42</v>
      </c>
      <c r="K1209" s="1655" t="s">
        <v>571</v>
      </c>
      <c r="M1209" s="1655" t="s">
        <v>76</v>
      </c>
      <c r="N1209" s="1655" t="s">
        <v>2251</v>
      </c>
      <c r="O1209" s="1656">
        <v>0</v>
      </c>
      <c r="P1209" s="1655" t="s">
        <v>42</v>
      </c>
      <c r="Q1209" s="1655" t="s">
        <v>571</v>
      </c>
      <c r="S1209" s="1655" t="s">
        <v>76</v>
      </c>
      <c r="T1209" s="1655" t="s">
        <v>2251</v>
      </c>
      <c r="U1209" s="1656">
        <v>0</v>
      </c>
      <c r="V1209" s="1655" t="s">
        <v>42</v>
      </c>
      <c r="W1209" s="1655" t="s">
        <v>571</v>
      </c>
    </row>
    <row r="1210" spans="1:23">
      <c r="A1210" s="1655" t="s">
        <v>76</v>
      </c>
      <c r="B1210" s="1655" t="s">
        <v>2252</v>
      </c>
      <c r="C1210" s="1656">
        <v>0</v>
      </c>
      <c r="D1210" s="1655" t="s">
        <v>42</v>
      </c>
      <c r="E1210" s="1655" t="s">
        <v>571</v>
      </c>
      <c r="G1210" s="1655" t="s">
        <v>76</v>
      </c>
      <c r="H1210" s="1655" t="s">
        <v>2252</v>
      </c>
      <c r="I1210" s="1656">
        <v>0</v>
      </c>
      <c r="J1210" s="1655" t="s">
        <v>42</v>
      </c>
      <c r="K1210" s="1655" t="s">
        <v>571</v>
      </c>
      <c r="M1210" s="1655" t="s">
        <v>76</v>
      </c>
      <c r="N1210" s="1655" t="s">
        <v>2252</v>
      </c>
      <c r="O1210" s="1656">
        <v>0</v>
      </c>
      <c r="P1210" s="1655" t="s">
        <v>42</v>
      </c>
      <c r="Q1210" s="1655" t="s">
        <v>571</v>
      </c>
      <c r="S1210" s="1655" t="s">
        <v>76</v>
      </c>
      <c r="T1210" s="1655" t="s">
        <v>2252</v>
      </c>
      <c r="U1210" s="1656">
        <v>0</v>
      </c>
      <c r="V1210" s="1655" t="s">
        <v>42</v>
      </c>
      <c r="W1210" s="1655" t="s">
        <v>571</v>
      </c>
    </row>
    <row r="1211" spans="1:23">
      <c r="A1211" s="1655" t="s">
        <v>76</v>
      </c>
      <c r="B1211" s="1655" t="s">
        <v>2253</v>
      </c>
      <c r="C1211" s="1656">
        <v>0</v>
      </c>
      <c r="D1211" s="1655" t="s">
        <v>42</v>
      </c>
      <c r="E1211" s="1655" t="s">
        <v>571</v>
      </c>
      <c r="G1211" s="1655" t="s">
        <v>76</v>
      </c>
      <c r="H1211" s="1655" t="s">
        <v>2253</v>
      </c>
      <c r="I1211" s="1656">
        <v>0</v>
      </c>
      <c r="J1211" s="1655" t="s">
        <v>42</v>
      </c>
      <c r="K1211" s="1655" t="s">
        <v>571</v>
      </c>
      <c r="M1211" s="1655" t="s">
        <v>76</v>
      </c>
      <c r="N1211" s="1655" t="s">
        <v>2253</v>
      </c>
      <c r="O1211" s="1656">
        <v>0</v>
      </c>
      <c r="P1211" s="1655" t="s">
        <v>42</v>
      </c>
      <c r="Q1211" s="1655" t="s">
        <v>571</v>
      </c>
      <c r="S1211" s="1655" t="s">
        <v>76</v>
      </c>
      <c r="T1211" s="1655" t="s">
        <v>2253</v>
      </c>
      <c r="U1211" s="1656">
        <v>0</v>
      </c>
      <c r="V1211" s="1655" t="s">
        <v>42</v>
      </c>
      <c r="W1211" s="1655" t="s">
        <v>571</v>
      </c>
    </row>
    <row r="1212" spans="1:23">
      <c r="A1212" s="1655" t="s">
        <v>76</v>
      </c>
      <c r="B1212" s="1655" t="s">
        <v>2254</v>
      </c>
      <c r="C1212" s="1656">
        <v>0</v>
      </c>
      <c r="D1212" s="1655" t="s">
        <v>42</v>
      </c>
      <c r="E1212" s="1655" t="s">
        <v>571</v>
      </c>
      <c r="G1212" s="1655" t="s">
        <v>76</v>
      </c>
      <c r="H1212" s="1655" t="s">
        <v>2254</v>
      </c>
      <c r="I1212" s="1656">
        <v>0</v>
      </c>
      <c r="J1212" s="1655" t="s">
        <v>42</v>
      </c>
      <c r="K1212" s="1655" t="s">
        <v>571</v>
      </c>
      <c r="M1212" s="1655" t="s">
        <v>76</v>
      </c>
      <c r="N1212" s="1655" t="s">
        <v>2254</v>
      </c>
      <c r="O1212" s="1656">
        <v>0</v>
      </c>
      <c r="P1212" s="1655" t="s">
        <v>42</v>
      </c>
      <c r="Q1212" s="1655" t="s">
        <v>571</v>
      </c>
      <c r="S1212" s="1655" t="s">
        <v>76</v>
      </c>
      <c r="T1212" s="1655" t="s">
        <v>2254</v>
      </c>
      <c r="U1212" s="1656">
        <v>0</v>
      </c>
      <c r="V1212" s="1655" t="s">
        <v>42</v>
      </c>
      <c r="W1212" s="1655" t="s">
        <v>571</v>
      </c>
    </row>
    <row r="1213" spans="1:23">
      <c r="A1213" s="1655" t="s">
        <v>76</v>
      </c>
      <c r="B1213" s="1655" t="s">
        <v>2255</v>
      </c>
      <c r="C1213" s="1656">
        <v>0</v>
      </c>
      <c r="D1213" s="1655" t="s">
        <v>42</v>
      </c>
      <c r="E1213" s="1655" t="s">
        <v>571</v>
      </c>
      <c r="G1213" s="1655" t="s">
        <v>76</v>
      </c>
      <c r="H1213" s="1655" t="s">
        <v>2255</v>
      </c>
      <c r="I1213" s="1656">
        <v>0</v>
      </c>
      <c r="J1213" s="1655" t="s">
        <v>42</v>
      </c>
      <c r="K1213" s="1655" t="s">
        <v>571</v>
      </c>
      <c r="M1213" s="1655" t="s">
        <v>76</v>
      </c>
      <c r="N1213" s="1655" t="s">
        <v>2255</v>
      </c>
      <c r="O1213" s="1656">
        <v>0</v>
      </c>
      <c r="P1213" s="1655" t="s">
        <v>42</v>
      </c>
      <c r="Q1213" s="1655" t="s">
        <v>571</v>
      </c>
      <c r="S1213" s="1655" t="s">
        <v>76</v>
      </c>
      <c r="T1213" s="1655" t="s">
        <v>2255</v>
      </c>
      <c r="U1213" s="1656">
        <v>0</v>
      </c>
      <c r="V1213" s="1655" t="s">
        <v>42</v>
      </c>
      <c r="W1213" s="1655" t="s">
        <v>571</v>
      </c>
    </row>
    <row r="1214" spans="1:23">
      <c r="A1214" s="1655" t="s">
        <v>76</v>
      </c>
      <c r="B1214" s="1655" t="s">
        <v>2256</v>
      </c>
      <c r="C1214" s="1656">
        <v>0</v>
      </c>
      <c r="D1214" s="1655" t="s">
        <v>42</v>
      </c>
      <c r="E1214" s="1655" t="s">
        <v>571</v>
      </c>
      <c r="G1214" s="1655" t="s">
        <v>76</v>
      </c>
      <c r="H1214" s="1655" t="s">
        <v>2256</v>
      </c>
      <c r="I1214" s="1656">
        <v>0</v>
      </c>
      <c r="J1214" s="1655" t="s">
        <v>42</v>
      </c>
      <c r="K1214" s="1655" t="s">
        <v>571</v>
      </c>
      <c r="M1214" s="1655" t="s">
        <v>76</v>
      </c>
      <c r="N1214" s="1655" t="s">
        <v>2256</v>
      </c>
      <c r="O1214" s="1656">
        <v>0</v>
      </c>
      <c r="P1214" s="1655" t="s">
        <v>42</v>
      </c>
      <c r="Q1214" s="1655" t="s">
        <v>571</v>
      </c>
      <c r="S1214" s="1655" t="s">
        <v>76</v>
      </c>
      <c r="T1214" s="1655" t="s">
        <v>2256</v>
      </c>
      <c r="U1214" s="1656">
        <v>0</v>
      </c>
      <c r="V1214" s="1655" t="s">
        <v>42</v>
      </c>
      <c r="W1214" s="1655" t="s">
        <v>571</v>
      </c>
    </row>
    <row r="1215" spans="1:23">
      <c r="A1215" s="1655" t="s">
        <v>76</v>
      </c>
      <c r="B1215" s="1655" t="s">
        <v>2257</v>
      </c>
      <c r="C1215" s="1656">
        <v>0</v>
      </c>
      <c r="D1215" s="1655" t="s">
        <v>42</v>
      </c>
      <c r="E1215" s="1655" t="s">
        <v>571</v>
      </c>
      <c r="G1215" s="1655" t="s">
        <v>76</v>
      </c>
      <c r="H1215" s="1655" t="s">
        <v>2257</v>
      </c>
      <c r="I1215" s="1656">
        <v>0</v>
      </c>
      <c r="J1215" s="1655" t="s">
        <v>42</v>
      </c>
      <c r="K1215" s="1655" t="s">
        <v>571</v>
      </c>
      <c r="M1215" s="1655" t="s">
        <v>76</v>
      </c>
      <c r="N1215" s="1655" t="s">
        <v>2257</v>
      </c>
      <c r="O1215" s="1656">
        <v>0</v>
      </c>
      <c r="P1215" s="1655" t="s">
        <v>42</v>
      </c>
      <c r="Q1215" s="1655" t="s">
        <v>571</v>
      </c>
      <c r="S1215" s="1655" t="s">
        <v>76</v>
      </c>
      <c r="T1215" s="1655" t="s">
        <v>2257</v>
      </c>
      <c r="U1215" s="1656">
        <v>0</v>
      </c>
      <c r="V1215" s="1655" t="s">
        <v>42</v>
      </c>
      <c r="W1215" s="1655" t="s">
        <v>571</v>
      </c>
    </row>
    <row r="1216" spans="1:23">
      <c r="A1216" s="1655" t="s">
        <v>76</v>
      </c>
      <c r="B1216" s="1655" t="s">
        <v>2258</v>
      </c>
      <c r="C1216" s="1656">
        <v>0</v>
      </c>
      <c r="D1216" s="1655" t="s">
        <v>42</v>
      </c>
      <c r="E1216" s="1655" t="s">
        <v>571</v>
      </c>
      <c r="G1216" s="1655" t="s">
        <v>76</v>
      </c>
      <c r="H1216" s="1655" t="s">
        <v>2258</v>
      </c>
      <c r="I1216" s="1656">
        <v>0</v>
      </c>
      <c r="J1216" s="1655" t="s">
        <v>42</v>
      </c>
      <c r="K1216" s="1655" t="s">
        <v>571</v>
      </c>
      <c r="M1216" s="1655" t="s">
        <v>76</v>
      </c>
      <c r="N1216" s="1655" t="s">
        <v>2258</v>
      </c>
      <c r="O1216" s="1656">
        <v>0</v>
      </c>
      <c r="P1216" s="1655" t="s">
        <v>42</v>
      </c>
      <c r="Q1216" s="1655" t="s">
        <v>571</v>
      </c>
      <c r="S1216" s="1655" t="s">
        <v>76</v>
      </c>
      <c r="T1216" s="1655" t="s">
        <v>2258</v>
      </c>
      <c r="U1216" s="1656">
        <v>0</v>
      </c>
      <c r="V1216" s="1655" t="s">
        <v>42</v>
      </c>
      <c r="W1216" s="1655" t="s">
        <v>571</v>
      </c>
    </row>
    <row r="1217" spans="1:23">
      <c r="A1217" s="1655" t="s">
        <v>76</v>
      </c>
      <c r="B1217" s="1655" t="s">
        <v>2259</v>
      </c>
      <c r="C1217" s="1656">
        <v>0</v>
      </c>
      <c r="D1217" s="1655" t="s">
        <v>42</v>
      </c>
      <c r="E1217" s="1655" t="s">
        <v>571</v>
      </c>
      <c r="G1217" s="1655" t="s">
        <v>76</v>
      </c>
      <c r="H1217" s="1655" t="s">
        <v>2259</v>
      </c>
      <c r="I1217" s="1656">
        <v>0</v>
      </c>
      <c r="J1217" s="1655" t="s">
        <v>42</v>
      </c>
      <c r="K1217" s="1655" t="s">
        <v>571</v>
      </c>
      <c r="M1217" s="1655" t="s">
        <v>76</v>
      </c>
      <c r="N1217" s="1655" t="s">
        <v>2259</v>
      </c>
      <c r="O1217" s="1656">
        <v>0</v>
      </c>
      <c r="P1217" s="1655" t="s">
        <v>42</v>
      </c>
      <c r="Q1217" s="1655" t="s">
        <v>571</v>
      </c>
      <c r="S1217" s="1655" t="s">
        <v>76</v>
      </c>
      <c r="T1217" s="1655" t="s">
        <v>2259</v>
      </c>
      <c r="U1217" s="1656">
        <v>0</v>
      </c>
      <c r="V1217" s="1655" t="s">
        <v>42</v>
      </c>
      <c r="W1217" s="1655" t="s">
        <v>571</v>
      </c>
    </row>
    <row r="1218" spans="1:23">
      <c r="A1218" s="1655" t="s">
        <v>76</v>
      </c>
      <c r="B1218" s="1655" t="s">
        <v>2260</v>
      </c>
      <c r="C1218" s="1656">
        <v>0</v>
      </c>
      <c r="D1218" s="1655" t="s">
        <v>42</v>
      </c>
      <c r="E1218" s="1655" t="s">
        <v>571</v>
      </c>
      <c r="G1218" s="1655" t="s">
        <v>76</v>
      </c>
      <c r="H1218" s="1655" t="s">
        <v>2260</v>
      </c>
      <c r="I1218" s="1656">
        <v>0</v>
      </c>
      <c r="J1218" s="1655" t="s">
        <v>42</v>
      </c>
      <c r="K1218" s="1655" t="s">
        <v>571</v>
      </c>
      <c r="M1218" s="1655" t="s">
        <v>76</v>
      </c>
      <c r="N1218" s="1655" t="s">
        <v>2260</v>
      </c>
      <c r="O1218" s="1656">
        <v>0</v>
      </c>
      <c r="P1218" s="1655" t="s">
        <v>42</v>
      </c>
      <c r="Q1218" s="1655" t="s">
        <v>571</v>
      </c>
      <c r="S1218" s="1655" t="s">
        <v>76</v>
      </c>
      <c r="T1218" s="1655" t="s">
        <v>2260</v>
      </c>
      <c r="U1218" s="1656">
        <v>0</v>
      </c>
      <c r="V1218" s="1655" t="s">
        <v>42</v>
      </c>
      <c r="W1218" s="1655" t="s">
        <v>571</v>
      </c>
    </row>
    <row r="1219" spans="1:23">
      <c r="A1219" s="1655" t="s">
        <v>76</v>
      </c>
      <c r="B1219" s="1655" t="s">
        <v>2261</v>
      </c>
      <c r="C1219" s="1656">
        <v>0</v>
      </c>
      <c r="D1219" s="1655" t="s">
        <v>42</v>
      </c>
      <c r="E1219" s="1655" t="s">
        <v>571</v>
      </c>
      <c r="G1219" s="1655" t="s">
        <v>76</v>
      </c>
      <c r="H1219" s="1655" t="s">
        <v>2261</v>
      </c>
      <c r="I1219" s="1656">
        <v>0</v>
      </c>
      <c r="J1219" s="1655" t="s">
        <v>42</v>
      </c>
      <c r="K1219" s="1655" t="s">
        <v>571</v>
      </c>
      <c r="M1219" s="1655" t="s">
        <v>76</v>
      </c>
      <c r="N1219" s="1655" t="s">
        <v>2261</v>
      </c>
      <c r="O1219" s="1656">
        <v>0</v>
      </c>
      <c r="P1219" s="1655" t="s">
        <v>42</v>
      </c>
      <c r="Q1219" s="1655" t="s">
        <v>571</v>
      </c>
      <c r="S1219" s="1655" t="s">
        <v>76</v>
      </c>
      <c r="T1219" s="1655" t="s">
        <v>2261</v>
      </c>
      <c r="U1219" s="1656">
        <v>0</v>
      </c>
      <c r="V1219" s="1655" t="s">
        <v>42</v>
      </c>
      <c r="W1219" s="1655" t="s">
        <v>571</v>
      </c>
    </row>
    <row r="1220" spans="1:23">
      <c r="A1220" s="1655" t="s">
        <v>76</v>
      </c>
      <c r="B1220" s="1655" t="s">
        <v>2262</v>
      </c>
      <c r="C1220" s="1656">
        <v>0</v>
      </c>
      <c r="D1220" s="1655" t="s">
        <v>42</v>
      </c>
      <c r="E1220" s="1655" t="s">
        <v>571</v>
      </c>
      <c r="G1220" s="1655" t="s">
        <v>76</v>
      </c>
      <c r="H1220" s="1655" t="s">
        <v>2262</v>
      </c>
      <c r="I1220" s="1656">
        <v>0</v>
      </c>
      <c r="J1220" s="1655" t="s">
        <v>42</v>
      </c>
      <c r="K1220" s="1655" t="s">
        <v>571</v>
      </c>
      <c r="M1220" s="1655" t="s">
        <v>76</v>
      </c>
      <c r="N1220" s="1655" t="s">
        <v>2262</v>
      </c>
      <c r="O1220" s="1656">
        <v>0</v>
      </c>
      <c r="P1220" s="1655" t="s">
        <v>42</v>
      </c>
      <c r="Q1220" s="1655" t="s">
        <v>571</v>
      </c>
      <c r="S1220" s="1655" t="s">
        <v>76</v>
      </c>
      <c r="T1220" s="1655" t="s">
        <v>2262</v>
      </c>
      <c r="U1220" s="1656">
        <v>0</v>
      </c>
      <c r="V1220" s="1655" t="s">
        <v>42</v>
      </c>
      <c r="W1220" s="1655" t="s">
        <v>571</v>
      </c>
    </row>
    <row r="1221" spans="1:23">
      <c r="A1221" s="1655" t="s">
        <v>76</v>
      </c>
      <c r="B1221" s="1655" t="s">
        <v>2263</v>
      </c>
      <c r="C1221" s="1656">
        <v>0</v>
      </c>
      <c r="D1221" s="1655" t="s">
        <v>42</v>
      </c>
      <c r="E1221" s="1655" t="s">
        <v>571</v>
      </c>
      <c r="G1221" s="1655" t="s">
        <v>76</v>
      </c>
      <c r="H1221" s="1655" t="s">
        <v>2263</v>
      </c>
      <c r="I1221" s="1658">
        <v>0</v>
      </c>
      <c r="J1221" s="1655" t="s">
        <v>42</v>
      </c>
      <c r="K1221" s="1655" t="s">
        <v>571</v>
      </c>
      <c r="M1221" s="1655" t="s">
        <v>76</v>
      </c>
      <c r="N1221" s="1655" t="s">
        <v>2263</v>
      </c>
      <c r="O1221" s="1658">
        <v>0</v>
      </c>
      <c r="P1221" s="1655" t="s">
        <v>42</v>
      </c>
      <c r="Q1221" s="1655" t="s">
        <v>571</v>
      </c>
      <c r="S1221" s="1655" t="s">
        <v>76</v>
      </c>
      <c r="T1221" s="1655" t="s">
        <v>2263</v>
      </c>
      <c r="U1221" s="1656">
        <v>0</v>
      </c>
      <c r="V1221" s="1655" t="s">
        <v>42</v>
      </c>
      <c r="W1221" s="1655" t="s">
        <v>571</v>
      </c>
    </row>
    <row r="1222" spans="1:23">
      <c r="A1222" s="1655" t="s">
        <v>76</v>
      </c>
      <c r="B1222" s="1655" t="s">
        <v>2264</v>
      </c>
      <c r="C1222" s="1656">
        <v>0</v>
      </c>
      <c r="D1222" s="1655" t="s">
        <v>42</v>
      </c>
      <c r="E1222" s="1655" t="s">
        <v>571</v>
      </c>
      <c r="G1222" s="1655" t="s">
        <v>76</v>
      </c>
      <c r="H1222" s="1655" t="s">
        <v>2264</v>
      </c>
      <c r="I1222" s="1657">
        <v>0</v>
      </c>
      <c r="J1222" s="1655" t="s">
        <v>42</v>
      </c>
      <c r="K1222" s="1655" t="s">
        <v>571</v>
      </c>
      <c r="M1222" s="1655" t="s">
        <v>76</v>
      </c>
      <c r="N1222" s="1655" t="s">
        <v>2264</v>
      </c>
      <c r="O1222" s="1657">
        <v>0</v>
      </c>
      <c r="P1222" s="1655" t="s">
        <v>42</v>
      </c>
      <c r="Q1222" s="1655" t="s">
        <v>571</v>
      </c>
      <c r="S1222" s="1655" t="s">
        <v>76</v>
      </c>
      <c r="T1222" s="1655" t="s">
        <v>2264</v>
      </c>
      <c r="U1222" s="1656">
        <v>0</v>
      </c>
      <c r="V1222" s="1655" t="s">
        <v>42</v>
      </c>
      <c r="W1222" s="1655" t="s">
        <v>571</v>
      </c>
    </row>
    <row r="1223" spans="1:23">
      <c r="A1223" s="1655" t="s">
        <v>76</v>
      </c>
      <c r="B1223" s="1655" t="s">
        <v>2265</v>
      </c>
      <c r="C1223" s="1656">
        <v>0</v>
      </c>
      <c r="D1223" s="1655" t="s">
        <v>42</v>
      </c>
      <c r="E1223" s="1655" t="s">
        <v>571</v>
      </c>
      <c r="G1223" s="1655" t="s">
        <v>76</v>
      </c>
      <c r="H1223" s="1655" t="s">
        <v>2265</v>
      </c>
      <c r="I1223" s="1657">
        <v>0</v>
      </c>
      <c r="J1223" s="1655" t="s">
        <v>42</v>
      </c>
      <c r="K1223" s="1655" t="s">
        <v>571</v>
      </c>
      <c r="M1223" s="1655" t="s">
        <v>76</v>
      </c>
      <c r="N1223" s="1655" t="s">
        <v>2265</v>
      </c>
      <c r="O1223" s="1657">
        <v>0</v>
      </c>
      <c r="P1223" s="1655" t="s">
        <v>42</v>
      </c>
      <c r="Q1223" s="1655" t="s">
        <v>571</v>
      </c>
      <c r="S1223" s="1655" t="s">
        <v>76</v>
      </c>
      <c r="T1223" s="1655" t="s">
        <v>2265</v>
      </c>
      <c r="U1223" s="1656">
        <v>0</v>
      </c>
      <c r="V1223" s="1655" t="s">
        <v>42</v>
      </c>
      <c r="W1223" s="1655" t="s">
        <v>571</v>
      </c>
    </row>
    <row r="1224" spans="1:23">
      <c r="A1224" s="1655" t="s">
        <v>76</v>
      </c>
      <c r="B1224" s="1655" t="s">
        <v>2266</v>
      </c>
      <c r="C1224" s="1656">
        <v>0</v>
      </c>
      <c r="D1224" s="1655" t="s">
        <v>42</v>
      </c>
      <c r="E1224" s="1655" t="s">
        <v>571</v>
      </c>
      <c r="G1224" s="1655" t="s">
        <v>76</v>
      </c>
      <c r="H1224" s="1655" t="s">
        <v>2266</v>
      </c>
      <c r="I1224" s="1657">
        <v>0</v>
      </c>
      <c r="J1224" s="1655" t="s">
        <v>42</v>
      </c>
      <c r="K1224" s="1655" t="s">
        <v>571</v>
      </c>
      <c r="M1224" s="1655" t="s">
        <v>76</v>
      </c>
      <c r="N1224" s="1655" t="s">
        <v>2266</v>
      </c>
      <c r="O1224" s="1657">
        <v>0</v>
      </c>
      <c r="P1224" s="1655" t="s">
        <v>42</v>
      </c>
      <c r="Q1224" s="1655" t="s">
        <v>571</v>
      </c>
      <c r="S1224" s="1655" t="s">
        <v>76</v>
      </c>
      <c r="T1224" s="1655" t="s">
        <v>2266</v>
      </c>
      <c r="U1224" s="1656">
        <v>0</v>
      </c>
      <c r="V1224" s="1655" t="s">
        <v>42</v>
      </c>
      <c r="W1224" s="1655" t="s">
        <v>571</v>
      </c>
    </row>
    <row r="1225" spans="1:23">
      <c r="A1225" s="1655" t="s">
        <v>76</v>
      </c>
      <c r="B1225" s="1655" t="s">
        <v>2267</v>
      </c>
      <c r="C1225" s="1656">
        <v>0</v>
      </c>
      <c r="D1225" s="1655" t="s">
        <v>42</v>
      </c>
      <c r="E1225" s="1655" t="s">
        <v>571</v>
      </c>
      <c r="G1225" s="1655" t="s">
        <v>76</v>
      </c>
      <c r="H1225" s="1655" t="s">
        <v>2267</v>
      </c>
      <c r="I1225" s="1656">
        <v>0</v>
      </c>
      <c r="J1225" s="1655" t="s">
        <v>42</v>
      </c>
      <c r="K1225" s="1655" t="s">
        <v>571</v>
      </c>
      <c r="M1225" s="1655" t="s">
        <v>76</v>
      </c>
      <c r="N1225" s="1655" t="s">
        <v>2267</v>
      </c>
      <c r="O1225" s="1656">
        <v>0</v>
      </c>
      <c r="P1225" s="1655" t="s">
        <v>42</v>
      </c>
      <c r="Q1225" s="1655" t="s">
        <v>571</v>
      </c>
      <c r="S1225" s="1655" t="s">
        <v>76</v>
      </c>
      <c r="T1225" s="1655" t="s">
        <v>2267</v>
      </c>
      <c r="U1225" s="1656">
        <v>0</v>
      </c>
      <c r="V1225" s="1655" t="s">
        <v>42</v>
      </c>
      <c r="W1225" s="1655" t="s">
        <v>571</v>
      </c>
    </row>
    <row r="1226" spans="1:23">
      <c r="A1226" s="1655" t="s">
        <v>76</v>
      </c>
      <c r="B1226" s="1655" t="s">
        <v>2268</v>
      </c>
      <c r="C1226" s="1656">
        <v>0</v>
      </c>
      <c r="D1226" s="1655" t="s">
        <v>42</v>
      </c>
      <c r="E1226" s="1655" t="s">
        <v>571</v>
      </c>
      <c r="G1226" s="1655" t="s">
        <v>76</v>
      </c>
      <c r="H1226" s="1655" t="s">
        <v>2268</v>
      </c>
      <c r="I1226" s="1657">
        <v>0</v>
      </c>
      <c r="J1226" s="1655" t="s">
        <v>42</v>
      </c>
      <c r="K1226" s="1655" t="s">
        <v>571</v>
      </c>
      <c r="M1226" s="1655" t="s">
        <v>76</v>
      </c>
      <c r="N1226" s="1655" t="s">
        <v>2268</v>
      </c>
      <c r="O1226" s="1657">
        <v>0</v>
      </c>
      <c r="P1226" s="1655" t="s">
        <v>42</v>
      </c>
      <c r="Q1226" s="1655" t="s">
        <v>571</v>
      </c>
      <c r="S1226" s="1655" t="s">
        <v>76</v>
      </c>
      <c r="T1226" s="1655" t="s">
        <v>2268</v>
      </c>
      <c r="U1226" s="1656">
        <v>0</v>
      </c>
      <c r="V1226" s="1655" t="s">
        <v>42</v>
      </c>
      <c r="W1226" s="1655" t="s">
        <v>571</v>
      </c>
    </row>
    <row r="1227" spans="1:23">
      <c r="A1227" s="1655" t="s">
        <v>76</v>
      </c>
      <c r="B1227" s="1655" t="s">
        <v>2269</v>
      </c>
      <c r="C1227" s="1656">
        <v>0</v>
      </c>
      <c r="D1227" s="1655" t="s">
        <v>42</v>
      </c>
      <c r="E1227" s="1655" t="s">
        <v>571</v>
      </c>
      <c r="G1227" s="1655" t="s">
        <v>76</v>
      </c>
      <c r="H1227" s="1655" t="s">
        <v>2269</v>
      </c>
      <c r="I1227" s="1657">
        <v>0</v>
      </c>
      <c r="J1227" s="1655" t="s">
        <v>42</v>
      </c>
      <c r="K1227" s="1655" t="s">
        <v>571</v>
      </c>
      <c r="M1227" s="1655" t="s">
        <v>76</v>
      </c>
      <c r="N1227" s="1655" t="s">
        <v>2269</v>
      </c>
      <c r="O1227" s="1657">
        <v>0</v>
      </c>
      <c r="P1227" s="1655" t="s">
        <v>42</v>
      </c>
      <c r="Q1227" s="1655" t="s">
        <v>571</v>
      </c>
      <c r="S1227" s="1655" t="s">
        <v>76</v>
      </c>
      <c r="T1227" s="1655" t="s">
        <v>2269</v>
      </c>
      <c r="U1227" s="1656">
        <v>0</v>
      </c>
      <c r="V1227" s="1655" t="s">
        <v>42</v>
      </c>
      <c r="W1227" s="1655" t="s">
        <v>571</v>
      </c>
    </row>
    <row r="1228" spans="1:23">
      <c r="A1228" s="1655" t="s">
        <v>76</v>
      </c>
      <c r="B1228" s="1655" t="s">
        <v>2270</v>
      </c>
      <c r="C1228" s="1659">
        <v>0</v>
      </c>
      <c r="D1228" s="1655" t="s">
        <v>42</v>
      </c>
      <c r="E1228" s="1655" t="s">
        <v>571</v>
      </c>
      <c r="G1228" s="1655" t="s">
        <v>76</v>
      </c>
      <c r="H1228" s="1655" t="s">
        <v>2270</v>
      </c>
      <c r="I1228" s="1659">
        <v>0</v>
      </c>
      <c r="J1228" s="1655" t="s">
        <v>42</v>
      </c>
      <c r="K1228" s="1655" t="s">
        <v>571</v>
      </c>
      <c r="M1228" s="1655" t="s">
        <v>76</v>
      </c>
      <c r="N1228" s="1655" t="s">
        <v>2270</v>
      </c>
      <c r="O1228" s="1659">
        <v>0</v>
      </c>
      <c r="P1228" s="1655" t="s">
        <v>42</v>
      </c>
      <c r="Q1228" s="1655" t="s">
        <v>571</v>
      </c>
      <c r="S1228" s="1655" t="s">
        <v>76</v>
      </c>
      <c r="T1228" s="1655" t="s">
        <v>2270</v>
      </c>
      <c r="U1228" s="1659">
        <v>0</v>
      </c>
      <c r="V1228" s="1655" t="s">
        <v>42</v>
      </c>
      <c r="W1228" s="1655" t="s">
        <v>571</v>
      </c>
    </row>
    <row r="1229" spans="1:23">
      <c r="A1229" s="1655" t="s">
        <v>76</v>
      </c>
      <c r="B1229" s="1655" t="s">
        <v>2271</v>
      </c>
      <c r="C1229" s="1656">
        <v>0</v>
      </c>
      <c r="D1229" s="1655" t="s">
        <v>42</v>
      </c>
      <c r="E1229" s="1655" t="s">
        <v>571</v>
      </c>
      <c r="G1229" s="1655" t="s">
        <v>76</v>
      </c>
      <c r="H1229" s="1655" t="s">
        <v>2271</v>
      </c>
      <c r="I1229" s="1656">
        <v>0</v>
      </c>
      <c r="J1229" s="1655" t="s">
        <v>42</v>
      </c>
      <c r="K1229" s="1655" t="s">
        <v>571</v>
      </c>
      <c r="M1229" s="1655" t="s">
        <v>76</v>
      </c>
      <c r="N1229" s="1655" t="s">
        <v>2271</v>
      </c>
      <c r="O1229" s="1656">
        <v>0</v>
      </c>
      <c r="P1229" s="1655" t="s">
        <v>42</v>
      </c>
      <c r="Q1229" s="1655" t="s">
        <v>571</v>
      </c>
      <c r="S1229" s="1655" t="s">
        <v>76</v>
      </c>
      <c r="T1229" s="1655" t="s">
        <v>2271</v>
      </c>
      <c r="U1229" s="1656">
        <v>0</v>
      </c>
      <c r="V1229" s="1655" t="s">
        <v>42</v>
      </c>
      <c r="W1229" s="1655" t="s">
        <v>571</v>
      </c>
    </row>
    <row r="1230" spans="1:23">
      <c r="A1230" s="1655" t="s">
        <v>76</v>
      </c>
      <c r="B1230" s="1655" t="s">
        <v>2272</v>
      </c>
      <c r="C1230" s="1656">
        <v>0</v>
      </c>
      <c r="D1230" s="1655" t="s">
        <v>42</v>
      </c>
      <c r="E1230" s="1655" t="s">
        <v>571</v>
      </c>
      <c r="G1230" s="1655" t="s">
        <v>76</v>
      </c>
      <c r="H1230" s="1655" t="s">
        <v>2272</v>
      </c>
      <c r="I1230" s="1656">
        <v>0</v>
      </c>
      <c r="J1230" s="1655" t="s">
        <v>42</v>
      </c>
      <c r="K1230" s="1655" t="s">
        <v>571</v>
      </c>
      <c r="M1230" s="1655" t="s">
        <v>76</v>
      </c>
      <c r="N1230" s="1655" t="s">
        <v>2272</v>
      </c>
      <c r="O1230" s="1656">
        <v>0</v>
      </c>
      <c r="P1230" s="1655" t="s">
        <v>42</v>
      </c>
      <c r="Q1230" s="1655" t="s">
        <v>571</v>
      </c>
      <c r="S1230" s="1655" t="s">
        <v>76</v>
      </c>
      <c r="T1230" s="1655" t="s">
        <v>2272</v>
      </c>
      <c r="U1230" s="1656">
        <v>0</v>
      </c>
      <c r="V1230" s="1655" t="s">
        <v>42</v>
      </c>
      <c r="W1230" s="1655" t="s">
        <v>571</v>
      </c>
    </row>
    <row r="1231" spans="1:23">
      <c r="A1231" s="1655" t="s">
        <v>76</v>
      </c>
      <c r="B1231" s="1655" t="s">
        <v>2273</v>
      </c>
      <c r="C1231" s="1656">
        <v>0</v>
      </c>
      <c r="D1231" s="1655" t="s">
        <v>42</v>
      </c>
      <c r="E1231" s="1655" t="s">
        <v>571</v>
      </c>
      <c r="G1231" s="1655" t="s">
        <v>76</v>
      </c>
      <c r="H1231" s="1655" t="s">
        <v>2273</v>
      </c>
      <c r="I1231" s="1656">
        <v>0</v>
      </c>
      <c r="J1231" s="1655" t="s">
        <v>42</v>
      </c>
      <c r="K1231" s="1655" t="s">
        <v>571</v>
      </c>
      <c r="M1231" s="1655" t="s">
        <v>76</v>
      </c>
      <c r="N1231" s="1655" t="s">
        <v>2273</v>
      </c>
      <c r="O1231" s="1656">
        <v>0</v>
      </c>
      <c r="P1231" s="1655" t="s">
        <v>42</v>
      </c>
      <c r="Q1231" s="1655" t="s">
        <v>571</v>
      </c>
      <c r="S1231" s="1655" t="s">
        <v>76</v>
      </c>
      <c r="T1231" s="1655" t="s">
        <v>2273</v>
      </c>
      <c r="U1231" s="1656">
        <v>0</v>
      </c>
      <c r="V1231" s="1655" t="s">
        <v>42</v>
      </c>
      <c r="W1231" s="1655" t="s">
        <v>571</v>
      </c>
    </row>
    <row r="1232" spans="1:23">
      <c r="A1232" s="1655" t="s">
        <v>76</v>
      </c>
      <c r="B1232" s="1655" t="s">
        <v>2274</v>
      </c>
      <c r="C1232" s="1656">
        <v>1</v>
      </c>
      <c r="D1232" s="1655" t="s">
        <v>42</v>
      </c>
      <c r="E1232" s="1655" t="s">
        <v>80</v>
      </c>
      <c r="G1232" s="1655" t="s">
        <v>76</v>
      </c>
      <c r="H1232" s="1655" t="s">
        <v>2274</v>
      </c>
      <c r="I1232" s="1656">
        <v>0</v>
      </c>
      <c r="J1232" s="1655" t="s">
        <v>42</v>
      </c>
      <c r="K1232" s="1655" t="s">
        <v>80</v>
      </c>
      <c r="M1232" s="1655" t="s">
        <v>76</v>
      </c>
      <c r="N1232" s="1655" t="s">
        <v>2274</v>
      </c>
      <c r="O1232" s="1656">
        <v>0</v>
      </c>
      <c r="P1232" s="1655" t="s">
        <v>42</v>
      </c>
      <c r="Q1232" s="1655" t="s">
        <v>80</v>
      </c>
      <c r="S1232" s="1655" t="s">
        <v>76</v>
      </c>
      <c r="T1232" s="1655" t="s">
        <v>2274</v>
      </c>
      <c r="U1232" s="1656">
        <v>0</v>
      </c>
      <c r="V1232" s="1655" t="s">
        <v>42</v>
      </c>
      <c r="W1232" s="1655" t="s">
        <v>80</v>
      </c>
    </row>
    <row r="1233" spans="1:23">
      <c r="A1233" s="1655" t="s">
        <v>430</v>
      </c>
      <c r="B1233" s="1655" t="s">
        <v>1162</v>
      </c>
      <c r="C1233" s="1656" t="s">
        <v>2295</v>
      </c>
      <c r="D1233" s="1655" t="s">
        <v>42</v>
      </c>
      <c r="E1233" s="1655" t="s">
        <v>569</v>
      </c>
      <c r="G1233" s="1655" t="s">
        <v>430</v>
      </c>
      <c r="H1233" s="1655" t="s">
        <v>1162</v>
      </c>
      <c r="I1233" s="1656" t="s">
        <v>2380</v>
      </c>
      <c r="J1233" s="1655" t="s">
        <v>42</v>
      </c>
      <c r="K1233" s="1655" t="s">
        <v>569</v>
      </c>
      <c r="M1233" s="1655" t="s">
        <v>430</v>
      </c>
      <c r="N1233" s="1655" t="s">
        <v>1162</v>
      </c>
      <c r="O1233" s="1656" t="s">
        <v>2364</v>
      </c>
      <c r="P1233" s="1655" t="s">
        <v>42</v>
      </c>
      <c r="Q1233" s="1655" t="s">
        <v>569</v>
      </c>
      <c r="S1233" s="1655" t="s">
        <v>430</v>
      </c>
      <c r="T1233" s="1655" t="s">
        <v>1162</v>
      </c>
      <c r="U1233" s="1656" t="s">
        <v>2385</v>
      </c>
      <c r="V1233" s="1655" t="s">
        <v>42</v>
      </c>
      <c r="W1233" s="1655" t="s">
        <v>569</v>
      </c>
    </row>
    <row r="1234" spans="1:23">
      <c r="A1234" s="1655" t="s">
        <v>430</v>
      </c>
      <c r="B1234" s="1655" t="s">
        <v>1168</v>
      </c>
      <c r="C1234" s="1657">
        <v>24875</v>
      </c>
      <c r="D1234" s="1655" t="s">
        <v>42</v>
      </c>
      <c r="E1234" s="1655" t="s">
        <v>196</v>
      </c>
      <c r="G1234" s="1655" t="s">
        <v>430</v>
      </c>
      <c r="H1234" s="1655" t="s">
        <v>1168</v>
      </c>
      <c r="I1234" s="1656">
        <v>32290</v>
      </c>
      <c r="J1234" s="1655" t="s">
        <v>42</v>
      </c>
      <c r="K1234" s="1655" t="s">
        <v>196</v>
      </c>
      <c r="M1234" s="1655" t="s">
        <v>430</v>
      </c>
      <c r="N1234" s="1655" t="s">
        <v>1168</v>
      </c>
      <c r="O1234" s="1656">
        <v>18301</v>
      </c>
      <c r="P1234" s="1655" t="s">
        <v>42</v>
      </c>
      <c r="Q1234" s="1655" t="s">
        <v>196</v>
      </c>
      <c r="S1234" s="1655" t="s">
        <v>430</v>
      </c>
      <c r="T1234" s="1655" t="s">
        <v>1168</v>
      </c>
      <c r="U1234" s="1657">
        <v>21332</v>
      </c>
      <c r="V1234" s="1655" t="s">
        <v>42</v>
      </c>
      <c r="W1234" s="1655" t="s">
        <v>196</v>
      </c>
    </row>
    <row r="1235" spans="1:23">
      <c r="A1235" s="1655" t="s">
        <v>430</v>
      </c>
      <c r="B1235" s="1655" t="s">
        <v>1197</v>
      </c>
      <c r="C1235" s="1657">
        <v>49218</v>
      </c>
      <c r="D1235" s="1655" t="s">
        <v>42</v>
      </c>
      <c r="E1235" s="1655" t="s">
        <v>196</v>
      </c>
      <c r="G1235" s="1655" t="s">
        <v>430</v>
      </c>
      <c r="H1235" s="1655" t="s">
        <v>1197</v>
      </c>
      <c r="I1235" s="1656">
        <v>55519</v>
      </c>
      <c r="J1235" s="1655" t="s">
        <v>42</v>
      </c>
      <c r="K1235" s="1655" t="s">
        <v>196</v>
      </c>
      <c r="M1235" s="1655" t="s">
        <v>430</v>
      </c>
      <c r="N1235" s="1655" t="s">
        <v>1197</v>
      </c>
      <c r="O1235" s="1656">
        <v>44105</v>
      </c>
      <c r="P1235" s="1655" t="s">
        <v>42</v>
      </c>
      <c r="Q1235" s="1655" t="s">
        <v>196</v>
      </c>
      <c r="S1235" s="1655" t="s">
        <v>430</v>
      </c>
      <c r="T1235" s="1655" t="s">
        <v>1197</v>
      </c>
      <c r="U1235" s="1657">
        <v>44562</v>
      </c>
      <c r="V1235" s="1655" t="s">
        <v>42</v>
      </c>
      <c r="W1235" s="1655" t="s">
        <v>196</v>
      </c>
    </row>
    <row r="1236" spans="1:23">
      <c r="A1236" s="1655" t="s">
        <v>430</v>
      </c>
      <c r="B1236" s="1655" t="s">
        <v>1166</v>
      </c>
      <c r="C1236" s="1656" t="s">
        <v>2296</v>
      </c>
      <c r="D1236" s="1655" t="s">
        <v>42</v>
      </c>
      <c r="E1236" s="1655" t="s">
        <v>569</v>
      </c>
      <c r="G1236" s="1655" t="s">
        <v>430</v>
      </c>
      <c r="H1236" s="1655" t="s">
        <v>1166</v>
      </c>
      <c r="I1236" s="1656" t="s">
        <v>570</v>
      </c>
      <c r="J1236" s="1655" t="s">
        <v>43</v>
      </c>
      <c r="K1236" s="1655" t="s">
        <v>569</v>
      </c>
      <c r="M1236" s="1655" t="s">
        <v>430</v>
      </c>
      <c r="N1236" s="1655" t="s">
        <v>1166</v>
      </c>
      <c r="O1236" s="1656" t="s">
        <v>2365</v>
      </c>
      <c r="P1236" s="1655" t="s">
        <v>42</v>
      </c>
      <c r="Q1236" s="1655" t="s">
        <v>569</v>
      </c>
      <c r="S1236" s="1655" t="s">
        <v>430</v>
      </c>
      <c r="T1236" s="1655" t="s">
        <v>1166</v>
      </c>
      <c r="U1236" s="1656" t="s">
        <v>570</v>
      </c>
      <c r="V1236" s="1655" t="s">
        <v>43</v>
      </c>
      <c r="W1236" s="1655" t="s">
        <v>569</v>
      </c>
    </row>
    <row r="1237" spans="1:23">
      <c r="A1237" s="1655" t="s">
        <v>430</v>
      </c>
      <c r="B1237" s="1655" t="s">
        <v>1172</v>
      </c>
      <c r="C1237" s="1657">
        <v>25739</v>
      </c>
      <c r="D1237" s="1655" t="s">
        <v>42</v>
      </c>
      <c r="E1237" s="1655" t="s">
        <v>196</v>
      </c>
      <c r="G1237" s="1655" t="s">
        <v>430</v>
      </c>
      <c r="H1237" s="1655" t="s">
        <v>1172</v>
      </c>
      <c r="I1237" s="1656" t="s">
        <v>570</v>
      </c>
      <c r="J1237" s="1655" t="s">
        <v>43</v>
      </c>
      <c r="K1237" s="1655" t="s">
        <v>196</v>
      </c>
      <c r="M1237" s="1655" t="s">
        <v>430</v>
      </c>
      <c r="N1237" s="1655" t="s">
        <v>1172</v>
      </c>
      <c r="O1237" s="1656">
        <v>18799</v>
      </c>
      <c r="P1237" s="1655" t="s">
        <v>42</v>
      </c>
      <c r="Q1237" s="1655" t="s">
        <v>196</v>
      </c>
      <c r="S1237" s="1655" t="s">
        <v>430</v>
      </c>
      <c r="T1237" s="1655" t="s">
        <v>1172</v>
      </c>
      <c r="U1237" s="1656" t="s">
        <v>570</v>
      </c>
      <c r="V1237" s="1655" t="s">
        <v>43</v>
      </c>
      <c r="W1237" s="1655" t="s">
        <v>196</v>
      </c>
    </row>
    <row r="1238" spans="1:23">
      <c r="A1238" s="1655" t="s">
        <v>430</v>
      </c>
      <c r="B1238" s="1655" t="s">
        <v>1201</v>
      </c>
      <c r="C1238" s="1657">
        <v>49796</v>
      </c>
      <c r="D1238" s="1655" t="s">
        <v>42</v>
      </c>
      <c r="E1238" s="1655" t="s">
        <v>196</v>
      </c>
      <c r="G1238" s="1655" t="s">
        <v>430</v>
      </c>
      <c r="H1238" s="1655" t="s">
        <v>1201</v>
      </c>
      <c r="I1238" s="1656" t="s">
        <v>570</v>
      </c>
      <c r="J1238" s="1655" t="s">
        <v>43</v>
      </c>
      <c r="K1238" s="1655" t="s">
        <v>196</v>
      </c>
      <c r="M1238" s="1655" t="s">
        <v>430</v>
      </c>
      <c r="N1238" s="1655" t="s">
        <v>1201</v>
      </c>
      <c r="O1238" s="1656">
        <v>43952</v>
      </c>
      <c r="P1238" s="1655" t="s">
        <v>42</v>
      </c>
      <c r="Q1238" s="1655" t="s">
        <v>196</v>
      </c>
      <c r="S1238" s="1655" t="s">
        <v>430</v>
      </c>
      <c r="T1238" s="1655" t="s">
        <v>1201</v>
      </c>
      <c r="U1238" s="1656" t="s">
        <v>570</v>
      </c>
      <c r="V1238" s="1655" t="s">
        <v>43</v>
      </c>
      <c r="W1238" s="1655" t="s">
        <v>196</v>
      </c>
    </row>
    <row r="1239" spans="1:23">
      <c r="A1239" s="1655" t="s">
        <v>430</v>
      </c>
      <c r="B1239" s="1655" t="s">
        <v>1137</v>
      </c>
      <c r="C1239" s="1656">
        <v>12</v>
      </c>
      <c r="D1239" s="1655" t="s">
        <v>42</v>
      </c>
      <c r="E1239" s="1655" t="s">
        <v>572</v>
      </c>
      <c r="G1239" s="1655" t="s">
        <v>430</v>
      </c>
      <c r="H1239" s="1655" t="s">
        <v>1137</v>
      </c>
      <c r="I1239" s="1656">
        <v>30</v>
      </c>
      <c r="J1239" s="1655" t="s">
        <v>42</v>
      </c>
      <c r="K1239" s="1655" t="s">
        <v>572</v>
      </c>
      <c r="M1239" s="1655" t="s">
        <v>430</v>
      </c>
      <c r="N1239" s="1655" t="s">
        <v>1137</v>
      </c>
      <c r="O1239" s="1656">
        <v>0</v>
      </c>
      <c r="P1239" s="1655" t="s">
        <v>42</v>
      </c>
      <c r="Q1239" s="1655" t="s">
        <v>572</v>
      </c>
      <c r="S1239" s="1655" t="s">
        <v>430</v>
      </c>
      <c r="T1239" s="1655" t="s">
        <v>1137</v>
      </c>
      <c r="U1239" s="1656">
        <v>0</v>
      </c>
      <c r="V1239" s="1655" t="s">
        <v>42</v>
      </c>
      <c r="W1239" s="1655" t="s">
        <v>572</v>
      </c>
    </row>
    <row r="1240" spans="1:23">
      <c r="A1240" s="1655" t="s">
        <v>430</v>
      </c>
      <c r="B1240" s="1655" t="s">
        <v>578</v>
      </c>
      <c r="C1240" s="1656" t="s">
        <v>75</v>
      </c>
      <c r="D1240" s="1655" t="s">
        <v>42</v>
      </c>
      <c r="E1240" s="1655" t="s">
        <v>569</v>
      </c>
      <c r="G1240" s="1655" t="s">
        <v>430</v>
      </c>
      <c r="H1240" s="1655" t="s">
        <v>578</v>
      </c>
      <c r="I1240" s="1656" t="s">
        <v>75</v>
      </c>
      <c r="J1240" s="1655" t="s">
        <v>42</v>
      </c>
      <c r="K1240" s="1655" t="s">
        <v>569</v>
      </c>
      <c r="M1240" s="1655" t="s">
        <v>430</v>
      </c>
      <c r="N1240" s="1655" t="s">
        <v>578</v>
      </c>
      <c r="O1240" s="1656" t="s">
        <v>202</v>
      </c>
      <c r="P1240" s="1655" t="s">
        <v>42</v>
      </c>
      <c r="Q1240" s="1655" t="s">
        <v>569</v>
      </c>
      <c r="S1240" s="1655" t="s">
        <v>430</v>
      </c>
      <c r="T1240" s="1655" t="s">
        <v>578</v>
      </c>
      <c r="U1240" s="1656" t="s">
        <v>75</v>
      </c>
      <c r="V1240" s="1655" t="s">
        <v>42</v>
      </c>
      <c r="W1240" s="1655" t="s">
        <v>569</v>
      </c>
    </row>
    <row r="1241" spans="1:23">
      <c r="A1241" s="1655" t="s">
        <v>430</v>
      </c>
      <c r="B1241" s="1655" t="s">
        <v>605</v>
      </c>
      <c r="C1241" s="1656" t="s">
        <v>163</v>
      </c>
      <c r="D1241" s="1655" t="s">
        <v>42</v>
      </c>
      <c r="E1241" s="1655" t="s">
        <v>569</v>
      </c>
      <c r="G1241" s="1655" t="s">
        <v>430</v>
      </c>
      <c r="H1241" s="1655" t="s">
        <v>605</v>
      </c>
      <c r="I1241" s="1656" t="s">
        <v>158</v>
      </c>
      <c r="J1241" s="1655" t="s">
        <v>42</v>
      </c>
      <c r="K1241" s="1655" t="s">
        <v>569</v>
      </c>
      <c r="M1241" s="1655" t="s">
        <v>430</v>
      </c>
      <c r="N1241" s="1655" t="s">
        <v>605</v>
      </c>
      <c r="O1241" s="1656" t="s">
        <v>187</v>
      </c>
      <c r="P1241" s="1655" t="s">
        <v>42</v>
      </c>
      <c r="Q1241" s="1655" t="s">
        <v>569</v>
      </c>
      <c r="S1241" s="1655" t="s">
        <v>430</v>
      </c>
      <c r="T1241" s="1655" t="s">
        <v>605</v>
      </c>
      <c r="U1241" s="1656" t="s">
        <v>178</v>
      </c>
      <c r="V1241" s="1655" t="s">
        <v>42</v>
      </c>
      <c r="W1241" s="1655" t="s">
        <v>569</v>
      </c>
    </row>
    <row r="1242" spans="1:23">
      <c r="A1242" s="1655" t="s">
        <v>433</v>
      </c>
      <c r="B1242" s="1655" t="s">
        <v>1156</v>
      </c>
      <c r="C1242" s="1656" t="s">
        <v>2308</v>
      </c>
      <c r="D1242" s="1655" t="s">
        <v>42</v>
      </c>
      <c r="E1242" s="1655" t="s">
        <v>569</v>
      </c>
      <c r="G1242" s="1655" t="s">
        <v>433</v>
      </c>
      <c r="H1242" s="1655" t="s">
        <v>1156</v>
      </c>
      <c r="I1242" s="1656" t="s">
        <v>267</v>
      </c>
      <c r="J1242" s="1655" t="s">
        <v>42</v>
      </c>
      <c r="K1242" s="1655" t="s">
        <v>569</v>
      </c>
      <c r="M1242" s="1655" t="s">
        <v>433</v>
      </c>
      <c r="N1242" s="1655" t="s">
        <v>1156</v>
      </c>
      <c r="O1242" s="1656" t="s">
        <v>267</v>
      </c>
      <c r="P1242" s="1655" t="s">
        <v>42</v>
      </c>
      <c r="Q1242" s="1655" t="s">
        <v>569</v>
      </c>
      <c r="S1242" s="1655" t="s">
        <v>433</v>
      </c>
      <c r="T1242" s="1655" t="s">
        <v>1156</v>
      </c>
      <c r="U1242" s="1656" t="s">
        <v>12</v>
      </c>
      <c r="V1242" s="1655" t="s">
        <v>42</v>
      </c>
      <c r="W1242" s="1655" t="s">
        <v>569</v>
      </c>
    </row>
    <row r="1243" spans="1:23">
      <c r="A1243" s="1655" t="s">
        <v>433</v>
      </c>
      <c r="B1243" s="1655" t="s">
        <v>1157</v>
      </c>
      <c r="C1243" s="1656" t="s">
        <v>12</v>
      </c>
      <c r="D1243" s="1655" t="s">
        <v>42</v>
      </c>
      <c r="E1243" s="1655" t="s">
        <v>569</v>
      </c>
      <c r="G1243" s="1655" t="s">
        <v>433</v>
      </c>
      <c r="H1243" s="1655" t="s">
        <v>1157</v>
      </c>
      <c r="I1243" s="1656" t="s">
        <v>268</v>
      </c>
      <c r="J1243" s="1655" t="s">
        <v>42</v>
      </c>
      <c r="K1243" s="1655" t="s">
        <v>569</v>
      </c>
      <c r="M1243" s="1655" t="s">
        <v>433</v>
      </c>
      <c r="N1243" s="1655" t="s">
        <v>1157</v>
      </c>
      <c r="O1243" s="1656" t="s">
        <v>268</v>
      </c>
      <c r="P1243" s="1655" t="s">
        <v>42</v>
      </c>
      <c r="Q1243" s="1655" t="s">
        <v>569</v>
      </c>
      <c r="S1243" s="1655" t="s">
        <v>433</v>
      </c>
      <c r="T1243" s="1655" t="s">
        <v>1157</v>
      </c>
      <c r="U1243" s="1656" t="s">
        <v>12</v>
      </c>
      <c r="V1243" s="1655" t="s">
        <v>42</v>
      </c>
      <c r="W1243" s="1655" t="s">
        <v>569</v>
      </c>
    </row>
    <row r="1244" spans="1:23">
      <c r="A1244" s="1655" t="s">
        <v>433</v>
      </c>
      <c r="B1244" s="1655" t="s">
        <v>1158</v>
      </c>
      <c r="C1244" s="1656" t="s">
        <v>12</v>
      </c>
      <c r="D1244" s="1655" t="s">
        <v>42</v>
      </c>
      <c r="E1244" s="1655" t="s">
        <v>569</v>
      </c>
      <c r="G1244" s="1655" t="s">
        <v>433</v>
      </c>
      <c r="H1244" s="1655" t="s">
        <v>1158</v>
      </c>
      <c r="I1244" s="1656" t="s">
        <v>269</v>
      </c>
      <c r="J1244" s="1655" t="s">
        <v>42</v>
      </c>
      <c r="K1244" s="1655" t="s">
        <v>569</v>
      </c>
      <c r="M1244" s="1655" t="s">
        <v>433</v>
      </c>
      <c r="N1244" s="1655" t="s">
        <v>1158</v>
      </c>
      <c r="O1244" s="1656" t="s">
        <v>269</v>
      </c>
      <c r="P1244" s="1655" t="s">
        <v>42</v>
      </c>
      <c r="Q1244" s="1655" t="s">
        <v>569</v>
      </c>
      <c r="S1244" s="1655" t="s">
        <v>433</v>
      </c>
      <c r="T1244" s="1655" t="s">
        <v>1158</v>
      </c>
      <c r="U1244" s="1656" t="s">
        <v>12</v>
      </c>
      <c r="V1244" s="1655" t="s">
        <v>42</v>
      </c>
      <c r="W1244" s="1655" t="s">
        <v>569</v>
      </c>
    </row>
    <row r="1245" spans="1:23">
      <c r="A1245" s="1655" t="s">
        <v>433</v>
      </c>
      <c r="B1245" s="1655" t="s">
        <v>1159</v>
      </c>
      <c r="C1245" s="1656" t="s">
        <v>12</v>
      </c>
      <c r="D1245" s="1655" t="s">
        <v>42</v>
      </c>
      <c r="E1245" s="1655" t="s">
        <v>569</v>
      </c>
      <c r="G1245" s="1655" t="s">
        <v>433</v>
      </c>
      <c r="H1245" s="1655" t="s">
        <v>1159</v>
      </c>
      <c r="I1245" s="1656" t="s">
        <v>270</v>
      </c>
      <c r="J1245" s="1655" t="s">
        <v>42</v>
      </c>
      <c r="K1245" s="1655" t="s">
        <v>569</v>
      </c>
      <c r="M1245" s="1655" t="s">
        <v>433</v>
      </c>
      <c r="N1245" s="1655" t="s">
        <v>1159</v>
      </c>
      <c r="O1245" s="1656" t="s">
        <v>270</v>
      </c>
      <c r="P1245" s="1655" t="s">
        <v>42</v>
      </c>
      <c r="Q1245" s="1655" t="s">
        <v>569</v>
      </c>
      <c r="S1245" s="1655" t="s">
        <v>433</v>
      </c>
      <c r="T1245" s="1655" t="s">
        <v>1159</v>
      </c>
      <c r="U1245" s="1656" t="s">
        <v>12</v>
      </c>
      <c r="V1245" s="1655" t="s">
        <v>42</v>
      </c>
      <c r="W1245" s="1655" t="s">
        <v>569</v>
      </c>
    </row>
    <row r="1246" spans="1:23">
      <c r="A1246" s="1655" t="s">
        <v>433</v>
      </c>
      <c r="B1246" s="1655" t="s">
        <v>1160</v>
      </c>
      <c r="C1246" s="1656" t="s">
        <v>12</v>
      </c>
      <c r="D1246" s="1655" t="s">
        <v>42</v>
      </c>
      <c r="E1246" s="1655" t="s">
        <v>569</v>
      </c>
      <c r="G1246" s="1655" t="s">
        <v>433</v>
      </c>
      <c r="H1246" s="1655" t="s">
        <v>1160</v>
      </c>
      <c r="I1246" s="1656" t="s">
        <v>271</v>
      </c>
      <c r="J1246" s="1655" t="s">
        <v>42</v>
      </c>
      <c r="K1246" s="1655" t="s">
        <v>569</v>
      </c>
      <c r="M1246" s="1655" t="s">
        <v>433</v>
      </c>
      <c r="N1246" s="1655" t="s">
        <v>1160</v>
      </c>
      <c r="O1246" s="1656" t="s">
        <v>271</v>
      </c>
      <c r="P1246" s="1655" t="s">
        <v>42</v>
      </c>
      <c r="Q1246" s="1655" t="s">
        <v>569</v>
      </c>
      <c r="S1246" s="1655" t="s">
        <v>433</v>
      </c>
      <c r="T1246" s="1655" t="s">
        <v>1160</v>
      </c>
      <c r="U1246" s="1656" t="s">
        <v>12</v>
      </c>
      <c r="V1246" s="1655" t="s">
        <v>42</v>
      </c>
      <c r="W1246" s="1655" t="s">
        <v>569</v>
      </c>
    </row>
    <row r="1247" spans="1:23">
      <c r="A1247" s="1655" t="s">
        <v>433</v>
      </c>
      <c r="B1247" s="1655" t="s">
        <v>1161</v>
      </c>
      <c r="C1247" s="1656" t="s">
        <v>12</v>
      </c>
      <c r="D1247" s="1655" t="s">
        <v>42</v>
      </c>
      <c r="E1247" s="1655" t="s">
        <v>569</v>
      </c>
      <c r="G1247" s="1655" t="s">
        <v>433</v>
      </c>
      <c r="H1247" s="1655" t="s">
        <v>1161</v>
      </c>
      <c r="I1247" s="1656" t="s">
        <v>272</v>
      </c>
      <c r="J1247" s="1655" t="s">
        <v>42</v>
      </c>
      <c r="K1247" s="1655" t="s">
        <v>569</v>
      </c>
      <c r="M1247" s="1655" t="s">
        <v>433</v>
      </c>
      <c r="N1247" s="1655" t="s">
        <v>1161</v>
      </c>
      <c r="O1247" s="1656" t="s">
        <v>272</v>
      </c>
      <c r="P1247" s="1655" t="s">
        <v>42</v>
      </c>
      <c r="Q1247" s="1655" t="s">
        <v>569</v>
      </c>
      <c r="S1247" s="1655" t="s">
        <v>433</v>
      </c>
      <c r="T1247" s="1655" t="s">
        <v>1161</v>
      </c>
      <c r="U1247" s="1656" t="s">
        <v>12</v>
      </c>
      <c r="V1247" s="1655" t="s">
        <v>42</v>
      </c>
      <c r="W1247" s="1655" t="s">
        <v>569</v>
      </c>
    </row>
    <row r="1248" spans="1:23">
      <c r="A1248" s="1655" t="s">
        <v>433</v>
      </c>
      <c r="B1248" s="1655" t="s">
        <v>1251</v>
      </c>
      <c r="C1248" s="1656" t="s">
        <v>12</v>
      </c>
      <c r="D1248" s="1655" t="s">
        <v>42</v>
      </c>
      <c r="E1248" s="1655" t="s">
        <v>569</v>
      </c>
      <c r="G1248" s="1655" t="s">
        <v>433</v>
      </c>
      <c r="H1248" s="1655" t="s">
        <v>1251</v>
      </c>
      <c r="I1248" s="1656" t="s">
        <v>273</v>
      </c>
      <c r="J1248" s="1655" t="s">
        <v>42</v>
      </c>
      <c r="K1248" s="1655" t="s">
        <v>569</v>
      </c>
      <c r="M1248" s="1655" t="s">
        <v>433</v>
      </c>
      <c r="N1248" s="1655" t="s">
        <v>1251</v>
      </c>
      <c r="O1248" s="1656" t="s">
        <v>273</v>
      </c>
      <c r="P1248" s="1655" t="s">
        <v>42</v>
      </c>
      <c r="Q1248" s="1655" t="s">
        <v>569</v>
      </c>
      <c r="S1248" s="1655" t="s">
        <v>433</v>
      </c>
      <c r="T1248" s="1655" t="s">
        <v>1251</v>
      </c>
      <c r="U1248" s="1656" t="s">
        <v>12</v>
      </c>
      <c r="V1248" s="1655" t="s">
        <v>42</v>
      </c>
      <c r="W1248" s="1655" t="s">
        <v>569</v>
      </c>
    </row>
    <row r="1249" spans="1:23">
      <c r="A1249" s="1655" t="s">
        <v>433</v>
      </c>
      <c r="B1249" s="1655" t="s">
        <v>1252</v>
      </c>
      <c r="C1249" s="1656" t="s">
        <v>12</v>
      </c>
      <c r="D1249" s="1655" t="s">
        <v>42</v>
      </c>
      <c r="E1249" s="1655" t="s">
        <v>569</v>
      </c>
      <c r="G1249" s="1655" t="s">
        <v>433</v>
      </c>
      <c r="H1249" s="1655" t="s">
        <v>1252</v>
      </c>
      <c r="I1249" s="1656" t="s">
        <v>12</v>
      </c>
      <c r="J1249" s="1655" t="s">
        <v>42</v>
      </c>
      <c r="K1249" s="1655" t="s">
        <v>569</v>
      </c>
      <c r="M1249" s="1655" t="s">
        <v>433</v>
      </c>
      <c r="N1249" s="1655" t="s">
        <v>1252</v>
      </c>
      <c r="O1249" s="1656" t="s">
        <v>12</v>
      </c>
      <c r="P1249" s="1655" t="s">
        <v>42</v>
      </c>
      <c r="Q1249" s="1655" t="s">
        <v>569</v>
      </c>
      <c r="S1249" s="1655" t="s">
        <v>433</v>
      </c>
      <c r="T1249" s="1655" t="s">
        <v>1252</v>
      </c>
      <c r="U1249" s="1656" t="s">
        <v>12</v>
      </c>
      <c r="V1249" s="1655" t="s">
        <v>42</v>
      </c>
      <c r="W1249" s="1655" t="s">
        <v>569</v>
      </c>
    </row>
    <row r="1250" spans="1:23">
      <c r="A1250" s="1655" t="s">
        <v>433</v>
      </c>
      <c r="B1250" s="1655" t="s">
        <v>1253</v>
      </c>
      <c r="C1250" s="1656" t="s">
        <v>12</v>
      </c>
      <c r="D1250" s="1655" t="s">
        <v>42</v>
      </c>
      <c r="E1250" s="1655" t="s">
        <v>569</v>
      </c>
      <c r="G1250" s="1655" t="s">
        <v>433</v>
      </c>
      <c r="H1250" s="1655" t="s">
        <v>1253</v>
      </c>
      <c r="I1250" s="1656" t="s">
        <v>12</v>
      </c>
      <c r="J1250" s="1655" t="s">
        <v>42</v>
      </c>
      <c r="K1250" s="1655" t="s">
        <v>569</v>
      </c>
      <c r="M1250" s="1655" t="s">
        <v>433</v>
      </c>
      <c r="N1250" s="1655" t="s">
        <v>1253</v>
      </c>
      <c r="O1250" s="1656" t="s">
        <v>12</v>
      </c>
      <c r="P1250" s="1655" t="s">
        <v>42</v>
      </c>
      <c r="Q1250" s="1655" t="s">
        <v>569</v>
      </c>
      <c r="S1250" s="1655" t="s">
        <v>433</v>
      </c>
      <c r="T1250" s="1655" t="s">
        <v>1253</v>
      </c>
      <c r="U1250" s="1656" t="s">
        <v>12</v>
      </c>
      <c r="V1250" s="1655" t="s">
        <v>42</v>
      </c>
      <c r="W1250" s="1655" t="s">
        <v>569</v>
      </c>
    </row>
    <row r="1251" spans="1:23">
      <c r="A1251" s="1655" t="s">
        <v>433</v>
      </c>
      <c r="B1251" s="1655" t="s">
        <v>1254</v>
      </c>
      <c r="C1251" s="1656" t="s">
        <v>12</v>
      </c>
      <c r="D1251" s="1655" t="s">
        <v>42</v>
      </c>
      <c r="E1251" s="1655" t="s">
        <v>569</v>
      </c>
      <c r="G1251" s="1655" t="s">
        <v>433</v>
      </c>
      <c r="H1251" s="1655" t="s">
        <v>1254</v>
      </c>
      <c r="I1251" s="1656" t="s">
        <v>2658</v>
      </c>
      <c r="J1251" s="1655" t="s">
        <v>42</v>
      </c>
      <c r="K1251" s="1655" t="s">
        <v>569</v>
      </c>
      <c r="M1251" s="1655" t="s">
        <v>433</v>
      </c>
      <c r="N1251" s="1655" t="s">
        <v>1254</v>
      </c>
      <c r="O1251" s="1656" t="s">
        <v>12</v>
      </c>
      <c r="P1251" s="1655" t="s">
        <v>42</v>
      </c>
      <c r="Q1251" s="1655" t="s">
        <v>569</v>
      </c>
      <c r="S1251" s="1655" t="s">
        <v>433</v>
      </c>
      <c r="T1251" s="1655" t="s">
        <v>1254</v>
      </c>
      <c r="U1251" s="1656" t="s">
        <v>12</v>
      </c>
      <c r="V1251" s="1655" t="s">
        <v>42</v>
      </c>
      <c r="W1251" s="1655" t="s">
        <v>569</v>
      </c>
    </row>
    <row r="1252" spans="1:23">
      <c r="A1252" s="1655" t="s">
        <v>433</v>
      </c>
      <c r="B1252" s="1655" t="s">
        <v>1255</v>
      </c>
      <c r="C1252" s="1656" t="s">
        <v>2453</v>
      </c>
      <c r="D1252" s="1655" t="s">
        <v>42</v>
      </c>
      <c r="E1252" s="1655" t="s">
        <v>569</v>
      </c>
      <c r="G1252" s="1655" t="s">
        <v>433</v>
      </c>
      <c r="H1252" s="1655" t="s">
        <v>1255</v>
      </c>
      <c r="I1252" s="1656" t="s">
        <v>12</v>
      </c>
      <c r="J1252" s="1655" t="s">
        <v>42</v>
      </c>
      <c r="K1252" s="1655" t="s">
        <v>569</v>
      </c>
      <c r="M1252" s="1655" t="s">
        <v>433</v>
      </c>
      <c r="N1252" s="1655" t="s">
        <v>1255</v>
      </c>
      <c r="O1252" s="1656" t="s">
        <v>12</v>
      </c>
      <c r="P1252" s="1655" t="s">
        <v>42</v>
      </c>
      <c r="Q1252" s="1655" t="s">
        <v>569</v>
      </c>
      <c r="S1252" s="1655" t="s">
        <v>433</v>
      </c>
      <c r="T1252" s="1655" t="s">
        <v>1255</v>
      </c>
      <c r="U1252" s="1656" t="s">
        <v>12</v>
      </c>
      <c r="V1252" s="1655" t="s">
        <v>42</v>
      </c>
      <c r="W1252" s="1655" t="s">
        <v>569</v>
      </c>
    </row>
    <row r="1253" spans="1:23">
      <c r="A1253" s="1655" t="s">
        <v>433</v>
      </c>
      <c r="B1253" s="1655" t="s">
        <v>578</v>
      </c>
      <c r="C1253" s="1659">
        <v>39</v>
      </c>
      <c r="D1253" s="1655" t="s">
        <v>42</v>
      </c>
      <c r="E1253" s="1655" t="s">
        <v>571</v>
      </c>
      <c r="G1253" s="1655" t="s">
        <v>433</v>
      </c>
      <c r="H1253" s="1655" t="s">
        <v>578</v>
      </c>
      <c r="I1253" s="1659">
        <v>0</v>
      </c>
      <c r="J1253" s="1655" t="s">
        <v>42</v>
      </c>
      <c r="K1253" s="1655" t="s">
        <v>571</v>
      </c>
      <c r="M1253" s="1655" t="s">
        <v>433</v>
      </c>
      <c r="N1253" s="1655" t="s">
        <v>578</v>
      </c>
      <c r="O1253" s="1659">
        <v>0</v>
      </c>
      <c r="P1253" s="1655" t="s">
        <v>42</v>
      </c>
      <c r="Q1253" s="1655" t="s">
        <v>571</v>
      </c>
      <c r="S1253" s="1655" t="s">
        <v>433</v>
      </c>
      <c r="T1253" s="1655" t="s">
        <v>578</v>
      </c>
      <c r="U1253" s="1659">
        <v>0</v>
      </c>
      <c r="V1253" s="1655" t="s">
        <v>42</v>
      </c>
      <c r="W1253" s="1655" t="s">
        <v>571</v>
      </c>
    </row>
    <row r="1254" spans="1:23">
      <c r="A1254" s="1655" t="s">
        <v>433</v>
      </c>
      <c r="B1254" s="1655" t="s">
        <v>579</v>
      </c>
      <c r="C1254" s="1659">
        <v>0</v>
      </c>
      <c r="D1254" s="1655" t="s">
        <v>42</v>
      </c>
      <c r="E1254" s="1655" t="s">
        <v>571</v>
      </c>
      <c r="G1254" s="1655" t="s">
        <v>433</v>
      </c>
      <c r="H1254" s="1655" t="s">
        <v>579</v>
      </c>
      <c r="I1254" s="1659">
        <v>0</v>
      </c>
      <c r="J1254" s="1655" t="s">
        <v>42</v>
      </c>
      <c r="K1254" s="1655" t="s">
        <v>571</v>
      </c>
      <c r="M1254" s="1655" t="s">
        <v>433</v>
      </c>
      <c r="N1254" s="1655" t="s">
        <v>579</v>
      </c>
      <c r="O1254" s="1659">
        <v>170.1</v>
      </c>
      <c r="P1254" s="1655" t="s">
        <v>42</v>
      </c>
      <c r="Q1254" s="1655" t="s">
        <v>571</v>
      </c>
      <c r="S1254" s="1655" t="s">
        <v>433</v>
      </c>
      <c r="T1254" s="1655" t="s">
        <v>579</v>
      </c>
      <c r="U1254" s="1659">
        <v>0</v>
      </c>
      <c r="V1254" s="1655" t="s">
        <v>42</v>
      </c>
      <c r="W1254" s="1655" t="s">
        <v>571</v>
      </c>
    </row>
    <row r="1255" spans="1:23">
      <c r="A1255" s="1655" t="s">
        <v>433</v>
      </c>
      <c r="B1255" s="1655" t="s">
        <v>580</v>
      </c>
      <c r="C1255" s="1659">
        <v>0</v>
      </c>
      <c r="D1255" s="1655" t="s">
        <v>42</v>
      </c>
      <c r="E1255" s="1655" t="s">
        <v>571</v>
      </c>
      <c r="G1255" s="1655" t="s">
        <v>433</v>
      </c>
      <c r="H1255" s="1655" t="s">
        <v>580</v>
      </c>
      <c r="I1255" s="1659">
        <v>0</v>
      </c>
      <c r="J1255" s="1655" t="s">
        <v>42</v>
      </c>
      <c r="K1255" s="1655" t="s">
        <v>571</v>
      </c>
      <c r="M1255" s="1655" t="s">
        <v>433</v>
      </c>
      <c r="N1255" s="1655" t="s">
        <v>580</v>
      </c>
      <c r="O1255" s="1659">
        <v>0</v>
      </c>
      <c r="P1255" s="1655" t="s">
        <v>42</v>
      </c>
      <c r="Q1255" s="1655" t="s">
        <v>571</v>
      </c>
      <c r="S1255" s="1655" t="s">
        <v>433</v>
      </c>
      <c r="T1255" s="1655" t="s">
        <v>580</v>
      </c>
      <c r="U1255" s="1659">
        <v>0</v>
      </c>
      <c r="V1255" s="1655" t="s">
        <v>42</v>
      </c>
      <c r="W1255" s="1655" t="s">
        <v>571</v>
      </c>
    </row>
    <row r="1256" spans="1:23">
      <c r="A1256" s="1655" t="s">
        <v>433</v>
      </c>
      <c r="B1256" s="1655" t="s">
        <v>581</v>
      </c>
      <c r="C1256" s="1659">
        <v>0</v>
      </c>
      <c r="D1256" s="1655" t="s">
        <v>42</v>
      </c>
      <c r="E1256" s="1655" t="s">
        <v>571</v>
      </c>
      <c r="G1256" s="1655" t="s">
        <v>433</v>
      </c>
      <c r="H1256" s="1655" t="s">
        <v>581</v>
      </c>
      <c r="I1256" s="1659">
        <v>0</v>
      </c>
      <c r="J1256" s="1655" t="s">
        <v>42</v>
      </c>
      <c r="K1256" s="1655" t="s">
        <v>571</v>
      </c>
      <c r="M1256" s="1655" t="s">
        <v>433</v>
      </c>
      <c r="N1256" s="1655" t="s">
        <v>581</v>
      </c>
      <c r="O1256" s="1659">
        <v>0</v>
      </c>
      <c r="P1256" s="1655" t="s">
        <v>42</v>
      </c>
      <c r="Q1256" s="1655" t="s">
        <v>571</v>
      </c>
      <c r="S1256" s="1655" t="s">
        <v>433</v>
      </c>
      <c r="T1256" s="1655" t="s">
        <v>581</v>
      </c>
      <c r="U1256" s="1659">
        <v>0</v>
      </c>
      <c r="V1256" s="1655" t="s">
        <v>42</v>
      </c>
      <c r="W1256" s="1655" t="s">
        <v>571</v>
      </c>
    </row>
    <row r="1257" spans="1:23">
      <c r="A1257" s="1655" t="s">
        <v>433</v>
      </c>
      <c r="B1257" s="1655" t="s">
        <v>582</v>
      </c>
      <c r="C1257" s="1659">
        <v>0</v>
      </c>
      <c r="D1257" s="1655" t="s">
        <v>42</v>
      </c>
      <c r="E1257" s="1655" t="s">
        <v>571</v>
      </c>
      <c r="G1257" s="1655" t="s">
        <v>433</v>
      </c>
      <c r="H1257" s="1655" t="s">
        <v>582</v>
      </c>
      <c r="I1257" s="1659">
        <v>0</v>
      </c>
      <c r="J1257" s="1655" t="s">
        <v>42</v>
      </c>
      <c r="K1257" s="1655" t="s">
        <v>571</v>
      </c>
      <c r="M1257" s="1655" t="s">
        <v>433</v>
      </c>
      <c r="N1257" s="1655" t="s">
        <v>582</v>
      </c>
      <c r="O1257" s="1659">
        <v>68</v>
      </c>
      <c r="P1257" s="1655" t="s">
        <v>42</v>
      </c>
      <c r="Q1257" s="1655" t="s">
        <v>571</v>
      </c>
      <c r="S1257" s="1655" t="s">
        <v>433</v>
      </c>
      <c r="T1257" s="1655" t="s">
        <v>582</v>
      </c>
      <c r="U1257" s="1659">
        <v>0</v>
      </c>
      <c r="V1257" s="1655" t="s">
        <v>42</v>
      </c>
      <c r="W1257" s="1655" t="s">
        <v>571</v>
      </c>
    </row>
    <row r="1258" spans="1:23">
      <c r="A1258" s="1655" t="s">
        <v>433</v>
      </c>
      <c r="B1258" s="1655" t="s">
        <v>583</v>
      </c>
      <c r="C1258" s="1659">
        <v>0</v>
      </c>
      <c r="D1258" s="1655" t="s">
        <v>42</v>
      </c>
      <c r="E1258" s="1655" t="s">
        <v>571</v>
      </c>
      <c r="G1258" s="1655" t="s">
        <v>433</v>
      </c>
      <c r="H1258" s="1655" t="s">
        <v>583</v>
      </c>
      <c r="I1258" s="1659">
        <v>0</v>
      </c>
      <c r="J1258" s="1655" t="s">
        <v>42</v>
      </c>
      <c r="K1258" s="1655" t="s">
        <v>571</v>
      </c>
      <c r="M1258" s="1655" t="s">
        <v>433</v>
      </c>
      <c r="N1258" s="1655" t="s">
        <v>583</v>
      </c>
      <c r="O1258" s="1659">
        <v>12.4</v>
      </c>
      <c r="P1258" s="1655" t="s">
        <v>42</v>
      </c>
      <c r="Q1258" s="1655" t="s">
        <v>571</v>
      </c>
      <c r="S1258" s="1655" t="s">
        <v>433</v>
      </c>
      <c r="T1258" s="1655" t="s">
        <v>583</v>
      </c>
      <c r="U1258" s="1659">
        <v>0</v>
      </c>
      <c r="V1258" s="1655" t="s">
        <v>42</v>
      </c>
      <c r="W1258" s="1655" t="s">
        <v>571</v>
      </c>
    </row>
    <row r="1259" spans="1:23">
      <c r="A1259" s="1655" t="s">
        <v>433</v>
      </c>
      <c r="B1259" s="1655" t="s">
        <v>584</v>
      </c>
      <c r="C1259" s="1659">
        <v>0</v>
      </c>
      <c r="D1259" s="1655" t="s">
        <v>42</v>
      </c>
      <c r="E1259" s="1655" t="s">
        <v>571</v>
      </c>
      <c r="G1259" s="1655" t="s">
        <v>433</v>
      </c>
      <c r="H1259" s="1655" t="s">
        <v>584</v>
      </c>
      <c r="I1259" s="1659">
        <v>0</v>
      </c>
      <c r="J1259" s="1655" t="s">
        <v>42</v>
      </c>
      <c r="K1259" s="1655" t="s">
        <v>571</v>
      </c>
      <c r="M1259" s="1655" t="s">
        <v>433</v>
      </c>
      <c r="N1259" s="1655" t="s">
        <v>584</v>
      </c>
      <c r="O1259" s="1659">
        <v>115</v>
      </c>
      <c r="P1259" s="1655" t="s">
        <v>42</v>
      </c>
      <c r="Q1259" s="1655" t="s">
        <v>571</v>
      </c>
      <c r="S1259" s="1655" t="s">
        <v>433</v>
      </c>
      <c r="T1259" s="1655" t="s">
        <v>584</v>
      </c>
      <c r="U1259" s="1659">
        <v>0</v>
      </c>
      <c r="V1259" s="1655" t="s">
        <v>42</v>
      </c>
      <c r="W1259" s="1655" t="s">
        <v>571</v>
      </c>
    </row>
    <row r="1260" spans="1:23">
      <c r="A1260" s="1655" t="s">
        <v>433</v>
      </c>
      <c r="B1260" s="1655" t="s">
        <v>585</v>
      </c>
      <c r="C1260" s="1659">
        <v>0</v>
      </c>
      <c r="D1260" s="1655" t="s">
        <v>42</v>
      </c>
      <c r="E1260" s="1655" t="s">
        <v>571</v>
      </c>
      <c r="G1260" s="1655" t="s">
        <v>433</v>
      </c>
      <c r="H1260" s="1655" t="s">
        <v>585</v>
      </c>
      <c r="I1260" s="1659">
        <v>0</v>
      </c>
      <c r="J1260" s="1655" t="s">
        <v>42</v>
      </c>
      <c r="K1260" s="1655" t="s">
        <v>571</v>
      </c>
      <c r="M1260" s="1655" t="s">
        <v>433</v>
      </c>
      <c r="N1260" s="1655" t="s">
        <v>585</v>
      </c>
      <c r="O1260" s="1659">
        <v>0</v>
      </c>
      <c r="P1260" s="1655" t="s">
        <v>42</v>
      </c>
      <c r="Q1260" s="1655" t="s">
        <v>571</v>
      </c>
      <c r="S1260" s="1655" t="s">
        <v>433</v>
      </c>
      <c r="T1260" s="1655" t="s">
        <v>585</v>
      </c>
      <c r="U1260" s="1659">
        <v>0</v>
      </c>
      <c r="V1260" s="1655" t="s">
        <v>42</v>
      </c>
      <c r="W1260" s="1655" t="s">
        <v>571</v>
      </c>
    </row>
    <row r="1261" spans="1:23">
      <c r="A1261" s="1655" t="s">
        <v>433</v>
      </c>
      <c r="B1261" s="1655" t="s">
        <v>1977</v>
      </c>
      <c r="C1261" s="1659">
        <v>0</v>
      </c>
      <c r="D1261" s="1655" t="s">
        <v>42</v>
      </c>
      <c r="E1261" s="1655" t="s">
        <v>571</v>
      </c>
      <c r="G1261" s="1655" t="s">
        <v>433</v>
      </c>
      <c r="H1261" s="1655" t="s">
        <v>1977</v>
      </c>
      <c r="I1261" s="1659">
        <v>0</v>
      </c>
      <c r="J1261" s="1655" t="s">
        <v>42</v>
      </c>
      <c r="K1261" s="1655" t="s">
        <v>571</v>
      </c>
      <c r="M1261" s="1655" t="s">
        <v>433</v>
      </c>
      <c r="N1261" s="1655" t="s">
        <v>1977</v>
      </c>
      <c r="O1261" s="1659">
        <v>0</v>
      </c>
      <c r="P1261" s="1655" t="s">
        <v>42</v>
      </c>
      <c r="Q1261" s="1655" t="s">
        <v>571</v>
      </c>
      <c r="S1261" s="1655" t="s">
        <v>433</v>
      </c>
      <c r="T1261" s="1655" t="s">
        <v>1977</v>
      </c>
      <c r="U1261" s="1659">
        <v>0</v>
      </c>
      <c r="V1261" s="1655" t="s">
        <v>42</v>
      </c>
      <c r="W1261" s="1655" t="s">
        <v>571</v>
      </c>
    </row>
    <row r="1262" spans="1:23">
      <c r="A1262" s="1655" t="s">
        <v>433</v>
      </c>
      <c r="B1262" s="1655" t="s">
        <v>1978</v>
      </c>
      <c r="C1262" s="1659">
        <v>0</v>
      </c>
      <c r="D1262" s="1655" t="s">
        <v>42</v>
      </c>
      <c r="E1262" s="1655" t="s">
        <v>571</v>
      </c>
      <c r="G1262" s="1655" t="s">
        <v>433</v>
      </c>
      <c r="H1262" s="1655" t="s">
        <v>1978</v>
      </c>
      <c r="I1262" s="1659">
        <v>400</v>
      </c>
      <c r="J1262" s="1655" t="s">
        <v>42</v>
      </c>
      <c r="K1262" s="1655" t="s">
        <v>571</v>
      </c>
      <c r="M1262" s="1655" t="s">
        <v>433</v>
      </c>
      <c r="N1262" s="1655" t="s">
        <v>1978</v>
      </c>
      <c r="O1262" s="1659">
        <v>0</v>
      </c>
      <c r="P1262" s="1655" t="s">
        <v>42</v>
      </c>
      <c r="Q1262" s="1655" t="s">
        <v>571</v>
      </c>
      <c r="S1262" s="1655" t="s">
        <v>433</v>
      </c>
      <c r="T1262" s="1655" t="s">
        <v>1978</v>
      </c>
      <c r="U1262" s="1659">
        <v>0</v>
      </c>
      <c r="V1262" s="1655" t="s">
        <v>42</v>
      </c>
      <c r="W1262" s="1655" t="s">
        <v>571</v>
      </c>
    </row>
    <row r="1263" spans="1:23">
      <c r="A1263" s="1655" t="s">
        <v>433</v>
      </c>
      <c r="B1263" s="1655" t="s">
        <v>1510</v>
      </c>
      <c r="C1263" s="1659">
        <v>0</v>
      </c>
      <c r="D1263" s="1655" t="s">
        <v>42</v>
      </c>
      <c r="E1263" s="1655" t="s">
        <v>571</v>
      </c>
      <c r="G1263" s="1655" t="s">
        <v>433</v>
      </c>
      <c r="H1263" s="1655" t="s">
        <v>1510</v>
      </c>
      <c r="I1263" s="1659">
        <v>0</v>
      </c>
      <c r="J1263" s="1655" t="s">
        <v>42</v>
      </c>
      <c r="K1263" s="1655" t="s">
        <v>571</v>
      </c>
      <c r="M1263" s="1655" t="s">
        <v>433</v>
      </c>
      <c r="N1263" s="1655" t="s">
        <v>1510</v>
      </c>
      <c r="O1263" s="1659">
        <v>0</v>
      </c>
      <c r="P1263" s="1655" t="s">
        <v>42</v>
      </c>
      <c r="Q1263" s="1655" t="s">
        <v>571</v>
      </c>
      <c r="S1263" s="1655" t="s">
        <v>433</v>
      </c>
      <c r="T1263" s="1655" t="s">
        <v>1510</v>
      </c>
      <c r="U1263" s="1659">
        <v>0</v>
      </c>
      <c r="V1263" s="1655" t="s">
        <v>42</v>
      </c>
      <c r="W1263" s="1655" t="s">
        <v>571</v>
      </c>
    </row>
    <row r="1264" spans="1:23">
      <c r="A1264" s="1655" t="s">
        <v>433</v>
      </c>
      <c r="B1264" s="1655" t="s">
        <v>1169</v>
      </c>
      <c r="C1264" s="1656">
        <v>12</v>
      </c>
      <c r="D1264" s="1655" t="s">
        <v>42</v>
      </c>
      <c r="E1264" s="1655" t="s">
        <v>572</v>
      </c>
      <c r="G1264" s="1655" t="s">
        <v>433</v>
      </c>
      <c r="H1264" s="1655" t="s">
        <v>1169</v>
      </c>
      <c r="I1264" s="1656">
        <v>0</v>
      </c>
      <c r="J1264" s="1655" t="s">
        <v>42</v>
      </c>
      <c r="K1264" s="1655" t="s">
        <v>572</v>
      </c>
      <c r="M1264" s="1655" t="s">
        <v>433</v>
      </c>
      <c r="N1264" s="1655" t="s">
        <v>1169</v>
      </c>
      <c r="O1264" s="1656">
        <v>12</v>
      </c>
      <c r="P1264" s="1655" t="s">
        <v>42</v>
      </c>
      <c r="Q1264" s="1655" t="s">
        <v>572</v>
      </c>
      <c r="S1264" s="1655" t="s">
        <v>433</v>
      </c>
      <c r="T1264" s="1655" t="s">
        <v>1169</v>
      </c>
      <c r="U1264" s="1656">
        <v>0</v>
      </c>
      <c r="V1264" s="1655" t="s">
        <v>42</v>
      </c>
      <c r="W1264" s="1655" t="s">
        <v>572</v>
      </c>
    </row>
    <row r="1265" spans="1:23">
      <c r="A1265" s="1655" t="s">
        <v>433</v>
      </c>
      <c r="B1265" s="1655" t="s">
        <v>589</v>
      </c>
      <c r="C1265" s="1656">
        <v>0</v>
      </c>
      <c r="D1265" s="1655" t="s">
        <v>42</v>
      </c>
      <c r="E1265" s="1655" t="s">
        <v>572</v>
      </c>
      <c r="G1265" s="1655" t="s">
        <v>433</v>
      </c>
      <c r="H1265" s="1655" t="s">
        <v>589</v>
      </c>
      <c r="I1265" s="1656">
        <v>0</v>
      </c>
      <c r="J1265" s="1655" t="s">
        <v>42</v>
      </c>
      <c r="K1265" s="1655" t="s">
        <v>572</v>
      </c>
      <c r="M1265" s="1655" t="s">
        <v>433</v>
      </c>
      <c r="N1265" s="1655" t="s">
        <v>589</v>
      </c>
      <c r="O1265" s="1656">
        <v>12</v>
      </c>
      <c r="P1265" s="1655" t="s">
        <v>42</v>
      </c>
      <c r="Q1265" s="1655" t="s">
        <v>572</v>
      </c>
      <c r="S1265" s="1655" t="s">
        <v>433</v>
      </c>
      <c r="T1265" s="1655" t="s">
        <v>589</v>
      </c>
      <c r="U1265" s="1656">
        <v>0</v>
      </c>
      <c r="V1265" s="1655" t="s">
        <v>42</v>
      </c>
      <c r="W1265" s="1655" t="s">
        <v>572</v>
      </c>
    </row>
    <row r="1266" spans="1:23">
      <c r="A1266" s="1655" t="s">
        <v>433</v>
      </c>
      <c r="B1266" s="1655" t="s">
        <v>1170</v>
      </c>
      <c r="C1266" s="1656">
        <v>0</v>
      </c>
      <c r="D1266" s="1655" t="s">
        <v>42</v>
      </c>
      <c r="E1266" s="1655" t="s">
        <v>572</v>
      </c>
      <c r="G1266" s="1655" t="s">
        <v>433</v>
      </c>
      <c r="H1266" s="1655" t="s">
        <v>1170</v>
      </c>
      <c r="I1266" s="1656">
        <v>0</v>
      </c>
      <c r="J1266" s="1655" t="s">
        <v>42</v>
      </c>
      <c r="K1266" s="1655" t="s">
        <v>572</v>
      </c>
      <c r="M1266" s="1655" t="s">
        <v>433</v>
      </c>
      <c r="N1266" s="1655" t="s">
        <v>1170</v>
      </c>
      <c r="O1266" s="1656">
        <v>12</v>
      </c>
      <c r="P1266" s="1655" t="s">
        <v>42</v>
      </c>
      <c r="Q1266" s="1655" t="s">
        <v>572</v>
      </c>
      <c r="S1266" s="1655" t="s">
        <v>433</v>
      </c>
      <c r="T1266" s="1655" t="s">
        <v>1170</v>
      </c>
      <c r="U1266" s="1656">
        <v>0</v>
      </c>
      <c r="V1266" s="1655" t="s">
        <v>42</v>
      </c>
      <c r="W1266" s="1655" t="s">
        <v>572</v>
      </c>
    </row>
    <row r="1267" spans="1:23">
      <c r="A1267" s="1655" t="s">
        <v>433</v>
      </c>
      <c r="B1267" s="1655" t="s">
        <v>1171</v>
      </c>
      <c r="C1267" s="1656">
        <v>0</v>
      </c>
      <c r="D1267" s="1655" t="s">
        <v>42</v>
      </c>
      <c r="E1267" s="1655" t="s">
        <v>572</v>
      </c>
      <c r="G1267" s="1655" t="s">
        <v>433</v>
      </c>
      <c r="H1267" s="1655" t="s">
        <v>1171</v>
      </c>
      <c r="I1267" s="1656">
        <v>0</v>
      </c>
      <c r="J1267" s="1655" t="s">
        <v>42</v>
      </c>
      <c r="K1267" s="1655" t="s">
        <v>572</v>
      </c>
      <c r="M1267" s="1655" t="s">
        <v>433</v>
      </c>
      <c r="N1267" s="1655" t="s">
        <v>1171</v>
      </c>
      <c r="O1267" s="1656">
        <v>12</v>
      </c>
      <c r="P1267" s="1655" t="s">
        <v>42</v>
      </c>
      <c r="Q1267" s="1655" t="s">
        <v>572</v>
      </c>
      <c r="S1267" s="1655" t="s">
        <v>433</v>
      </c>
      <c r="T1267" s="1655" t="s">
        <v>1171</v>
      </c>
      <c r="U1267" s="1656">
        <v>0</v>
      </c>
      <c r="V1267" s="1655" t="s">
        <v>42</v>
      </c>
      <c r="W1267" s="1655" t="s">
        <v>572</v>
      </c>
    </row>
    <row r="1268" spans="1:23">
      <c r="A1268" s="1655" t="s">
        <v>433</v>
      </c>
      <c r="B1268" s="1655" t="s">
        <v>1172</v>
      </c>
      <c r="C1268" s="1656">
        <v>0</v>
      </c>
      <c r="D1268" s="1655" t="s">
        <v>42</v>
      </c>
      <c r="E1268" s="1655" t="s">
        <v>572</v>
      </c>
      <c r="G1268" s="1655" t="s">
        <v>433</v>
      </c>
      <c r="H1268" s="1655" t="s">
        <v>1172</v>
      </c>
      <c r="I1268" s="1656">
        <v>0</v>
      </c>
      <c r="J1268" s="1655" t="s">
        <v>42</v>
      </c>
      <c r="K1268" s="1655" t="s">
        <v>572</v>
      </c>
      <c r="M1268" s="1655" t="s">
        <v>433</v>
      </c>
      <c r="N1268" s="1655" t="s">
        <v>1172</v>
      </c>
      <c r="O1268" s="1656">
        <v>12</v>
      </c>
      <c r="P1268" s="1655" t="s">
        <v>42</v>
      </c>
      <c r="Q1268" s="1655" t="s">
        <v>572</v>
      </c>
      <c r="S1268" s="1655" t="s">
        <v>433</v>
      </c>
      <c r="T1268" s="1655" t="s">
        <v>1172</v>
      </c>
      <c r="U1268" s="1656">
        <v>0</v>
      </c>
      <c r="V1268" s="1655" t="s">
        <v>42</v>
      </c>
      <c r="W1268" s="1655" t="s">
        <v>572</v>
      </c>
    </row>
    <row r="1269" spans="1:23">
      <c r="A1269" s="1655" t="s">
        <v>433</v>
      </c>
      <c r="B1269" s="1655" t="s">
        <v>1173</v>
      </c>
      <c r="C1269" s="1656">
        <v>0</v>
      </c>
      <c r="D1269" s="1655" t="s">
        <v>42</v>
      </c>
      <c r="E1269" s="1655" t="s">
        <v>572</v>
      </c>
      <c r="G1269" s="1655" t="s">
        <v>433</v>
      </c>
      <c r="H1269" s="1655" t="s">
        <v>1173</v>
      </c>
      <c r="I1269" s="1656">
        <v>0</v>
      </c>
      <c r="J1269" s="1655" t="s">
        <v>42</v>
      </c>
      <c r="K1269" s="1655" t="s">
        <v>572</v>
      </c>
      <c r="M1269" s="1655" t="s">
        <v>433</v>
      </c>
      <c r="N1269" s="1655" t="s">
        <v>1173</v>
      </c>
      <c r="O1269" s="1656">
        <v>12</v>
      </c>
      <c r="P1269" s="1655" t="s">
        <v>42</v>
      </c>
      <c r="Q1269" s="1655" t="s">
        <v>572</v>
      </c>
      <c r="S1269" s="1655" t="s">
        <v>433</v>
      </c>
      <c r="T1269" s="1655" t="s">
        <v>1173</v>
      </c>
      <c r="U1269" s="1656">
        <v>0</v>
      </c>
      <c r="V1269" s="1655" t="s">
        <v>42</v>
      </c>
      <c r="W1269" s="1655" t="s">
        <v>572</v>
      </c>
    </row>
    <row r="1270" spans="1:23">
      <c r="A1270" s="1655" t="s">
        <v>433</v>
      </c>
      <c r="B1270" s="1655" t="s">
        <v>1956</v>
      </c>
      <c r="C1270" s="1656">
        <v>0</v>
      </c>
      <c r="D1270" s="1655" t="s">
        <v>42</v>
      </c>
      <c r="E1270" s="1655" t="s">
        <v>572</v>
      </c>
      <c r="G1270" s="1655" t="s">
        <v>433</v>
      </c>
      <c r="H1270" s="1655" t="s">
        <v>1956</v>
      </c>
      <c r="I1270" s="1656">
        <v>0</v>
      </c>
      <c r="J1270" s="1655" t="s">
        <v>42</v>
      </c>
      <c r="K1270" s="1655" t="s">
        <v>572</v>
      </c>
      <c r="M1270" s="1655" t="s">
        <v>433</v>
      </c>
      <c r="N1270" s="1655" t="s">
        <v>1956</v>
      </c>
      <c r="O1270" s="1656">
        <v>12</v>
      </c>
      <c r="P1270" s="1655" t="s">
        <v>42</v>
      </c>
      <c r="Q1270" s="1655" t="s">
        <v>572</v>
      </c>
      <c r="S1270" s="1655" t="s">
        <v>433</v>
      </c>
      <c r="T1270" s="1655" t="s">
        <v>1956</v>
      </c>
      <c r="U1270" s="1656">
        <v>0</v>
      </c>
      <c r="V1270" s="1655" t="s">
        <v>42</v>
      </c>
      <c r="W1270" s="1655" t="s">
        <v>572</v>
      </c>
    </row>
    <row r="1271" spans="1:23">
      <c r="A1271" s="1655" t="s">
        <v>433</v>
      </c>
      <c r="B1271" s="1655" t="s">
        <v>1268</v>
      </c>
      <c r="C1271" s="1656">
        <v>0</v>
      </c>
      <c r="D1271" s="1655" t="s">
        <v>42</v>
      </c>
      <c r="E1271" s="1655" t="s">
        <v>572</v>
      </c>
      <c r="G1271" s="1655" t="s">
        <v>433</v>
      </c>
      <c r="H1271" s="1655" t="s">
        <v>1268</v>
      </c>
      <c r="I1271" s="1656">
        <v>0</v>
      </c>
      <c r="J1271" s="1655" t="s">
        <v>42</v>
      </c>
      <c r="K1271" s="1655" t="s">
        <v>572</v>
      </c>
      <c r="M1271" s="1655" t="s">
        <v>433</v>
      </c>
      <c r="N1271" s="1655" t="s">
        <v>1268</v>
      </c>
      <c r="O1271" s="1656">
        <v>1</v>
      </c>
      <c r="P1271" s="1655" t="s">
        <v>42</v>
      </c>
      <c r="Q1271" s="1655" t="s">
        <v>572</v>
      </c>
      <c r="S1271" s="1655" t="s">
        <v>433</v>
      </c>
      <c r="T1271" s="1655" t="s">
        <v>1268</v>
      </c>
      <c r="U1271" s="1656">
        <v>0</v>
      </c>
      <c r="V1271" s="1655" t="s">
        <v>42</v>
      </c>
      <c r="W1271" s="1655" t="s">
        <v>572</v>
      </c>
    </row>
    <row r="1272" spans="1:23">
      <c r="A1272" s="1655" t="s">
        <v>433</v>
      </c>
      <c r="B1272" s="1655" t="s">
        <v>1269</v>
      </c>
      <c r="C1272" s="1656">
        <v>0</v>
      </c>
      <c r="D1272" s="1655" t="s">
        <v>42</v>
      </c>
      <c r="E1272" s="1655" t="s">
        <v>572</v>
      </c>
      <c r="G1272" s="1655" t="s">
        <v>433</v>
      </c>
      <c r="H1272" s="1655" t="s">
        <v>1269</v>
      </c>
      <c r="I1272" s="1656">
        <v>0</v>
      </c>
      <c r="J1272" s="1655" t="s">
        <v>42</v>
      </c>
      <c r="K1272" s="1655" t="s">
        <v>572</v>
      </c>
      <c r="M1272" s="1655" t="s">
        <v>433</v>
      </c>
      <c r="N1272" s="1655" t="s">
        <v>1269</v>
      </c>
      <c r="O1272" s="1656">
        <v>1</v>
      </c>
      <c r="P1272" s="1655" t="s">
        <v>42</v>
      </c>
      <c r="Q1272" s="1655" t="s">
        <v>572</v>
      </c>
      <c r="S1272" s="1655" t="s">
        <v>433</v>
      </c>
      <c r="T1272" s="1655" t="s">
        <v>1269</v>
      </c>
      <c r="U1272" s="1656">
        <v>0</v>
      </c>
      <c r="V1272" s="1655" t="s">
        <v>42</v>
      </c>
      <c r="W1272" s="1655" t="s">
        <v>572</v>
      </c>
    </row>
    <row r="1273" spans="1:23">
      <c r="A1273" s="1655" t="s">
        <v>433</v>
      </c>
      <c r="B1273" s="1655" t="s">
        <v>1270</v>
      </c>
      <c r="C1273" s="1656">
        <v>0</v>
      </c>
      <c r="D1273" s="1655" t="s">
        <v>42</v>
      </c>
      <c r="E1273" s="1655" t="s">
        <v>572</v>
      </c>
      <c r="G1273" s="1655" t="s">
        <v>433</v>
      </c>
      <c r="H1273" s="1655" t="s">
        <v>1270</v>
      </c>
      <c r="I1273" s="1656">
        <v>12</v>
      </c>
      <c r="J1273" s="1655" t="s">
        <v>42</v>
      </c>
      <c r="K1273" s="1655" t="s">
        <v>572</v>
      </c>
      <c r="M1273" s="1655" t="s">
        <v>433</v>
      </c>
      <c r="N1273" s="1655" t="s">
        <v>1270</v>
      </c>
      <c r="O1273" s="1656">
        <v>1</v>
      </c>
      <c r="P1273" s="1655" t="s">
        <v>42</v>
      </c>
      <c r="Q1273" s="1655" t="s">
        <v>572</v>
      </c>
      <c r="S1273" s="1655" t="s">
        <v>433</v>
      </c>
      <c r="T1273" s="1655" t="s">
        <v>1270</v>
      </c>
      <c r="U1273" s="1656">
        <v>0</v>
      </c>
      <c r="V1273" s="1655" t="s">
        <v>42</v>
      </c>
      <c r="W1273" s="1655" t="s">
        <v>572</v>
      </c>
    </row>
    <row r="1274" spans="1:23">
      <c r="A1274" s="1655" t="s">
        <v>433</v>
      </c>
      <c r="B1274" s="1655" t="s">
        <v>1271</v>
      </c>
      <c r="C1274" s="1656">
        <v>12</v>
      </c>
      <c r="D1274" s="1655" t="s">
        <v>42</v>
      </c>
      <c r="E1274" s="1655" t="s">
        <v>572</v>
      </c>
      <c r="G1274" s="1655" t="s">
        <v>433</v>
      </c>
      <c r="H1274" s="1655" t="s">
        <v>1271</v>
      </c>
      <c r="I1274" s="1656">
        <v>1</v>
      </c>
      <c r="J1274" s="1655" t="s">
        <v>42</v>
      </c>
      <c r="K1274" s="1655" t="s">
        <v>572</v>
      </c>
      <c r="M1274" s="1655" t="s">
        <v>433</v>
      </c>
      <c r="N1274" s="1655" t="s">
        <v>1271</v>
      </c>
      <c r="O1274" s="1656">
        <v>1</v>
      </c>
      <c r="P1274" s="1655" t="s">
        <v>42</v>
      </c>
      <c r="Q1274" s="1655" t="s">
        <v>572</v>
      </c>
      <c r="S1274" s="1655" t="s">
        <v>433</v>
      </c>
      <c r="T1274" s="1655" t="s">
        <v>1271</v>
      </c>
      <c r="U1274" s="1656">
        <v>0</v>
      </c>
      <c r="V1274" s="1655" t="s">
        <v>42</v>
      </c>
      <c r="W1274" s="1655" t="s">
        <v>572</v>
      </c>
    </row>
    <row r="1275" spans="1:23">
      <c r="A1275" s="1655" t="s">
        <v>433</v>
      </c>
      <c r="B1275" s="1655" t="s">
        <v>1176</v>
      </c>
      <c r="C1275" s="1656" t="s">
        <v>43</v>
      </c>
      <c r="D1275" s="1655" t="s">
        <v>42</v>
      </c>
      <c r="E1275" s="1655" t="s">
        <v>569</v>
      </c>
      <c r="G1275" s="1655" t="s">
        <v>433</v>
      </c>
      <c r="H1275" s="1655" t="s">
        <v>1176</v>
      </c>
      <c r="I1275" s="1656" t="s">
        <v>43</v>
      </c>
      <c r="J1275" s="1655" t="s">
        <v>42</v>
      </c>
      <c r="K1275" s="1655" t="s">
        <v>569</v>
      </c>
      <c r="M1275" s="1655" t="s">
        <v>433</v>
      </c>
      <c r="N1275" s="1655" t="s">
        <v>1176</v>
      </c>
      <c r="O1275" s="1656" t="s">
        <v>43</v>
      </c>
      <c r="P1275" s="1655" t="s">
        <v>42</v>
      </c>
      <c r="Q1275" s="1655" t="s">
        <v>569</v>
      </c>
      <c r="S1275" s="1655" t="s">
        <v>433</v>
      </c>
      <c r="T1275" s="1655" t="s">
        <v>1176</v>
      </c>
      <c r="U1275" s="1656" t="s">
        <v>43</v>
      </c>
      <c r="V1275" s="1655" t="s">
        <v>42</v>
      </c>
      <c r="W1275" s="1655" t="s">
        <v>569</v>
      </c>
    </row>
    <row r="1276" spans="1:23">
      <c r="A1276" s="1655" t="s">
        <v>433</v>
      </c>
      <c r="B1276" s="1655" t="s">
        <v>1177</v>
      </c>
      <c r="C1276" s="1656" t="s">
        <v>43</v>
      </c>
      <c r="D1276" s="1655" t="s">
        <v>42</v>
      </c>
      <c r="E1276" s="1655" t="s">
        <v>569</v>
      </c>
      <c r="G1276" s="1655" t="s">
        <v>433</v>
      </c>
      <c r="H1276" s="1655" t="s">
        <v>1177</v>
      </c>
      <c r="I1276" s="1656" t="s">
        <v>43</v>
      </c>
      <c r="J1276" s="1655" t="s">
        <v>42</v>
      </c>
      <c r="K1276" s="1655" t="s">
        <v>569</v>
      </c>
      <c r="M1276" s="1655" t="s">
        <v>433</v>
      </c>
      <c r="N1276" s="1655" t="s">
        <v>1177</v>
      </c>
      <c r="O1276" s="1656" t="s">
        <v>43</v>
      </c>
      <c r="P1276" s="1655" t="s">
        <v>42</v>
      </c>
      <c r="Q1276" s="1655" t="s">
        <v>569</v>
      </c>
      <c r="S1276" s="1655" t="s">
        <v>433</v>
      </c>
      <c r="T1276" s="1655" t="s">
        <v>1177</v>
      </c>
      <c r="U1276" s="1656" t="s">
        <v>43</v>
      </c>
      <c r="V1276" s="1655" t="s">
        <v>42</v>
      </c>
      <c r="W1276" s="1655" t="s">
        <v>569</v>
      </c>
    </row>
    <row r="1277" spans="1:23">
      <c r="A1277" s="1655" t="s">
        <v>433</v>
      </c>
      <c r="B1277" s="1655" t="s">
        <v>1178</v>
      </c>
      <c r="C1277" s="1656" t="s">
        <v>43</v>
      </c>
      <c r="D1277" s="1655" t="s">
        <v>42</v>
      </c>
      <c r="E1277" s="1655" t="s">
        <v>569</v>
      </c>
      <c r="G1277" s="1655" t="s">
        <v>433</v>
      </c>
      <c r="H1277" s="1655" t="s">
        <v>1178</v>
      </c>
      <c r="I1277" s="1656" t="s">
        <v>43</v>
      </c>
      <c r="J1277" s="1655" t="s">
        <v>42</v>
      </c>
      <c r="K1277" s="1655" t="s">
        <v>569</v>
      </c>
      <c r="M1277" s="1655" t="s">
        <v>433</v>
      </c>
      <c r="N1277" s="1655" t="s">
        <v>1178</v>
      </c>
      <c r="O1277" s="1656" t="s">
        <v>43</v>
      </c>
      <c r="P1277" s="1655" t="s">
        <v>42</v>
      </c>
      <c r="Q1277" s="1655" t="s">
        <v>569</v>
      </c>
      <c r="S1277" s="1655" t="s">
        <v>433</v>
      </c>
      <c r="T1277" s="1655" t="s">
        <v>1178</v>
      </c>
      <c r="U1277" s="1656" t="s">
        <v>43</v>
      </c>
      <c r="V1277" s="1655" t="s">
        <v>42</v>
      </c>
      <c r="W1277" s="1655" t="s">
        <v>569</v>
      </c>
    </row>
    <row r="1278" spans="1:23">
      <c r="A1278" s="1655" t="s">
        <v>433</v>
      </c>
      <c r="B1278" s="1655" t="s">
        <v>1179</v>
      </c>
      <c r="C1278" s="1656" t="s">
        <v>43</v>
      </c>
      <c r="D1278" s="1655" t="s">
        <v>42</v>
      </c>
      <c r="E1278" s="1655" t="s">
        <v>569</v>
      </c>
      <c r="G1278" s="1655" t="s">
        <v>433</v>
      </c>
      <c r="H1278" s="1655" t="s">
        <v>1179</v>
      </c>
      <c r="I1278" s="1656" t="s">
        <v>43</v>
      </c>
      <c r="J1278" s="1655" t="s">
        <v>42</v>
      </c>
      <c r="K1278" s="1655" t="s">
        <v>569</v>
      </c>
      <c r="M1278" s="1655" t="s">
        <v>433</v>
      </c>
      <c r="N1278" s="1655" t="s">
        <v>1179</v>
      </c>
      <c r="O1278" s="1656" t="s">
        <v>43</v>
      </c>
      <c r="P1278" s="1655" t="s">
        <v>42</v>
      </c>
      <c r="Q1278" s="1655" t="s">
        <v>569</v>
      </c>
      <c r="S1278" s="1655" t="s">
        <v>433</v>
      </c>
      <c r="T1278" s="1655" t="s">
        <v>1179</v>
      </c>
      <c r="U1278" s="1656" t="s">
        <v>43</v>
      </c>
      <c r="V1278" s="1655" t="s">
        <v>42</v>
      </c>
      <c r="W1278" s="1655" t="s">
        <v>569</v>
      </c>
    </row>
    <row r="1279" spans="1:23">
      <c r="A1279" s="1655" t="s">
        <v>433</v>
      </c>
      <c r="B1279" s="1655" t="s">
        <v>1180</v>
      </c>
      <c r="C1279" s="1656" t="s">
        <v>43</v>
      </c>
      <c r="D1279" s="1655" t="s">
        <v>42</v>
      </c>
      <c r="E1279" s="1655" t="s">
        <v>569</v>
      </c>
      <c r="G1279" s="1655" t="s">
        <v>433</v>
      </c>
      <c r="H1279" s="1655" t="s">
        <v>1180</v>
      </c>
      <c r="I1279" s="1656" t="s">
        <v>43</v>
      </c>
      <c r="J1279" s="1655" t="s">
        <v>42</v>
      </c>
      <c r="K1279" s="1655" t="s">
        <v>569</v>
      </c>
      <c r="M1279" s="1655" t="s">
        <v>433</v>
      </c>
      <c r="N1279" s="1655" t="s">
        <v>1180</v>
      </c>
      <c r="O1279" s="1656" t="s">
        <v>43</v>
      </c>
      <c r="P1279" s="1655" t="s">
        <v>42</v>
      </c>
      <c r="Q1279" s="1655" t="s">
        <v>569</v>
      </c>
      <c r="S1279" s="1655" t="s">
        <v>433</v>
      </c>
      <c r="T1279" s="1655" t="s">
        <v>1180</v>
      </c>
      <c r="U1279" s="1656" t="s">
        <v>43</v>
      </c>
      <c r="V1279" s="1655" t="s">
        <v>42</v>
      </c>
      <c r="W1279" s="1655" t="s">
        <v>569</v>
      </c>
    </row>
    <row r="1280" spans="1:23">
      <c r="A1280" s="1655" t="s">
        <v>433</v>
      </c>
      <c r="B1280" s="1655" t="s">
        <v>1181</v>
      </c>
      <c r="C1280" s="1656" t="s">
        <v>43</v>
      </c>
      <c r="D1280" s="1655" t="s">
        <v>42</v>
      </c>
      <c r="E1280" s="1655" t="s">
        <v>569</v>
      </c>
      <c r="G1280" s="1655" t="s">
        <v>433</v>
      </c>
      <c r="H1280" s="1655" t="s">
        <v>1181</v>
      </c>
      <c r="I1280" s="1656" t="s">
        <v>43</v>
      </c>
      <c r="J1280" s="1655" t="s">
        <v>42</v>
      </c>
      <c r="K1280" s="1655" t="s">
        <v>569</v>
      </c>
      <c r="M1280" s="1655" t="s">
        <v>433</v>
      </c>
      <c r="N1280" s="1655" t="s">
        <v>1181</v>
      </c>
      <c r="O1280" s="1656" t="s">
        <v>43</v>
      </c>
      <c r="P1280" s="1655" t="s">
        <v>42</v>
      </c>
      <c r="Q1280" s="1655" t="s">
        <v>569</v>
      </c>
      <c r="S1280" s="1655" t="s">
        <v>433</v>
      </c>
      <c r="T1280" s="1655" t="s">
        <v>1181</v>
      </c>
      <c r="U1280" s="1656" t="s">
        <v>43</v>
      </c>
      <c r="V1280" s="1655" t="s">
        <v>42</v>
      </c>
      <c r="W1280" s="1655" t="s">
        <v>569</v>
      </c>
    </row>
    <row r="1281" spans="1:23">
      <c r="A1281" s="1655" t="s">
        <v>433</v>
      </c>
      <c r="B1281" s="1655" t="s">
        <v>1182</v>
      </c>
      <c r="C1281" s="1656" t="s">
        <v>43</v>
      </c>
      <c r="D1281" s="1655" t="s">
        <v>42</v>
      </c>
      <c r="E1281" s="1655" t="s">
        <v>569</v>
      </c>
      <c r="G1281" s="1655" t="s">
        <v>433</v>
      </c>
      <c r="H1281" s="1655" t="s">
        <v>1182</v>
      </c>
      <c r="I1281" s="1656" t="s">
        <v>43</v>
      </c>
      <c r="J1281" s="1655" t="s">
        <v>42</v>
      </c>
      <c r="K1281" s="1655" t="s">
        <v>569</v>
      </c>
      <c r="M1281" s="1655" t="s">
        <v>433</v>
      </c>
      <c r="N1281" s="1655" t="s">
        <v>1182</v>
      </c>
      <c r="O1281" s="1656" t="s">
        <v>43</v>
      </c>
      <c r="P1281" s="1655" t="s">
        <v>42</v>
      </c>
      <c r="Q1281" s="1655" t="s">
        <v>569</v>
      </c>
      <c r="S1281" s="1655" t="s">
        <v>433</v>
      </c>
      <c r="T1281" s="1655" t="s">
        <v>1182</v>
      </c>
      <c r="U1281" s="1656" t="s">
        <v>43</v>
      </c>
      <c r="V1281" s="1655" t="s">
        <v>42</v>
      </c>
      <c r="W1281" s="1655" t="s">
        <v>569</v>
      </c>
    </row>
    <row r="1282" spans="1:23">
      <c r="A1282" s="1655" t="s">
        <v>433</v>
      </c>
      <c r="B1282" s="1655" t="s">
        <v>1183</v>
      </c>
      <c r="C1282" s="1656" t="s">
        <v>43</v>
      </c>
      <c r="D1282" s="1655" t="s">
        <v>42</v>
      </c>
      <c r="E1282" s="1655" t="s">
        <v>569</v>
      </c>
      <c r="G1282" s="1655" t="s">
        <v>433</v>
      </c>
      <c r="H1282" s="1655" t="s">
        <v>1183</v>
      </c>
      <c r="I1282" s="1656" t="s">
        <v>43</v>
      </c>
      <c r="J1282" s="1655" t="s">
        <v>42</v>
      </c>
      <c r="K1282" s="1655" t="s">
        <v>569</v>
      </c>
      <c r="M1282" s="1655" t="s">
        <v>433</v>
      </c>
      <c r="N1282" s="1655" t="s">
        <v>1183</v>
      </c>
      <c r="O1282" s="1656" t="s">
        <v>43</v>
      </c>
      <c r="P1282" s="1655" t="s">
        <v>42</v>
      </c>
      <c r="Q1282" s="1655" t="s">
        <v>569</v>
      </c>
      <c r="S1282" s="1655" t="s">
        <v>433</v>
      </c>
      <c r="T1282" s="1655" t="s">
        <v>1183</v>
      </c>
      <c r="U1282" s="1656" t="s">
        <v>43</v>
      </c>
      <c r="V1282" s="1655" t="s">
        <v>42</v>
      </c>
      <c r="W1282" s="1655" t="s">
        <v>569</v>
      </c>
    </row>
    <row r="1283" spans="1:23">
      <c r="A1283" s="1655" t="s">
        <v>433</v>
      </c>
      <c r="B1283" s="1655" t="s">
        <v>1184</v>
      </c>
      <c r="C1283" s="1656" t="s">
        <v>43</v>
      </c>
      <c r="D1283" s="1655" t="s">
        <v>42</v>
      </c>
      <c r="E1283" s="1655" t="s">
        <v>569</v>
      </c>
      <c r="G1283" s="1655" t="s">
        <v>433</v>
      </c>
      <c r="H1283" s="1655" t="s">
        <v>1184</v>
      </c>
      <c r="I1283" s="1656" t="s">
        <v>43</v>
      </c>
      <c r="J1283" s="1655" t="s">
        <v>42</v>
      </c>
      <c r="K1283" s="1655" t="s">
        <v>569</v>
      </c>
      <c r="M1283" s="1655" t="s">
        <v>433</v>
      </c>
      <c r="N1283" s="1655" t="s">
        <v>1184</v>
      </c>
      <c r="O1283" s="1656" t="s">
        <v>43</v>
      </c>
      <c r="P1283" s="1655" t="s">
        <v>42</v>
      </c>
      <c r="Q1283" s="1655" t="s">
        <v>569</v>
      </c>
      <c r="S1283" s="1655" t="s">
        <v>433</v>
      </c>
      <c r="T1283" s="1655" t="s">
        <v>1184</v>
      </c>
      <c r="U1283" s="1656" t="s">
        <v>43</v>
      </c>
      <c r="V1283" s="1655" t="s">
        <v>42</v>
      </c>
      <c r="W1283" s="1655" t="s">
        <v>569</v>
      </c>
    </row>
    <row r="1284" spans="1:23">
      <c r="A1284" s="1655" t="s">
        <v>433</v>
      </c>
      <c r="B1284" s="1655" t="s">
        <v>1185</v>
      </c>
      <c r="C1284" s="1656" t="s">
        <v>43</v>
      </c>
      <c r="D1284" s="1655" t="s">
        <v>42</v>
      </c>
      <c r="E1284" s="1655" t="s">
        <v>569</v>
      </c>
      <c r="G1284" s="1655" t="s">
        <v>433</v>
      </c>
      <c r="H1284" s="1655" t="s">
        <v>1185</v>
      </c>
      <c r="I1284" s="1656" t="s">
        <v>42</v>
      </c>
      <c r="J1284" s="1655" t="s">
        <v>42</v>
      </c>
      <c r="K1284" s="1655" t="s">
        <v>569</v>
      </c>
      <c r="M1284" s="1655" t="s">
        <v>433</v>
      </c>
      <c r="N1284" s="1655" t="s">
        <v>1185</v>
      </c>
      <c r="O1284" s="1656" t="s">
        <v>43</v>
      </c>
      <c r="P1284" s="1655" t="s">
        <v>42</v>
      </c>
      <c r="Q1284" s="1655" t="s">
        <v>569</v>
      </c>
      <c r="S1284" s="1655" t="s">
        <v>433</v>
      </c>
      <c r="T1284" s="1655" t="s">
        <v>1185</v>
      </c>
      <c r="U1284" s="1656" t="s">
        <v>43</v>
      </c>
      <c r="V1284" s="1655" t="s">
        <v>42</v>
      </c>
      <c r="W1284" s="1655" t="s">
        <v>569</v>
      </c>
    </row>
    <row r="1285" spans="1:23">
      <c r="A1285" s="1655" t="s">
        <v>433</v>
      </c>
      <c r="B1285" s="1655" t="s">
        <v>1186</v>
      </c>
      <c r="C1285" s="1656" t="s">
        <v>42</v>
      </c>
      <c r="D1285" s="1655" t="s">
        <v>42</v>
      </c>
      <c r="E1285" s="1655" t="s">
        <v>569</v>
      </c>
      <c r="G1285" s="1655" t="s">
        <v>433</v>
      </c>
      <c r="H1285" s="1655" t="s">
        <v>1186</v>
      </c>
      <c r="I1285" s="1656" t="s">
        <v>43</v>
      </c>
      <c r="J1285" s="1655" t="s">
        <v>42</v>
      </c>
      <c r="K1285" s="1655" t="s">
        <v>569</v>
      </c>
      <c r="M1285" s="1655" t="s">
        <v>433</v>
      </c>
      <c r="N1285" s="1655" t="s">
        <v>1186</v>
      </c>
      <c r="O1285" s="1656" t="s">
        <v>43</v>
      </c>
      <c r="P1285" s="1655" t="s">
        <v>42</v>
      </c>
      <c r="Q1285" s="1655" t="s">
        <v>569</v>
      </c>
      <c r="S1285" s="1655" t="s">
        <v>433</v>
      </c>
      <c r="T1285" s="1655" t="s">
        <v>1186</v>
      </c>
      <c r="U1285" s="1656" t="s">
        <v>43</v>
      </c>
      <c r="V1285" s="1655" t="s">
        <v>42</v>
      </c>
      <c r="W1285" s="1655" t="s">
        <v>569</v>
      </c>
    </row>
    <row r="1286" spans="1:23">
      <c r="A1286" s="1655" t="s">
        <v>433</v>
      </c>
      <c r="B1286" s="1655" t="s">
        <v>1198</v>
      </c>
      <c r="C1286" s="1656" t="s">
        <v>395</v>
      </c>
      <c r="D1286" s="1655" t="s">
        <v>42</v>
      </c>
      <c r="E1286" s="1655" t="s">
        <v>569</v>
      </c>
      <c r="G1286" s="1655" t="s">
        <v>433</v>
      </c>
      <c r="H1286" s="1655" t="s">
        <v>1198</v>
      </c>
      <c r="I1286" s="1656" t="s">
        <v>395</v>
      </c>
      <c r="J1286" s="1655" t="s">
        <v>42</v>
      </c>
      <c r="K1286" s="1655" t="s">
        <v>569</v>
      </c>
      <c r="M1286" s="1655" t="s">
        <v>433</v>
      </c>
      <c r="N1286" s="1655" t="s">
        <v>1198</v>
      </c>
      <c r="O1286" s="1656" t="s">
        <v>395</v>
      </c>
      <c r="P1286" s="1655" t="s">
        <v>42</v>
      </c>
      <c r="Q1286" s="1655" t="s">
        <v>569</v>
      </c>
      <c r="S1286" s="1655" t="s">
        <v>433</v>
      </c>
      <c r="T1286" s="1655" t="s">
        <v>1198</v>
      </c>
      <c r="U1286" s="1656" t="s">
        <v>395</v>
      </c>
      <c r="V1286" s="1655" t="s">
        <v>42</v>
      </c>
      <c r="W1286" s="1655" t="s">
        <v>569</v>
      </c>
    </row>
    <row r="1287" spans="1:23">
      <c r="A1287" s="1655" t="s">
        <v>433</v>
      </c>
      <c r="B1287" s="1655" t="s">
        <v>1094</v>
      </c>
      <c r="C1287" s="1656" t="s">
        <v>402</v>
      </c>
      <c r="D1287" s="1655" t="s">
        <v>42</v>
      </c>
      <c r="E1287" s="1655" t="s">
        <v>569</v>
      </c>
      <c r="G1287" s="1655" t="s">
        <v>433</v>
      </c>
      <c r="H1287" s="1655" t="s">
        <v>1094</v>
      </c>
      <c r="I1287" s="1656" t="s">
        <v>402</v>
      </c>
      <c r="J1287" s="1655" t="s">
        <v>42</v>
      </c>
      <c r="K1287" s="1655" t="s">
        <v>569</v>
      </c>
      <c r="M1287" s="1655" t="s">
        <v>433</v>
      </c>
      <c r="N1287" s="1655" t="s">
        <v>1094</v>
      </c>
      <c r="O1287" s="1656" t="s">
        <v>402</v>
      </c>
      <c r="P1287" s="1655" t="s">
        <v>42</v>
      </c>
      <c r="Q1287" s="1655" t="s">
        <v>569</v>
      </c>
      <c r="S1287" s="1655" t="s">
        <v>433</v>
      </c>
      <c r="T1287" s="1655" t="s">
        <v>1094</v>
      </c>
      <c r="U1287" s="1656" t="s">
        <v>395</v>
      </c>
      <c r="V1287" s="1655" t="s">
        <v>42</v>
      </c>
      <c r="W1287" s="1655" t="s">
        <v>569</v>
      </c>
    </row>
    <row r="1288" spans="1:23">
      <c r="A1288" s="1655" t="s">
        <v>433</v>
      </c>
      <c r="B1288" s="1655" t="s">
        <v>1199</v>
      </c>
      <c r="C1288" s="1656" t="s">
        <v>402</v>
      </c>
      <c r="D1288" s="1655" t="s">
        <v>42</v>
      </c>
      <c r="E1288" s="1655" t="s">
        <v>569</v>
      </c>
      <c r="G1288" s="1655" t="s">
        <v>433</v>
      </c>
      <c r="H1288" s="1655" t="s">
        <v>1199</v>
      </c>
      <c r="I1288" s="1656" t="s">
        <v>395</v>
      </c>
      <c r="J1288" s="1655" t="s">
        <v>42</v>
      </c>
      <c r="K1288" s="1655" t="s">
        <v>569</v>
      </c>
      <c r="M1288" s="1655" t="s">
        <v>433</v>
      </c>
      <c r="N1288" s="1655" t="s">
        <v>1199</v>
      </c>
      <c r="O1288" s="1656" t="s">
        <v>395</v>
      </c>
      <c r="P1288" s="1655" t="s">
        <v>42</v>
      </c>
      <c r="Q1288" s="1655" t="s">
        <v>569</v>
      </c>
      <c r="S1288" s="1655" t="s">
        <v>433</v>
      </c>
      <c r="T1288" s="1655" t="s">
        <v>1199</v>
      </c>
      <c r="U1288" s="1656" t="s">
        <v>395</v>
      </c>
      <c r="V1288" s="1655" t="s">
        <v>42</v>
      </c>
      <c r="W1288" s="1655" t="s">
        <v>569</v>
      </c>
    </row>
    <row r="1289" spans="1:23">
      <c r="A1289" s="1655" t="s">
        <v>433</v>
      </c>
      <c r="B1289" s="1655" t="s">
        <v>1200</v>
      </c>
      <c r="C1289" s="1656" t="s">
        <v>402</v>
      </c>
      <c r="D1289" s="1655" t="s">
        <v>42</v>
      </c>
      <c r="E1289" s="1655" t="s">
        <v>569</v>
      </c>
      <c r="G1289" s="1655" t="s">
        <v>433</v>
      </c>
      <c r="H1289" s="1655" t="s">
        <v>1200</v>
      </c>
      <c r="I1289" s="1656" t="s">
        <v>395</v>
      </c>
      <c r="J1289" s="1655" t="s">
        <v>42</v>
      </c>
      <c r="K1289" s="1655" t="s">
        <v>569</v>
      </c>
      <c r="M1289" s="1655" t="s">
        <v>433</v>
      </c>
      <c r="N1289" s="1655" t="s">
        <v>1200</v>
      </c>
      <c r="O1289" s="1656" t="s">
        <v>395</v>
      </c>
      <c r="P1289" s="1655" t="s">
        <v>42</v>
      </c>
      <c r="Q1289" s="1655" t="s">
        <v>569</v>
      </c>
      <c r="S1289" s="1655" t="s">
        <v>433</v>
      </c>
      <c r="T1289" s="1655" t="s">
        <v>1200</v>
      </c>
      <c r="U1289" s="1656" t="s">
        <v>395</v>
      </c>
      <c r="V1289" s="1655" t="s">
        <v>42</v>
      </c>
      <c r="W1289" s="1655" t="s">
        <v>569</v>
      </c>
    </row>
    <row r="1290" spans="1:23">
      <c r="A1290" s="1655" t="s">
        <v>433</v>
      </c>
      <c r="B1290" s="1655" t="s">
        <v>1201</v>
      </c>
      <c r="C1290" s="1656" t="s">
        <v>402</v>
      </c>
      <c r="D1290" s="1655" t="s">
        <v>42</v>
      </c>
      <c r="E1290" s="1655" t="s">
        <v>569</v>
      </c>
      <c r="G1290" s="1655" t="s">
        <v>433</v>
      </c>
      <c r="H1290" s="1655" t="s">
        <v>1201</v>
      </c>
      <c r="I1290" s="1656" t="s">
        <v>395</v>
      </c>
      <c r="J1290" s="1655" t="s">
        <v>42</v>
      </c>
      <c r="K1290" s="1655" t="s">
        <v>569</v>
      </c>
      <c r="M1290" s="1655" t="s">
        <v>433</v>
      </c>
      <c r="N1290" s="1655" t="s">
        <v>1201</v>
      </c>
      <c r="O1290" s="1656" t="s">
        <v>395</v>
      </c>
      <c r="P1290" s="1655" t="s">
        <v>42</v>
      </c>
      <c r="Q1290" s="1655" t="s">
        <v>569</v>
      </c>
      <c r="S1290" s="1655" t="s">
        <v>433</v>
      </c>
      <c r="T1290" s="1655" t="s">
        <v>1201</v>
      </c>
      <c r="U1290" s="1656" t="s">
        <v>395</v>
      </c>
      <c r="V1290" s="1655" t="s">
        <v>42</v>
      </c>
      <c r="W1290" s="1655" t="s">
        <v>569</v>
      </c>
    </row>
    <row r="1291" spans="1:23">
      <c r="A1291" s="1655" t="s">
        <v>433</v>
      </c>
      <c r="B1291" s="1655" t="s">
        <v>1202</v>
      </c>
      <c r="C1291" s="1656" t="s">
        <v>402</v>
      </c>
      <c r="D1291" s="1655" t="s">
        <v>42</v>
      </c>
      <c r="E1291" s="1655" t="s">
        <v>569</v>
      </c>
      <c r="G1291" s="1655" t="s">
        <v>433</v>
      </c>
      <c r="H1291" s="1655" t="s">
        <v>1202</v>
      </c>
      <c r="I1291" s="1656" t="s">
        <v>395</v>
      </c>
      <c r="J1291" s="1655" t="s">
        <v>42</v>
      </c>
      <c r="K1291" s="1655" t="s">
        <v>569</v>
      </c>
      <c r="M1291" s="1655" t="s">
        <v>433</v>
      </c>
      <c r="N1291" s="1655" t="s">
        <v>1202</v>
      </c>
      <c r="O1291" s="1656" t="s">
        <v>395</v>
      </c>
      <c r="P1291" s="1655" t="s">
        <v>42</v>
      </c>
      <c r="Q1291" s="1655" t="s">
        <v>569</v>
      </c>
      <c r="S1291" s="1655" t="s">
        <v>433</v>
      </c>
      <c r="T1291" s="1655" t="s">
        <v>1202</v>
      </c>
      <c r="U1291" s="1656" t="s">
        <v>395</v>
      </c>
      <c r="V1291" s="1655" t="s">
        <v>42</v>
      </c>
      <c r="W1291" s="1655" t="s">
        <v>569</v>
      </c>
    </row>
    <row r="1292" spans="1:23">
      <c r="A1292" s="1655" t="s">
        <v>433</v>
      </c>
      <c r="B1292" s="1655" t="s">
        <v>1203</v>
      </c>
      <c r="C1292" s="1656" t="s">
        <v>402</v>
      </c>
      <c r="D1292" s="1655" t="s">
        <v>42</v>
      </c>
      <c r="E1292" s="1655" t="s">
        <v>569</v>
      </c>
      <c r="G1292" s="1655" t="s">
        <v>433</v>
      </c>
      <c r="H1292" s="1655" t="s">
        <v>1203</v>
      </c>
      <c r="I1292" s="1656" t="s">
        <v>395</v>
      </c>
      <c r="J1292" s="1655" t="s">
        <v>42</v>
      </c>
      <c r="K1292" s="1655" t="s">
        <v>569</v>
      </c>
      <c r="M1292" s="1655" t="s">
        <v>433</v>
      </c>
      <c r="N1292" s="1655" t="s">
        <v>1203</v>
      </c>
      <c r="O1292" s="1656" t="s">
        <v>395</v>
      </c>
      <c r="P1292" s="1655" t="s">
        <v>42</v>
      </c>
      <c r="Q1292" s="1655" t="s">
        <v>569</v>
      </c>
      <c r="S1292" s="1655" t="s">
        <v>433</v>
      </c>
      <c r="T1292" s="1655" t="s">
        <v>1203</v>
      </c>
      <c r="U1292" s="1656" t="s">
        <v>395</v>
      </c>
      <c r="V1292" s="1655" t="s">
        <v>42</v>
      </c>
      <c r="W1292" s="1655" t="s">
        <v>569</v>
      </c>
    </row>
    <row r="1293" spans="1:23">
      <c r="A1293" s="1655" t="s">
        <v>433</v>
      </c>
      <c r="B1293" s="1655" t="s">
        <v>1204</v>
      </c>
      <c r="C1293" s="1656" t="s">
        <v>402</v>
      </c>
      <c r="D1293" s="1655" t="s">
        <v>42</v>
      </c>
      <c r="E1293" s="1655" t="s">
        <v>569</v>
      </c>
      <c r="G1293" s="1655" t="s">
        <v>433</v>
      </c>
      <c r="H1293" s="1655" t="s">
        <v>1204</v>
      </c>
      <c r="I1293" s="1656" t="s">
        <v>402</v>
      </c>
      <c r="J1293" s="1655" t="s">
        <v>42</v>
      </c>
      <c r="K1293" s="1655" t="s">
        <v>569</v>
      </c>
      <c r="M1293" s="1655" t="s">
        <v>433</v>
      </c>
      <c r="N1293" s="1655" t="s">
        <v>1204</v>
      </c>
      <c r="O1293" s="1656" t="s">
        <v>402</v>
      </c>
      <c r="P1293" s="1655" t="s">
        <v>42</v>
      </c>
      <c r="Q1293" s="1655" t="s">
        <v>569</v>
      </c>
      <c r="S1293" s="1655" t="s">
        <v>433</v>
      </c>
      <c r="T1293" s="1655" t="s">
        <v>1204</v>
      </c>
      <c r="U1293" s="1656" t="s">
        <v>395</v>
      </c>
      <c r="V1293" s="1655" t="s">
        <v>42</v>
      </c>
      <c r="W1293" s="1655" t="s">
        <v>569</v>
      </c>
    </row>
    <row r="1294" spans="1:23">
      <c r="A1294" s="1655" t="s">
        <v>433</v>
      </c>
      <c r="B1294" s="1655" t="s">
        <v>1205</v>
      </c>
      <c r="C1294" s="1656" t="s">
        <v>402</v>
      </c>
      <c r="D1294" s="1655" t="s">
        <v>42</v>
      </c>
      <c r="E1294" s="1655" t="s">
        <v>569</v>
      </c>
      <c r="G1294" s="1655" t="s">
        <v>433</v>
      </c>
      <c r="H1294" s="1655" t="s">
        <v>1205</v>
      </c>
      <c r="I1294" s="1656" t="s">
        <v>402</v>
      </c>
      <c r="J1294" s="1655" t="s">
        <v>42</v>
      </c>
      <c r="K1294" s="1655" t="s">
        <v>569</v>
      </c>
      <c r="M1294" s="1655" t="s">
        <v>433</v>
      </c>
      <c r="N1294" s="1655" t="s">
        <v>1205</v>
      </c>
      <c r="O1294" s="1656" t="s">
        <v>402</v>
      </c>
      <c r="P1294" s="1655" t="s">
        <v>42</v>
      </c>
      <c r="Q1294" s="1655" t="s">
        <v>569</v>
      </c>
      <c r="S1294" s="1655" t="s">
        <v>433</v>
      </c>
      <c r="T1294" s="1655" t="s">
        <v>1205</v>
      </c>
      <c r="U1294" s="1656" t="s">
        <v>395</v>
      </c>
      <c r="V1294" s="1655" t="s">
        <v>42</v>
      </c>
      <c r="W1294" s="1655" t="s">
        <v>569</v>
      </c>
    </row>
    <row r="1295" spans="1:23">
      <c r="A1295" s="1655" t="s">
        <v>433</v>
      </c>
      <c r="B1295" s="1655" t="s">
        <v>1206</v>
      </c>
      <c r="C1295" s="1656" t="s">
        <v>402</v>
      </c>
      <c r="D1295" s="1655" t="s">
        <v>42</v>
      </c>
      <c r="E1295" s="1655" t="s">
        <v>569</v>
      </c>
      <c r="G1295" s="1655" t="s">
        <v>433</v>
      </c>
      <c r="H1295" s="1655" t="s">
        <v>1206</v>
      </c>
      <c r="I1295" s="1656" t="s">
        <v>402</v>
      </c>
      <c r="J1295" s="1655" t="s">
        <v>42</v>
      </c>
      <c r="K1295" s="1655" t="s">
        <v>569</v>
      </c>
      <c r="M1295" s="1655" t="s">
        <v>433</v>
      </c>
      <c r="N1295" s="1655" t="s">
        <v>1206</v>
      </c>
      <c r="O1295" s="1656" t="s">
        <v>402</v>
      </c>
      <c r="P1295" s="1655" t="s">
        <v>42</v>
      </c>
      <c r="Q1295" s="1655" t="s">
        <v>569</v>
      </c>
      <c r="S1295" s="1655" t="s">
        <v>433</v>
      </c>
      <c r="T1295" s="1655" t="s">
        <v>1206</v>
      </c>
      <c r="U1295" s="1656" t="s">
        <v>395</v>
      </c>
      <c r="V1295" s="1655" t="s">
        <v>42</v>
      </c>
      <c r="W1295" s="1655" t="s">
        <v>569</v>
      </c>
    </row>
    <row r="1296" spans="1:23">
      <c r="A1296" s="1655" t="s">
        <v>433</v>
      </c>
      <c r="B1296" s="1655" t="s">
        <v>1207</v>
      </c>
      <c r="C1296" s="1656" t="s">
        <v>395</v>
      </c>
      <c r="D1296" s="1655" t="s">
        <v>42</v>
      </c>
      <c r="E1296" s="1655" t="s">
        <v>569</v>
      </c>
      <c r="G1296" s="1655" t="s">
        <v>433</v>
      </c>
      <c r="H1296" s="1655" t="s">
        <v>1207</v>
      </c>
      <c r="I1296" s="1656" t="s">
        <v>402</v>
      </c>
      <c r="J1296" s="1655" t="s">
        <v>42</v>
      </c>
      <c r="K1296" s="1655" t="s">
        <v>569</v>
      </c>
      <c r="M1296" s="1655" t="s">
        <v>433</v>
      </c>
      <c r="N1296" s="1655" t="s">
        <v>1207</v>
      </c>
      <c r="O1296" s="1656" t="s">
        <v>402</v>
      </c>
      <c r="P1296" s="1655" t="s">
        <v>42</v>
      </c>
      <c r="Q1296" s="1655" t="s">
        <v>569</v>
      </c>
      <c r="S1296" s="1655" t="s">
        <v>433</v>
      </c>
      <c r="T1296" s="1655" t="s">
        <v>1207</v>
      </c>
      <c r="U1296" s="1656" t="s">
        <v>395</v>
      </c>
      <c r="V1296" s="1655" t="s">
        <v>42</v>
      </c>
      <c r="W1296" s="1655" t="s">
        <v>569</v>
      </c>
    </row>
    <row r="1297" spans="1:23">
      <c r="A1297" s="1655" t="s">
        <v>433</v>
      </c>
      <c r="B1297" s="1655" t="s">
        <v>616</v>
      </c>
      <c r="C1297" s="1656">
        <v>58</v>
      </c>
      <c r="D1297" s="1655" t="s">
        <v>42</v>
      </c>
      <c r="E1297" s="1655" t="s">
        <v>571</v>
      </c>
      <c r="G1297" s="1655" t="s">
        <v>433</v>
      </c>
      <c r="H1297" s="1655" t="s">
        <v>616</v>
      </c>
      <c r="I1297" s="1656">
        <v>0</v>
      </c>
      <c r="J1297" s="1655" t="s">
        <v>42</v>
      </c>
      <c r="K1297" s="1655" t="s">
        <v>571</v>
      </c>
      <c r="M1297" s="1655" t="s">
        <v>433</v>
      </c>
      <c r="N1297" s="1655" t="s">
        <v>616</v>
      </c>
      <c r="O1297" s="1656">
        <v>0</v>
      </c>
      <c r="P1297" s="1655" t="s">
        <v>42</v>
      </c>
      <c r="Q1297" s="1655" t="s">
        <v>571</v>
      </c>
      <c r="S1297" s="1655" t="s">
        <v>433</v>
      </c>
      <c r="T1297" s="1655" t="s">
        <v>616</v>
      </c>
      <c r="U1297" s="1656">
        <v>0</v>
      </c>
      <c r="V1297" s="1655" t="s">
        <v>42</v>
      </c>
      <c r="W1297" s="1655" t="s">
        <v>571</v>
      </c>
    </row>
    <row r="1298" spans="1:23">
      <c r="A1298" s="1655" t="s">
        <v>433</v>
      </c>
      <c r="B1298" s="1655" t="s">
        <v>617</v>
      </c>
      <c r="C1298" s="1656">
        <v>0</v>
      </c>
      <c r="D1298" s="1655" t="s">
        <v>42</v>
      </c>
      <c r="E1298" s="1655" t="s">
        <v>571</v>
      </c>
      <c r="G1298" s="1655" t="s">
        <v>433</v>
      </c>
      <c r="H1298" s="1655" t="s">
        <v>617</v>
      </c>
      <c r="I1298" s="1656">
        <v>0</v>
      </c>
      <c r="J1298" s="1655" t="s">
        <v>42</v>
      </c>
      <c r="K1298" s="1655" t="s">
        <v>571</v>
      </c>
      <c r="M1298" s="1655" t="s">
        <v>433</v>
      </c>
      <c r="N1298" s="1655" t="s">
        <v>617</v>
      </c>
      <c r="O1298" s="1656">
        <v>170.1</v>
      </c>
      <c r="P1298" s="1655" t="s">
        <v>42</v>
      </c>
      <c r="Q1298" s="1655" t="s">
        <v>571</v>
      </c>
      <c r="S1298" s="1655" t="s">
        <v>433</v>
      </c>
      <c r="T1298" s="1655" t="s">
        <v>617</v>
      </c>
      <c r="U1298" s="1656">
        <v>0</v>
      </c>
      <c r="V1298" s="1655" t="s">
        <v>42</v>
      </c>
      <c r="W1298" s="1655" t="s">
        <v>571</v>
      </c>
    </row>
    <row r="1299" spans="1:23">
      <c r="A1299" s="1655" t="s">
        <v>433</v>
      </c>
      <c r="B1299" s="1655" t="s">
        <v>618</v>
      </c>
      <c r="C1299" s="1656">
        <v>0</v>
      </c>
      <c r="D1299" s="1655" t="s">
        <v>42</v>
      </c>
      <c r="E1299" s="1655" t="s">
        <v>571</v>
      </c>
      <c r="G1299" s="1655" t="s">
        <v>433</v>
      </c>
      <c r="H1299" s="1655" t="s">
        <v>618</v>
      </c>
      <c r="I1299" s="1657">
        <v>0</v>
      </c>
      <c r="J1299" s="1655" t="s">
        <v>42</v>
      </c>
      <c r="K1299" s="1655" t="s">
        <v>571</v>
      </c>
      <c r="M1299" s="1655" t="s">
        <v>433</v>
      </c>
      <c r="N1299" s="1655" t="s">
        <v>618</v>
      </c>
      <c r="O1299" s="1657">
        <v>0</v>
      </c>
      <c r="P1299" s="1655" t="s">
        <v>42</v>
      </c>
      <c r="Q1299" s="1655" t="s">
        <v>571</v>
      </c>
      <c r="S1299" s="1655" t="s">
        <v>433</v>
      </c>
      <c r="T1299" s="1655" t="s">
        <v>618</v>
      </c>
      <c r="U1299" s="1656">
        <v>0</v>
      </c>
      <c r="V1299" s="1655" t="s">
        <v>42</v>
      </c>
      <c r="W1299" s="1655" t="s">
        <v>571</v>
      </c>
    </row>
    <row r="1300" spans="1:23">
      <c r="A1300" s="1655" t="s">
        <v>433</v>
      </c>
      <c r="B1300" s="1655" t="s">
        <v>619</v>
      </c>
      <c r="C1300" s="1656">
        <v>0</v>
      </c>
      <c r="D1300" s="1655" t="s">
        <v>42</v>
      </c>
      <c r="E1300" s="1655" t="s">
        <v>571</v>
      </c>
      <c r="G1300" s="1655" t="s">
        <v>433</v>
      </c>
      <c r="H1300" s="1655" t="s">
        <v>619</v>
      </c>
      <c r="I1300" s="1659">
        <v>0</v>
      </c>
      <c r="J1300" s="1655" t="s">
        <v>42</v>
      </c>
      <c r="K1300" s="1655" t="s">
        <v>571</v>
      </c>
      <c r="M1300" s="1655" t="s">
        <v>433</v>
      </c>
      <c r="N1300" s="1655" t="s">
        <v>619</v>
      </c>
      <c r="O1300" s="1659">
        <v>0</v>
      </c>
      <c r="P1300" s="1655" t="s">
        <v>42</v>
      </c>
      <c r="Q1300" s="1655" t="s">
        <v>571</v>
      </c>
      <c r="S1300" s="1655" t="s">
        <v>433</v>
      </c>
      <c r="T1300" s="1655" t="s">
        <v>619</v>
      </c>
      <c r="U1300" s="1659">
        <v>0</v>
      </c>
      <c r="V1300" s="1655" t="s">
        <v>42</v>
      </c>
      <c r="W1300" s="1655" t="s">
        <v>571</v>
      </c>
    </row>
    <row r="1301" spans="1:23">
      <c r="A1301" s="1655" t="s">
        <v>433</v>
      </c>
      <c r="B1301" s="1655" t="s">
        <v>620</v>
      </c>
      <c r="C1301" s="1656">
        <v>0</v>
      </c>
      <c r="D1301" s="1655" t="s">
        <v>42</v>
      </c>
      <c r="E1301" s="1655" t="s">
        <v>571</v>
      </c>
      <c r="G1301" s="1655" t="s">
        <v>433</v>
      </c>
      <c r="H1301" s="1655" t="s">
        <v>620</v>
      </c>
      <c r="I1301" s="1656">
        <v>0</v>
      </c>
      <c r="J1301" s="1655" t="s">
        <v>42</v>
      </c>
      <c r="K1301" s="1655" t="s">
        <v>571</v>
      </c>
      <c r="M1301" s="1655" t="s">
        <v>433</v>
      </c>
      <c r="N1301" s="1655" t="s">
        <v>620</v>
      </c>
      <c r="O1301" s="1656">
        <v>68</v>
      </c>
      <c r="P1301" s="1655" t="s">
        <v>42</v>
      </c>
      <c r="Q1301" s="1655" t="s">
        <v>571</v>
      </c>
      <c r="S1301" s="1655" t="s">
        <v>433</v>
      </c>
      <c r="T1301" s="1655" t="s">
        <v>620</v>
      </c>
      <c r="U1301" s="1656">
        <v>0</v>
      </c>
      <c r="V1301" s="1655" t="s">
        <v>42</v>
      </c>
      <c r="W1301" s="1655" t="s">
        <v>571</v>
      </c>
    </row>
    <row r="1302" spans="1:23">
      <c r="A1302" s="1655" t="s">
        <v>433</v>
      </c>
      <c r="B1302" s="1655" t="s">
        <v>621</v>
      </c>
      <c r="C1302" s="1656">
        <v>0</v>
      </c>
      <c r="D1302" s="1655" t="s">
        <v>42</v>
      </c>
      <c r="E1302" s="1655" t="s">
        <v>571</v>
      </c>
      <c r="G1302" s="1655" t="s">
        <v>433</v>
      </c>
      <c r="H1302" s="1655" t="s">
        <v>621</v>
      </c>
      <c r="I1302" s="1658">
        <v>0</v>
      </c>
      <c r="J1302" s="1655" t="s">
        <v>42</v>
      </c>
      <c r="K1302" s="1655" t="s">
        <v>571</v>
      </c>
      <c r="M1302" s="1655" t="s">
        <v>433</v>
      </c>
      <c r="N1302" s="1655" t="s">
        <v>621</v>
      </c>
      <c r="O1302" s="1658">
        <v>12.4</v>
      </c>
      <c r="P1302" s="1655" t="s">
        <v>42</v>
      </c>
      <c r="Q1302" s="1655" t="s">
        <v>571</v>
      </c>
      <c r="S1302" s="1655" t="s">
        <v>433</v>
      </c>
      <c r="T1302" s="1655" t="s">
        <v>621</v>
      </c>
      <c r="U1302" s="1656">
        <v>0</v>
      </c>
      <c r="V1302" s="1655" t="s">
        <v>42</v>
      </c>
      <c r="W1302" s="1655" t="s">
        <v>571</v>
      </c>
    </row>
    <row r="1303" spans="1:23">
      <c r="A1303" s="1655" t="s">
        <v>433</v>
      </c>
      <c r="B1303" s="1655" t="s">
        <v>622</v>
      </c>
      <c r="C1303" s="1656">
        <v>0</v>
      </c>
      <c r="D1303" s="1655" t="s">
        <v>42</v>
      </c>
      <c r="E1303" s="1655" t="s">
        <v>571</v>
      </c>
      <c r="G1303" s="1655" t="s">
        <v>433</v>
      </c>
      <c r="H1303" s="1655" t="s">
        <v>622</v>
      </c>
      <c r="I1303" s="1658">
        <v>0</v>
      </c>
      <c r="J1303" s="1655" t="s">
        <v>42</v>
      </c>
      <c r="K1303" s="1655" t="s">
        <v>571</v>
      </c>
      <c r="M1303" s="1655" t="s">
        <v>433</v>
      </c>
      <c r="N1303" s="1655" t="s">
        <v>622</v>
      </c>
      <c r="O1303" s="1658">
        <v>115</v>
      </c>
      <c r="P1303" s="1655" t="s">
        <v>42</v>
      </c>
      <c r="Q1303" s="1655" t="s">
        <v>571</v>
      </c>
      <c r="S1303" s="1655" t="s">
        <v>433</v>
      </c>
      <c r="T1303" s="1655" t="s">
        <v>622</v>
      </c>
      <c r="U1303" s="1656">
        <v>0</v>
      </c>
      <c r="V1303" s="1655" t="s">
        <v>42</v>
      </c>
      <c r="W1303" s="1655" t="s">
        <v>571</v>
      </c>
    </row>
    <row r="1304" spans="1:23">
      <c r="A1304" s="1655" t="s">
        <v>433</v>
      </c>
      <c r="B1304" s="1655" t="s">
        <v>623</v>
      </c>
      <c r="C1304" s="1656">
        <v>0</v>
      </c>
      <c r="D1304" s="1655" t="s">
        <v>42</v>
      </c>
      <c r="E1304" s="1655" t="s">
        <v>571</v>
      </c>
      <c r="G1304" s="1655" t="s">
        <v>433</v>
      </c>
      <c r="H1304" s="1655" t="s">
        <v>623</v>
      </c>
      <c r="I1304" s="1656">
        <v>0</v>
      </c>
      <c r="J1304" s="1655" t="s">
        <v>42</v>
      </c>
      <c r="K1304" s="1655" t="s">
        <v>571</v>
      </c>
      <c r="M1304" s="1655" t="s">
        <v>433</v>
      </c>
      <c r="N1304" s="1655" t="s">
        <v>623</v>
      </c>
      <c r="O1304" s="1656">
        <v>0</v>
      </c>
      <c r="P1304" s="1655" t="s">
        <v>42</v>
      </c>
      <c r="Q1304" s="1655" t="s">
        <v>571</v>
      </c>
      <c r="S1304" s="1655" t="s">
        <v>433</v>
      </c>
      <c r="T1304" s="1655" t="s">
        <v>623</v>
      </c>
      <c r="U1304" s="1656">
        <v>0</v>
      </c>
      <c r="V1304" s="1655" t="s">
        <v>42</v>
      </c>
      <c r="W1304" s="1655" t="s">
        <v>571</v>
      </c>
    </row>
    <row r="1305" spans="1:23">
      <c r="A1305" s="1655" t="s">
        <v>433</v>
      </c>
      <c r="B1305" s="1655" t="s">
        <v>1043</v>
      </c>
      <c r="C1305" s="1656">
        <v>0</v>
      </c>
      <c r="D1305" s="1655" t="s">
        <v>42</v>
      </c>
      <c r="E1305" s="1655" t="s">
        <v>571</v>
      </c>
      <c r="G1305" s="1655" t="s">
        <v>433</v>
      </c>
      <c r="H1305" s="1655" t="s">
        <v>1043</v>
      </c>
      <c r="I1305" s="1658">
        <v>0</v>
      </c>
      <c r="J1305" s="1655" t="s">
        <v>42</v>
      </c>
      <c r="K1305" s="1655" t="s">
        <v>571</v>
      </c>
      <c r="M1305" s="1655" t="s">
        <v>433</v>
      </c>
      <c r="N1305" s="1655" t="s">
        <v>1043</v>
      </c>
      <c r="O1305" s="1658">
        <v>0</v>
      </c>
      <c r="P1305" s="1655" t="s">
        <v>42</v>
      </c>
      <c r="Q1305" s="1655" t="s">
        <v>571</v>
      </c>
      <c r="S1305" s="1655" t="s">
        <v>433</v>
      </c>
      <c r="T1305" s="1655" t="s">
        <v>1043</v>
      </c>
      <c r="U1305" s="1656">
        <v>0</v>
      </c>
      <c r="V1305" s="1655" t="s">
        <v>42</v>
      </c>
      <c r="W1305" s="1655" t="s">
        <v>571</v>
      </c>
    </row>
    <row r="1306" spans="1:23">
      <c r="A1306" s="1655" t="s">
        <v>433</v>
      </c>
      <c r="B1306" s="1655" t="s">
        <v>1044</v>
      </c>
      <c r="C1306" s="1656">
        <v>0</v>
      </c>
      <c r="D1306" s="1655" t="s">
        <v>42</v>
      </c>
      <c r="E1306" s="1655" t="s">
        <v>571</v>
      </c>
      <c r="G1306" s="1655" t="s">
        <v>433</v>
      </c>
      <c r="H1306" s="1655" t="s">
        <v>1044</v>
      </c>
      <c r="I1306" s="1656">
        <v>0</v>
      </c>
      <c r="J1306" s="1655" t="s">
        <v>42</v>
      </c>
      <c r="K1306" s="1655" t="s">
        <v>571</v>
      </c>
      <c r="M1306" s="1655" t="s">
        <v>433</v>
      </c>
      <c r="N1306" s="1655" t="s">
        <v>1044</v>
      </c>
      <c r="O1306" s="1656">
        <v>0</v>
      </c>
      <c r="P1306" s="1655" t="s">
        <v>42</v>
      </c>
      <c r="Q1306" s="1655" t="s">
        <v>571</v>
      </c>
      <c r="S1306" s="1655" t="s">
        <v>433</v>
      </c>
      <c r="T1306" s="1655" t="s">
        <v>1044</v>
      </c>
      <c r="U1306" s="1656">
        <v>0</v>
      </c>
      <c r="V1306" s="1655" t="s">
        <v>42</v>
      </c>
      <c r="W1306" s="1655" t="s">
        <v>571</v>
      </c>
    </row>
    <row r="1307" spans="1:23">
      <c r="A1307" s="1655" t="s">
        <v>433</v>
      </c>
      <c r="B1307" s="1655" t="s">
        <v>1045</v>
      </c>
      <c r="C1307" s="1656">
        <v>0</v>
      </c>
      <c r="D1307" s="1655" t="s">
        <v>42</v>
      </c>
      <c r="E1307" s="1655" t="s">
        <v>571</v>
      </c>
      <c r="G1307" s="1655" t="s">
        <v>433</v>
      </c>
      <c r="H1307" s="1655" t="s">
        <v>1045</v>
      </c>
      <c r="I1307" s="1656">
        <v>0</v>
      </c>
      <c r="J1307" s="1655" t="s">
        <v>42</v>
      </c>
      <c r="K1307" s="1655" t="s">
        <v>571</v>
      </c>
      <c r="M1307" s="1655" t="s">
        <v>433</v>
      </c>
      <c r="N1307" s="1655" t="s">
        <v>1045</v>
      </c>
      <c r="O1307" s="1656">
        <v>0</v>
      </c>
      <c r="P1307" s="1655" t="s">
        <v>42</v>
      </c>
      <c r="Q1307" s="1655" t="s">
        <v>571</v>
      </c>
      <c r="S1307" s="1655" t="s">
        <v>433</v>
      </c>
      <c r="T1307" s="1655" t="s">
        <v>1045</v>
      </c>
      <c r="U1307" s="1656">
        <v>0</v>
      </c>
      <c r="V1307" s="1655" t="s">
        <v>42</v>
      </c>
      <c r="W1307" s="1655" t="s">
        <v>571</v>
      </c>
    </row>
    <row r="1308" spans="1:23">
      <c r="A1308" s="1655" t="s">
        <v>244</v>
      </c>
      <c r="B1308" s="1655" t="s">
        <v>1163</v>
      </c>
      <c r="C1308" s="1656" t="s">
        <v>570</v>
      </c>
      <c r="D1308" s="1655" t="s">
        <v>43</v>
      </c>
      <c r="E1308" s="1655" t="s">
        <v>569</v>
      </c>
      <c r="G1308" s="1655" t="s">
        <v>244</v>
      </c>
      <c r="H1308" s="1655" t="s">
        <v>1163</v>
      </c>
      <c r="I1308" s="1656" t="s">
        <v>570</v>
      </c>
      <c r="J1308" s="1655" t="s">
        <v>43</v>
      </c>
      <c r="K1308" s="1655" t="s">
        <v>569</v>
      </c>
      <c r="M1308" s="1655" t="s">
        <v>244</v>
      </c>
      <c r="N1308" s="1655" t="s">
        <v>1163</v>
      </c>
      <c r="O1308" s="1656" t="s">
        <v>2367</v>
      </c>
      <c r="P1308" s="1655" t="s">
        <v>42</v>
      </c>
      <c r="Q1308" s="1655" t="s">
        <v>569</v>
      </c>
      <c r="S1308" s="1655" t="s">
        <v>244</v>
      </c>
      <c r="T1308" s="1655" t="s">
        <v>1163</v>
      </c>
      <c r="U1308" s="1656" t="s">
        <v>570</v>
      </c>
      <c r="V1308" s="1655" t="s">
        <v>43</v>
      </c>
      <c r="W1308" s="1655" t="s">
        <v>569</v>
      </c>
    </row>
    <row r="1309" spans="1:23">
      <c r="A1309" s="1655" t="s">
        <v>244</v>
      </c>
      <c r="B1309" s="1655" t="s">
        <v>573</v>
      </c>
      <c r="C1309" s="1656" t="s">
        <v>570</v>
      </c>
      <c r="D1309" s="1655" t="s">
        <v>43</v>
      </c>
      <c r="E1309" s="1655" t="s">
        <v>569</v>
      </c>
      <c r="G1309" s="1655" t="s">
        <v>244</v>
      </c>
      <c r="H1309" s="1655" t="s">
        <v>573</v>
      </c>
      <c r="I1309" s="1656" t="s">
        <v>570</v>
      </c>
      <c r="J1309" s="1655" t="s">
        <v>43</v>
      </c>
      <c r="K1309" s="1655" t="s">
        <v>569</v>
      </c>
      <c r="M1309" s="1655" t="s">
        <v>244</v>
      </c>
      <c r="N1309" s="1655" t="s">
        <v>573</v>
      </c>
      <c r="O1309" s="1656" t="s">
        <v>2377</v>
      </c>
      <c r="P1309" s="1655" t="s">
        <v>42</v>
      </c>
      <c r="Q1309" s="1655" t="s">
        <v>569</v>
      </c>
      <c r="S1309" s="1655" t="s">
        <v>244</v>
      </c>
      <c r="T1309" s="1655" t="s">
        <v>573</v>
      </c>
      <c r="U1309" s="1656" t="s">
        <v>570</v>
      </c>
      <c r="V1309" s="1655" t="s">
        <v>43</v>
      </c>
      <c r="W1309" s="1655" t="s">
        <v>569</v>
      </c>
    </row>
    <row r="1310" spans="1:23">
      <c r="A1310" s="1655" t="s">
        <v>244</v>
      </c>
      <c r="B1310" s="1655" t="s">
        <v>1164</v>
      </c>
      <c r="C1310" s="1657">
        <v>43831</v>
      </c>
      <c r="D1310" s="1655" t="s">
        <v>42</v>
      </c>
      <c r="E1310" s="1655" t="s">
        <v>196</v>
      </c>
      <c r="G1310" s="1655" t="s">
        <v>244</v>
      </c>
      <c r="H1310" s="1655" t="s">
        <v>1164</v>
      </c>
      <c r="I1310" s="1656" t="s">
        <v>570</v>
      </c>
      <c r="J1310" s="1655" t="s">
        <v>43</v>
      </c>
      <c r="K1310" s="1655" t="s">
        <v>196</v>
      </c>
      <c r="M1310" s="1655" t="s">
        <v>244</v>
      </c>
      <c r="N1310" s="1655" t="s">
        <v>1164</v>
      </c>
      <c r="O1310" s="1656">
        <v>34957</v>
      </c>
      <c r="P1310" s="1655" t="s">
        <v>42</v>
      </c>
      <c r="Q1310" s="1655" t="s">
        <v>196</v>
      </c>
      <c r="S1310" s="1655" t="s">
        <v>244</v>
      </c>
      <c r="T1310" s="1655" t="s">
        <v>1164</v>
      </c>
      <c r="U1310" s="1656" t="s">
        <v>570</v>
      </c>
      <c r="V1310" s="1655" t="s">
        <v>43</v>
      </c>
      <c r="W1310" s="1655" t="s">
        <v>196</v>
      </c>
    </row>
    <row r="1311" spans="1:23">
      <c r="A1311" s="1655" t="s">
        <v>244</v>
      </c>
      <c r="B1311" s="1655" t="s">
        <v>1165</v>
      </c>
      <c r="C1311" s="1656" t="s">
        <v>570</v>
      </c>
      <c r="D1311" s="1655" t="s">
        <v>43</v>
      </c>
      <c r="E1311" s="1655" t="s">
        <v>6</v>
      </c>
      <c r="G1311" s="1655" t="s">
        <v>244</v>
      </c>
      <c r="H1311" s="1655" t="s">
        <v>1165</v>
      </c>
      <c r="I1311" s="1656" t="s">
        <v>570</v>
      </c>
      <c r="J1311" s="1655" t="s">
        <v>43</v>
      </c>
      <c r="K1311" s="1655" t="s">
        <v>6</v>
      </c>
      <c r="M1311" s="1655" t="s">
        <v>244</v>
      </c>
      <c r="N1311" s="1655" t="s">
        <v>1165</v>
      </c>
      <c r="O1311" s="1656">
        <v>1950</v>
      </c>
      <c r="P1311" s="1655" t="s">
        <v>42</v>
      </c>
      <c r="Q1311" s="1655" t="s">
        <v>6</v>
      </c>
      <c r="S1311" s="1655" t="s">
        <v>244</v>
      </c>
      <c r="T1311" s="1655" t="s">
        <v>1165</v>
      </c>
      <c r="U1311" s="1656" t="s">
        <v>570</v>
      </c>
      <c r="V1311" s="1655" t="s">
        <v>43</v>
      </c>
      <c r="W1311" s="1655" t="s">
        <v>6</v>
      </c>
    </row>
    <row r="1312" spans="1:23">
      <c r="A1312" s="1655" t="s">
        <v>244</v>
      </c>
      <c r="B1312" s="1655" t="s">
        <v>1166</v>
      </c>
      <c r="C1312" s="1656">
        <v>0</v>
      </c>
      <c r="D1312" s="1655" t="s">
        <v>42</v>
      </c>
      <c r="E1312" s="1655" t="s">
        <v>571</v>
      </c>
      <c r="G1312" s="1655" t="s">
        <v>244</v>
      </c>
      <c r="H1312" s="1655" t="s">
        <v>1166</v>
      </c>
      <c r="I1312" s="1656">
        <v>0</v>
      </c>
      <c r="J1312" s="1655" t="s">
        <v>42</v>
      </c>
      <c r="K1312" s="1655" t="s">
        <v>571</v>
      </c>
      <c r="M1312" s="1655" t="s">
        <v>244</v>
      </c>
      <c r="N1312" s="1655" t="s">
        <v>1166</v>
      </c>
      <c r="O1312" s="1656">
        <v>154000</v>
      </c>
      <c r="P1312" s="1655" t="s">
        <v>42</v>
      </c>
      <c r="Q1312" s="1655" t="s">
        <v>571</v>
      </c>
      <c r="S1312" s="1655" t="s">
        <v>244</v>
      </c>
      <c r="T1312" s="1655" t="s">
        <v>1166</v>
      </c>
      <c r="U1312" s="1656">
        <v>0</v>
      </c>
      <c r="V1312" s="1655" t="s">
        <v>42</v>
      </c>
      <c r="W1312" s="1655" t="s">
        <v>571</v>
      </c>
    </row>
    <row r="1313" spans="1:23">
      <c r="A1313" s="1655" t="s">
        <v>244</v>
      </c>
      <c r="B1313" s="1655" t="s">
        <v>1262</v>
      </c>
      <c r="C1313" s="1655">
        <v>0.03</v>
      </c>
      <c r="D1313" s="1655" t="s">
        <v>42</v>
      </c>
      <c r="E1313" s="1655" t="s">
        <v>80</v>
      </c>
      <c r="G1313" s="1655" t="s">
        <v>244</v>
      </c>
      <c r="H1313" s="1655" t="s">
        <v>1262</v>
      </c>
      <c r="I1313" s="1656" t="s">
        <v>570</v>
      </c>
      <c r="J1313" s="1655" t="s">
        <v>43</v>
      </c>
      <c r="K1313" s="1655" t="s">
        <v>80</v>
      </c>
      <c r="M1313" s="1655" t="s">
        <v>244</v>
      </c>
      <c r="N1313" s="1655" t="s">
        <v>1262</v>
      </c>
      <c r="O1313" s="1656">
        <v>2.5000000000000001E-2</v>
      </c>
      <c r="P1313" s="1655" t="s">
        <v>42</v>
      </c>
      <c r="Q1313" s="1655" t="s">
        <v>80</v>
      </c>
      <c r="S1313" s="1655" t="s">
        <v>244</v>
      </c>
      <c r="T1313" s="1655" t="s">
        <v>1262</v>
      </c>
      <c r="U1313" s="1656" t="s">
        <v>570</v>
      </c>
      <c r="V1313" s="1655" t="s">
        <v>43</v>
      </c>
      <c r="W1313" s="1655" t="s">
        <v>80</v>
      </c>
    </row>
    <row r="1314" spans="1:23">
      <c r="A1314" s="1655" t="s">
        <v>244</v>
      </c>
      <c r="B1314" s="1655" t="s">
        <v>1264</v>
      </c>
      <c r="C1314" s="1655">
        <v>0</v>
      </c>
      <c r="D1314" s="1655" t="s">
        <v>42</v>
      </c>
      <c r="E1314" s="1655" t="s">
        <v>80</v>
      </c>
      <c r="G1314" s="1655" t="s">
        <v>244</v>
      </c>
      <c r="H1314" s="1655" t="s">
        <v>1264</v>
      </c>
      <c r="I1314" s="1656">
        <v>0</v>
      </c>
      <c r="J1314" s="1655" t="s">
        <v>42</v>
      </c>
      <c r="K1314" s="1655" t="s">
        <v>80</v>
      </c>
      <c r="M1314" s="1655" t="s">
        <v>244</v>
      </c>
      <c r="N1314" s="1655" t="s">
        <v>1264</v>
      </c>
      <c r="O1314" s="1656">
        <v>0</v>
      </c>
      <c r="P1314" s="1655" t="s">
        <v>42</v>
      </c>
      <c r="Q1314" s="1655" t="s">
        <v>80</v>
      </c>
      <c r="S1314" s="1655" t="s">
        <v>244</v>
      </c>
      <c r="T1314" s="1655" t="s">
        <v>1264</v>
      </c>
      <c r="U1314" s="1656">
        <v>0</v>
      </c>
      <c r="V1314" s="1655" t="s">
        <v>42</v>
      </c>
      <c r="W1314" s="1655" t="s">
        <v>80</v>
      </c>
    </row>
    <row r="1315" spans="1:23">
      <c r="A1315" s="1655" t="s">
        <v>244</v>
      </c>
      <c r="B1315" s="1655" t="s">
        <v>1265</v>
      </c>
      <c r="C1315" s="1656">
        <v>0</v>
      </c>
      <c r="D1315" s="1655" t="s">
        <v>42</v>
      </c>
      <c r="E1315" s="1655" t="s">
        <v>571</v>
      </c>
      <c r="G1315" s="1655" t="s">
        <v>244</v>
      </c>
      <c r="H1315" s="1655" t="s">
        <v>1265</v>
      </c>
      <c r="I1315" s="1656">
        <v>0</v>
      </c>
      <c r="J1315" s="1655" t="s">
        <v>42</v>
      </c>
      <c r="K1315" s="1655" t="s">
        <v>571</v>
      </c>
      <c r="M1315" s="1655" t="s">
        <v>244</v>
      </c>
      <c r="N1315" s="1655" t="s">
        <v>1265</v>
      </c>
      <c r="O1315" s="1656">
        <v>0</v>
      </c>
      <c r="P1315" s="1655" t="s">
        <v>42</v>
      </c>
      <c r="Q1315" s="1655" t="s">
        <v>571</v>
      </c>
      <c r="S1315" s="1655" t="s">
        <v>244</v>
      </c>
      <c r="T1315" s="1655" t="s">
        <v>1265</v>
      </c>
      <c r="U1315" s="1659">
        <v>0</v>
      </c>
      <c r="V1315" s="1655" t="s">
        <v>42</v>
      </c>
      <c r="W1315" s="1655" t="s">
        <v>571</v>
      </c>
    </row>
    <row r="1316" spans="1:23">
      <c r="A1316" s="1655" t="s">
        <v>244</v>
      </c>
      <c r="B1316" s="1655" t="s">
        <v>1266</v>
      </c>
      <c r="C1316" s="1655">
        <v>0</v>
      </c>
      <c r="D1316" s="1655" t="s">
        <v>42</v>
      </c>
      <c r="E1316" s="1655" t="s">
        <v>80</v>
      </c>
      <c r="G1316" s="1655" t="s">
        <v>244</v>
      </c>
      <c r="H1316" s="1655" t="s">
        <v>1266</v>
      </c>
      <c r="I1316" s="1656">
        <v>0</v>
      </c>
      <c r="J1316" s="1655" t="s">
        <v>42</v>
      </c>
      <c r="K1316" s="1655" t="s">
        <v>80</v>
      </c>
      <c r="M1316" s="1655" t="s">
        <v>244</v>
      </c>
      <c r="N1316" s="1655" t="s">
        <v>1266</v>
      </c>
      <c r="O1316" s="1656">
        <v>0</v>
      </c>
      <c r="P1316" s="1655" t="s">
        <v>42</v>
      </c>
      <c r="Q1316" s="1655" t="s">
        <v>80</v>
      </c>
      <c r="S1316" s="1655" t="s">
        <v>244</v>
      </c>
      <c r="T1316" s="1655" t="s">
        <v>1266</v>
      </c>
      <c r="U1316" s="1659">
        <v>0</v>
      </c>
      <c r="V1316" s="1655" t="s">
        <v>42</v>
      </c>
      <c r="W1316" s="1655" t="s">
        <v>80</v>
      </c>
    </row>
    <row r="1317" spans="1:23">
      <c r="A1317" s="1655" t="s">
        <v>244</v>
      </c>
      <c r="B1317" s="1655" t="s">
        <v>1267</v>
      </c>
      <c r="C1317" s="1655" t="s">
        <v>51</v>
      </c>
      <c r="D1317" s="1655" t="s">
        <v>42</v>
      </c>
      <c r="E1317" s="1655" t="s">
        <v>572</v>
      </c>
      <c r="G1317" s="1655" t="s">
        <v>244</v>
      </c>
      <c r="H1317" s="1655" t="s">
        <v>1267</v>
      </c>
      <c r="I1317" s="1656" t="s">
        <v>51</v>
      </c>
      <c r="J1317" s="1655" t="s">
        <v>42</v>
      </c>
      <c r="K1317" s="1655" t="s">
        <v>572</v>
      </c>
      <c r="M1317" s="1655" t="s">
        <v>244</v>
      </c>
      <c r="N1317" s="1655" t="s">
        <v>1267</v>
      </c>
      <c r="O1317" s="1656" t="s">
        <v>51</v>
      </c>
      <c r="P1317" s="1655" t="s">
        <v>42</v>
      </c>
      <c r="Q1317" s="1655" t="s">
        <v>572</v>
      </c>
      <c r="S1317" s="1655" t="s">
        <v>244</v>
      </c>
      <c r="T1317" s="1655" t="s">
        <v>1267</v>
      </c>
      <c r="U1317" s="1659" t="s">
        <v>51</v>
      </c>
      <c r="V1317" s="1655" t="s">
        <v>42</v>
      </c>
      <c r="W1317" s="1655" t="s">
        <v>572</v>
      </c>
    </row>
    <row r="1318" spans="1:23">
      <c r="A1318" s="1655" t="s">
        <v>244</v>
      </c>
      <c r="B1318" s="1655" t="s">
        <v>574</v>
      </c>
      <c r="C1318" s="1656">
        <v>0</v>
      </c>
      <c r="D1318" s="1655" t="s">
        <v>42</v>
      </c>
      <c r="E1318" s="1655" t="s">
        <v>571</v>
      </c>
      <c r="G1318" s="1655" t="s">
        <v>244</v>
      </c>
      <c r="H1318" s="1655" t="s">
        <v>574</v>
      </c>
      <c r="I1318" s="1656">
        <v>0</v>
      </c>
      <c r="J1318" s="1655" t="s">
        <v>42</v>
      </c>
      <c r="K1318" s="1655" t="s">
        <v>571</v>
      </c>
      <c r="M1318" s="1655" t="s">
        <v>244</v>
      </c>
      <c r="N1318" s="1655" t="s">
        <v>574</v>
      </c>
      <c r="O1318" s="1656">
        <v>0</v>
      </c>
      <c r="P1318" s="1655" t="s">
        <v>42</v>
      </c>
      <c r="Q1318" s="1655" t="s">
        <v>571</v>
      </c>
      <c r="S1318" s="1655" t="s">
        <v>244</v>
      </c>
      <c r="T1318" s="1655" t="s">
        <v>574</v>
      </c>
      <c r="U1318" s="1659">
        <v>0</v>
      </c>
      <c r="V1318" s="1655" t="s">
        <v>42</v>
      </c>
      <c r="W1318" s="1655" t="s">
        <v>571</v>
      </c>
    </row>
    <row r="1319" spans="1:23">
      <c r="A1319" s="1655" t="s">
        <v>244</v>
      </c>
      <c r="B1319" s="1655" t="s">
        <v>575</v>
      </c>
      <c r="C1319" s="1656">
        <v>0</v>
      </c>
      <c r="D1319" s="1655" t="s">
        <v>42</v>
      </c>
      <c r="E1319" s="1655" t="s">
        <v>571</v>
      </c>
      <c r="G1319" s="1655" t="s">
        <v>244</v>
      </c>
      <c r="H1319" s="1655" t="s">
        <v>575</v>
      </c>
      <c r="I1319" s="1656">
        <v>0</v>
      </c>
      <c r="J1319" s="1655" t="s">
        <v>42</v>
      </c>
      <c r="K1319" s="1655" t="s">
        <v>571</v>
      </c>
      <c r="M1319" s="1655" t="s">
        <v>244</v>
      </c>
      <c r="N1319" s="1655" t="s">
        <v>575</v>
      </c>
      <c r="O1319" s="1656">
        <v>1200</v>
      </c>
      <c r="P1319" s="1655" t="s">
        <v>42</v>
      </c>
      <c r="Q1319" s="1655" t="s">
        <v>571</v>
      </c>
      <c r="S1319" s="1655" t="s">
        <v>244</v>
      </c>
      <c r="T1319" s="1655" t="s">
        <v>575</v>
      </c>
      <c r="U1319" s="1659">
        <v>0</v>
      </c>
      <c r="V1319" s="1655" t="s">
        <v>42</v>
      </c>
      <c r="W1319" s="1655" t="s">
        <v>571</v>
      </c>
    </row>
    <row r="1320" spans="1:23">
      <c r="A1320" s="1655" t="s">
        <v>244</v>
      </c>
      <c r="B1320" s="1655" t="s">
        <v>576</v>
      </c>
      <c r="C1320" s="1656">
        <v>0</v>
      </c>
      <c r="D1320" s="1655" t="s">
        <v>42</v>
      </c>
      <c r="E1320" s="1655" t="s">
        <v>571</v>
      </c>
      <c r="G1320" s="1655" t="s">
        <v>244</v>
      </c>
      <c r="H1320" s="1655" t="s">
        <v>576</v>
      </c>
      <c r="I1320" s="1656">
        <v>0</v>
      </c>
      <c r="J1320" s="1655" t="s">
        <v>42</v>
      </c>
      <c r="K1320" s="1655" t="s">
        <v>571</v>
      </c>
      <c r="M1320" s="1655" t="s">
        <v>244</v>
      </c>
      <c r="N1320" s="1655" t="s">
        <v>576</v>
      </c>
      <c r="O1320" s="1656">
        <v>7000</v>
      </c>
      <c r="P1320" s="1655" t="s">
        <v>42</v>
      </c>
      <c r="Q1320" s="1655" t="s">
        <v>571</v>
      </c>
      <c r="S1320" s="1655" t="s">
        <v>244</v>
      </c>
      <c r="T1320" s="1655" t="s">
        <v>576</v>
      </c>
      <c r="U1320" s="1659">
        <v>0</v>
      </c>
      <c r="V1320" s="1655" t="s">
        <v>42</v>
      </c>
      <c r="W1320" s="1655" t="s">
        <v>571</v>
      </c>
    </row>
    <row r="1321" spans="1:23">
      <c r="A1321" s="1655" t="s">
        <v>244</v>
      </c>
      <c r="B1321" s="1655" t="s">
        <v>577</v>
      </c>
      <c r="C1321" s="1656">
        <v>0</v>
      </c>
      <c r="D1321" s="1655" t="s">
        <v>42</v>
      </c>
      <c r="E1321" s="1655" t="s">
        <v>571</v>
      </c>
      <c r="G1321" s="1655" t="s">
        <v>244</v>
      </c>
      <c r="H1321" s="1655" t="s">
        <v>577</v>
      </c>
      <c r="I1321" s="1656">
        <v>0</v>
      </c>
      <c r="J1321" s="1655" t="s">
        <v>42</v>
      </c>
      <c r="K1321" s="1655" t="s">
        <v>571</v>
      </c>
      <c r="M1321" s="1655" t="s">
        <v>244</v>
      </c>
      <c r="N1321" s="1655" t="s">
        <v>577</v>
      </c>
      <c r="O1321" s="1656">
        <v>1500</v>
      </c>
      <c r="P1321" s="1655" t="s">
        <v>42</v>
      </c>
      <c r="Q1321" s="1655" t="s">
        <v>571</v>
      </c>
      <c r="S1321" s="1655" t="s">
        <v>244</v>
      </c>
      <c r="T1321" s="1655" t="s">
        <v>577</v>
      </c>
      <c r="U1321" s="1659">
        <v>0</v>
      </c>
      <c r="V1321" s="1655" t="s">
        <v>42</v>
      </c>
      <c r="W1321" s="1655" t="s">
        <v>571</v>
      </c>
    </row>
    <row r="1322" spans="1:23">
      <c r="A1322" s="1655" t="s">
        <v>244</v>
      </c>
      <c r="B1322" s="1655" t="s">
        <v>578</v>
      </c>
      <c r="C1322" s="1656">
        <v>0</v>
      </c>
      <c r="D1322" s="1655" t="s">
        <v>42</v>
      </c>
      <c r="E1322" s="1655" t="s">
        <v>571</v>
      </c>
      <c r="G1322" s="1655" t="s">
        <v>244</v>
      </c>
      <c r="H1322" s="1655" t="s">
        <v>578</v>
      </c>
      <c r="I1322" s="1656">
        <v>0</v>
      </c>
      <c r="J1322" s="1655" t="s">
        <v>42</v>
      </c>
      <c r="K1322" s="1655" t="s">
        <v>571</v>
      </c>
      <c r="M1322" s="1655" t="s">
        <v>244</v>
      </c>
      <c r="N1322" s="1655" t="s">
        <v>578</v>
      </c>
      <c r="O1322" s="1656">
        <v>0</v>
      </c>
      <c r="P1322" s="1655" t="s">
        <v>42</v>
      </c>
      <c r="Q1322" s="1655" t="s">
        <v>571</v>
      </c>
      <c r="S1322" s="1655" t="s">
        <v>244</v>
      </c>
      <c r="T1322" s="1655" t="s">
        <v>578</v>
      </c>
      <c r="U1322" s="1659">
        <v>0</v>
      </c>
      <c r="V1322" s="1655" t="s">
        <v>42</v>
      </c>
      <c r="W1322" s="1655" t="s">
        <v>571</v>
      </c>
    </row>
    <row r="1323" spans="1:23">
      <c r="A1323" s="1655" t="s">
        <v>244</v>
      </c>
      <c r="B1323" s="1655" t="s">
        <v>579</v>
      </c>
      <c r="C1323" s="1656">
        <v>0</v>
      </c>
      <c r="D1323" s="1655" t="s">
        <v>42</v>
      </c>
      <c r="E1323" s="1655" t="s">
        <v>571</v>
      </c>
      <c r="G1323" s="1655" t="s">
        <v>244</v>
      </c>
      <c r="H1323" s="1655" t="s">
        <v>579</v>
      </c>
      <c r="I1323" s="1656">
        <v>0</v>
      </c>
      <c r="J1323" s="1655" t="s">
        <v>42</v>
      </c>
      <c r="K1323" s="1655" t="s">
        <v>571</v>
      </c>
      <c r="M1323" s="1655" t="s">
        <v>244</v>
      </c>
      <c r="N1323" s="1655" t="s">
        <v>579</v>
      </c>
      <c r="O1323" s="1659">
        <v>0</v>
      </c>
      <c r="P1323" s="1655" t="s">
        <v>42</v>
      </c>
      <c r="Q1323" s="1655" t="s">
        <v>571</v>
      </c>
      <c r="S1323" s="1655" t="s">
        <v>244</v>
      </c>
      <c r="T1323" s="1655" t="s">
        <v>579</v>
      </c>
      <c r="U1323" s="1659">
        <v>0</v>
      </c>
      <c r="V1323" s="1655" t="s">
        <v>42</v>
      </c>
      <c r="W1323" s="1655" t="s">
        <v>571</v>
      </c>
    </row>
    <row r="1324" spans="1:23">
      <c r="A1324" s="1655" t="s">
        <v>244</v>
      </c>
      <c r="B1324" s="1655" t="s">
        <v>582</v>
      </c>
      <c r="C1324" s="1655">
        <v>0</v>
      </c>
      <c r="D1324" s="1655" t="s">
        <v>42</v>
      </c>
      <c r="E1324" s="1655" t="s">
        <v>80</v>
      </c>
      <c r="G1324" s="1655" t="s">
        <v>244</v>
      </c>
      <c r="H1324" s="1655" t="s">
        <v>582</v>
      </c>
      <c r="I1324" s="1656">
        <v>0</v>
      </c>
      <c r="J1324" s="1655" t="s">
        <v>42</v>
      </c>
      <c r="K1324" s="1655" t="s">
        <v>80</v>
      </c>
      <c r="M1324" s="1655" t="s">
        <v>244</v>
      </c>
      <c r="N1324" s="1655" t="s">
        <v>582</v>
      </c>
      <c r="O1324" s="1656">
        <v>0.03</v>
      </c>
      <c r="P1324" s="1655" t="s">
        <v>42</v>
      </c>
      <c r="Q1324" s="1655" t="s">
        <v>80</v>
      </c>
      <c r="S1324" s="1655" t="s">
        <v>244</v>
      </c>
      <c r="T1324" s="1655" t="s">
        <v>582</v>
      </c>
      <c r="U1324" s="1659">
        <v>0</v>
      </c>
      <c r="V1324" s="1655" t="s">
        <v>42</v>
      </c>
      <c r="W1324" s="1655" t="s">
        <v>80</v>
      </c>
    </row>
    <row r="1325" spans="1:23">
      <c r="A1325" s="1655" t="s">
        <v>244</v>
      </c>
      <c r="B1325" s="1655" t="s">
        <v>583</v>
      </c>
      <c r="C1325" s="1655">
        <v>0</v>
      </c>
      <c r="D1325" s="1655" t="s">
        <v>42</v>
      </c>
      <c r="E1325" s="1655" t="s">
        <v>80</v>
      </c>
      <c r="G1325" s="1655" t="s">
        <v>244</v>
      </c>
      <c r="H1325" s="1655" t="s">
        <v>583</v>
      </c>
      <c r="I1325" s="1656">
        <v>0</v>
      </c>
      <c r="J1325" s="1655" t="s">
        <v>42</v>
      </c>
      <c r="K1325" s="1655" t="s">
        <v>80</v>
      </c>
      <c r="M1325" s="1655" t="s">
        <v>244</v>
      </c>
      <c r="N1325" s="1655" t="s">
        <v>583</v>
      </c>
      <c r="O1325" s="1656">
        <v>0.03</v>
      </c>
      <c r="P1325" s="1655" t="s">
        <v>42</v>
      </c>
      <c r="Q1325" s="1655" t="s">
        <v>80</v>
      </c>
      <c r="S1325" s="1655" t="s">
        <v>244</v>
      </c>
      <c r="T1325" s="1655" t="s">
        <v>583</v>
      </c>
      <c r="U1325" s="1659">
        <v>0</v>
      </c>
      <c r="V1325" s="1655" t="s">
        <v>42</v>
      </c>
      <c r="W1325" s="1655" t="s">
        <v>80</v>
      </c>
    </row>
    <row r="1326" spans="1:23">
      <c r="A1326" s="1655" t="s">
        <v>244</v>
      </c>
      <c r="B1326" s="1655" t="s">
        <v>1179</v>
      </c>
      <c r="C1326" s="1655" t="s">
        <v>570</v>
      </c>
      <c r="D1326" s="1655" t="s">
        <v>43</v>
      </c>
      <c r="E1326" s="1655" t="s">
        <v>6</v>
      </c>
      <c r="G1326" s="1655" t="s">
        <v>244</v>
      </c>
      <c r="H1326" s="1655" t="s">
        <v>1179</v>
      </c>
      <c r="I1326" s="1656" t="s">
        <v>570</v>
      </c>
      <c r="J1326" s="1655" t="s">
        <v>43</v>
      </c>
      <c r="K1326" s="1655" t="s">
        <v>6</v>
      </c>
      <c r="M1326" s="1655" t="s">
        <v>244</v>
      </c>
      <c r="N1326" s="1655" t="s">
        <v>1179</v>
      </c>
      <c r="O1326" s="1656">
        <v>2020</v>
      </c>
      <c r="P1326" s="1655" t="s">
        <v>42</v>
      </c>
      <c r="Q1326" s="1655" t="s">
        <v>6</v>
      </c>
      <c r="S1326" s="1655" t="s">
        <v>244</v>
      </c>
      <c r="T1326" s="1655" t="s">
        <v>1179</v>
      </c>
      <c r="U1326" s="1659" t="s">
        <v>570</v>
      </c>
      <c r="V1326" s="1655" t="s">
        <v>43</v>
      </c>
      <c r="W1326" s="1655" t="s">
        <v>6</v>
      </c>
    </row>
    <row r="1327" spans="1:23">
      <c r="A1327" s="1655" t="s">
        <v>244</v>
      </c>
      <c r="B1327" s="1655" t="s">
        <v>1180</v>
      </c>
      <c r="C1327" s="1655" t="s">
        <v>570</v>
      </c>
      <c r="D1327" s="1655" t="s">
        <v>43</v>
      </c>
      <c r="E1327" s="1655" t="s">
        <v>6</v>
      </c>
      <c r="G1327" s="1655" t="s">
        <v>244</v>
      </c>
      <c r="H1327" s="1655" t="s">
        <v>1180</v>
      </c>
      <c r="I1327" s="1656" t="s">
        <v>570</v>
      </c>
      <c r="J1327" s="1655" t="s">
        <v>43</v>
      </c>
      <c r="K1327" s="1655" t="s">
        <v>6</v>
      </c>
      <c r="M1327" s="1655" t="s">
        <v>244</v>
      </c>
      <c r="N1327" s="1655" t="s">
        <v>1180</v>
      </c>
      <c r="O1327" s="1659" t="s">
        <v>570</v>
      </c>
      <c r="P1327" s="1655" t="s">
        <v>43</v>
      </c>
      <c r="Q1327" s="1655" t="s">
        <v>6</v>
      </c>
      <c r="S1327" s="1655" t="s">
        <v>244</v>
      </c>
      <c r="T1327" s="1655" t="s">
        <v>1180</v>
      </c>
      <c r="U1327" s="1659" t="s">
        <v>570</v>
      </c>
      <c r="V1327" s="1655" t="s">
        <v>43</v>
      </c>
      <c r="W1327" s="1655" t="s">
        <v>6</v>
      </c>
    </row>
    <row r="1328" spans="1:23">
      <c r="A1328" s="1655" t="s">
        <v>244</v>
      </c>
      <c r="B1328" s="1655" t="s">
        <v>1181</v>
      </c>
      <c r="C1328" s="1655" t="s">
        <v>570</v>
      </c>
      <c r="D1328" s="1655" t="s">
        <v>43</v>
      </c>
      <c r="E1328" s="1655" t="s">
        <v>6</v>
      </c>
      <c r="G1328" s="1655" t="s">
        <v>244</v>
      </c>
      <c r="H1328" s="1655" t="s">
        <v>1181</v>
      </c>
      <c r="I1328" s="1656" t="s">
        <v>570</v>
      </c>
      <c r="J1328" s="1655" t="s">
        <v>43</v>
      </c>
      <c r="K1328" s="1655" t="s">
        <v>6</v>
      </c>
      <c r="M1328" s="1655" t="s">
        <v>244</v>
      </c>
      <c r="N1328" s="1655" t="s">
        <v>1181</v>
      </c>
      <c r="O1328" s="1656">
        <v>2021</v>
      </c>
      <c r="P1328" s="1655" t="s">
        <v>42</v>
      </c>
      <c r="Q1328" s="1655" t="s">
        <v>6</v>
      </c>
      <c r="S1328" s="1655" t="s">
        <v>244</v>
      </c>
      <c r="T1328" s="1655" t="s">
        <v>1181</v>
      </c>
      <c r="U1328" s="1656" t="s">
        <v>570</v>
      </c>
      <c r="V1328" s="1655" t="s">
        <v>43</v>
      </c>
      <c r="W1328" s="1655" t="s">
        <v>6</v>
      </c>
    </row>
    <row r="1329" spans="1:23">
      <c r="A1329" s="1655" t="s">
        <v>244</v>
      </c>
      <c r="B1329" s="1655" t="s">
        <v>1182</v>
      </c>
      <c r="C1329" s="1655" t="s">
        <v>570</v>
      </c>
      <c r="D1329" s="1655" t="s">
        <v>43</v>
      </c>
      <c r="E1329" s="1655" t="s">
        <v>6</v>
      </c>
      <c r="G1329" s="1655" t="s">
        <v>244</v>
      </c>
      <c r="H1329" s="1655" t="s">
        <v>1182</v>
      </c>
      <c r="I1329" s="1656" t="s">
        <v>570</v>
      </c>
      <c r="J1329" s="1655" t="s">
        <v>43</v>
      </c>
      <c r="K1329" s="1655" t="s">
        <v>6</v>
      </c>
      <c r="M1329" s="1655" t="s">
        <v>244</v>
      </c>
      <c r="N1329" s="1655" t="s">
        <v>1182</v>
      </c>
      <c r="O1329" s="1656" t="s">
        <v>570</v>
      </c>
      <c r="P1329" s="1655" t="s">
        <v>43</v>
      </c>
      <c r="Q1329" s="1655" t="s">
        <v>6</v>
      </c>
      <c r="S1329" s="1655" t="s">
        <v>244</v>
      </c>
      <c r="T1329" s="1655" t="s">
        <v>1182</v>
      </c>
      <c r="U1329" s="1656" t="s">
        <v>570</v>
      </c>
      <c r="V1329" s="1655" t="s">
        <v>43</v>
      </c>
      <c r="W1329" s="1655" t="s">
        <v>6</v>
      </c>
    </row>
    <row r="1330" spans="1:23">
      <c r="A1330" s="1655" t="s">
        <v>244</v>
      </c>
      <c r="B1330" s="1655" t="s">
        <v>1183</v>
      </c>
      <c r="C1330" s="1657" t="s">
        <v>570</v>
      </c>
      <c r="D1330" s="1655" t="s">
        <v>43</v>
      </c>
      <c r="E1330" s="1655" t="s">
        <v>6</v>
      </c>
      <c r="G1330" s="1655" t="s">
        <v>244</v>
      </c>
      <c r="H1330" s="1655" t="s">
        <v>1183</v>
      </c>
      <c r="I1330" s="1656" t="s">
        <v>570</v>
      </c>
      <c r="J1330" s="1655" t="s">
        <v>43</v>
      </c>
      <c r="K1330" s="1655" t="s">
        <v>6</v>
      </c>
      <c r="M1330" s="1655" t="s">
        <v>244</v>
      </c>
      <c r="N1330" s="1655" t="s">
        <v>1183</v>
      </c>
      <c r="O1330" s="1656" t="s">
        <v>570</v>
      </c>
      <c r="P1330" s="1655" t="s">
        <v>43</v>
      </c>
      <c r="Q1330" s="1655" t="s">
        <v>6</v>
      </c>
      <c r="S1330" s="1655" t="s">
        <v>244</v>
      </c>
      <c r="T1330" s="1655" t="s">
        <v>1183</v>
      </c>
      <c r="U1330" s="1656" t="s">
        <v>570</v>
      </c>
      <c r="V1330" s="1655" t="s">
        <v>43</v>
      </c>
      <c r="W1330" s="1655" t="s">
        <v>6</v>
      </c>
    </row>
    <row r="1331" spans="1:23">
      <c r="A1331" s="1655" t="s">
        <v>244</v>
      </c>
      <c r="B1331" s="1655" t="s">
        <v>1184</v>
      </c>
      <c r="C1331" s="1655" t="s">
        <v>570</v>
      </c>
      <c r="D1331" s="1655" t="s">
        <v>43</v>
      </c>
      <c r="E1331" s="1655" t="s">
        <v>6</v>
      </c>
      <c r="G1331" s="1655" t="s">
        <v>244</v>
      </c>
      <c r="H1331" s="1655" t="s">
        <v>1184</v>
      </c>
      <c r="I1331" s="1656" t="s">
        <v>570</v>
      </c>
      <c r="J1331" s="1655" t="s">
        <v>43</v>
      </c>
      <c r="K1331" s="1655" t="s">
        <v>6</v>
      </c>
      <c r="M1331" s="1655" t="s">
        <v>244</v>
      </c>
      <c r="N1331" s="1655" t="s">
        <v>1184</v>
      </c>
      <c r="O1331" s="1656" t="s">
        <v>570</v>
      </c>
      <c r="P1331" s="1655" t="s">
        <v>43</v>
      </c>
      <c r="Q1331" s="1655" t="s">
        <v>6</v>
      </c>
      <c r="S1331" s="1655" t="s">
        <v>244</v>
      </c>
      <c r="T1331" s="1655" t="s">
        <v>1184</v>
      </c>
      <c r="U1331" s="1659" t="s">
        <v>570</v>
      </c>
      <c r="V1331" s="1655" t="s">
        <v>43</v>
      </c>
      <c r="W1331" s="1655" t="s">
        <v>6</v>
      </c>
    </row>
    <row r="1332" spans="1:23">
      <c r="A1332" s="1655" t="s">
        <v>244</v>
      </c>
      <c r="B1332" s="1655" t="s">
        <v>1185</v>
      </c>
      <c r="C1332" s="1656" t="s">
        <v>570</v>
      </c>
      <c r="D1332" s="1655" t="s">
        <v>43</v>
      </c>
      <c r="E1332" s="1655" t="s">
        <v>6</v>
      </c>
      <c r="G1332" s="1655" t="s">
        <v>244</v>
      </c>
      <c r="H1332" s="1655" t="s">
        <v>1185</v>
      </c>
      <c r="I1332" s="1656" t="s">
        <v>570</v>
      </c>
      <c r="J1332" s="1655" t="s">
        <v>43</v>
      </c>
      <c r="K1332" s="1655" t="s">
        <v>6</v>
      </c>
      <c r="M1332" s="1655" t="s">
        <v>244</v>
      </c>
      <c r="N1332" s="1655" t="s">
        <v>1185</v>
      </c>
      <c r="O1332" s="1656" t="s">
        <v>570</v>
      </c>
      <c r="P1332" s="1655" t="s">
        <v>43</v>
      </c>
      <c r="Q1332" s="1655" t="s">
        <v>6</v>
      </c>
      <c r="S1332" s="1655" t="s">
        <v>244</v>
      </c>
      <c r="T1332" s="1655" t="s">
        <v>1185</v>
      </c>
      <c r="U1332" s="1656" t="s">
        <v>570</v>
      </c>
      <c r="V1332" s="1655" t="s">
        <v>43</v>
      </c>
      <c r="W1332" s="1655" t="s">
        <v>6</v>
      </c>
    </row>
    <row r="1333" spans="1:23">
      <c r="A1333" s="1655" t="s">
        <v>244</v>
      </c>
      <c r="B1333" s="1655" t="s">
        <v>1186</v>
      </c>
      <c r="C1333" s="1658" t="s">
        <v>570</v>
      </c>
      <c r="D1333" s="1655" t="s">
        <v>43</v>
      </c>
      <c r="E1333" s="1655" t="s">
        <v>6</v>
      </c>
      <c r="G1333" s="1655" t="s">
        <v>244</v>
      </c>
      <c r="H1333" s="1655" t="s">
        <v>1186</v>
      </c>
      <c r="I1333" s="1658" t="s">
        <v>570</v>
      </c>
      <c r="J1333" s="1655" t="s">
        <v>43</v>
      </c>
      <c r="K1333" s="1655" t="s">
        <v>6</v>
      </c>
      <c r="M1333" s="1655" t="s">
        <v>244</v>
      </c>
      <c r="N1333" s="1655" t="s">
        <v>1186</v>
      </c>
      <c r="O1333" s="1658" t="s">
        <v>570</v>
      </c>
      <c r="P1333" s="1655" t="s">
        <v>43</v>
      </c>
      <c r="Q1333" s="1655" t="s">
        <v>6</v>
      </c>
      <c r="S1333" s="1655" t="s">
        <v>244</v>
      </c>
      <c r="T1333" s="1655" t="s">
        <v>1186</v>
      </c>
      <c r="U1333" s="1658" t="s">
        <v>570</v>
      </c>
      <c r="V1333" s="1655" t="s">
        <v>43</v>
      </c>
      <c r="W1333" s="1655" t="s">
        <v>6</v>
      </c>
    </row>
    <row r="1334" spans="1:23">
      <c r="A1334" s="1655" t="s">
        <v>244</v>
      </c>
      <c r="B1334" s="1655" t="s">
        <v>1187</v>
      </c>
      <c r="C1334" s="1658" t="s">
        <v>570</v>
      </c>
      <c r="D1334" s="1655" t="s">
        <v>43</v>
      </c>
      <c r="E1334" s="1655" t="s">
        <v>6</v>
      </c>
      <c r="G1334" s="1655" t="s">
        <v>244</v>
      </c>
      <c r="H1334" s="1655" t="s">
        <v>1187</v>
      </c>
      <c r="I1334" s="1658" t="s">
        <v>570</v>
      </c>
      <c r="J1334" s="1655" t="s">
        <v>43</v>
      </c>
      <c r="K1334" s="1655" t="s">
        <v>6</v>
      </c>
      <c r="M1334" s="1655" t="s">
        <v>244</v>
      </c>
      <c r="N1334" s="1655" t="s">
        <v>1187</v>
      </c>
      <c r="O1334" s="1658">
        <v>2016</v>
      </c>
      <c r="P1334" s="1655" t="s">
        <v>42</v>
      </c>
      <c r="Q1334" s="1655" t="s">
        <v>6</v>
      </c>
      <c r="S1334" s="1655" t="s">
        <v>244</v>
      </c>
      <c r="T1334" s="1655" t="s">
        <v>1187</v>
      </c>
      <c r="U1334" s="1658" t="s">
        <v>570</v>
      </c>
      <c r="V1334" s="1655" t="s">
        <v>43</v>
      </c>
      <c r="W1334" s="1655" t="s">
        <v>6</v>
      </c>
    </row>
    <row r="1335" spans="1:23">
      <c r="A1335" s="1655" t="s">
        <v>244</v>
      </c>
      <c r="B1335" s="1655" t="s">
        <v>601</v>
      </c>
      <c r="C1335" s="1656" t="s">
        <v>570</v>
      </c>
      <c r="D1335" s="1655" t="s">
        <v>43</v>
      </c>
      <c r="E1335" s="1655" t="s">
        <v>6</v>
      </c>
      <c r="G1335" s="1655" t="s">
        <v>244</v>
      </c>
      <c r="H1335" s="1655" t="s">
        <v>601</v>
      </c>
      <c r="I1335" s="1656" t="s">
        <v>570</v>
      </c>
      <c r="J1335" s="1655" t="s">
        <v>43</v>
      </c>
      <c r="K1335" s="1655" t="s">
        <v>6</v>
      </c>
      <c r="M1335" s="1655" t="s">
        <v>244</v>
      </c>
      <c r="N1335" s="1655" t="s">
        <v>601</v>
      </c>
      <c r="O1335" s="1656" t="s">
        <v>570</v>
      </c>
      <c r="P1335" s="1655" t="s">
        <v>43</v>
      </c>
      <c r="Q1335" s="1655" t="s">
        <v>6</v>
      </c>
      <c r="S1335" s="1655" t="s">
        <v>244</v>
      </c>
      <c r="T1335" s="1655" t="s">
        <v>601</v>
      </c>
      <c r="U1335" s="1656" t="s">
        <v>570</v>
      </c>
      <c r="V1335" s="1655" t="s">
        <v>43</v>
      </c>
      <c r="W1335" s="1655" t="s">
        <v>6</v>
      </c>
    </row>
    <row r="1336" spans="1:23">
      <c r="A1336" s="1655" t="s">
        <v>244</v>
      </c>
      <c r="B1336" s="1655" t="s">
        <v>602</v>
      </c>
      <c r="C1336" s="1655" t="s">
        <v>570</v>
      </c>
      <c r="D1336" s="1655" t="s">
        <v>43</v>
      </c>
      <c r="E1336" s="1655" t="s">
        <v>6</v>
      </c>
      <c r="G1336" s="1655" t="s">
        <v>244</v>
      </c>
      <c r="H1336" s="1655" t="s">
        <v>602</v>
      </c>
      <c r="I1336" s="1658" t="s">
        <v>570</v>
      </c>
      <c r="J1336" s="1655" t="s">
        <v>43</v>
      </c>
      <c r="K1336" s="1655" t="s">
        <v>6</v>
      </c>
      <c r="M1336" s="1655" t="s">
        <v>244</v>
      </c>
      <c r="N1336" s="1655" t="s">
        <v>602</v>
      </c>
      <c r="O1336" s="1658" t="s">
        <v>570</v>
      </c>
      <c r="P1336" s="1655" t="s">
        <v>43</v>
      </c>
      <c r="Q1336" s="1655" t="s">
        <v>6</v>
      </c>
      <c r="S1336" s="1655" t="s">
        <v>244</v>
      </c>
      <c r="T1336" s="1655" t="s">
        <v>602</v>
      </c>
      <c r="U1336" s="1658" t="s">
        <v>570</v>
      </c>
      <c r="V1336" s="1655" t="s">
        <v>43</v>
      </c>
      <c r="W1336" s="1655" t="s">
        <v>6</v>
      </c>
    </row>
    <row r="1337" spans="1:23">
      <c r="A1337" s="1655" t="s">
        <v>244</v>
      </c>
      <c r="B1337" s="1655" t="s">
        <v>603</v>
      </c>
      <c r="C1337" s="1659" t="s">
        <v>570</v>
      </c>
      <c r="D1337" s="1655" t="s">
        <v>43</v>
      </c>
      <c r="E1337" s="1655" t="s">
        <v>6</v>
      </c>
      <c r="G1337" s="1655" t="s">
        <v>244</v>
      </c>
      <c r="H1337" s="1655" t="s">
        <v>603</v>
      </c>
      <c r="I1337" s="1659" t="s">
        <v>570</v>
      </c>
      <c r="J1337" s="1655" t="s">
        <v>43</v>
      </c>
      <c r="K1337" s="1655" t="s">
        <v>6</v>
      </c>
      <c r="M1337" s="1655" t="s">
        <v>244</v>
      </c>
      <c r="N1337" s="1655" t="s">
        <v>603</v>
      </c>
      <c r="O1337" s="1659" t="s">
        <v>570</v>
      </c>
      <c r="P1337" s="1655" t="s">
        <v>43</v>
      </c>
      <c r="Q1337" s="1655" t="s">
        <v>6</v>
      </c>
      <c r="S1337" s="1655" t="s">
        <v>244</v>
      </c>
      <c r="T1337" s="1655" t="s">
        <v>603</v>
      </c>
      <c r="U1337" s="1659" t="s">
        <v>570</v>
      </c>
      <c r="V1337" s="1655" t="s">
        <v>43</v>
      </c>
      <c r="W1337" s="1655" t="s">
        <v>6</v>
      </c>
    </row>
    <row r="1338" spans="1:23">
      <c r="A1338" s="1655" t="s">
        <v>244</v>
      </c>
      <c r="B1338" s="1655" t="s">
        <v>608</v>
      </c>
      <c r="C1338" s="1656" t="s">
        <v>570</v>
      </c>
      <c r="D1338" s="1655" t="s">
        <v>43</v>
      </c>
      <c r="E1338" s="1655" t="s">
        <v>6</v>
      </c>
      <c r="G1338" s="1655" t="s">
        <v>244</v>
      </c>
      <c r="H1338" s="1655" t="s">
        <v>608</v>
      </c>
      <c r="I1338" s="1656" t="s">
        <v>570</v>
      </c>
      <c r="J1338" s="1655" t="s">
        <v>43</v>
      </c>
      <c r="K1338" s="1655" t="s">
        <v>6</v>
      </c>
      <c r="M1338" s="1655" t="s">
        <v>244</v>
      </c>
      <c r="N1338" s="1655" t="s">
        <v>608</v>
      </c>
      <c r="O1338" s="1656">
        <v>2055</v>
      </c>
      <c r="P1338" s="1655" t="s">
        <v>42</v>
      </c>
      <c r="Q1338" s="1655" t="s">
        <v>6</v>
      </c>
      <c r="S1338" s="1655" t="s">
        <v>244</v>
      </c>
      <c r="T1338" s="1655" t="s">
        <v>608</v>
      </c>
      <c r="U1338" s="1656" t="s">
        <v>570</v>
      </c>
      <c r="V1338" s="1655" t="s">
        <v>43</v>
      </c>
      <c r="W1338" s="1655" t="s">
        <v>6</v>
      </c>
    </row>
    <row r="1339" spans="1:23">
      <c r="A1339" s="1655" t="s">
        <v>244</v>
      </c>
      <c r="B1339" s="1655" t="s">
        <v>1959</v>
      </c>
      <c r="C1339" s="1656" t="s">
        <v>570</v>
      </c>
      <c r="D1339" s="1655" t="s">
        <v>43</v>
      </c>
      <c r="E1339" s="1655" t="s">
        <v>569</v>
      </c>
      <c r="G1339" s="1655" t="s">
        <v>244</v>
      </c>
      <c r="H1339" s="1655" t="s">
        <v>1959</v>
      </c>
      <c r="I1339" s="1656" t="s">
        <v>570</v>
      </c>
      <c r="J1339" s="1655" t="s">
        <v>43</v>
      </c>
      <c r="K1339" s="1655" t="s">
        <v>569</v>
      </c>
      <c r="M1339" s="1655" t="s">
        <v>244</v>
      </c>
      <c r="N1339" s="1655" t="s">
        <v>1959</v>
      </c>
      <c r="O1339" s="1656" t="s">
        <v>570</v>
      </c>
      <c r="P1339" s="1655" t="s">
        <v>43</v>
      </c>
      <c r="Q1339" s="1655" t="s">
        <v>569</v>
      </c>
      <c r="S1339" s="1655" t="s">
        <v>244</v>
      </c>
      <c r="T1339" s="1655" t="s">
        <v>1959</v>
      </c>
      <c r="U1339" s="1656" t="s">
        <v>570</v>
      </c>
      <c r="V1339" s="1655" t="s">
        <v>43</v>
      </c>
      <c r="W1339" s="1655" t="s">
        <v>569</v>
      </c>
    </row>
    <row r="1340" spans="1:23">
      <c r="A1340" s="1655" t="s">
        <v>244</v>
      </c>
      <c r="B1340" s="1655" t="s">
        <v>1960</v>
      </c>
      <c r="C1340" s="1656" t="s">
        <v>570</v>
      </c>
      <c r="D1340" s="1655" t="s">
        <v>43</v>
      </c>
      <c r="E1340" s="1655" t="s">
        <v>569</v>
      </c>
      <c r="G1340" s="1655" t="s">
        <v>244</v>
      </c>
      <c r="H1340" s="1655" t="s">
        <v>1960</v>
      </c>
      <c r="I1340" s="1656" t="s">
        <v>570</v>
      </c>
      <c r="J1340" s="1655" t="s">
        <v>43</v>
      </c>
      <c r="K1340" s="1655" t="s">
        <v>569</v>
      </c>
      <c r="M1340" s="1655" t="s">
        <v>244</v>
      </c>
      <c r="N1340" s="1655" t="s">
        <v>1960</v>
      </c>
      <c r="O1340" s="1656" t="s">
        <v>570</v>
      </c>
      <c r="P1340" s="1655" t="s">
        <v>43</v>
      </c>
      <c r="Q1340" s="1655" t="s">
        <v>569</v>
      </c>
      <c r="S1340" s="1655" t="s">
        <v>244</v>
      </c>
      <c r="T1340" s="1655" t="s">
        <v>1960</v>
      </c>
      <c r="U1340" s="1656" t="s">
        <v>570</v>
      </c>
      <c r="V1340" s="1655" t="s">
        <v>43</v>
      </c>
      <c r="W1340" s="1655" t="s">
        <v>569</v>
      </c>
    </row>
    <row r="1341" spans="1:23">
      <c r="A1341" s="1655" t="s">
        <v>244</v>
      </c>
      <c r="B1341" s="1655" t="s">
        <v>1961</v>
      </c>
      <c r="C1341" s="1657">
        <v>43831</v>
      </c>
      <c r="D1341" s="1655" t="s">
        <v>42</v>
      </c>
      <c r="E1341" s="1655" t="s">
        <v>196</v>
      </c>
      <c r="G1341" s="1655" t="s">
        <v>244</v>
      </c>
      <c r="H1341" s="1655" t="s">
        <v>1961</v>
      </c>
      <c r="I1341" s="1656" t="s">
        <v>570</v>
      </c>
      <c r="J1341" s="1655" t="s">
        <v>43</v>
      </c>
      <c r="K1341" s="1655" t="s">
        <v>196</v>
      </c>
      <c r="M1341" s="1655" t="s">
        <v>244</v>
      </c>
      <c r="N1341" s="1655" t="s">
        <v>1961</v>
      </c>
      <c r="O1341" s="1656" t="s">
        <v>570</v>
      </c>
      <c r="P1341" s="1655" t="s">
        <v>43</v>
      </c>
      <c r="Q1341" s="1655" t="s">
        <v>196</v>
      </c>
      <c r="S1341" s="1655" t="s">
        <v>244</v>
      </c>
      <c r="T1341" s="1655" t="s">
        <v>1961</v>
      </c>
      <c r="U1341" s="1656" t="s">
        <v>570</v>
      </c>
      <c r="V1341" s="1655" t="s">
        <v>43</v>
      </c>
      <c r="W1341" s="1655" t="s">
        <v>196</v>
      </c>
    </row>
    <row r="1342" spans="1:23">
      <c r="A1342" s="1655" t="s">
        <v>244</v>
      </c>
      <c r="B1342" s="1655" t="s">
        <v>2074</v>
      </c>
      <c r="C1342" s="1656" t="s">
        <v>570</v>
      </c>
      <c r="D1342" s="1655" t="s">
        <v>43</v>
      </c>
      <c r="E1342" s="1655" t="s">
        <v>6</v>
      </c>
      <c r="G1342" s="1655" t="s">
        <v>244</v>
      </c>
      <c r="H1342" s="1655" t="s">
        <v>2074</v>
      </c>
      <c r="I1342" s="1656" t="s">
        <v>570</v>
      </c>
      <c r="J1342" s="1655" t="s">
        <v>43</v>
      </c>
      <c r="K1342" s="1655" t="s">
        <v>6</v>
      </c>
      <c r="M1342" s="1655" t="s">
        <v>244</v>
      </c>
      <c r="N1342" s="1655" t="s">
        <v>2074</v>
      </c>
      <c r="O1342" s="1656" t="s">
        <v>570</v>
      </c>
      <c r="P1342" s="1655" t="s">
        <v>43</v>
      </c>
      <c r="Q1342" s="1655" t="s">
        <v>6</v>
      </c>
      <c r="S1342" s="1655" t="s">
        <v>244</v>
      </c>
      <c r="T1342" s="1655" t="s">
        <v>2074</v>
      </c>
      <c r="U1342" s="1656" t="s">
        <v>570</v>
      </c>
      <c r="V1342" s="1655" t="s">
        <v>43</v>
      </c>
      <c r="W1342" s="1655" t="s">
        <v>6</v>
      </c>
    </row>
    <row r="1343" spans="1:23">
      <c r="A1343" s="1655" t="s">
        <v>244</v>
      </c>
      <c r="B1343" s="1655" t="s">
        <v>2075</v>
      </c>
      <c r="C1343" s="1656">
        <v>0</v>
      </c>
      <c r="D1343" s="1655" t="s">
        <v>42</v>
      </c>
      <c r="E1343" s="1655" t="s">
        <v>571</v>
      </c>
      <c r="G1343" s="1655" t="s">
        <v>244</v>
      </c>
      <c r="H1343" s="1655" t="s">
        <v>2075</v>
      </c>
      <c r="I1343" s="1656">
        <v>0</v>
      </c>
      <c r="J1343" s="1655" t="s">
        <v>42</v>
      </c>
      <c r="K1343" s="1655" t="s">
        <v>571</v>
      </c>
      <c r="M1343" s="1655" t="s">
        <v>244</v>
      </c>
      <c r="N1343" s="1655" t="s">
        <v>2075</v>
      </c>
      <c r="O1343" s="1656">
        <v>0</v>
      </c>
      <c r="P1343" s="1655" t="s">
        <v>42</v>
      </c>
      <c r="Q1343" s="1655" t="s">
        <v>571</v>
      </c>
      <c r="S1343" s="1655" t="s">
        <v>244</v>
      </c>
      <c r="T1343" s="1655" t="s">
        <v>2075</v>
      </c>
      <c r="U1343" s="1656">
        <v>0</v>
      </c>
      <c r="V1343" s="1655" t="s">
        <v>42</v>
      </c>
      <c r="W1343" s="1655" t="s">
        <v>571</v>
      </c>
    </row>
    <row r="1344" spans="1:23">
      <c r="A1344" s="1655" t="s">
        <v>244</v>
      </c>
      <c r="B1344" s="1655" t="s">
        <v>2076</v>
      </c>
      <c r="C1344" s="1655">
        <v>0.03</v>
      </c>
      <c r="D1344" s="1655" t="s">
        <v>42</v>
      </c>
      <c r="E1344" s="1655" t="s">
        <v>80</v>
      </c>
      <c r="G1344" s="1655" t="s">
        <v>244</v>
      </c>
      <c r="H1344" s="1655" t="s">
        <v>2076</v>
      </c>
      <c r="I1344" s="1658">
        <v>0</v>
      </c>
      <c r="J1344" s="1655" t="s">
        <v>42</v>
      </c>
      <c r="K1344" s="1655" t="s">
        <v>80</v>
      </c>
      <c r="M1344" s="1655" t="s">
        <v>244</v>
      </c>
      <c r="N1344" s="1655" t="s">
        <v>2076</v>
      </c>
      <c r="O1344" s="1658">
        <v>0.03</v>
      </c>
      <c r="P1344" s="1655" t="s">
        <v>42</v>
      </c>
      <c r="Q1344" s="1655" t="s">
        <v>80</v>
      </c>
      <c r="S1344" s="1655" t="s">
        <v>244</v>
      </c>
      <c r="T1344" s="1655" t="s">
        <v>2076</v>
      </c>
      <c r="U1344" s="1658">
        <v>0</v>
      </c>
      <c r="V1344" s="1655" t="s">
        <v>42</v>
      </c>
      <c r="W1344" s="1655" t="s">
        <v>80</v>
      </c>
    </row>
    <row r="1345" spans="1:23">
      <c r="A1345" s="1655" t="s">
        <v>244</v>
      </c>
      <c r="B1345" s="1655" t="s">
        <v>2077</v>
      </c>
      <c r="C1345" s="1655">
        <v>0</v>
      </c>
      <c r="D1345" s="1655" t="s">
        <v>42</v>
      </c>
      <c r="E1345" s="1655" t="s">
        <v>80</v>
      </c>
      <c r="G1345" s="1655" t="s">
        <v>244</v>
      </c>
      <c r="H1345" s="1655" t="s">
        <v>2077</v>
      </c>
      <c r="I1345" s="1658">
        <v>0</v>
      </c>
      <c r="J1345" s="1655" t="s">
        <v>42</v>
      </c>
      <c r="K1345" s="1655" t="s">
        <v>80</v>
      </c>
      <c r="M1345" s="1655" t="s">
        <v>244</v>
      </c>
      <c r="N1345" s="1655" t="s">
        <v>2077</v>
      </c>
      <c r="O1345" s="1658">
        <v>0</v>
      </c>
      <c r="P1345" s="1655" t="s">
        <v>42</v>
      </c>
      <c r="Q1345" s="1655" t="s">
        <v>80</v>
      </c>
      <c r="S1345" s="1655" t="s">
        <v>244</v>
      </c>
      <c r="T1345" s="1655" t="s">
        <v>2077</v>
      </c>
      <c r="U1345" s="1658">
        <v>0</v>
      </c>
      <c r="V1345" s="1655" t="s">
        <v>42</v>
      </c>
      <c r="W1345" s="1655" t="s">
        <v>80</v>
      </c>
    </row>
    <row r="1346" spans="1:23">
      <c r="A1346" s="1655" t="s">
        <v>244</v>
      </c>
      <c r="B1346" s="1655" t="s">
        <v>2078</v>
      </c>
      <c r="C1346" s="1656">
        <v>0</v>
      </c>
      <c r="D1346" s="1655" t="s">
        <v>42</v>
      </c>
      <c r="E1346" s="1655" t="s">
        <v>571</v>
      </c>
      <c r="G1346" s="1655" t="s">
        <v>244</v>
      </c>
      <c r="H1346" s="1655" t="s">
        <v>2078</v>
      </c>
      <c r="I1346" s="2034">
        <v>0</v>
      </c>
      <c r="J1346" s="1655" t="s">
        <v>42</v>
      </c>
      <c r="K1346" s="1655" t="s">
        <v>571</v>
      </c>
      <c r="M1346" s="1655" t="s">
        <v>244</v>
      </c>
      <c r="N1346" s="1655" t="s">
        <v>2078</v>
      </c>
      <c r="O1346" s="2034">
        <v>0</v>
      </c>
      <c r="P1346" s="1655" t="s">
        <v>42</v>
      </c>
      <c r="Q1346" s="1655" t="s">
        <v>571</v>
      </c>
      <c r="S1346" s="1655" t="s">
        <v>244</v>
      </c>
      <c r="T1346" s="1655" t="s">
        <v>2078</v>
      </c>
      <c r="U1346" s="1656">
        <v>0</v>
      </c>
      <c r="V1346" s="1655" t="s">
        <v>42</v>
      </c>
      <c r="W1346" s="1655" t="s">
        <v>571</v>
      </c>
    </row>
    <row r="1347" spans="1:23">
      <c r="A1347" s="1655" t="s">
        <v>244</v>
      </c>
      <c r="B1347" s="1655" t="s">
        <v>2079</v>
      </c>
      <c r="C1347" s="1655">
        <v>0</v>
      </c>
      <c r="D1347" s="1655" t="s">
        <v>42</v>
      </c>
      <c r="E1347" s="1655" t="s">
        <v>80</v>
      </c>
      <c r="G1347" s="1655" t="s">
        <v>244</v>
      </c>
      <c r="H1347" s="1655" t="s">
        <v>2079</v>
      </c>
      <c r="I1347" s="2034">
        <v>0</v>
      </c>
      <c r="J1347" s="1655" t="s">
        <v>42</v>
      </c>
      <c r="K1347" s="1655" t="s">
        <v>80</v>
      </c>
      <c r="M1347" s="1655" t="s">
        <v>244</v>
      </c>
      <c r="N1347" s="1655" t="s">
        <v>2079</v>
      </c>
      <c r="O1347" s="2034">
        <v>0</v>
      </c>
      <c r="P1347" s="1655" t="s">
        <v>42</v>
      </c>
      <c r="Q1347" s="1655" t="s">
        <v>80</v>
      </c>
      <c r="S1347" s="1655" t="s">
        <v>244</v>
      </c>
      <c r="T1347" s="1655" t="s">
        <v>2079</v>
      </c>
      <c r="U1347" s="2034">
        <v>0</v>
      </c>
      <c r="V1347" s="1655" t="s">
        <v>42</v>
      </c>
      <c r="W1347" s="1655" t="s">
        <v>80</v>
      </c>
    </row>
    <row r="1348" spans="1:23">
      <c r="A1348" s="1655" t="s">
        <v>244</v>
      </c>
      <c r="B1348" s="1655" t="s">
        <v>2080</v>
      </c>
      <c r="C1348" s="1655" t="s">
        <v>51</v>
      </c>
      <c r="D1348" s="1655" t="s">
        <v>42</v>
      </c>
      <c r="E1348" s="1655" t="s">
        <v>572</v>
      </c>
      <c r="G1348" s="1655" t="s">
        <v>244</v>
      </c>
      <c r="H1348" s="1655" t="s">
        <v>2080</v>
      </c>
      <c r="I1348" s="2034" t="s">
        <v>51</v>
      </c>
      <c r="J1348" s="1655" t="s">
        <v>42</v>
      </c>
      <c r="K1348" s="1655" t="s">
        <v>572</v>
      </c>
      <c r="M1348" s="1655" t="s">
        <v>244</v>
      </c>
      <c r="N1348" s="1655" t="s">
        <v>2080</v>
      </c>
      <c r="O1348" s="2034" t="s">
        <v>51</v>
      </c>
      <c r="P1348" s="1655" t="s">
        <v>42</v>
      </c>
      <c r="Q1348" s="1655" t="s">
        <v>572</v>
      </c>
      <c r="S1348" s="1655" t="s">
        <v>244</v>
      </c>
      <c r="T1348" s="1655" t="s">
        <v>2080</v>
      </c>
      <c r="U1348" s="2034" t="s">
        <v>51</v>
      </c>
      <c r="V1348" s="1655" t="s">
        <v>42</v>
      </c>
      <c r="W1348" s="1655" t="s">
        <v>572</v>
      </c>
    </row>
    <row r="1349" spans="1:23">
      <c r="A1349" s="1655" t="s">
        <v>244</v>
      </c>
      <c r="B1349" s="1655" t="s">
        <v>2081</v>
      </c>
      <c r="C1349" s="1656">
        <v>0</v>
      </c>
      <c r="D1349" s="1655" t="s">
        <v>42</v>
      </c>
      <c r="E1349" s="1655" t="s">
        <v>571</v>
      </c>
      <c r="G1349" s="1655" t="s">
        <v>244</v>
      </c>
      <c r="H1349" s="1655" t="s">
        <v>2081</v>
      </c>
      <c r="I1349" s="2034">
        <v>0</v>
      </c>
      <c r="J1349" s="1655" t="s">
        <v>42</v>
      </c>
      <c r="K1349" s="1655" t="s">
        <v>571</v>
      </c>
      <c r="M1349" s="1655" t="s">
        <v>244</v>
      </c>
      <c r="N1349" s="1655" t="s">
        <v>2081</v>
      </c>
      <c r="O1349" s="2034">
        <v>0</v>
      </c>
      <c r="P1349" s="1655" t="s">
        <v>42</v>
      </c>
      <c r="Q1349" s="1655" t="s">
        <v>571</v>
      </c>
      <c r="S1349" s="1655" t="s">
        <v>244</v>
      </c>
      <c r="T1349" s="1655" t="s">
        <v>2081</v>
      </c>
      <c r="U1349" s="1656">
        <v>0</v>
      </c>
      <c r="V1349" s="1655" t="s">
        <v>42</v>
      </c>
      <c r="W1349" s="1655" t="s">
        <v>571</v>
      </c>
    </row>
    <row r="1350" spans="1:23">
      <c r="A1350" s="1655" t="s">
        <v>244</v>
      </c>
      <c r="B1350" s="1655" t="s">
        <v>2082</v>
      </c>
      <c r="C1350" s="1656">
        <v>10</v>
      </c>
      <c r="D1350" s="1655" t="s">
        <v>42</v>
      </c>
      <c r="E1350" s="1655" t="s">
        <v>571</v>
      </c>
      <c r="G1350" s="1655" t="s">
        <v>244</v>
      </c>
      <c r="H1350" s="1655" t="s">
        <v>2082</v>
      </c>
      <c r="I1350" s="2034">
        <v>0</v>
      </c>
      <c r="J1350" s="1655" t="s">
        <v>42</v>
      </c>
      <c r="K1350" s="1655" t="s">
        <v>571</v>
      </c>
      <c r="M1350" s="1655" t="s">
        <v>244</v>
      </c>
      <c r="N1350" s="1655" t="s">
        <v>2082</v>
      </c>
      <c r="O1350" s="2034">
        <v>10</v>
      </c>
      <c r="P1350" s="1655" t="s">
        <v>42</v>
      </c>
      <c r="Q1350" s="1655" t="s">
        <v>571</v>
      </c>
      <c r="S1350" s="1655" t="s">
        <v>244</v>
      </c>
      <c r="T1350" s="1655" t="s">
        <v>2082</v>
      </c>
      <c r="U1350" s="1656">
        <v>0</v>
      </c>
      <c r="V1350" s="1655" t="s">
        <v>42</v>
      </c>
      <c r="W1350" s="1655" t="s">
        <v>571</v>
      </c>
    </row>
    <row r="1351" spans="1:23">
      <c r="A1351" s="1655" t="s">
        <v>244</v>
      </c>
      <c r="B1351" s="1655" t="s">
        <v>2083</v>
      </c>
      <c r="C1351" s="1656">
        <v>0</v>
      </c>
      <c r="D1351" s="1655" t="s">
        <v>42</v>
      </c>
      <c r="E1351" s="1655" t="s">
        <v>571</v>
      </c>
      <c r="G1351" s="1655" t="s">
        <v>244</v>
      </c>
      <c r="H1351" s="1655" t="s">
        <v>2083</v>
      </c>
      <c r="I1351" s="2034">
        <v>0</v>
      </c>
      <c r="J1351" s="1655" t="s">
        <v>42</v>
      </c>
      <c r="K1351" s="1655" t="s">
        <v>571</v>
      </c>
      <c r="M1351" s="1655" t="s">
        <v>244</v>
      </c>
      <c r="N1351" s="1655" t="s">
        <v>2083</v>
      </c>
      <c r="O1351" s="2034">
        <v>0</v>
      </c>
      <c r="P1351" s="1655" t="s">
        <v>42</v>
      </c>
      <c r="Q1351" s="1655" t="s">
        <v>571</v>
      </c>
      <c r="S1351" s="1655" t="s">
        <v>244</v>
      </c>
      <c r="T1351" s="1655" t="s">
        <v>2083</v>
      </c>
      <c r="U1351" s="1656">
        <v>0</v>
      </c>
      <c r="V1351" s="1655" t="s">
        <v>42</v>
      </c>
      <c r="W1351" s="1655" t="s">
        <v>571</v>
      </c>
    </row>
    <row r="1352" spans="1:23">
      <c r="A1352" s="1655" t="s">
        <v>244</v>
      </c>
      <c r="B1352" s="1655" t="s">
        <v>2084</v>
      </c>
      <c r="C1352" s="1656">
        <v>0</v>
      </c>
      <c r="D1352" s="1655" t="s">
        <v>42</v>
      </c>
      <c r="E1352" s="1655" t="s">
        <v>571</v>
      </c>
      <c r="G1352" s="1655" t="s">
        <v>244</v>
      </c>
      <c r="H1352" s="1655" t="s">
        <v>2084</v>
      </c>
      <c r="I1352" s="2034">
        <v>0</v>
      </c>
      <c r="J1352" s="1655" t="s">
        <v>42</v>
      </c>
      <c r="K1352" s="1655" t="s">
        <v>571</v>
      </c>
      <c r="M1352" s="1655" t="s">
        <v>244</v>
      </c>
      <c r="N1352" s="1655" t="s">
        <v>2084</v>
      </c>
      <c r="O1352" s="2034">
        <v>0</v>
      </c>
      <c r="P1352" s="1655" t="s">
        <v>42</v>
      </c>
      <c r="Q1352" s="1655" t="s">
        <v>571</v>
      </c>
      <c r="S1352" s="1655" t="s">
        <v>244</v>
      </c>
      <c r="T1352" s="1655" t="s">
        <v>2084</v>
      </c>
      <c r="U1352" s="1656">
        <v>0</v>
      </c>
      <c r="V1352" s="1655" t="s">
        <v>42</v>
      </c>
      <c r="W1352" s="1655" t="s">
        <v>571</v>
      </c>
    </row>
    <row r="1353" spans="1:23">
      <c r="A1353" s="1655" t="s">
        <v>244</v>
      </c>
      <c r="B1353" s="1655" t="s">
        <v>2089</v>
      </c>
      <c r="C1353" s="1656">
        <v>0</v>
      </c>
      <c r="D1353" s="1655" t="s">
        <v>42</v>
      </c>
      <c r="E1353" s="1655" t="s">
        <v>571</v>
      </c>
      <c r="G1353" s="1655" t="s">
        <v>244</v>
      </c>
      <c r="H1353" s="1655" t="s">
        <v>2089</v>
      </c>
      <c r="I1353" s="2034">
        <v>0</v>
      </c>
      <c r="J1353" s="1655" t="s">
        <v>42</v>
      </c>
      <c r="K1353" s="1655" t="s">
        <v>571</v>
      </c>
      <c r="M1353" s="1655" t="s">
        <v>244</v>
      </c>
      <c r="N1353" s="1655" t="s">
        <v>2089</v>
      </c>
      <c r="O1353" s="2034">
        <v>0</v>
      </c>
      <c r="P1353" s="1655" t="s">
        <v>42</v>
      </c>
      <c r="Q1353" s="1655" t="s">
        <v>571</v>
      </c>
      <c r="S1353" s="1655" t="s">
        <v>244</v>
      </c>
      <c r="T1353" s="1655" t="s">
        <v>2089</v>
      </c>
      <c r="U1353" s="1656">
        <v>0</v>
      </c>
      <c r="V1353" s="1655" t="s">
        <v>42</v>
      </c>
      <c r="W1353" s="1655" t="s">
        <v>571</v>
      </c>
    </row>
    <row r="1354" spans="1:23">
      <c r="A1354" s="1655" t="s">
        <v>244</v>
      </c>
      <c r="B1354" s="1655" t="s">
        <v>2090</v>
      </c>
      <c r="C1354" s="1656">
        <v>0</v>
      </c>
      <c r="D1354" s="1655" t="s">
        <v>42</v>
      </c>
      <c r="E1354" s="1655" t="s">
        <v>571</v>
      </c>
      <c r="G1354" s="1655" t="s">
        <v>244</v>
      </c>
      <c r="H1354" s="1655" t="s">
        <v>2090</v>
      </c>
      <c r="I1354" s="2034">
        <v>0</v>
      </c>
      <c r="J1354" s="1655" t="s">
        <v>42</v>
      </c>
      <c r="K1354" s="1655" t="s">
        <v>571</v>
      </c>
      <c r="M1354" s="1655" t="s">
        <v>244</v>
      </c>
      <c r="N1354" s="1655" t="s">
        <v>2090</v>
      </c>
      <c r="O1354" s="2034">
        <v>0</v>
      </c>
      <c r="P1354" s="1655" t="s">
        <v>42</v>
      </c>
      <c r="Q1354" s="1655" t="s">
        <v>571</v>
      </c>
      <c r="S1354" s="1655" t="s">
        <v>244</v>
      </c>
      <c r="T1354" s="1655" t="s">
        <v>2090</v>
      </c>
      <c r="U1354" s="1656">
        <v>0</v>
      </c>
      <c r="V1354" s="1655" t="s">
        <v>42</v>
      </c>
      <c r="W1354" s="1655" t="s">
        <v>571</v>
      </c>
    </row>
    <row r="1355" spans="1:23">
      <c r="A1355" s="1655" t="s">
        <v>244</v>
      </c>
      <c r="B1355" s="1655" t="s">
        <v>1041</v>
      </c>
      <c r="C1355" s="1655">
        <v>0</v>
      </c>
      <c r="D1355" s="1655" t="s">
        <v>42</v>
      </c>
      <c r="E1355" s="1655" t="s">
        <v>80</v>
      </c>
      <c r="G1355" s="1655" t="s">
        <v>244</v>
      </c>
      <c r="H1355" s="1655" t="s">
        <v>1041</v>
      </c>
      <c r="I1355" s="2034">
        <v>0</v>
      </c>
      <c r="J1355" s="1655" t="s">
        <v>42</v>
      </c>
      <c r="K1355" s="1655" t="s">
        <v>80</v>
      </c>
      <c r="M1355" s="1655" t="s">
        <v>244</v>
      </c>
      <c r="N1355" s="1655" t="s">
        <v>1041</v>
      </c>
      <c r="O1355" s="2034">
        <v>0</v>
      </c>
      <c r="P1355" s="1655" t="s">
        <v>42</v>
      </c>
      <c r="Q1355" s="1655" t="s">
        <v>80</v>
      </c>
      <c r="S1355" s="1655" t="s">
        <v>244</v>
      </c>
      <c r="T1355" s="1655" t="s">
        <v>1041</v>
      </c>
      <c r="U1355" s="2034">
        <v>0</v>
      </c>
      <c r="V1355" s="1655" t="s">
        <v>42</v>
      </c>
      <c r="W1355" s="1655" t="s">
        <v>80</v>
      </c>
    </row>
    <row r="1356" spans="1:23">
      <c r="A1356" s="1655" t="s">
        <v>244</v>
      </c>
      <c r="B1356" s="1655" t="s">
        <v>1042</v>
      </c>
      <c r="C1356" s="1655">
        <v>0</v>
      </c>
      <c r="D1356" s="1655" t="s">
        <v>42</v>
      </c>
      <c r="E1356" s="1655" t="s">
        <v>80</v>
      </c>
      <c r="G1356" s="1655" t="s">
        <v>244</v>
      </c>
      <c r="H1356" s="1655" t="s">
        <v>1042</v>
      </c>
      <c r="I1356" s="2034">
        <v>0</v>
      </c>
      <c r="J1356" s="1655" t="s">
        <v>42</v>
      </c>
      <c r="K1356" s="1655" t="s">
        <v>80</v>
      </c>
      <c r="M1356" s="1655" t="s">
        <v>244</v>
      </c>
      <c r="N1356" s="1655" t="s">
        <v>1042</v>
      </c>
      <c r="O1356" s="2034">
        <v>0</v>
      </c>
      <c r="P1356" s="1655" t="s">
        <v>42</v>
      </c>
      <c r="Q1356" s="1655" t="s">
        <v>80</v>
      </c>
      <c r="S1356" s="1655" t="s">
        <v>244</v>
      </c>
      <c r="T1356" s="1655" t="s">
        <v>1042</v>
      </c>
      <c r="U1356" s="2034">
        <v>0</v>
      </c>
      <c r="V1356" s="1655" t="s">
        <v>42</v>
      </c>
      <c r="W1356" s="1655" t="s">
        <v>80</v>
      </c>
    </row>
    <row r="1357" spans="1:23">
      <c r="A1357" s="1655" t="s">
        <v>244</v>
      </c>
      <c r="B1357" s="1655" t="s">
        <v>979</v>
      </c>
      <c r="C1357" s="1655" t="s">
        <v>570</v>
      </c>
      <c r="D1357" s="1655" t="s">
        <v>43</v>
      </c>
      <c r="E1357" s="1655" t="s">
        <v>6</v>
      </c>
      <c r="G1357" s="1655" t="s">
        <v>244</v>
      </c>
      <c r="H1357" s="1655" t="s">
        <v>979</v>
      </c>
      <c r="I1357" s="2034" t="s">
        <v>570</v>
      </c>
      <c r="J1357" s="1655" t="s">
        <v>43</v>
      </c>
      <c r="K1357" s="1655" t="s">
        <v>6</v>
      </c>
      <c r="M1357" s="1655" t="s">
        <v>244</v>
      </c>
      <c r="N1357" s="1655" t="s">
        <v>979</v>
      </c>
      <c r="O1357" s="2034" t="s">
        <v>570</v>
      </c>
      <c r="P1357" s="1655" t="s">
        <v>43</v>
      </c>
      <c r="Q1357" s="1655" t="s">
        <v>6</v>
      </c>
      <c r="S1357" s="1655" t="s">
        <v>244</v>
      </c>
      <c r="T1357" s="1655" t="s">
        <v>979</v>
      </c>
      <c r="U1357" s="2034" t="s">
        <v>570</v>
      </c>
      <c r="V1357" s="1655" t="s">
        <v>43</v>
      </c>
      <c r="W1357" s="1655" t="s">
        <v>6</v>
      </c>
    </row>
    <row r="1358" spans="1:23">
      <c r="A1358" s="1655" t="s">
        <v>244</v>
      </c>
      <c r="B1358" s="1655" t="s">
        <v>980</v>
      </c>
      <c r="C1358" s="2034" t="s">
        <v>570</v>
      </c>
      <c r="D1358" s="1655" t="s">
        <v>43</v>
      </c>
      <c r="E1358" s="1655" t="s">
        <v>6</v>
      </c>
      <c r="G1358" s="1655" t="s">
        <v>244</v>
      </c>
      <c r="H1358" s="1655" t="s">
        <v>980</v>
      </c>
      <c r="I1358" s="2034" t="s">
        <v>570</v>
      </c>
      <c r="J1358" s="1655" t="s">
        <v>43</v>
      </c>
      <c r="K1358" s="1655" t="s">
        <v>6</v>
      </c>
      <c r="M1358" s="1655" t="s">
        <v>244</v>
      </c>
      <c r="N1358" s="1655" t="s">
        <v>980</v>
      </c>
      <c r="O1358" s="2034" t="s">
        <v>570</v>
      </c>
      <c r="P1358" s="1655" t="s">
        <v>43</v>
      </c>
      <c r="Q1358" s="1655" t="s">
        <v>6</v>
      </c>
      <c r="S1358" s="1655" t="s">
        <v>244</v>
      </c>
      <c r="T1358" s="1655" t="s">
        <v>980</v>
      </c>
      <c r="U1358" s="2034" t="s">
        <v>570</v>
      </c>
      <c r="V1358" s="1655" t="s">
        <v>43</v>
      </c>
      <c r="W1358" s="1655" t="s">
        <v>6</v>
      </c>
    </row>
    <row r="1359" spans="1:23">
      <c r="A1359" s="1655" t="s">
        <v>244</v>
      </c>
      <c r="B1359" s="1655" t="s">
        <v>625</v>
      </c>
      <c r="C1359" s="1655" t="s">
        <v>570</v>
      </c>
      <c r="D1359" s="1655" t="s">
        <v>43</v>
      </c>
      <c r="E1359" s="1655" t="s">
        <v>6</v>
      </c>
      <c r="G1359" s="1655" t="s">
        <v>244</v>
      </c>
      <c r="H1359" s="1655" t="s">
        <v>625</v>
      </c>
      <c r="I1359" s="1656" t="s">
        <v>570</v>
      </c>
      <c r="J1359" s="1655" t="s">
        <v>43</v>
      </c>
      <c r="K1359" s="1655" t="s">
        <v>6</v>
      </c>
      <c r="M1359" s="1655" t="s">
        <v>244</v>
      </c>
      <c r="N1359" s="1655" t="s">
        <v>625</v>
      </c>
      <c r="O1359" s="1656" t="s">
        <v>570</v>
      </c>
      <c r="P1359" s="1655" t="s">
        <v>43</v>
      </c>
      <c r="Q1359" s="1655" t="s">
        <v>6</v>
      </c>
      <c r="S1359" s="1655" t="s">
        <v>244</v>
      </c>
      <c r="T1359" s="1655" t="s">
        <v>625</v>
      </c>
      <c r="U1359" s="1656" t="s">
        <v>570</v>
      </c>
      <c r="V1359" s="1655" t="s">
        <v>43</v>
      </c>
      <c r="W1359" s="1655" t="s">
        <v>6</v>
      </c>
    </row>
    <row r="1360" spans="1:23">
      <c r="A1360" s="1655" t="s">
        <v>244</v>
      </c>
      <c r="B1360" s="1655" t="s">
        <v>626</v>
      </c>
      <c r="C1360" s="1655" t="s">
        <v>570</v>
      </c>
      <c r="D1360" s="1655" t="s">
        <v>43</v>
      </c>
      <c r="E1360" s="1655" t="s">
        <v>6</v>
      </c>
      <c r="G1360" s="1655" t="s">
        <v>244</v>
      </c>
      <c r="H1360" s="1655" t="s">
        <v>626</v>
      </c>
      <c r="I1360" s="1656" t="s">
        <v>570</v>
      </c>
      <c r="J1360" s="1655" t="s">
        <v>43</v>
      </c>
      <c r="K1360" s="1655" t="s">
        <v>6</v>
      </c>
      <c r="M1360" s="1655" t="s">
        <v>244</v>
      </c>
      <c r="N1360" s="1655" t="s">
        <v>626</v>
      </c>
      <c r="O1360" s="1656" t="s">
        <v>570</v>
      </c>
      <c r="P1360" s="1655" t="s">
        <v>43</v>
      </c>
      <c r="Q1360" s="1655" t="s">
        <v>6</v>
      </c>
      <c r="S1360" s="1655" t="s">
        <v>244</v>
      </c>
      <c r="T1360" s="1655" t="s">
        <v>626</v>
      </c>
      <c r="U1360" s="1656" t="s">
        <v>570</v>
      </c>
      <c r="V1360" s="1655" t="s">
        <v>43</v>
      </c>
      <c r="W1360" s="1655" t="s">
        <v>6</v>
      </c>
    </row>
    <row r="1361" spans="1:23">
      <c r="A1361" s="1655" t="s">
        <v>244</v>
      </c>
      <c r="B1361" s="1655" t="s">
        <v>627</v>
      </c>
      <c r="C1361" s="1656" t="s">
        <v>570</v>
      </c>
      <c r="D1361" s="1655" t="s">
        <v>43</v>
      </c>
      <c r="E1361" s="1655" t="s">
        <v>6</v>
      </c>
      <c r="G1361" s="1655" t="s">
        <v>244</v>
      </c>
      <c r="H1361" s="1655" t="s">
        <v>627</v>
      </c>
      <c r="I1361" s="1656" t="s">
        <v>570</v>
      </c>
      <c r="J1361" s="1655" t="s">
        <v>43</v>
      </c>
      <c r="K1361" s="1655" t="s">
        <v>6</v>
      </c>
      <c r="M1361" s="1655" t="s">
        <v>244</v>
      </c>
      <c r="N1361" s="1655" t="s">
        <v>627</v>
      </c>
      <c r="O1361" s="1656" t="s">
        <v>570</v>
      </c>
      <c r="P1361" s="1655" t="s">
        <v>43</v>
      </c>
      <c r="Q1361" s="1655" t="s">
        <v>6</v>
      </c>
      <c r="S1361" s="1655" t="s">
        <v>244</v>
      </c>
      <c r="T1361" s="1655" t="s">
        <v>627</v>
      </c>
      <c r="U1361" s="1656" t="s">
        <v>570</v>
      </c>
      <c r="V1361" s="1655" t="s">
        <v>43</v>
      </c>
      <c r="W1361" s="1655" t="s">
        <v>6</v>
      </c>
    </row>
    <row r="1362" spans="1:23">
      <c r="A1362" s="1655" t="s">
        <v>244</v>
      </c>
      <c r="B1362" s="1655" t="s">
        <v>628</v>
      </c>
      <c r="C1362" s="1656" t="s">
        <v>570</v>
      </c>
      <c r="D1362" s="1655" t="s">
        <v>43</v>
      </c>
      <c r="E1362" s="1655" t="s">
        <v>6</v>
      </c>
      <c r="G1362" s="1655" t="s">
        <v>244</v>
      </c>
      <c r="H1362" s="1655" t="s">
        <v>628</v>
      </c>
      <c r="I1362" s="1656" t="s">
        <v>570</v>
      </c>
      <c r="J1362" s="1655" t="s">
        <v>43</v>
      </c>
      <c r="K1362" s="1655" t="s">
        <v>6</v>
      </c>
      <c r="M1362" s="1655" t="s">
        <v>244</v>
      </c>
      <c r="N1362" s="1655" t="s">
        <v>628</v>
      </c>
      <c r="O1362" s="1656" t="s">
        <v>570</v>
      </c>
      <c r="P1362" s="1655" t="s">
        <v>43</v>
      </c>
      <c r="Q1362" s="1655" t="s">
        <v>6</v>
      </c>
      <c r="S1362" s="1655" t="s">
        <v>244</v>
      </c>
      <c r="T1362" s="1655" t="s">
        <v>628</v>
      </c>
      <c r="U1362" s="1656" t="s">
        <v>570</v>
      </c>
      <c r="V1362" s="1655" t="s">
        <v>43</v>
      </c>
      <c r="W1362" s="1655" t="s">
        <v>6</v>
      </c>
    </row>
    <row r="1363" spans="1:23">
      <c r="A1363" s="1655" t="s">
        <v>244</v>
      </c>
      <c r="B1363" s="1655" t="s">
        <v>1089</v>
      </c>
      <c r="C1363" s="1656" t="s">
        <v>570</v>
      </c>
      <c r="D1363" s="1655" t="s">
        <v>43</v>
      </c>
      <c r="E1363" s="1655" t="s">
        <v>6</v>
      </c>
      <c r="G1363" s="1655" t="s">
        <v>244</v>
      </c>
      <c r="H1363" s="1655" t="s">
        <v>1089</v>
      </c>
      <c r="I1363" s="1656" t="s">
        <v>570</v>
      </c>
      <c r="J1363" s="1655" t="s">
        <v>43</v>
      </c>
      <c r="K1363" s="1655" t="s">
        <v>6</v>
      </c>
      <c r="M1363" s="1655" t="s">
        <v>244</v>
      </c>
      <c r="N1363" s="1655" t="s">
        <v>1089</v>
      </c>
      <c r="O1363" s="1656" t="s">
        <v>570</v>
      </c>
      <c r="P1363" s="1655" t="s">
        <v>43</v>
      </c>
      <c r="Q1363" s="1655" t="s">
        <v>6</v>
      </c>
      <c r="S1363" s="1655" t="s">
        <v>244</v>
      </c>
      <c r="T1363" s="1655" t="s">
        <v>1089</v>
      </c>
      <c r="U1363" s="1656" t="s">
        <v>570</v>
      </c>
      <c r="V1363" s="1655" t="s">
        <v>43</v>
      </c>
      <c r="W1363" s="1655" t="s">
        <v>6</v>
      </c>
    </row>
    <row r="1364" spans="1:23">
      <c r="A1364" s="1655" t="s">
        <v>244</v>
      </c>
      <c r="B1364" s="1655" t="s">
        <v>981</v>
      </c>
      <c r="C1364" s="1656" t="s">
        <v>570</v>
      </c>
      <c r="D1364" s="1655" t="s">
        <v>43</v>
      </c>
      <c r="E1364" s="1655" t="s">
        <v>6</v>
      </c>
      <c r="G1364" s="1655" t="s">
        <v>244</v>
      </c>
      <c r="H1364" s="1655" t="s">
        <v>981</v>
      </c>
      <c r="I1364" s="1656" t="s">
        <v>570</v>
      </c>
      <c r="J1364" s="1655" t="s">
        <v>43</v>
      </c>
      <c r="K1364" s="1655" t="s">
        <v>6</v>
      </c>
      <c r="M1364" s="1655" t="s">
        <v>244</v>
      </c>
      <c r="N1364" s="1655" t="s">
        <v>981</v>
      </c>
      <c r="O1364" s="1656" t="s">
        <v>570</v>
      </c>
      <c r="P1364" s="1655" t="s">
        <v>43</v>
      </c>
      <c r="Q1364" s="1655" t="s">
        <v>6</v>
      </c>
      <c r="S1364" s="1655" t="s">
        <v>244</v>
      </c>
      <c r="T1364" s="1655" t="s">
        <v>981</v>
      </c>
      <c r="U1364" s="1656" t="s">
        <v>570</v>
      </c>
      <c r="V1364" s="1655" t="s">
        <v>43</v>
      </c>
      <c r="W1364" s="1655" t="s">
        <v>6</v>
      </c>
    </row>
    <row r="1365" spans="1:23">
      <c r="A1365" s="1655" t="s">
        <v>244</v>
      </c>
      <c r="B1365" s="1655" t="s">
        <v>982</v>
      </c>
      <c r="C1365" s="1656" t="s">
        <v>570</v>
      </c>
      <c r="D1365" s="1655" t="s">
        <v>43</v>
      </c>
      <c r="E1365" s="1655" t="s">
        <v>6</v>
      </c>
      <c r="G1365" s="1655" t="s">
        <v>244</v>
      </c>
      <c r="H1365" s="1655" t="s">
        <v>982</v>
      </c>
      <c r="I1365" s="1656" t="s">
        <v>570</v>
      </c>
      <c r="J1365" s="1655" t="s">
        <v>43</v>
      </c>
      <c r="K1365" s="1655" t="s">
        <v>6</v>
      </c>
      <c r="M1365" s="1655" t="s">
        <v>244</v>
      </c>
      <c r="N1365" s="1655" t="s">
        <v>982</v>
      </c>
      <c r="O1365" s="1656" t="s">
        <v>570</v>
      </c>
      <c r="P1365" s="1655" t="s">
        <v>43</v>
      </c>
      <c r="Q1365" s="1655" t="s">
        <v>6</v>
      </c>
      <c r="S1365" s="1655" t="s">
        <v>244</v>
      </c>
      <c r="T1365" s="1655" t="s">
        <v>982</v>
      </c>
      <c r="U1365" s="1656" t="s">
        <v>570</v>
      </c>
      <c r="V1365" s="1655" t="s">
        <v>43</v>
      </c>
      <c r="W1365" s="1655" t="s">
        <v>6</v>
      </c>
    </row>
    <row r="1366" spans="1:23">
      <c r="A1366" s="1655" t="s">
        <v>244</v>
      </c>
      <c r="B1366" s="1655" t="s">
        <v>629</v>
      </c>
      <c r="C1366" s="1656" t="s">
        <v>570</v>
      </c>
      <c r="D1366" s="1655" t="s">
        <v>43</v>
      </c>
      <c r="E1366" s="1655" t="s">
        <v>6</v>
      </c>
      <c r="G1366" s="1655" t="s">
        <v>244</v>
      </c>
      <c r="H1366" s="1655" t="s">
        <v>629</v>
      </c>
      <c r="I1366" s="1656" t="s">
        <v>570</v>
      </c>
      <c r="J1366" s="1655" t="s">
        <v>43</v>
      </c>
      <c r="K1366" s="1655" t="s">
        <v>6</v>
      </c>
      <c r="M1366" s="1655" t="s">
        <v>244</v>
      </c>
      <c r="N1366" s="1655" t="s">
        <v>629</v>
      </c>
      <c r="O1366" s="1656" t="s">
        <v>570</v>
      </c>
      <c r="P1366" s="1655" t="s">
        <v>43</v>
      </c>
      <c r="Q1366" s="1655" t="s">
        <v>6</v>
      </c>
      <c r="S1366" s="1655" t="s">
        <v>244</v>
      </c>
      <c r="T1366" s="1655" t="s">
        <v>629</v>
      </c>
      <c r="U1366" s="1656" t="s">
        <v>570</v>
      </c>
      <c r="V1366" s="1655" t="s">
        <v>43</v>
      </c>
      <c r="W1366" s="1655" t="s">
        <v>6</v>
      </c>
    </row>
    <row r="1367" spans="1:23">
      <c r="A1367" s="1655" t="s">
        <v>244</v>
      </c>
      <c r="B1367" s="1655" t="s">
        <v>630</v>
      </c>
      <c r="C1367" s="1656" t="s">
        <v>570</v>
      </c>
      <c r="D1367" s="1655" t="s">
        <v>43</v>
      </c>
      <c r="E1367" s="1655" t="s">
        <v>6</v>
      </c>
      <c r="G1367" s="1655" t="s">
        <v>244</v>
      </c>
      <c r="H1367" s="1655" t="s">
        <v>630</v>
      </c>
      <c r="I1367" s="1656" t="s">
        <v>570</v>
      </c>
      <c r="J1367" s="1655" t="s">
        <v>43</v>
      </c>
      <c r="K1367" s="1655" t="s">
        <v>6</v>
      </c>
      <c r="M1367" s="1655" t="s">
        <v>244</v>
      </c>
      <c r="N1367" s="1655" t="s">
        <v>630</v>
      </c>
      <c r="O1367" s="1656" t="s">
        <v>570</v>
      </c>
      <c r="P1367" s="1655" t="s">
        <v>43</v>
      </c>
      <c r="Q1367" s="1655" t="s">
        <v>6</v>
      </c>
      <c r="S1367" s="1655" t="s">
        <v>244</v>
      </c>
      <c r="T1367" s="1655" t="s">
        <v>630</v>
      </c>
      <c r="U1367" s="1656" t="s">
        <v>570</v>
      </c>
      <c r="V1367" s="1655" t="s">
        <v>43</v>
      </c>
      <c r="W1367" s="1655" t="s">
        <v>6</v>
      </c>
    </row>
    <row r="1368" spans="1:23">
      <c r="A1368" s="1655" t="s">
        <v>244</v>
      </c>
      <c r="B1368" s="1655" t="s">
        <v>631</v>
      </c>
      <c r="C1368" s="1656" t="s">
        <v>570</v>
      </c>
      <c r="D1368" s="1655" t="s">
        <v>43</v>
      </c>
      <c r="E1368" s="1655" t="s">
        <v>6</v>
      </c>
      <c r="G1368" s="1655" t="s">
        <v>244</v>
      </c>
      <c r="H1368" s="1655" t="s">
        <v>631</v>
      </c>
      <c r="I1368" s="1656" t="s">
        <v>570</v>
      </c>
      <c r="J1368" s="1655" t="s">
        <v>43</v>
      </c>
      <c r="K1368" s="1655" t="s">
        <v>6</v>
      </c>
      <c r="M1368" s="1655" t="s">
        <v>244</v>
      </c>
      <c r="N1368" s="1655" t="s">
        <v>631</v>
      </c>
      <c r="O1368" s="1656" t="s">
        <v>570</v>
      </c>
      <c r="P1368" s="1655" t="s">
        <v>43</v>
      </c>
      <c r="Q1368" s="1655" t="s">
        <v>6</v>
      </c>
      <c r="S1368" s="1655" t="s">
        <v>244</v>
      </c>
      <c r="T1368" s="1655" t="s">
        <v>631</v>
      </c>
      <c r="U1368" s="1656" t="s">
        <v>570</v>
      </c>
      <c r="V1368" s="1655" t="s">
        <v>43</v>
      </c>
      <c r="W1368" s="1655" t="s">
        <v>6</v>
      </c>
    </row>
    <row r="1369" spans="1:23">
      <c r="A1369" s="1655" t="s">
        <v>244</v>
      </c>
      <c r="B1369" s="1655" t="s">
        <v>636</v>
      </c>
      <c r="C1369" s="1656" t="s">
        <v>570</v>
      </c>
      <c r="D1369" s="1655" t="s">
        <v>43</v>
      </c>
      <c r="E1369" s="1655" t="s">
        <v>6</v>
      </c>
      <c r="G1369" s="1655" t="s">
        <v>244</v>
      </c>
      <c r="H1369" s="1655" t="s">
        <v>636</v>
      </c>
      <c r="I1369" s="1656" t="s">
        <v>570</v>
      </c>
      <c r="J1369" s="1655" t="s">
        <v>43</v>
      </c>
      <c r="K1369" s="1655" t="s">
        <v>6</v>
      </c>
      <c r="M1369" s="1655" t="s">
        <v>244</v>
      </c>
      <c r="N1369" s="1655" t="s">
        <v>636</v>
      </c>
      <c r="O1369" s="1656" t="s">
        <v>570</v>
      </c>
      <c r="P1369" s="1655" t="s">
        <v>43</v>
      </c>
      <c r="Q1369" s="1655" t="s">
        <v>6</v>
      </c>
      <c r="S1369" s="1655" t="s">
        <v>244</v>
      </c>
      <c r="T1369" s="1655" t="s">
        <v>636</v>
      </c>
      <c r="U1369" s="1656" t="s">
        <v>570</v>
      </c>
      <c r="V1369" s="1655" t="s">
        <v>43</v>
      </c>
      <c r="W1369" s="1655" t="s">
        <v>6</v>
      </c>
    </row>
    <row r="1370" spans="1:23">
      <c r="A1370" s="1655" t="s">
        <v>244</v>
      </c>
      <c r="B1370" s="1655" t="s">
        <v>2631</v>
      </c>
      <c r="C1370" s="1656">
        <v>0.05</v>
      </c>
      <c r="D1370" s="1655" t="s">
        <v>42</v>
      </c>
      <c r="E1370" s="1655" t="s">
        <v>80</v>
      </c>
      <c r="G1370" s="1655" t="s">
        <v>244</v>
      </c>
      <c r="H1370" s="1655" t="s">
        <v>2631</v>
      </c>
      <c r="I1370" s="1656">
        <v>0</v>
      </c>
      <c r="J1370" s="1655" t="s">
        <v>42</v>
      </c>
      <c r="K1370" s="1655" t="s">
        <v>80</v>
      </c>
      <c r="M1370" s="1655" t="s">
        <v>244</v>
      </c>
      <c r="N1370" s="1655" t="s">
        <v>2631</v>
      </c>
      <c r="O1370" s="1656">
        <v>0</v>
      </c>
      <c r="P1370" s="1655" t="s">
        <v>42</v>
      </c>
      <c r="Q1370" s="1655" t="s">
        <v>80</v>
      </c>
      <c r="S1370" s="1655" t="s">
        <v>244</v>
      </c>
      <c r="T1370" s="1655" t="s">
        <v>2631</v>
      </c>
      <c r="U1370" s="1656">
        <v>0</v>
      </c>
      <c r="V1370" s="1655" t="s">
        <v>42</v>
      </c>
      <c r="W1370" s="1655" t="s">
        <v>80</v>
      </c>
    </row>
    <row r="1371" spans="1:23">
      <c r="A1371" s="1655" t="s">
        <v>244</v>
      </c>
      <c r="B1371" s="1655" t="s">
        <v>2632</v>
      </c>
      <c r="C1371" s="1656">
        <v>0.15</v>
      </c>
      <c r="D1371" s="1655" t="s">
        <v>42</v>
      </c>
      <c r="E1371" s="1655" t="s">
        <v>80</v>
      </c>
      <c r="G1371" s="1655" t="s">
        <v>244</v>
      </c>
      <c r="H1371" s="1655" t="s">
        <v>2632</v>
      </c>
      <c r="I1371" s="1656">
        <v>0</v>
      </c>
      <c r="J1371" s="1655" t="s">
        <v>42</v>
      </c>
      <c r="K1371" s="1655" t="s">
        <v>80</v>
      </c>
      <c r="M1371" s="1655" t="s">
        <v>244</v>
      </c>
      <c r="N1371" s="1655" t="s">
        <v>2632</v>
      </c>
      <c r="O1371" s="1656">
        <v>0</v>
      </c>
      <c r="P1371" s="1655" t="s">
        <v>42</v>
      </c>
      <c r="Q1371" s="1655" t="s">
        <v>80</v>
      </c>
      <c r="S1371" s="1655" t="s">
        <v>244</v>
      </c>
      <c r="T1371" s="1655" t="s">
        <v>2632</v>
      </c>
      <c r="U1371" s="1656">
        <v>0</v>
      </c>
      <c r="V1371" s="1655" t="s">
        <v>42</v>
      </c>
      <c r="W1371" s="1655" t="s">
        <v>80</v>
      </c>
    </row>
    <row r="1372" spans="1:23">
      <c r="A1372" s="1655" t="s">
        <v>434</v>
      </c>
      <c r="B1372" s="1655" t="s">
        <v>1166</v>
      </c>
      <c r="C1372" s="1656">
        <v>4.3499999999999997E-2</v>
      </c>
      <c r="D1372" s="1655" t="s">
        <v>42</v>
      </c>
      <c r="E1372" s="1655" t="s">
        <v>80</v>
      </c>
      <c r="G1372" s="1655" t="s">
        <v>434</v>
      </c>
      <c r="H1372" s="1655" t="s">
        <v>1166</v>
      </c>
      <c r="I1372" s="1656">
        <v>7.0000000000000007E-2</v>
      </c>
      <c r="J1372" s="1655" t="s">
        <v>42</v>
      </c>
      <c r="K1372" s="1655" t="s">
        <v>80</v>
      </c>
      <c r="M1372" s="1655" t="s">
        <v>434</v>
      </c>
      <c r="N1372" s="1655" t="s">
        <v>1166</v>
      </c>
      <c r="O1372" s="1656">
        <v>3.9999999999999994E-2</v>
      </c>
      <c r="P1372" s="1655" t="s">
        <v>42</v>
      </c>
      <c r="Q1372" s="1655" t="s">
        <v>80</v>
      </c>
      <c r="S1372" s="1655" t="s">
        <v>434</v>
      </c>
      <c r="T1372" s="1655" t="s">
        <v>1166</v>
      </c>
      <c r="U1372" s="1656">
        <v>2.5000000000000005E-2</v>
      </c>
      <c r="V1372" s="1655" t="s">
        <v>42</v>
      </c>
      <c r="W1372" s="1655" t="s">
        <v>80</v>
      </c>
    </row>
    <row r="1373" spans="1:23">
      <c r="A1373" s="1655" t="s">
        <v>434</v>
      </c>
      <c r="B1373" s="1655" t="s">
        <v>1263</v>
      </c>
      <c r="C1373" s="1656">
        <v>2.4999999999999994E-2</v>
      </c>
      <c r="D1373" s="1655" t="s">
        <v>42</v>
      </c>
      <c r="E1373" s="1655" t="s">
        <v>80</v>
      </c>
      <c r="G1373" s="1655" t="s">
        <v>434</v>
      </c>
      <c r="H1373" s="1655" t="s">
        <v>1263</v>
      </c>
      <c r="I1373" s="1656">
        <v>2.0999999999999991E-2</v>
      </c>
      <c r="J1373" s="1655" t="s">
        <v>42</v>
      </c>
      <c r="K1373" s="1655" t="s">
        <v>80</v>
      </c>
      <c r="M1373" s="1655" t="s">
        <v>434</v>
      </c>
      <c r="N1373" s="1655" t="s">
        <v>1263</v>
      </c>
      <c r="O1373" s="1656">
        <v>2.4499999999999994E-2</v>
      </c>
      <c r="P1373" s="1655" t="s">
        <v>42</v>
      </c>
      <c r="Q1373" s="1655" t="s">
        <v>80</v>
      </c>
      <c r="S1373" s="1655" t="s">
        <v>434</v>
      </c>
      <c r="T1373" s="1655" t="s">
        <v>1263</v>
      </c>
      <c r="U1373" s="1656">
        <v>0.03</v>
      </c>
      <c r="V1373" s="1655" t="s">
        <v>42</v>
      </c>
      <c r="W1373" s="1655" t="s">
        <v>80</v>
      </c>
    </row>
    <row r="1374" spans="1:23">
      <c r="A1374" s="1655" t="s">
        <v>434</v>
      </c>
      <c r="B1374" s="1655" t="s">
        <v>1979</v>
      </c>
      <c r="C1374" s="1656">
        <v>0</v>
      </c>
      <c r="D1374" s="1655" t="s">
        <v>42</v>
      </c>
      <c r="E1374" s="1655" t="s">
        <v>571</v>
      </c>
      <c r="G1374" s="1655" t="s">
        <v>434</v>
      </c>
      <c r="H1374" s="1655" t="s">
        <v>1979</v>
      </c>
      <c r="I1374" s="1656">
        <v>0</v>
      </c>
      <c r="J1374" s="1655" t="s">
        <v>42</v>
      </c>
      <c r="K1374" s="1655" t="s">
        <v>571</v>
      </c>
      <c r="M1374" s="1655" t="s">
        <v>434</v>
      </c>
      <c r="N1374" s="1655" t="s">
        <v>1979</v>
      </c>
      <c r="O1374" s="1656">
        <v>0</v>
      </c>
      <c r="P1374" s="1655" t="s">
        <v>42</v>
      </c>
      <c r="Q1374" s="1655" t="s">
        <v>571</v>
      </c>
      <c r="S1374" s="1655" t="s">
        <v>434</v>
      </c>
      <c r="T1374" s="1655" t="s">
        <v>1979</v>
      </c>
      <c r="U1374" s="1656">
        <v>0</v>
      </c>
      <c r="V1374" s="1655" t="s">
        <v>42</v>
      </c>
      <c r="W1374" s="1655" t="s">
        <v>571</v>
      </c>
    </row>
    <row r="1375" spans="1:23">
      <c r="A1375" s="1655" t="s">
        <v>434</v>
      </c>
      <c r="B1375" s="1655" t="s">
        <v>1980</v>
      </c>
      <c r="C1375" s="1656">
        <v>0</v>
      </c>
      <c r="D1375" s="1655" t="s">
        <v>42</v>
      </c>
      <c r="E1375" s="1655" t="s">
        <v>571</v>
      </c>
      <c r="G1375" s="1655" t="s">
        <v>434</v>
      </c>
      <c r="H1375" s="1655" t="s">
        <v>1980</v>
      </c>
      <c r="I1375" s="1656">
        <v>0</v>
      </c>
      <c r="J1375" s="1655" t="s">
        <v>42</v>
      </c>
      <c r="K1375" s="1655" t="s">
        <v>571</v>
      </c>
      <c r="M1375" s="1655" t="s">
        <v>434</v>
      </c>
      <c r="N1375" s="1655" t="s">
        <v>1980</v>
      </c>
      <c r="O1375" s="1656">
        <v>0</v>
      </c>
      <c r="P1375" s="1655" t="s">
        <v>42</v>
      </c>
      <c r="Q1375" s="1655" t="s">
        <v>571</v>
      </c>
      <c r="S1375" s="1655" t="s">
        <v>434</v>
      </c>
      <c r="T1375" s="1655" t="s">
        <v>1980</v>
      </c>
      <c r="U1375" s="1656">
        <v>400</v>
      </c>
      <c r="V1375" s="1655" t="s">
        <v>42</v>
      </c>
      <c r="W1375" s="1655" t="s">
        <v>571</v>
      </c>
    </row>
    <row r="1376" spans="1:23">
      <c r="A1376" s="1655" t="s">
        <v>434</v>
      </c>
      <c r="B1376" s="1655" t="s">
        <v>1981</v>
      </c>
      <c r="C1376" s="1656">
        <v>0</v>
      </c>
      <c r="D1376" s="1655" t="s">
        <v>42</v>
      </c>
      <c r="E1376" s="1655" t="s">
        <v>571</v>
      </c>
      <c r="G1376" s="1655" t="s">
        <v>434</v>
      </c>
      <c r="H1376" s="1655" t="s">
        <v>1981</v>
      </c>
      <c r="I1376" s="1656">
        <v>0</v>
      </c>
      <c r="J1376" s="1655" t="s">
        <v>42</v>
      </c>
      <c r="K1376" s="1655" t="s">
        <v>571</v>
      </c>
      <c r="M1376" s="1655" t="s">
        <v>434</v>
      </c>
      <c r="N1376" s="1655" t="s">
        <v>1981</v>
      </c>
      <c r="O1376" s="1656">
        <v>0</v>
      </c>
      <c r="P1376" s="1655" t="s">
        <v>42</v>
      </c>
      <c r="Q1376" s="1655" t="s">
        <v>571</v>
      </c>
      <c r="S1376" s="1655" t="s">
        <v>434</v>
      </c>
      <c r="T1376" s="1655" t="s">
        <v>1981</v>
      </c>
      <c r="U1376" s="1656">
        <v>400</v>
      </c>
      <c r="V1376" s="1655" t="s">
        <v>42</v>
      </c>
      <c r="W1376" s="1655" t="s">
        <v>571</v>
      </c>
    </row>
    <row r="1377" spans="1:23">
      <c r="A1377" s="1655" t="s">
        <v>434</v>
      </c>
      <c r="B1377" s="1655" t="s">
        <v>1982</v>
      </c>
      <c r="C1377" s="1656">
        <v>0</v>
      </c>
      <c r="D1377" s="1655" t="s">
        <v>42</v>
      </c>
      <c r="E1377" s="1655" t="s">
        <v>571</v>
      </c>
      <c r="G1377" s="1655" t="s">
        <v>434</v>
      </c>
      <c r="H1377" s="1655" t="s">
        <v>1982</v>
      </c>
      <c r="I1377" s="1656">
        <v>0</v>
      </c>
      <c r="J1377" s="1655" t="s">
        <v>42</v>
      </c>
      <c r="K1377" s="1655" t="s">
        <v>571</v>
      </c>
      <c r="M1377" s="1655" t="s">
        <v>434</v>
      </c>
      <c r="N1377" s="1655" t="s">
        <v>1982</v>
      </c>
      <c r="O1377" s="1656">
        <v>0</v>
      </c>
      <c r="P1377" s="1655" t="s">
        <v>42</v>
      </c>
      <c r="Q1377" s="1655" t="s">
        <v>571</v>
      </c>
      <c r="S1377" s="1655" t="s">
        <v>434</v>
      </c>
      <c r="T1377" s="1655" t="s">
        <v>1982</v>
      </c>
      <c r="U1377" s="1656">
        <v>400</v>
      </c>
      <c r="V1377" s="1655" t="s">
        <v>42</v>
      </c>
      <c r="W1377" s="1655" t="s">
        <v>571</v>
      </c>
    </row>
    <row r="1378" spans="1:23">
      <c r="A1378" s="1655" t="s">
        <v>434</v>
      </c>
      <c r="B1378" s="1655" t="s">
        <v>1983</v>
      </c>
      <c r="C1378" s="1656">
        <v>0</v>
      </c>
      <c r="D1378" s="1655" t="s">
        <v>42</v>
      </c>
      <c r="E1378" s="1655" t="s">
        <v>571</v>
      </c>
      <c r="G1378" s="1655" t="s">
        <v>434</v>
      </c>
      <c r="H1378" s="1655" t="s">
        <v>1983</v>
      </c>
      <c r="I1378" s="1656">
        <v>0</v>
      </c>
      <c r="J1378" s="1655" t="s">
        <v>42</v>
      </c>
      <c r="K1378" s="1655" t="s">
        <v>571</v>
      </c>
      <c r="M1378" s="1655" t="s">
        <v>434</v>
      </c>
      <c r="N1378" s="1655" t="s">
        <v>1983</v>
      </c>
      <c r="O1378" s="1656">
        <v>0</v>
      </c>
      <c r="P1378" s="1655" t="s">
        <v>42</v>
      </c>
      <c r="Q1378" s="1655" t="s">
        <v>571</v>
      </c>
      <c r="S1378" s="1655" t="s">
        <v>434</v>
      </c>
      <c r="T1378" s="1655" t="s">
        <v>1983</v>
      </c>
      <c r="U1378" s="1656">
        <v>400</v>
      </c>
      <c r="V1378" s="1655" t="s">
        <v>42</v>
      </c>
      <c r="W1378" s="1655" t="s">
        <v>571</v>
      </c>
    </row>
    <row r="1379" spans="1:23">
      <c r="A1379" s="1655" t="s">
        <v>434</v>
      </c>
      <c r="B1379" s="1655" t="s">
        <v>1984</v>
      </c>
      <c r="C1379" s="1656">
        <v>0</v>
      </c>
      <c r="D1379" s="1655" t="s">
        <v>42</v>
      </c>
      <c r="E1379" s="1655" t="s">
        <v>571</v>
      </c>
      <c r="G1379" s="1655" t="s">
        <v>434</v>
      </c>
      <c r="H1379" s="1655" t="s">
        <v>1984</v>
      </c>
      <c r="I1379" s="1656">
        <v>0</v>
      </c>
      <c r="J1379" s="1655" t="s">
        <v>42</v>
      </c>
      <c r="K1379" s="1655" t="s">
        <v>571</v>
      </c>
      <c r="M1379" s="1655" t="s">
        <v>434</v>
      </c>
      <c r="N1379" s="1655" t="s">
        <v>1984</v>
      </c>
      <c r="O1379" s="1656">
        <v>0</v>
      </c>
      <c r="P1379" s="1655" t="s">
        <v>42</v>
      </c>
      <c r="Q1379" s="1655" t="s">
        <v>571</v>
      </c>
      <c r="S1379" s="1655" t="s">
        <v>434</v>
      </c>
      <c r="T1379" s="1655" t="s">
        <v>1984</v>
      </c>
      <c r="U1379" s="1656">
        <v>0</v>
      </c>
      <c r="V1379" s="1655" t="s">
        <v>42</v>
      </c>
      <c r="W1379" s="1655" t="s">
        <v>571</v>
      </c>
    </row>
    <row r="1380" spans="1:23">
      <c r="A1380" s="1655" t="s">
        <v>434</v>
      </c>
      <c r="B1380" s="1655" t="s">
        <v>1985</v>
      </c>
      <c r="C1380" s="1656">
        <v>0</v>
      </c>
      <c r="D1380" s="1655" t="s">
        <v>42</v>
      </c>
      <c r="E1380" s="1655" t="s">
        <v>571</v>
      </c>
      <c r="G1380" s="1655" t="s">
        <v>434</v>
      </c>
      <c r="H1380" s="1655" t="s">
        <v>1985</v>
      </c>
      <c r="I1380" s="1656">
        <v>0</v>
      </c>
      <c r="J1380" s="1655" t="s">
        <v>42</v>
      </c>
      <c r="K1380" s="1655" t="s">
        <v>571</v>
      </c>
      <c r="M1380" s="1655" t="s">
        <v>434</v>
      </c>
      <c r="N1380" s="1655" t="s">
        <v>1985</v>
      </c>
      <c r="O1380" s="1656">
        <v>0</v>
      </c>
      <c r="P1380" s="1655" t="s">
        <v>42</v>
      </c>
      <c r="Q1380" s="1655" t="s">
        <v>571</v>
      </c>
      <c r="S1380" s="1655" t="s">
        <v>434</v>
      </c>
      <c r="T1380" s="1655" t="s">
        <v>1985</v>
      </c>
      <c r="U1380" s="1656">
        <v>0</v>
      </c>
      <c r="V1380" s="1655" t="s">
        <v>42</v>
      </c>
      <c r="W1380" s="1655" t="s">
        <v>571</v>
      </c>
    </row>
    <row r="1381" spans="1:23">
      <c r="A1381" s="1655" t="s">
        <v>434</v>
      </c>
      <c r="B1381" s="1655" t="s">
        <v>1986</v>
      </c>
      <c r="C1381" s="1656">
        <v>0</v>
      </c>
      <c r="D1381" s="1655" t="s">
        <v>42</v>
      </c>
      <c r="E1381" s="1655" t="s">
        <v>571</v>
      </c>
      <c r="G1381" s="1655" t="s">
        <v>434</v>
      </c>
      <c r="H1381" s="1655" t="s">
        <v>1986</v>
      </c>
      <c r="I1381" s="1656">
        <v>0</v>
      </c>
      <c r="J1381" s="1655" t="s">
        <v>42</v>
      </c>
      <c r="K1381" s="1655" t="s">
        <v>571</v>
      </c>
      <c r="M1381" s="1655" t="s">
        <v>434</v>
      </c>
      <c r="N1381" s="1655" t="s">
        <v>1986</v>
      </c>
      <c r="O1381" s="1656">
        <v>0</v>
      </c>
      <c r="P1381" s="1655" t="s">
        <v>42</v>
      </c>
      <c r="Q1381" s="1655" t="s">
        <v>571</v>
      </c>
      <c r="S1381" s="1655" t="s">
        <v>434</v>
      </c>
      <c r="T1381" s="1655" t="s">
        <v>1986</v>
      </c>
      <c r="U1381" s="1656">
        <v>0</v>
      </c>
      <c r="V1381" s="1655" t="s">
        <v>42</v>
      </c>
      <c r="W1381" s="1655" t="s">
        <v>571</v>
      </c>
    </row>
    <row r="1382" spans="1:23">
      <c r="A1382" s="1655" t="s">
        <v>434</v>
      </c>
      <c r="B1382" s="1655" t="s">
        <v>1987</v>
      </c>
      <c r="C1382" s="1656">
        <v>0</v>
      </c>
      <c r="D1382" s="1655" t="s">
        <v>42</v>
      </c>
      <c r="E1382" s="1655" t="s">
        <v>571</v>
      </c>
      <c r="G1382" s="1655" t="s">
        <v>434</v>
      </c>
      <c r="H1382" s="1655" t="s">
        <v>1987</v>
      </c>
      <c r="I1382" s="1656">
        <v>0</v>
      </c>
      <c r="J1382" s="1655" t="s">
        <v>42</v>
      </c>
      <c r="K1382" s="1655" t="s">
        <v>571</v>
      </c>
      <c r="M1382" s="1655" t="s">
        <v>434</v>
      </c>
      <c r="N1382" s="1655" t="s">
        <v>1987</v>
      </c>
      <c r="O1382" s="1656">
        <v>0</v>
      </c>
      <c r="P1382" s="1655" t="s">
        <v>42</v>
      </c>
      <c r="Q1382" s="1655" t="s">
        <v>571</v>
      </c>
      <c r="S1382" s="1655" t="s">
        <v>434</v>
      </c>
      <c r="T1382" s="1655" t="s">
        <v>1987</v>
      </c>
      <c r="U1382" s="1656">
        <v>0</v>
      </c>
      <c r="V1382" s="1655" t="s">
        <v>42</v>
      </c>
      <c r="W1382" s="1655" t="s">
        <v>571</v>
      </c>
    </row>
    <row r="1383" spans="1:23">
      <c r="A1383" s="1655" t="s">
        <v>434</v>
      </c>
      <c r="B1383" s="1655" t="s">
        <v>1988</v>
      </c>
      <c r="C1383" s="1656">
        <v>0</v>
      </c>
      <c r="D1383" s="1655" t="s">
        <v>42</v>
      </c>
      <c r="E1383" s="1655" t="s">
        <v>571</v>
      </c>
      <c r="G1383" s="1655" t="s">
        <v>434</v>
      </c>
      <c r="H1383" s="1655" t="s">
        <v>1988</v>
      </c>
      <c r="I1383" s="1656">
        <v>0</v>
      </c>
      <c r="J1383" s="1655" t="s">
        <v>42</v>
      </c>
      <c r="K1383" s="1655" t="s">
        <v>571</v>
      </c>
      <c r="M1383" s="1655" t="s">
        <v>434</v>
      </c>
      <c r="N1383" s="1655" t="s">
        <v>1988</v>
      </c>
      <c r="O1383" s="1656">
        <v>0</v>
      </c>
      <c r="P1383" s="1655" t="s">
        <v>42</v>
      </c>
      <c r="Q1383" s="1655" t="s">
        <v>571</v>
      </c>
      <c r="S1383" s="1655" t="s">
        <v>434</v>
      </c>
      <c r="T1383" s="1655" t="s">
        <v>1988</v>
      </c>
      <c r="U1383" s="1656">
        <v>0</v>
      </c>
      <c r="V1383" s="1655" t="s">
        <v>42</v>
      </c>
      <c r="W1383" s="1655" t="s">
        <v>571</v>
      </c>
    </row>
    <row r="1384" spans="1:23">
      <c r="A1384" s="1655" t="s">
        <v>434</v>
      </c>
      <c r="B1384" s="1655" t="s">
        <v>1989</v>
      </c>
      <c r="C1384" s="1656">
        <v>0</v>
      </c>
      <c r="D1384" s="1655" t="s">
        <v>42</v>
      </c>
      <c r="E1384" s="1655" t="s">
        <v>571</v>
      </c>
      <c r="G1384" s="1655" t="s">
        <v>434</v>
      </c>
      <c r="H1384" s="1655" t="s">
        <v>1989</v>
      </c>
      <c r="I1384" s="1656">
        <v>0</v>
      </c>
      <c r="J1384" s="1655" t="s">
        <v>42</v>
      </c>
      <c r="K1384" s="1655" t="s">
        <v>571</v>
      </c>
      <c r="M1384" s="1655" t="s">
        <v>434</v>
      </c>
      <c r="N1384" s="1655" t="s">
        <v>1989</v>
      </c>
      <c r="O1384" s="1656">
        <v>0</v>
      </c>
      <c r="P1384" s="1655" t="s">
        <v>42</v>
      </c>
      <c r="Q1384" s="1655" t="s">
        <v>571</v>
      </c>
      <c r="S1384" s="1655" t="s">
        <v>434</v>
      </c>
      <c r="T1384" s="1655" t="s">
        <v>1989</v>
      </c>
      <c r="U1384" s="1656">
        <v>0</v>
      </c>
      <c r="V1384" s="1655" t="s">
        <v>42</v>
      </c>
      <c r="W1384" s="1655" t="s">
        <v>571</v>
      </c>
    </row>
    <row r="1385" spans="1:23">
      <c r="A1385" s="1655" t="s">
        <v>434</v>
      </c>
      <c r="B1385" s="1655" t="s">
        <v>1990</v>
      </c>
      <c r="C1385" s="1656">
        <v>0</v>
      </c>
      <c r="D1385" s="1655" t="s">
        <v>42</v>
      </c>
      <c r="E1385" s="1655" t="s">
        <v>571</v>
      </c>
      <c r="G1385" s="1655" t="s">
        <v>434</v>
      </c>
      <c r="H1385" s="1655" t="s">
        <v>1990</v>
      </c>
      <c r="I1385" s="1656">
        <v>0</v>
      </c>
      <c r="J1385" s="1655" t="s">
        <v>42</v>
      </c>
      <c r="K1385" s="1655" t="s">
        <v>571</v>
      </c>
      <c r="M1385" s="1655" t="s">
        <v>434</v>
      </c>
      <c r="N1385" s="1655" t="s">
        <v>1990</v>
      </c>
      <c r="O1385" s="1656">
        <v>0</v>
      </c>
      <c r="P1385" s="1655" t="s">
        <v>42</v>
      </c>
      <c r="Q1385" s="1655" t="s">
        <v>571</v>
      </c>
      <c r="S1385" s="1655" t="s">
        <v>434</v>
      </c>
      <c r="T1385" s="1655" t="s">
        <v>1990</v>
      </c>
      <c r="U1385" s="1656">
        <v>0</v>
      </c>
      <c r="V1385" s="1655" t="s">
        <v>42</v>
      </c>
      <c r="W1385" s="1655" t="s">
        <v>571</v>
      </c>
    </row>
    <row r="1386" spans="1:23">
      <c r="A1386" s="1655" t="s">
        <v>434</v>
      </c>
      <c r="B1386" s="1655" t="s">
        <v>1991</v>
      </c>
      <c r="C1386" s="1656">
        <v>0</v>
      </c>
      <c r="D1386" s="1655" t="s">
        <v>42</v>
      </c>
      <c r="E1386" s="1655" t="s">
        <v>571</v>
      </c>
      <c r="G1386" s="1655" t="s">
        <v>434</v>
      </c>
      <c r="H1386" s="1655" t="s">
        <v>1991</v>
      </c>
      <c r="I1386" s="1656">
        <v>0</v>
      </c>
      <c r="J1386" s="1655" t="s">
        <v>42</v>
      </c>
      <c r="K1386" s="1655" t="s">
        <v>571</v>
      </c>
      <c r="M1386" s="1655" t="s">
        <v>434</v>
      </c>
      <c r="N1386" s="1655" t="s">
        <v>1991</v>
      </c>
      <c r="O1386" s="1656">
        <v>0</v>
      </c>
      <c r="P1386" s="1655" t="s">
        <v>42</v>
      </c>
      <c r="Q1386" s="1655" t="s">
        <v>571</v>
      </c>
      <c r="S1386" s="1655" t="s">
        <v>434</v>
      </c>
      <c r="T1386" s="1655" t="s">
        <v>1991</v>
      </c>
      <c r="U1386" s="1656">
        <v>0</v>
      </c>
      <c r="V1386" s="1655" t="s">
        <v>42</v>
      </c>
      <c r="W1386" s="1655" t="s">
        <v>571</v>
      </c>
    </row>
    <row r="1387" spans="1:23">
      <c r="A1387" s="1655" t="s">
        <v>434</v>
      </c>
      <c r="B1387" s="1655" t="s">
        <v>1992</v>
      </c>
      <c r="C1387" s="1656">
        <v>0</v>
      </c>
      <c r="D1387" s="1655" t="s">
        <v>42</v>
      </c>
      <c r="E1387" s="1655" t="s">
        <v>571</v>
      </c>
      <c r="G1387" s="1655" t="s">
        <v>434</v>
      </c>
      <c r="H1387" s="1655" t="s">
        <v>1992</v>
      </c>
      <c r="I1387" s="1656">
        <v>0</v>
      </c>
      <c r="J1387" s="1655" t="s">
        <v>42</v>
      </c>
      <c r="K1387" s="1655" t="s">
        <v>571</v>
      </c>
      <c r="M1387" s="1655" t="s">
        <v>434</v>
      </c>
      <c r="N1387" s="1655" t="s">
        <v>1992</v>
      </c>
      <c r="O1387" s="1656">
        <v>0</v>
      </c>
      <c r="P1387" s="1655" t="s">
        <v>42</v>
      </c>
      <c r="Q1387" s="1655" t="s">
        <v>571</v>
      </c>
      <c r="S1387" s="1655" t="s">
        <v>434</v>
      </c>
      <c r="T1387" s="1655" t="s">
        <v>1992</v>
      </c>
      <c r="U1387" s="1656">
        <v>0</v>
      </c>
      <c r="V1387" s="1655" t="s">
        <v>42</v>
      </c>
      <c r="W1387" s="1655" t="s">
        <v>571</v>
      </c>
    </row>
    <row r="1388" spans="1:23">
      <c r="A1388" s="1655" t="s">
        <v>434</v>
      </c>
      <c r="B1388" s="1655" t="s">
        <v>1993</v>
      </c>
      <c r="C1388" s="1656">
        <v>0</v>
      </c>
      <c r="D1388" s="1655" t="s">
        <v>42</v>
      </c>
      <c r="E1388" s="1655" t="s">
        <v>571</v>
      </c>
      <c r="G1388" s="1655" t="s">
        <v>434</v>
      </c>
      <c r="H1388" s="1655" t="s">
        <v>1993</v>
      </c>
      <c r="I1388" s="1656">
        <v>0</v>
      </c>
      <c r="J1388" s="1655" t="s">
        <v>42</v>
      </c>
      <c r="K1388" s="1655" t="s">
        <v>571</v>
      </c>
      <c r="M1388" s="1655" t="s">
        <v>434</v>
      </c>
      <c r="N1388" s="1655" t="s">
        <v>1993</v>
      </c>
      <c r="O1388" s="1656">
        <v>0</v>
      </c>
      <c r="P1388" s="1655" t="s">
        <v>42</v>
      </c>
      <c r="Q1388" s="1655" t="s">
        <v>571</v>
      </c>
      <c r="S1388" s="1655" t="s">
        <v>434</v>
      </c>
      <c r="T1388" s="1655" t="s">
        <v>1993</v>
      </c>
      <c r="U1388" s="1656">
        <v>0</v>
      </c>
      <c r="V1388" s="1655" t="s">
        <v>42</v>
      </c>
      <c r="W1388" s="1655" t="s">
        <v>571</v>
      </c>
    </row>
    <row r="1389" spans="1:23">
      <c r="A1389" s="1655" t="s">
        <v>434</v>
      </c>
      <c r="B1389" s="1655" t="s">
        <v>1994</v>
      </c>
      <c r="C1389" s="1656">
        <v>0</v>
      </c>
      <c r="D1389" s="1655" t="s">
        <v>42</v>
      </c>
      <c r="E1389" s="1655" t="s">
        <v>571</v>
      </c>
      <c r="G1389" s="1655" t="s">
        <v>434</v>
      </c>
      <c r="H1389" s="1655" t="s">
        <v>1994</v>
      </c>
      <c r="I1389" s="1656">
        <v>0</v>
      </c>
      <c r="J1389" s="1655" t="s">
        <v>42</v>
      </c>
      <c r="K1389" s="1655" t="s">
        <v>571</v>
      </c>
      <c r="M1389" s="1655" t="s">
        <v>434</v>
      </c>
      <c r="N1389" s="1655" t="s">
        <v>1994</v>
      </c>
      <c r="O1389" s="1656">
        <v>0</v>
      </c>
      <c r="P1389" s="1655" t="s">
        <v>42</v>
      </c>
      <c r="Q1389" s="1655" t="s">
        <v>571</v>
      </c>
      <c r="S1389" s="1655" t="s">
        <v>434</v>
      </c>
      <c r="T1389" s="1655" t="s">
        <v>1994</v>
      </c>
      <c r="U1389" s="1656">
        <v>0</v>
      </c>
      <c r="V1389" s="1655" t="s">
        <v>42</v>
      </c>
      <c r="W1389" s="1655" t="s">
        <v>571</v>
      </c>
    </row>
    <row r="1390" spans="1:23">
      <c r="A1390" s="1655" t="s">
        <v>434</v>
      </c>
      <c r="B1390" s="1655" t="s">
        <v>1995</v>
      </c>
      <c r="C1390" s="1656">
        <v>0</v>
      </c>
      <c r="D1390" s="1655" t="s">
        <v>42</v>
      </c>
      <c r="E1390" s="1655" t="s">
        <v>571</v>
      </c>
      <c r="G1390" s="1655" t="s">
        <v>434</v>
      </c>
      <c r="H1390" s="1655" t="s">
        <v>1995</v>
      </c>
      <c r="I1390" s="1656">
        <v>0</v>
      </c>
      <c r="J1390" s="1655" t="s">
        <v>42</v>
      </c>
      <c r="K1390" s="1655" t="s">
        <v>571</v>
      </c>
      <c r="M1390" s="1655" t="s">
        <v>434</v>
      </c>
      <c r="N1390" s="1655" t="s">
        <v>1995</v>
      </c>
      <c r="O1390" s="1656">
        <v>0</v>
      </c>
      <c r="P1390" s="1655" t="s">
        <v>42</v>
      </c>
      <c r="Q1390" s="1655" t="s">
        <v>571</v>
      </c>
      <c r="S1390" s="1655" t="s">
        <v>434</v>
      </c>
      <c r="T1390" s="1655" t="s">
        <v>1995</v>
      </c>
      <c r="U1390" s="1656">
        <v>0</v>
      </c>
      <c r="V1390" s="1655" t="s">
        <v>42</v>
      </c>
      <c r="W1390" s="1655" t="s">
        <v>571</v>
      </c>
    </row>
    <row r="1391" spans="1:23">
      <c r="A1391" s="1655" t="s">
        <v>434</v>
      </c>
      <c r="B1391" s="1655" t="s">
        <v>1996</v>
      </c>
      <c r="C1391" s="1656">
        <v>0</v>
      </c>
      <c r="D1391" s="1655" t="s">
        <v>42</v>
      </c>
      <c r="E1391" s="1655" t="s">
        <v>571</v>
      </c>
      <c r="G1391" s="1655" t="s">
        <v>434</v>
      </c>
      <c r="H1391" s="1655" t="s">
        <v>1996</v>
      </c>
      <c r="I1391" s="1656">
        <v>0</v>
      </c>
      <c r="J1391" s="1655" t="s">
        <v>42</v>
      </c>
      <c r="K1391" s="1655" t="s">
        <v>571</v>
      </c>
      <c r="M1391" s="1655" t="s">
        <v>434</v>
      </c>
      <c r="N1391" s="1655" t="s">
        <v>1996</v>
      </c>
      <c r="O1391" s="1656">
        <v>0</v>
      </c>
      <c r="P1391" s="1655" t="s">
        <v>42</v>
      </c>
      <c r="Q1391" s="1655" t="s">
        <v>571</v>
      </c>
      <c r="S1391" s="1655" t="s">
        <v>434</v>
      </c>
      <c r="T1391" s="1655" t="s">
        <v>1996</v>
      </c>
      <c r="U1391" s="1656">
        <v>0</v>
      </c>
      <c r="V1391" s="1655" t="s">
        <v>42</v>
      </c>
      <c r="W1391" s="1655" t="s">
        <v>571</v>
      </c>
    </row>
    <row r="1392" spans="1:23">
      <c r="A1392" s="1655" t="s">
        <v>434</v>
      </c>
      <c r="B1392" s="1655" t="s">
        <v>1997</v>
      </c>
      <c r="C1392" s="1656">
        <v>0</v>
      </c>
      <c r="D1392" s="1655" t="s">
        <v>42</v>
      </c>
      <c r="E1392" s="1655" t="s">
        <v>571</v>
      </c>
      <c r="G1392" s="1655" t="s">
        <v>434</v>
      </c>
      <c r="H1392" s="1655" t="s">
        <v>1997</v>
      </c>
      <c r="I1392" s="1656">
        <v>0</v>
      </c>
      <c r="J1392" s="1655" t="s">
        <v>42</v>
      </c>
      <c r="K1392" s="1655" t="s">
        <v>571</v>
      </c>
      <c r="M1392" s="1655" t="s">
        <v>434</v>
      </c>
      <c r="N1392" s="1655" t="s">
        <v>1997</v>
      </c>
      <c r="O1392" s="1656">
        <v>0</v>
      </c>
      <c r="P1392" s="1655" t="s">
        <v>42</v>
      </c>
      <c r="Q1392" s="1655" t="s">
        <v>571</v>
      </c>
      <c r="S1392" s="1655" t="s">
        <v>434</v>
      </c>
      <c r="T1392" s="1655" t="s">
        <v>1997</v>
      </c>
      <c r="U1392" s="1656">
        <v>0</v>
      </c>
      <c r="V1392" s="1655" t="s">
        <v>42</v>
      </c>
      <c r="W1392" s="1655" t="s">
        <v>571</v>
      </c>
    </row>
    <row r="1393" spans="1:23">
      <c r="A1393" s="1655" t="s">
        <v>434</v>
      </c>
      <c r="B1393" s="1655" t="s">
        <v>1998</v>
      </c>
      <c r="C1393" s="1656">
        <v>0</v>
      </c>
      <c r="D1393" s="1655" t="s">
        <v>42</v>
      </c>
      <c r="E1393" s="1655" t="s">
        <v>571</v>
      </c>
      <c r="G1393" s="1655" t="s">
        <v>434</v>
      </c>
      <c r="H1393" s="1655" t="s">
        <v>1998</v>
      </c>
      <c r="I1393" s="1656">
        <v>0</v>
      </c>
      <c r="J1393" s="1655" t="s">
        <v>42</v>
      </c>
      <c r="K1393" s="1655" t="s">
        <v>571</v>
      </c>
      <c r="M1393" s="1655" t="s">
        <v>434</v>
      </c>
      <c r="N1393" s="1655" t="s">
        <v>1998</v>
      </c>
      <c r="O1393" s="1656">
        <v>0</v>
      </c>
      <c r="P1393" s="1655" t="s">
        <v>42</v>
      </c>
      <c r="Q1393" s="1655" t="s">
        <v>571</v>
      </c>
      <c r="S1393" s="1655" t="s">
        <v>434</v>
      </c>
      <c r="T1393" s="1655" t="s">
        <v>1998</v>
      </c>
      <c r="U1393" s="1656">
        <v>0</v>
      </c>
      <c r="V1393" s="1655" t="s">
        <v>42</v>
      </c>
      <c r="W1393" s="1655" t="s">
        <v>571</v>
      </c>
    </row>
    <row r="1394" spans="1:23">
      <c r="A1394" s="1655" t="s">
        <v>434</v>
      </c>
      <c r="B1394" s="1655" t="s">
        <v>1999</v>
      </c>
      <c r="C1394" s="1656">
        <v>0</v>
      </c>
      <c r="D1394" s="1655" t="s">
        <v>42</v>
      </c>
      <c r="E1394" s="1655" t="s">
        <v>571</v>
      </c>
      <c r="G1394" s="1655" t="s">
        <v>434</v>
      </c>
      <c r="H1394" s="1655" t="s">
        <v>1999</v>
      </c>
      <c r="I1394" s="1656">
        <v>0</v>
      </c>
      <c r="J1394" s="1655" t="s">
        <v>42</v>
      </c>
      <c r="K1394" s="1655" t="s">
        <v>571</v>
      </c>
      <c r="M1394" s="1655" t="s">
        <v>434</v>
      </c>
      <c r="N1394" s="1655" t="s">
        <v>1999</v>
      </c>
      <c r="O1394" s="1656">
        <v>0</v>
      </c>
      <c r="P1394" s="1655" t="s">
        <v>42</v>
      </c>
      <c r="Q1394" s="1655" t="s">
        <v>571</v>
      </c>
      <c r="S1394" s="1655" t="s">
        <v>434</v>
      </c>
      <c r="T1394" s="1655" t="s">
        <v>1999</v>
      </c>
      <c r="U1394" s="1656">
        <v>0</v>
      </c>
      <c r="V1394" s="1655" t="s">
        <v>42</v>
      </c>
      <c r="W1394" s="1655" t="s">
        <v>571</v>
      </c>
    </row>
    <row r="1395" spans="1:23">
      <c r="A1395" s="1655" t="s">
        <v>434</v>
      </c>
      <c r="B1395" s="1655" t="s">
        <v>2000</v>
      </c>
      <c r="C1395" s="1656">
        <v>0</v>
      </c>
      <c r="D1395" s="1655" t="s">
        <v>42</v>
      </c>
      <c r="E1395" s="1655" t="s">
        <v>571</v>
      </c>
      <c r="G1395" s="1655" t="s">
        <v>434</v>
      </c>
      <c r="H1395" s="1655" t="s">
        <v>2000</v>
      </c>
      <c r="I1395" s="1656">
        <v>0</v>
      </c>
      <c r="J1395" s="1655" t="s">
        <v>42</v>
      </c>
      <c r="K1395" s="1655" t="s">
        <v>571</v>
      </c>
      <c r="M1395" s="1655" t="s">
        <v>434</v>
      </c>
      <c r="N1395" s="1655" t="s">
        <v>2000</v>
      </c>
      <c r="O1395" s="1656">
        <v>0</v>
      </c>
      <c r="P1395" s="1655" t="s">
        <v>42</v>
      </c>
      <c r="Q1395" s="1655" t="s">
        <v>571</v>
      </c>
      <c r="S1395" s="1655" t="s">
        <v>434</v>
      </c>
      <c r="T1395" s="1655" t="s">
        <v>2000</v>
      </c>
      <c r="U1395" s="1656">
        <v>0</v>
      </c>
      <c r="V1395" s="1655" t="s">
        <v>42</v>
      </c>
      <c r="W1395" s="1655" t="s">
        <v>571</v>
      </c>
    </row>
    <row r="1396" spans="1:23">
      <c r="A1396" s="1655" t="s">
        <v>434</v>
      </c>
      <c r="B1396" s="1655" t="s">
        <v>2001</v>
      </c>
      <c r="C1396" s="1656">
        <v>0</v>
      </c>
      <c r="D1396" s="1655" t="s">
        <v>42</v>
      </c>
      <c r="E1396" s="1655" t="s">
        <v>571</v>
      </c>
      <c r="G1396" s="1655" t="s">
        <v>434</v>
      </c>
      <c r="H1396" s="1655" t="s">
        <v>2001</v>
      </c>
      <c r="I1396" s="1656">
        <v>0</v>
      </c>
      <c r="J1396" s="1655" t="s">
        <v>42</v>
      </c>
      <c r="K1396" s="1655" t="s">
        <v>571</v>
      </c>
      <c r="M1396" s="1655" t="s">
        <v>434</v>
      </c>
      <c r="N1396" s="1655" t="s">
        <v>2001</v>
      </c>
      <c r="O1396" s="1656">
        <v>0</v>
      </c>
      <c r="P1396" s="1655" t="s">
        <v>42</v>
      </c>
      <c r="Q1396" s="1655" t="s">
        <v>571</v>
      </c>
      <c r="S1396" s="1655" t="s">
        <v>434</v>
      </c>
      <c r="T1396" s="1655" t="s">
        <v>2001</v>
      </c>
      <c r="U1396" s="1656">
        <v>0</v>
      </c>
      <c r="V1396" s="1655" t="s">
        <v>42</v>
      </c>
      <c r="W1396" s="1655" t="s">
        <v>571</v>
      </c>
    </row>
    <row r="1397" spans="1:23">
      <c r="A1397" s="1655" t="s">
        <v>434</v>
      </c>
      <c r="B1397" s="1655" t="s">
        <v>2002</v>
      </c>
      <c r="C1397" s="1656">
        <v>0</v>
      </c>
      <c r="D1397" s="1655" t="s">
        <v>42</v>
      </c>
      <c r="E1397" s="1655" t="s">
        <v>571</v>
      </c>
      <c r="G1397" s="1655" t="s">
        <v>434</v>
      </c>
      <c r="H1397" s="1655" t="s">
        <v>2002</v>
      </c>
      <c r="I1397" s="1656">
        <v>0</v>
      </c>
      <c r="J1397" s="1655" t="s">
        <v>42</v>
      </c>
      <c r="K1397" s="1655" t="s">
        <v>571</v>
      </c>
      <c r="M1397" s="1655" t="s">
        <v>434</v>
      </c>
      <c r="N1397" s="1655" t="s">
        <v>2002</v>
      </c>
      <c r="O1397" s="1656">
        <v>0</v>
      </c>
      <c r="P1397" s="1655" t="s">
        <v>42</v>
      </c>
      <c r="Q1397" s="1655" t="s">
        <v>571</v>
      </c>
      <c r="S1397" s="1655" t="s">
        <v>434</v>
      </c>
      <c r="T1397" s="1655" t="s">
        <v>2002</v>
      </c>
      <c r="U1397" s="1656">
        <v>0</v>
      </c>
      <c r="V1397" s="1655" t="s">
        <v>42</v>
      </c>
      <c r="W1397" s="1655" t="s">
        <v>571</v>
      </c>
    </row>
    <row r="1398" spans="1:23">
      <c r="A1398" s="1655" t="s">
        <v>434</v>
      </c>
      <c r="B1398" s="1655" t="s">
        <v>2003</v>
      </c>
      <c r="C1398" s="1656">
        <v>0</v>
      </c>
      <c r="D1398" s="1655" t="s">
        <v>42</v>
      </c>
      <c r="E1398" s="1655" t="s">
        <v>571</v>
      </c>
      <c r="G1398" s="1655" t="s">
        <v>434</v>
      </c>
      <c r="H1398" s="1655" t="s">
        <v>2003</v>
      </c>
      <c r="I1398" s="1656">
        <v>0</v>
      </c>
      <c r="J1398" s="1655" t="s">
        <v>42</v>
      </c>
      <c r="K1398" s="1655" t="s">
        <v>571</v>
      </c>
      <c r="M1398" s="1655" t="s">
        <v>434</v>
      </c>
      <c r="N1398" s="1655" t="s">
        <v>2003</v>
      </c>
      <c r="O1398" s="1656">
        <v>0</v>
      </c>
      <c r="P1398" s="1655" t="s">
        <v>42</v>
      </c>
      <c r="Q1398" s="1655" t="s">
        <v>571</v>
      </c>
      <c r="S1398" s="1655" t="s">
        <v>434</v>
      </c>
      <c r="T1398" s="1655" t="s">
        <v>2003</v>
      </c>
      <c r="U1398" s="1656">
        <v>0</v>
      </c>
      <c r="V1398" s="1655" t="s">
        <v>42</v>
      </c>
      <c r="W1398" s="1655" t="s">
        <v>571</v>
      </c>
    </row>
    <row r="1399" spans="1:23">
      <c r="A1399" s="1655" t="s">
        <v>434</v>
      </c>
      <c r="B1399" s="1655" t="s">
        <v>2004</v>
      </c>
      <c r="C1399" s="1656">
        <v>0</v>
      </c>
      <c r="D1399" s="1655" t="s">
        <v>42</v>
      </c>
      <c r="E1399" s="1655" t="s">
        <v>571</v>
      </c>
      <c r="G1399" s="1655" t="s">
        <v>434</v>
      </c>
      <c r="H1399" s="1655" t="s">
        <v>2004</v>
      </c>
      <c r="I1399" s="1656">
        <v>0</v>
      </c>
      <c r="J1399" s="1655" t="s">
        <v>42</v>
      </c>
      <c r="K1399" s="1655" t="s">
        <v>571</v>
      </c>
      <c r="M1399" s="1655" t="s">
        <v>434</v>
      </c>
      <c r="N1399" s="1655" t="s">
        <v>2004</v>
      </c>
      <c r="O1399" s="1656">
        <v>0</v>
      </c>
      <c r="P1399" s="1655" t="s">
        <v>42</v>
      </c>
      <c r="Q1399" s="1655" t="s">
        <v>571</v>
      </c>
      <c r="S1399" s="1655" t="s">
        <v>434</v>
      </c>
      <c r="T1399" s="1655" t="s">
        <v>2004</v>
      </c>
      <c r="U1399" s="1656">
        <v>0</v>
      </c>
      <c r="V1399" s="1655" t="s">
        <v>42</v>
      </c>
      <c r="W1399" s="1655" t="s">
        <v>571</v>
      </c>
    </row>
    <row r="1400" spans="1:23">
      <c r="A1400" s="1655" t="s">
        <v>434</v>
      </c>
      <c r="B1400" s="1655" t="s">
        <v>2005</v>
      </c>
      <c r="C1400" s="1656">
        <v>0</v>
      </c>
      <c r="D1400" s="1655" t="s">
        <v>42</v>
      </c>
      <c r="E1400" s="1655" t="s">
        <v>571</v>
      </c>
      <c r="G1400" s="1655" t="s">
        <v>434</v>
      </c>
      <c r="H1400" s="1655" t="s">
        <v>2005</v>
      </c>
      <c r="I1400" s="1656">
        <v>0</v>
      </c>
      <c r="J1400" s="1655" t="s">
        <v>42</v>
      </c>
      <c r="K1400" s="1655" t="s">
        <v>571</v>
      </c>
      <c r="M1400" s="1655" t="s">
        <v>434</v>
      </c>
      <c r="N1400" s="1655" t="s">
        <v>2005</v>
      </c>
      <c r="O1400" s="1656">
        <v>0</v>
      </c>
      <c r="P1400" s="1655" t="s">
        <v>42</v>
      </c>
      <c r="Q1400" s="1655" t="s">
        <v>571</v>
      </c>
      <c r="S1400" s="1655" t="s">
        <v>434</v>
      </c>
      <c r="T1400" s="1655" t="s">
        <v>2005</v>
      </c>
      <c r="U1400" s="1656">
        <v>0</v>
      </c>
      <c r="V1400" s="1655" t="s">
        <v>42</v>
      </c>
      <c r="W1400" s="1655" t="s">
        <v>571</v>
      </c>
    </row>
    <row r="1401" spans="1:23">
      <c r="A1401" s="1655" t="s">
        <v>434</v>
      </c>
      <c r="B1401" s="1655" t="s">
        <v>2006</v>
      </c>
      <c r="C1401" s="1656">
        <v>0</v>
      </c>
      <c r="D1401" s="1655" t="s">
        <v>42</v>
      </c>
      <c r="E1401" s="1655" t="s">
        <v>571</v>
      </c>
      <c r="G1401" s="1655" t="s">
        <v>434</v>
      </c>
      <c r="H1401" s="1655" t="s">
        <v>2006</v>
      </c>
      <c r="I1401" s="1656">
        <v>0</v>
      </c>
      <c r="J1401" s="1655" t="s">
        <v>42</v>
      </c>
      <c r="K1401" s="1655" t="s">
        <v>571</v>
      </c>
      <c r="M1401" s="1655" t="s">
        <v>434</v>
      </c>
      <c r="N1401" s="1655" t="s">
        <v>2006</v>
      </c>
      <c r="O1401" s="1656">
        <v>0</v>
      </c>
      <c r="P1401" s="1655" t="s">
        <v>42</v>
      </c>
      <c r="Q1401" s="1655" t="s">
        <v>571</v>
      </c>
      <c r="S1401" s="1655" t="s">
        <v>434</v>
      </c>
      <c r="T1401" s="1655" t="s">
        <v>2006</v>
      </c>
      <c r="U1401" s="1656">
        <v>0</v>
      </c>
      <c r="V1401" s="1655" t="s">
        <v>42</v>
      </c>
      <c r="W1401" s="1655" t="s">
        <v>571</v>
      </c>
    </row>
    <row r="1402" spans="1:23">
      <c r="A1402" s="1655" t="s">
        <v>434</v>
      </c>
      <c r="B1402" s="1655" t="s">
        <v>2007</v>
      </c>
      <c r="C1402" s="1656">
        <v>0</v>
      </c>
      <c r="D1402" s="1655" t="s">
        <v>42</v>
      </c>
      <c r="E1402" s="1655" t="s">
        <v>571</v>
      </c>
      <c r="G1402" s="1655" t="s">
        <v>434</v>
      </c>
      <c r="H1402" s="1655" t="s">
        <v>2007</v>
      </c>
      <c r="I1402" s="1656">
        <v>0</v>
      </c>
      <c r="J1402" s="1655" t="s">
        <v>42</v>
      </c>
      <c r="K1402" s="1655" t="s">
        <v>571</v>
      </c>
      <c r="M1402" s="1655" t="s">
        <v>434</v>
      </c>
      <c r="N1402" s="1655" t="s">
        <v>2007</v>
      </c>
      <c r="O1402" s="1656">
        <v>0</v>
      </c>
      <c r="P1402" s="1655" t="s">
        <v>42</v>
      </c>
      <c r="Q1402" s="1655" t="s">
        <v>571</v>
      </c>
      <c r="S1402" s="1655" t="s">
        <v>434</v>
      </c>
      <c r="T1402" s="1655" t="s">
        <v>2007</v>
      </c>
      <c r="U1402" s="1656">
        <v>0</v>
      </c>
      <c r="V1402" s="1655" t="s">
        <v>42</v>
      </c>
      <c r="W1402" s="1655" t="s">
        <v>571</v>
      </c>
    </row>
    <row r="1403" spans="1:23">
      <c r="A1403" s="1655" t="s">
        <v>434</v>
      </c>
      <c r="B1403" s="1655" t="s">
        <v>2008</v>
      </c>
      <c r="C1403" s="1656">
        <v>0</v>
      </c>
      <c r="D1403" s="1655" t="s">
        <v>42</v>
      </c>
      <c r="E1403" s="1655" t="s">
        <v>571</v>
      </c>
      <c r="G1403" s="1655" t="s">
        <v>434</v>
      </c>
      <c r="H1403" s="1655" t="s">
        <v>2008</v>
      </c>
      <c r="I1403" s="1656">
        <v>0</v>
      </c>
      <c r="J1403" s="1655" t="s">
        <v>42</v>
      </c>
      <c r="K1403" s="1655" t="s">
        <v>571</v>
      </c>
      <c r="M1403" s="1655" t="s">
        <v>434</v>
      </c>
      <c r="N1403" s="1655" t="s">
        <v>2008</v>
      </c>
      <c r="O1403" s="1656">
        <v>0</v>
      </c>
      <c r="P1403" s="1655" t="s">
        <v>42</v>
      </c>
      <c r="Q1403" s="1655" t="s">
        <v>571</v>
      </c>
      <c r="S1403" s="1655" t="s">
        <v>434</v>
      </c>
      <c r="T1403" s="1655" t="s">
        <v>2008</v>
      </c>
      <c r="U1403" s="1656">
        <v>0</v>
      </c>
      <c r="V1403" s="1655" t="s">
        <v>42</v>
      </c>
      <c r="W1403" s="1655" t="s">
        <v>571</v>
      </c>
    </row>
    <row r="1404" spans="1:23">
      <c r="A1404" s="1655" t="s">
        <v>434</v>
      </c>
      <c r="B1404" s="1655" t="s">
        <v>2009</v>
      </c>
      <c r="C1404" s="1656">
        <v>0</v>
      </c>
      <c r="D1404" s="1655" t="s">
        <v>42</v>
      </c>
      <c r="E1404" s="1655" t="s">
        <v>571</v>
      </c>
      <c r="G1404" s="1655" t="s">
        <v>434</v>
      </c>
      <c r="H1404" s="1655" t="s">
        <v>2009</v>
      </c>
      <c r="I1404" s="1656">
        <v>0</v>
      </c>
      <c r="J1404" s="1655" t="s">
        <v>42</v>
      </c>
      <c r="K1404" s="1655" t="s">
        <v>571</v>
      </c>
      <c r="M1404" s="1655" t="s">
        <v>434</v>
      </c>
      <c r="N1404" s="1655" t="s">
        <v>2009</v>
      </c>
      <c r="O1404" s="1656">
        <v>0</v>
      </c>
      <c r="P1404" s="1655" t="s">
        <v>42</v>
      </c>
      <c r="Q1404" s="1655" t="s">
        <v>571</v>
      </c>
      <c r="S1404" s="1655" t="s">
        <v>434</v>
      </c>
      <c r="T1404" s="1655" t="s">
        <v>2009</v>
      </c>
      <c r="U1404" s="1656">
        <v>0</v>
      </c>
      <c r="V1404" s="1655" t="s">
        <v>42</v>
      </c>
      <c r="W1404" s="1655" t="s">
        <v>571</v>
      </c>
    </row>
    <row r="1405" spans="1:23">
      <c r="A1405" s="1655" t="s">
        <v>434</v>
      </c>
      <c r="B1405" s="1655" t="s">
        <v>2010</v>
      </c>
      <c r="C1405" s="1656">
        <v>0</v>
      </c>
      <c r="D1405" s="1655" t="s">
        <v>42</v>
      </c>
      <c r="E1405" s="1655" t="s">
        <v>571</v>
      </c>
      <c r="G1405" s="1655" t="s">
        <v>434</v>
      </c>
      <c r="H1405" s="1655" t="s">
        <v>2010</v>
      </c>
      <c r="I1405" s="1656">
        <v>0</v>
      </c>
      <c r="J1405" s="1655" t="s">
        <v>42</v>
      </c>
      <c r="K1405" s="1655" t="s">
        <v>571</v>
      </c>
      <c r="M1405" s="1655" t="s">
        <v>434</v>
      </c>
      <c r="N1405" s="1655" t="s">
        <v>2010</v>
      </c>
      <c r="O1405" s="1656">
        <v>0</v>
      </c>
      <c r="P1405" s="1655" t="s">
        <v>42</v>
      </c>
      <c r="Q1405" s="1655" t="s">
        <v>571</v>
      </c>
      <c r="S1405" s="1655" t="s">
        <v>434</v>
      </c>
      <c r="T1405" s="1655" t="s">
        <v>2010</v>
      </c>
      <c r="U1405" s="1656">
        <v>0</v>
      </c>
      <c r="V1405" s="1655" t="s">
        <v>42</v>
      </c>
      <c r="W1405" s="1655" t="s">
        <v>571</v>
      </c>
    </row>
    <row r="1406" spans="1:23">
      <c r="A1406" s="1655" t="s">
        <v>434</v>
      </c>
      <c r="B1406" s="1655" t="s">
        <v>2011</v>
      </c>
      <c r="C1406" s="1656">
        <v>0</v>
      </c>
      <c r="D1406" s="1655" t="s">
        <v>42</v>
      </c>
      <c r="E1406" s="1655" t="s">
        <v>571</v>
      </c>
      <c r="G1406" s="1655" t="s">
        <v>434</v>
      </c>
      <c r="H1406" s="1655" t="s">
        <v>2011</v>
      </c>
      <c r="I1406" s="1656">
        <v>0</v>
      </c>
      <c r="J1406" s="1655" t="s">
        <v>42</v>
      </c>
      <c r="K1406" s="1655" t="s">
        <v>571</v>
      </c>
      <c r="M1406" s="1655" t="s">
        <v>434</v>
      </c>
      <c r="N1406" s="1655" t="s">
        <v>2011</v>
      </c>
      <c r="O1406" s="1656">
        <v>0</v>
      </c>
      <c r="P1406" s="1655" t="s">
        <v>42</v>
      </c>
      <c r="Q1406" s="1655" t="s">
        <v>571</v>
      </c>
      <c r="S1406" s="1655" t="s">
        <v>434</v>
      </c>
      <c r="T1406" s="1655" t="s">
        <v>2011</v>
      </c>
      <c r="U1406" s="1656">
        <v>0</v>
      </c>
      <c r="V1406" s="1655" t="s">
        <v>42</v>
      </c>
      <c r="W1406" s="1655" t="s">
        <v>571</v>
      </c>
    </row>
    <row r="1407" spans="1:23">
      <c r="A1407" s="1655" t="s">
        <v>434</v>
      </c>
      <c r="B1407" s="1655" t="s">
        <v>2012</v>
      </c>
      <c r="C1407" s="1656">
        <v>0</v>
      </c>
      <c r="D1407" s="1655" t="s">
        <v>42</v>
      </c>
      <c r="E1407" s="1655" t="s">
        <v>571</v>
      </c>
      <c r="G1407" s="1655" t="s">
        <v>434</v>
      </c>
      <c r="H1407" s="1655" t="s">
        <v>2012</v>
      </c>
      <c r="I1407" s="1656">
        <v>0</v>
      </c>
      <c r="J1407" s="1655" t="s">
        <v>42</v>
      </c>
      <c r="K1407" s="1655" t="s">
        <v>571</v>
      </c>
      <c r="M1407" s="1655" t="s">
        <v>434</v>
      </c>
      <c r="N1407" s="1655" t="s">
        <v>2012</v>
      </c>
      <c r="O1407" s="1656">
        <v>0</v>
      </c>
      <c r="P1407" s="1655" t="s">
        <v>42</v>
      </c>
      <c r="Q1407" s="1655" t="s">
        <v>571</v>
      </c>
      <c r="S1407" s="1655" t="s">
        <v>434</v>
      </c>
      <c r="T1407" s="1655" t="s">
        <v>2012</v>
      </c>
      <c r="U1407" s="1656">
        <v>0</v>
      </c>
      <c r="V1407" s="1655" t="s">
        <v>42</v>
      </c>
      <c r="W1407" s="1655" t="s">
        <v>571</v>
      </c>
    </row>
    <row r="1408" spans="1:23">
      <c r="A1408" s="1655" t="s">
        <v>434</v>
      </c>
      <c r="B1408" s="1655" t="s">
        <v>2013</v>
      </c>
      <c r="C1408" s="1656">
        <v>0</v>
      </c>
      <c r="D1408" s="1655" t="s">
        <v>42</v>
      </c>
      <c r="E1408" s="1655" t="s">
        <v>571</v>
      </c>
      <c r="G1408" s="1655" t="s">
        <v>434</v>
      </c>
      <c r="H1408" s="1655" t="s">
        <v>2013</v>
      </c>
      <c r="I1408" s="1656">
        <v>0</v>
      </c>
      <c r="J1408" s="1655" t="s">
        <v>42</v>
      </c>
      <c r="K1408" s="1655" t="s">
        <v>571</v>
      </c>
      <c r="M1408" s="1655" t="s">
        <v>434</v>
      </c>
      <c r="N1408" s="1655" t="s">
        <v>2013</v>
      </c>
      <c r="O1408" s="1656">
        <v>0</v>
      </c>
      <c r="P1408" s="1655" t="s">
        <v>42</v>
      </c>
      <c r="Q1408" s="1655" t="s">
        <v>571</v>
      </c>
      <c r="S1408" s="1655" t="s">
        <v>434</v>
      </c>
      <c r="T1408" s="1655" t="s">
        <v>2013</v>
      </c>
      <c r="U1408" s="1656">
        <v>0</v>
      </c>
      <c r="V1408" s="1655" t="s">
        <v>42</v>
      </c>
      <c r="W1408" s="1655" t="s">
        <v>571</v>
      </c>
    </row>
    <row r="1409" spans="1:23">
      <c r="A1409" s="1655" t="s">
        <v>434</v>
      </c>
      <c r="B1409" s="1655" t="s">
        <v>2014</v>
      </c>
      <c r="C1409" s="1656">
        <v>0</v>
      </c>
      <c r="D1409" s="1655" t="s">
        <v>42</v>
      </c>
      <c r="E1409" s="1655" t="s">
        <v>571</v>
      </c>
      <c r="G1409" s="1655" t="s">
        <v>434</v>
      </c>
      <c r="H1409" s="1655" t="s">
        <v>2014</v>
      </c>
      <c r="I1409" s="1656">
        <v>0</v>
      </c>
      <c r="J1409" s="1655" t="s">
        <v>42</v>
      </c>
      <c r="K1409" s="1655" t="s">
        <v>571</v>
      </c>
      <c r="M1409" s="1655" t="s">
        <v>434</v>
      </c>
      <c r="N1409" s="1655" t="s">
        <v>2014</v>
      </c>
      <c r="O1409" s="1656">
        <v>0</v>
      </c>
      <c r="P1409" s="1655" t="s">
        <v>42</v>
      </c>
      <c r="Q1409" s="1655" t="s">
        <v>571</v>
      </c>
      <c r="S1409" s="1655" t="s">
        <v>434</v>
      </c>
      <c r="T1409" s="1655" t="s">
        <v>2014</v>
      </c>
      <c r="U1409" s="1656">
        <v>0</v>
      </c>
      <c r="V1409" s="1655" t="s">
        <v>42</v>
      </c>
      <c r="W1409" s="1655" t="s">
        <v>571</v>
      </c>
    </row>
    <row r="1410" spans="1:23">
      <c r="A1410" s="1655" t="s">
        <v>434</v>
      </c>
      <c r="B1410" s="1655" t="s">
        <v>2015</v>
      </c>
      <c r="C1410" s="1656">
        <v>0</v>
      </c>
      <c r="D1410" s="1655" t="s">
        <v>42</v>
      </c>
      <c r="E1410" s="1655" t="s">
        <v>571</v>
      </c>
      <c r="G1410" s="1655" t="s">
        <v>434</v>
      </c>
      <c r="H1410" s="1655" t="s">
        <v>2015</v>
      </c>
      <c r="I1410" s="1656">
        <v>0</v>
      </c>
      <c r="J1410" s="1655" t="s">
        <v>42</v>
      </c>
      <c r="K1410" s="1655" t="s">
        <v>571</v>
      </c>
      <c r="M1410" s="1655" t="s">
        <v>434</v>
      </c>
      <c r="N1410" s="1655" t="s">
        <v>2015</v>
      </c>
      <c r="O1410" s="1656">
        <v>0</v>
      </c>
      <c r="P1410" s="1655" t="s">
        <v>42</v>
      </c>
      <c r="Q1410" s="1655" t="s">
        <v>571</v>
      </c>
      <c r="S1410" s="1655" t="s">
        <v>434</v>
      </c>
      <c r="T1410" s="1655" t="s">
        <v>2015</v>
      </c>
      <c r="U1410" s="1656">
        <v>0</v>
      </c>
      <c r="V1410" s="1655" t="s">
        <v>42</v>
      </c>
      <c r="W1410" s="1655" t="s">
        <v>571</v>
      </c>
    </row>
    <row r="1411" spans="1:23">
      <c r="A1411" s="1655" t="s">
        <v>434</v>
      </c>
      <c r="B1411" s="1655" t="s">
        <v>2016</v>
      </c>
      <c r="C1411" s="1656">
        <v>0</v>
      </c>
      <c r="D1411" s="1655" t="s">
        <v>42</v>
      </c>
      <c r="E1411" s="1655" t="s">
        <v>571</v>
      </c>
      <c r="G1411" s="1655" t="s">
        <v>434</v>
      </c>
      <c r="H1411" s="1655" t="s">
        <v>2016</v>
      </c>
      <c r="I1411" s="1656">
        <v>0</v>
      </c>
      <c r="J1411" s="1655" t="s">
        <v>42</v>
      </c>
      <c r="K1411" s="1655" t="s">
        <v>571</v>
      </c>
      <c r="M1411" s="1655" t="s">
        <v>434</v>
      </c>
      <c r="N1411" s="1655" t="s">
        <v>2016</v>
      </c>
      <c r="O1411" s="1656">
        <v>0</v>
      </c>
      <c r="P1411" s="1655" t="s">
        <v>42</v>
      </c>
      <c r="Q1411" s="1655" t="s">
        <v>571</v>
      </c>
      <c r="S1411" s="1655" t="s">
        <v>434</v>
      </c>
      <c r="T1411" s="1655" t="s">
        <v>2016</v>
      </c>
      <c r="U1411" s="1656">
        <v>0</v>
      </c>
      <c r="V1411" s="1655" t="s">
        <v>42</v>
      </c>
      <c r="W1411" s="1655" t="s">
        <v>571</v>
      </c>
    </row>
    <row r="1412" spans="1:23">
      <c r="A1412" s="1655" t="s">
        <v>434</v>
      </c>
      <c r="B1412" s="1655" t="s">
        <v>2017</v>
      </c>
      <c r="C1412" s="1656">
        <v>0</v>
      </c>
      <c r="D1412" s="1655" t="s">
        <v>42</v>
      </c>
      <c r="E1412" s="1655" t="s">
        <v>571</v>
      </c>
      <c r="G1412" s="1655" t="s">
        <v>434</v>
      </c>
      <c r="H1412" s="1655" t="s">
        <v>2017</v>
      </c>
      <c r="I1412" s="1656">
        <v>0</v>
      </c>
      <c r="J1412" s="1655" t="s">
        <v>42</v>
      </c>
      <c r="K1412" s="1655" t="s">
        <v>571</v>
      </c>
      <c r="M1412" s="1655" t="s">
        <v>434</v>
      </c>
      <c r="N1412" s="1655" t="s">
        <v>2017</v>
      </c>
      <c r="O1412" s="1656">
        <v>0</v>
      </c>
      <c r="P1412" s="1655" t="s">
        <v>42</v>
      </c>
      <c r="Q1412" s="1655" t="s">
        <v>571</v>
      </c>
      <c r="S1412" s="1655" t="s">
        <v>434</v>
      </c>
      <c r="T1412" s="1655" t="s">
        <v>2017</v>
      </c>
      <c r="U1412" s="1656">
        <v>0</v>
      </c>
      <c r="V1412" s="1655" t="s">
        <v>42</v>
      </c>
      <c r="W1412" s="1655" t="s">
        <v>571</v>
      </c>
    </row>
    <row r="1413" spans="1:23">
      <c r="A1413" s="1655" t="s">
        <v>434</v>
      </c>
      <c r="B1413" s="1655" t="s">
        <v>2018</v>
      </c>
      <c r="C1413" s="1656">
        <v>0</v>
      </c>
      <c r="D1413" s="1655" t="s">
        <v>42</v>
      </c>
      <c r="E1413" s="1655" t="s">
        <v>571</v>
      </c>
      <c r="G1413" s="1655" t="s">
        <v>434</v>
      </c>
      <c r="H1413" s="1655" t="s">
        <v>2018</v>
      </c>
      <c r="I1413" s="1656">
        <v>0</v>
      </c>
      <c r="J1413" s="1655" t="s">
        <v>42</v>
      </c>
      <c r="K1413" s="1655" t="s">
        <v>571</v>
      </c>
      <c r="M1413" s="1655" t="s">
        <v>434</v>
      </c>
      <c r="N1413" s="1655" t="s">
        <v>2018</v>
      </c>
      <c r="O1413" s="1656">
        <v>0</v>
      </c>
      <c r="P1413" s="1655" t="s">
        <v>42</v>
      </c>
      <c r="Q1413" s="1655" t="s">
        <v>571</v>
      </c>
      <c r="S1413" s="1655" t="s">
        <v>434</v>
      </c>
      <c r="T1413" s="1655" t="s">
        <v>2018</v>
      </c>
      <c r="U1413" s="1656">
        <v>0</v>
      </c>
      <c r="V1413" s="1655" t="s">
        <v>42</v>
      </c>
      <c r="W1413" s="1655" t="s">
        <v>571</v>
      </c>
    </row>
    <row r="1414" spans="1:23">
      <c r="A1414" s="1655" t="s">
        <v>434</v>
      </c>
      <c r="B1414" s="1655" t="s">
        <v>2019</v>
      </c>
      <c r="C1414" s="1656">
        <v>0</v>
      </c>
      <c r="D1414" s="1655" t="s">
        <v>42</v>
      </c>
      <c r="E1414" s="1655" t="s">
        <v>571</v>
      </c>
      <c r="G1414" s="1655" t="s">
        <v>434</v>
      </c>
      <c r="H1414" s="1655" t="s">
        <v>2019</v>
      </c>
      <c r="I1414" s="1656">
        <v>0</v>
      </c>
      <c r="J1414" s="1655" t="s">
        <v>42</v>
      </c>
      <c r="K1414" s="1655" t="s">
        <v>571</v>
      </c>
      <c r="M1414" s="1655" t="s">
        <v>434</v>
      </c>
      <c r="N1414" s="1655" t="s">
        <v>2019</v>
      </c>
      <c r="O1414" s="1656">
        <v>0</v>
      </c>
      <c r="P1414" s="1655" t="s">
        <v>42</v>
      </c>
      <c r="Q1414" s="1655" t="s">
        <v>571</v>
      </c>
      <c r="S1414" s="1655" t="s">
        <v>434</v>
      </c>
      <c r="T1414" s="1655" t="s">
        <v>2019</v>
      </c>
      <c r="U1414" s="1656">
        <v>0</v>
      </c>
      <c r="V1414" s="1655" t="s">
        <v>42</v>
      </c>
      <c r="W1414" s="1655" t="s">
        <v>571</v>
      </c>
    </row>
    <row r="1415" spans="1:23">
      <c r="A1415" s="1655" t="s">
        <v>434</v>
      </c>
      <c r="B1415" s="1655" t="s">
        <v>2020</v>
      </c>
      <c r="C1415" s="1656">
        <v>0</v>
      </c>
      <c r="D1415" s="1655" t="s">
        <v>42</v>
      </c>
      <c r="E1415" s="1655" t="s">
        <v>571</v>
      </c>
      <c r="G1415" s="1655" t="s">
        <v>434</v>
      </c>
      <c r="H1415" s="1655" t="s">
        <v>2020</v>
      </c>
      <c r="I1415" s="1656">
        <v>0</v>
      </c>
      <c r="J1415" s="1655" t="s">
        <v>42</v>
      </c>
      <c r="K1415" s="1655" t="s">
        <v>571</v>
      </c>
      <c r="M1415" s="1655" t="s">
        <v>434</v>
      </c>
      <c r="N1415" s="1655" t="s">
        <v>2020</v>
      </c>
      <c r="O1415" s="1656">
        <v>0</v>
      </c>
      <c r="P1415" s="1655" t="s">
        <v>42</v>
      </c>
      <c r="Q1415" s="1655" t="s">
        <v>571</v>
      </c>
      <c r="S1415" s="1655" t="s">
        <v>434</v>
      </c>
      <c r="T1415" s="1655" t="s">
        <v>2020</v>
      </c>
      <c r="U1415" s="1656">
        <v>0</v>
      </c>
      <c r="V1415" s="1655" t="s">
        <v>42</v>
      </c>
      <c r="W1415" s="1655" t="s">
        <v>571</v>
      </c>
    </row>
    <row r="1416" spans="1:23">
      <c r="A1416" s="1655" t="s">
        <v>434</v>
      </c>
      <c r="B1416" s="1655" t="s">
        <v>2021</v>
      </c>
      <c r="C1416" s="1656">
        <v>0</v>
      </c>
      <c r="D1416" s="1655" t="s">
        <v>42</v>
      </c>
      <c r="E1416" s="1655" t="s">
        <v>571</v>
      </c>
      <c r="G1416" s="1655" t="s">
        <v>434</v>
      </c>
      <c r="H1416" s="1655" t="s">
        <v>2021</v>
      </c>
      <c r="I1416" s="1656">
        <v>0</v>
      </c>
      <c r="J1416" s="1655" t="s">
        <v>42</v>
      </c>
      <c r="K1416" s="1655" t="s">
        <v>571</v>
      </c>
      <c r="M1416" s="1655" t="s">
        <v>434</v>
      </c>
      <c r="N1416" s="1655" t="s">
        <v>2021</v>
      </c>
      <c r="O1416" s="1656">
        <v>0</v>
      </c>
      <c r="P1416" s="1655" t="s">
        <v>42</v>
      </c>
      <c r="Q1416" s="1655" t="s">
        <v>571</v>
      </c>
      <c r="S1416" s="1655" t="s">
        <v>434</v>
      </c>
      <c r="T1416" s="1655" t="s">
        <v>2021</v>
      </c>
      <c r="U1416" s="1656">
        <v>0</v>
      </c>
      <c r="V1416" s="1655" t="s">
        <v>42</v>
      </c>
      <c r="W1416" s="1655" t="s">
        <v>571</v>
      </c>
    </row>
    <row r="1417" spans="1:23">
      <c r="A1417" s="1655" t="s">
        <v>434</v>
      </c>
      <c r="B1417" s="1655" t="s">
        <v>2022</v>
      </c>
      <c r="C1417" s="1656">
        <v>0</v>
      </c>
      <c r="D1417" s="1655" t="s">
        <v>42</v>
      </c>
      <c r="E1417" s="1655" t="s">
        <v>571</v>
      </c>
      <c r="G1417" s="1655" t="s">
        <v>434</v>
      </c>
      <c r="H1417" s="1655" t="s">
        <v>2022</v>
      </c>
      <c r="I1417" s="1656">
        <v>0</v>
      </c>
      <c r="J1417" s="1655" t="s">
        <v>42</v>
      </c>
      <c r="K1417" s="1655" t="s">
        <v>571</v>
      </c>
      <c r="M1417" s="1655" t="s">
        <v>434</v>
      </c>
      <c r="N1417" s="1655" t="s">
        <v>2022</v>
      </c>
      <c r="O1417" s="1656">
        <v>0</v>
      </c>
      <c r="P1417" s="1655" t="s">
        <v>42</v>
      </c>
      <c r="Q1417" s="1655" t="s">
        <v>571</v>
      </c>
      <c r="S1417" s="1655" t="s">
        <v>434</v>
      </c>
      <c r="T1417" s="1655" t="s">
        <v>2022</v>
      </c>
      <c r="U1417" s="1656">
        <v>0</v>
      </c>
      <c r="V1417" s="1655" t="s">
        <v>42</v>
      </c>
      <c r="W1417" s="1655" t="s">
        <v>571</v>
      </c>
    </row>
    <row r="1418" spans="1:23">
      <c r="A1418" s="1655" t="s">
        <v>434</v>
      </c>
      <c r="B1418" s="1655" t="s">
        <v>2023</v>
      </c>
      <c r="C1418" s="1656">
        <v>0</v>
      </c>
      <c r="D1418" s="1655" t="s">
        <v>42</v>
      </c>
      <c r="E1418" s="1655" t="s">
        <v>571</v>
      </c>
      <c r="G1418" s="1655" t="s">
        <v>434</v>
      </c>
      <c r="H1418" s="1655" t="s">
        <v>2023</v>
      </c>
      <c r="I1418" s="1656">
        <v>0</v>
      </c>
      <c r="J1418" s="1655" t="s">
        <v>42</v>
      </c>
      <c r="K1418" s="1655" t="s">
        <v>571</v>
      </c>
      <c r="M1418" s="1655" t="s">
        <v>434</v>
      </c>
      <c r="N1418" s="1655" t="s">
        <v>2023</v>
      </c>
      <c r="O1418" s="1656">
        <v>0</v>
      </c>
      <c r="P1418" s="1655" t="s">
        <v>42</v>
      </c>
      <c r="Q1418" s="1655" t="s">
        <v>571</v>
      </c>
      <c r="S1418" s="1655" t="s">
        <v>434</v>
      </c>
      <c r="T1418" s="1655" t="s">
        <v>2023</v>
      </c>
      <c r="U1418" s="1656">
        <v>0</v>
      </c>
      <c r="V1418" s="1655" t="s">
        <v>42</v>
      </c>
      <c r="W1418" s="1655" t="s">
        <v>571</v>
      </c>
    </row>
    <row r="1419" spans="1:23">
      <c r="A1419" s="1655" t="s">
        <v>434</v>
      </c>
      <c r="B1419" s="1655" t="s">
        <v>2024</v>
      </c>
      <c r="C1419" s="1656">
        <v>0</v>
      </c>
      <c r="D1419" s="1655" t="s">
        <v>42</v>
      </c>
      <c r="E1419" s="1655" t="s">
        <v>571</v>
      </c>
      <c r="G1419" s="1655" t="s">
        <v>434</v>
      </c>
      <c r="H1419" s="1655" t="s">
        <v>2024</v>
      </c>
      <c r="I1419" s="1656">
        <v>0</v>
      </c>
      <c r="J1419" s="1655" t="s">
        <v>42</v>
      </c>
      <c r="K1419" s="1655" t="s">
        <v>571</v>
      </c>
      <c r="M1419" s="1655" t="s">
        <v>434</v>
      </c>
      <c r="N1419" s="1655" t="s">
        <v>2024</v>
      </c>
      <c r="O1419" s="1656">
        <v>0</v>
      </c>
      <c r="P1419" s="1655" t="s">
        <v>42</v>
      </c>
      <c r="Q1419" s="1655" t="s">
        <v>571</v>
      </c>
      <c r="S1419" s="1655" t="s">
        <v>434</v>
      </c>
      <c r="T1419" s="1655" t="s">
        <v>2024</v>
      </c>
      <c r="U1419" s="1656">
        <v>0</v>
      </c>
      <c r="V1419" s="1655" t="s">
        <v>42</v>
      </c>
      <c r="W1419" s="1655" t="s">
        <v>571</v>
      </c>
    </row>
    <row r="1420" spans="1:23">
      <c r="A1420" s="1655" t="s">
        <v>434</v>
      </c>
      <c r="B1420" s="1655" t="s">
        <v>2025</v>
      </c>
      <c r="C1420" s="1656">
        <v>0</v>
      </c>
      <c r="D1420" s="1655" t="s">
        <v>42</v>
      </c>
      <c r="E1420" s="1655" t="s">
        <v>571</v>
      </c>
      <c r="G1420" s="1655" t="s">
        <v>434</v>
      </c>
      <c r="H1420" s="1655" t="s">
        <v>2025</v>
      </c>
      <c r="I1420" s="1656">
        <v>0</v>
      </c>
      <c r="J1420" s="1655" t="s">
        <v>42</v>
      </c>
      <c r="K1420" s="1655" t="s">
        <v>571</v>
      </c>
      <c r="M1420" s="1655" t="s">
        <v>434</v>
      </c>
      <c r="N1420" s="1655" t="s">
        <v>2025</v>
      </c>
      <c r="O1420" s="1656">
        <v>0</v>
      </c>
      <c r="P1420" s="1655" t="s">
        <v>42</v>
      </c>
      <c r="Q1420" s="1655" t="s">
        <v>571</v>
      </c>
      <c r="S1420" s="1655" t="s">
        <v>434</v>
      </c>
      <c r="T1420" s="1655" t="s">
        <v>2025</v>
      </c>
      <c r="U1420" s="1656">
        <v>0</v>
      </c>
      <c r="V1420" s="1655" t="s">
        <v>42</v>
      </c>
      <c r="W1420" s="1655" t="s">
        <v>571</v>
      </c>
    </row>
    <row r="1421" spans="1:23">
      <c r="A1421" s="1655" t="s">
        <v>434</v>
      </c>
      <c r="B1421" s="1655" t="s">
        <v>2026</v>
      </c>
      <c r="C1421" s="1656">
        <v>0</v>
      </c>
      <c r="D1421" s="1655" t="s">
        <v>42</v>
      </c>
      <c r="E1421" s="1655" t="s">
        <v>571</v>
      </c>
      <c r="G1421" s="1655" t="s">
        <v>434</v>
      </c>
      <c r="H1421" s="1655" t="s">
        <v>2026</v>
      </c>
      <c r="I1421" s="1656">
        <v>0</v>
      </c>
      <c r="J1421" s="1655" t="s">
        <v>42</v>
      </c>
      <c r="K1421" s="1655" t="s">
        <v>571</v>
      </c>
      <c r="M1421" s="1655" t="s">
        <v>434</v>
      </c>
      <c r="N1421" s="1655" t="s">
        <v>2026</v>
      </c>
      <c r="O1421" s="1656">
        <v>0</v>
      </c>
      <c r="P1421" s="1655" t="s">
        <v>42</v>
      </c>
      <c r="Q1421" s="1655" t="s">
        <v>571</v>
      </c>
      <c r="S1421" s="1655" t="s">
        <v>434</v>
      </c>
      <c r="T1421" s="1655" t="s">
        <v>2026</v>
      </c>
      <c r="U1421" s="1656">
        <v>0</v>
      </c>
      <c r="V1421" s="1655" t="s">
        <v>42</v>
      </c>
      <c r="W1421" s="1655" t="s">
        <v>571</v>
      </c>
    </row>
    <row r="1422" spans="1:23">
      <c r="A1422" s="1655" t="s">
        <v>434</v>
      </c>
      <c r="B1422" s="1655" t="s">
        <v>2027</v>
      </c>
      <c r="C1422" s="1656">
        <v>0</v>
      </c>
      <c r="D1422" s="1655" t="s">
        <v>42</v>
      </c>
      <c r="E1422" s="1655" t="s">
        <v>571</v>
      </c>
      <c r="G1422" s="1655" t="s">
        <v>434</v>
      </c>
      <c r="H1422" s="1655" t="s">
        <v>2027</v>
      </c>
      <c r="I1422" s="1656">
        <v>0</v>
      </c>
      <c r="J1422" s="1655" t="s">
        <v>42</v>
      </c>
      <c r="K1422" s="1655" t="s">
        <v>571</v>
      </c>
      <c r="M1422" s="1655" t="s">
        <v>434</v>
      </c>
      <c r="N1422" s="1655" t="s">
        <v>2027</v>
      </c>
      <c r="O1422" s="1656">
        <v>0</v>
      </c>
      <c r="P1422" s="1655" t="s">
        <v>42</v>
      </c>
      <c r="Q1422" s="1655" t="s">
        <v>571</v>
      </c>
      <c r="S1422" s="1655" t="s">
        <v>434</v>
      </c>
      <c r="T1422" s="1655" t="s">
        <v>2027</v>
      </c>
      <c r="U1422" s="1656">
        <v>0</v>
      </c>
      <c r="V1422" s="1655" t="s">
        <v>42</v>
      </c>
      <c r="W1422" s="1655" t="s">
        <v>571</v>
      </c>
    </row>
    <row r="1423" spans="1:23">
      <c r="A1423" s="1655" t="s">
        <v>434</v>
      </c>
      <c r="B1423" s="1655" t="s">
        <v>2028</v>
      </c>
      <c r="C1423" s="1656">
        <v>0</v>
      </c>
      <c r="D1423" s="1655" t="s">
        <v>42</v>
      </c>
      <c r="E1423" s="1655" t="s">
        <v>571</v>
      </c>
      <c r="G1423" s="1655" t="s">
        <v>434</v>
      </c>
      <c r="H1423" s="1655" t="s">
        <v>2028</v>
      </c>
      <c r="I1423" s="1656">
        <v>0</v>
      </c>
      <c r="J1423" s="1655" t="s">
        <v>42</v>
      </c>
      <c r="K1423" s="1655" t="s">
        <v>571</v>
      </c>
      <c r="M1423" s="1655" t="s">
        <v>434</v>
      </c>
      <c r="N1423" s="1655" t="s">
        <v>2028</v>
      </c>
      <c r="O1423" s="1656">
        <v>0</v>
      </c>
      <c r="P1423" s="1655" t="s">
        <v>42</v>
      </c>
      <c r="Q1423" s="1655" t="s">
        <v>571</v>
      </c>
      <c r="S1423" s="1655" t="s">
        <v>434</v>
      </c>
      <c r="T1423" s="1655" t="s">
        <v>2028</v>
      </c>
      <c r="U1423" s="1656">
        <v>0</v>
      </c>
      <c r="V1423" s="1655" t="s">
        <v>42</v>
      </c>
      <c r="W1423" s="1655" t="s">
        <v>571</v>
      </c>
    </row>
    <row r="1424" spans="1:23">
      <c r="A1424" s="1655" t="s">
        <v>434</v>
      </c>
      <c r="B1424" s="1655" t="s">
        <v>2029</v>
      </c>
      <c r="C1424" s="1656">
        <v>0</v>
      </c>
      <c r="D1424" s="1655" t="s">
        <v>42</v>
      </c>
      <c r="E1424" s="1655" t="s">
        <v>571</v>
      </c>
      <c r="G1424" s="1655" t="s">
        <v>434</v>
      </c>
      <c r="H1424" s="1655" t="s">
        <v>2029</v>
      </c>
      <c r="I1424" s="1656">
        <v>0</v>
      </c>
      <c r="J1424" s="1655" t="s">
        <v>42</v>
      </c>
      <c r="K1424" s="1655" t="s">
        <v>571</v>
      </c>
      <c r="M1424" s="1655" t="s">
        <v>434</v>
      </c>
      <c r="N1424" s="1655" t="s">
        <v>2029</v>
      </c>
      <c r="O1424" s="1656">
        <v>0</v>
      </c>
      <c r="P1424" s="1655" t="s">
        <v>42</v>
      </c>
      <c r="Q1424" s="1655" t="s">
        <v>571</v>
      </c>
      <c r="S1424" s="1655" t="s">
        <v>434</v>
      </c>
      <c r="T1424" s="1655" t="s">
        <v>2029</v>
      </c>
      <c r="U1424" s="1656">
        <v>0</v>
      </c>
      <c r="V1424" s="1655" t="s">
        <v>42</v>
      </c>
      <c r="W1424" s="1655" t="s">
        <v>571</v>
      </c>
    </row>
    <row r="1425" spans="1:23">
      <c r="A1425" s="1655" t="s">
        <v>434</v>
      </c>
      <c r="B1425" s="1655" t="s">
        <v>2030</v>
      </c>
      <c r="C1425" s="1656">
        <v>0</v>
      </c>
      <c r="D1425" s="1655" t="s">
        <v>42</v>
      </c>
      <c r="E1425" s="1655" t="s">
        <v>571</v>
      </c>
      <c r="G1425" s="1655" t="s">
        <v>434</v>
      </c>
      <c r="H1425" s="1655" t="s">
        <v>2030</v>
      </c>
      <c r="I1425" s="1656">
        <v>0</v>
      </c>
      <c r="J1425" s="1655" t="s">
        <v>42</v>
      </c>
      <c r="K1425" s="1655" t="s">
        <v>571</v>
      </c>
      <c r="M1425" s="1655" t="s">
        <v>434</v>
      </c>
      <c r="N1425" s="1655" t="s">
        <v>2030</v>
      </c>
      <c r="O1425" s="1656">
        <v>0</v>
      </c>
      <c r="P1425" s="1655" t="s">
        <v>42</v>
      </c>
      <c r="Q1425" s="1655" t="s">
        <v>571</v>
      </c>
      <c r="S1425" s="1655" t="s">
        <v>434</v>
      </c>
      <c r="T1425" s="1655" t="s">
        <v>2030</v>
      </c>
      <c r="U1425" s="1656">
        <v>0</v>
      </c>
      <c r="V1425" s="1655" t="s">
        <v>42</v>
      </c>
      <c r="W1425" s="1655" t="s">
        <v>571</v>
      </c>
    </row>
    <row r="1426" spans="1:23">
      <c r="A1426" s="1655" t="s">
        <v>434</v>
      </c>
      <c r="B1426" s="1655" t="s">
        <v>2031</v>
      </c>
      <c r="C1426" s="1656">
        <v>0</v>
      </c>
      <c r="D1426" s="1655" t="s">
        <v>42</v>
      </c>
      <c r="E1426" s="1655" t="s">
        <v>571</v>
      </c>
      <c r="G1426" s="1655" t="s">
        <v>434</v>
      </c>
      <c r="H1426" s="1655" t="s">
        <v>2031</v>
      </c>
      <c r="I1426" s="1656">
        <v>0</v>
      </c>
      <c r="J1426" s="1655" t="s">
        <v>42</v>
      </c>
      <c r="K1426" s="1655" t="s">
        <v>571</v>
      </c>
      <c r="M1426" s="1655" t="s">
        <v>434</v>
      </c>
      <c r="N1426" s="1655" t="s">
        <v>2031</v>
      </c>
      <c r="O1426" s="1656">
        <v>0</v>
      </c>
      <c r="P1426" s="1655" t="s">
        <v>42</v>
      </c>
      <c r="Q1426" s="1655" t="s">
        <v>571</v>
      </c>
      <c r="S1426" s="1655" t="s">
        <v>434</v>
      </c>
      <c r="T1426" s="1655" t="s">
        <v>2031</v>
      </c>
      <c r="U1426" s="1656">
        <v>0</v>
      </c>
      <c r="V1426" s="1655" t="s">
        <v>42</v>
      </c>
      <c r="W1426" s="1655" t="s">
        <v>571</v>
      </c>
    </row>
    <row r="1427" spans="1:23">
      <c r="A1427" s="1655" t="s">
        <v>434</v>
      </c>
      <c r="B1427" s="1655" t="s">
        <v>2032</v>
      </c>
      <c r="C1427" s="1656">
        <v>0</v>
      </c>
      <c r="D1427" s="1655" t="s">
        <v>42</v>
      </c>
      <c r="E1427" s="1655" t="s">
        <v>571</v>
      </c>
      <c r="G1427" s="1655" t="s">
        <v>434</v>
      </c>
      <c r="H1427" s="1655" t="s">
        <v>2032</v>
      </c>
      <c r="I1427" s="1656">
        <v>0</v>
      </c>
      <c r="J1427" s="1655" t="s">
        <v>42</v>
      </c>
      <c r="K1427" s="1655" t="s">
        <v>571</v>
      </c>
      <c r="M1427" s="1655" t="s">
        <v>434</v>
      </c>
      <c r="N1427" s="1655" t="s">
        <v>2032</v>
      </c>
      <c r="O1427" s="1656">
        <v>0</v>
      </c>
      <c r="P1427" s="1655" t="s">
        <v>42</v>
      </c>
      <c r="Q1427" s="1655" t="s">
        <v>571</v>
      </c>
      <c r="S1427" s="1655" t="s">
        <v>434</v>
      </c>
      <c r="T1427" s="1655" t="s">
        <v>2032</v>
      </c>
      <c r="U1427" s="1656">
        <v>0</v>
      </c>
      <c r="V1427" s="1655" t="s">
        <v>42</v>
      </c>
      <c r="W1427" s="1655" t="s">
        <v>571</v>
      </c>
    </row>
    <row r="1428" spans="1:23">
      <c r="A1428" s="1655" t="s">
        <v>434</v>
      </c>
      <c r="B1428" s="1655" t="s">
        <v>2033</v>
      </c>
      <c r="C1428" s="1656">
        <v>0</v>
      </c>
      <c r="D1428" s="1655" t="s">
        <v>42</v>
      </c>
      <c r="E1428" s="1655" t="s">
        <v>571</v>
      </c>
      <c r="G1428" s="1655" t="s">
        <v>434</v>
      </c>
      <c r="H1428" s="1655" t="s">
        <v>2033</v>
      </c>
      <c r="I1428" s="1656">
        <v>0</v>
      </c>
      <c r="J1428" s="1655" t="s">
        <v>42</v>
      </c>
      <c r="K1428" s="1655" t="s">
        <v>571</v>
      </c>
      <c r="M1428" s="1655" t="s">
        <v>434</v>
      </c>
      <c r="N1428" s="1655" t="s">
        <v>2033</v>
      </c>
      <c r="O1428" s="1656">
        <v>0</v>
      </c>
      <c r="P1428" s="1655" t="s">
        <v>42</v>
      </c>
      <c r="Q1428" s="1655" t="s">
        <v>571</v>
      </c>
      <c r="S1428" s="1655" t="s">
        <v>434</v>
      </c>
      <c r="T1428" s="1655" t="s">
        <v>2033</v>
      </c>
      <c r="U1428" s="1656">
        <v>0</v>
      </c>
      <c r="V1428" s="1655" t="s">
        <v>42</v>
      </c>
      <c r="W1428" s="1655" t="s">
        <v>571</v>
      </c>
    </row>
    <row r="1429" spans="1:23">
      <c r="A1429" s="1655" t="s">
        <v>434</v>
      </c>
      <c r="B1429" s="1655" t="s">
        <v>2034</v>
      </c>
      <c r="C1429" s="1656">
        <v>0</v>
      </c>
      <c r="D1429" s="1655" t="s">
        <v>42</v>
      </c>
      <c r="E1429" s="1655" t="s">
        <v>571</v>
      </c>
      <c r="G1429" s="1655" t="s">
        <v>434</v>
      </c>
      <c r="H1429" s="1655" t="s">
        <v>2034</v>
      </c>
      <c r="I1429" s="1656">
        <v>0</v>
      </c>
      <c r="J1429" s="1655" t="s">
        <v>42</v>
      </c>
      <c r="K1429" s="1655" t="s">
        <v>571</v>
      </c>
      <c r="M1429" s="1655" t="s">
        <v>434</v>
      </c>
      <c r="N1429" s="1655" t="s">
        <v>2034</v>
      </c>
      <c r="O1429" s="1656">
        <v>0</v>
      </c>
      <c r="P1429" s="1655" t="s">
        <v>42</v>
      </c>
      <c r="Q1429" s="1655" t="s">
        <v>571</v>
      </c>
      <c r="S1429" s="1655" t="s">
        <v>434</v>
      </c>
      <c r="T1429" s="1655" t="s">
        <v>2034</v>
      </c>
      <c r="U1429" s="1656">
        <v>0</v>
      </c>
      <c r="V1429" s="1655" t="s">
        <v>42</v>
      </c>
      <c r="W1429" s="1655" t="s">
        <v>571</v>
      </c>
    </row>
    <row r="1430" spans="1:23">
      <c r="A1430" s="1655" t="s">
        <v>434</v>
      </c>
      <c r="B1430" s="1655" t="s">
        <v>2035</v>
      </c>
      <c r="C1430" s="1656">
        <v>0</v>
      </c>
      <c r="D1430" s="1655" t="s">
        <v>42</v>
      </c>
      <c r="E1430" s="1655" t="s">
        <v>571</v>
      </c>
      <c r="G1430" s="1655" t="s">
        <v>434</v>
      </c>
      <c r="H1430" s="1655" t="s">
        <v>2035</v>
      </c>
      <c r="I1430" s="1656">
        <v>0</v>
      </c>
      <c r="J1430" s="1655" t="s">
        <v>42</v>
      </c>
      <c r="K1430" s="1655" t="s">
        <v>571</v>
      </c>
      <c r="M1430" s="1655" t="s">
        <v>434</v>
      </c>
      <c r="N1430" s="1655" t="s">
        <v>2035</v>
      </c>
      <c r="O1430" s="1656">
        <v>0</v>
      </c>
      <c r="P1430" s="1655" t="s">
        <v>42</v>
      </c>
      <c r="Q1430" s="1655" t="s">
        <v>571</v>
      </c>
      <c r="S1430" s="1655" t="s">
        <v>434</v>
      </c>
      <c r="T1430" s="1655" t="s">
        <v>2035</v>
      </c>
      <c r="U1430" s="1656">
        <v>0</v>
      </c>
      <c r="V1430" s="1655" t="s">
        <v>42</v>
      </c>
      <c r="W1430" s="1655" t="s">
        <v>571</v>
      </c>
    </row>
    <row r="1431" spans="1:23">
      <c r="A1431" s="1655" t="s">
        <v>434</v>
      </c>
      <c r="B1431" s="1655" t="s">
        <v>2036</v>
      </c>
      <c r="C1431" s="1656">
        <v>0</v>
      </c>
      <c r="D1431" s="1655" t="s">
        <v>42</v>
      </c>
      <c r="E1431" s="1655" t="s">
        <v>571</v>
      </c>
      <c r="G1431" s="1655" t="s">
        <v>434</v>
      </c>
      <c r="H1431" s="1655" t="s">
        <v>2036</v>
      </c>
      <c r="I1431" s="1656">
        <v>0</v>
      </c>
      <c r="J1431" s="1655" t="s">
        <v>42</v>
      </c>
      <c r="K1431" s="1655" t="s">
        <v>571</v>
      </c>
      <c r="M1431" s="1655" t="s">
        <v>434</v>
      </c>
      <c r="N1431" s="1655" t="s">
        <v>2036</v>
      </c>
      <c r="O1431" s="1656">
        <v>0</v>
      </c>
      <c r="P1431" s="1655" t="s">
        <v>42</v>
      </c>
      <c r="Q1431" s="1655" t="s">
        <v>571</v>
      </c>
      <c r="S1431" s="1655" t="s">
        <v>434</v>
      </c>
      <c r="T1431" s="1655" t="s">
        <v>2036</v>
      </c>
      <c r="U1431" s="1656">
        <v>0</v>
      </c>
      <c r="V1431" s="1655" t="s">
        <v>42</v>
      </c>
      <c r="W1431" s="1655" t="s">
        <v>571</v>
      </c>
    </row>
    <row r="1432" spans="1:23">
      <c r="A1432" s="1655" t="s">
        <v>434</v>
      </c>
      <c r="B1432" s="1655" t="s">
        <v>2037</v>
      </c>
      <c r="C1432" s="1656">
        <v>0</v>
      </c>
      <c r="D1432" s="1655" t="s">
        <v>42</v>
      </c>
      <c r="E1432" s="1655" t="s">
        <v>571</v>
      </c>
      <c r="G1432" s="1655" t="s">
        <v>434</v>
      </c>
      <c r="H1432" s="1655" t="s">
        <v>2037</v>
      </c>
      <c r="I1432" s="1656">
        <v>0</v>
      </c>
      <c r="J1432" s="1655" t="s">
        <v>42</v>
      </c>
      <c r="K1432" s="1655" t="s">
        <v>571</v>
      </c>
      <c r="M1432" s="1655" t="s">
        <v>434</v>
      </c>
      <c r="N1432" s="1655" t="s">
        <v>2037</v>
      </c>
      <c r="O1432" s="1656">
        <v>0</v>
      </c>
      <c r="P1432" s="1655" t="s">
        <v>42</v>
      </c>
      <c r="Q1432" s="1655" t="s">
        <v>571</v>
      </c>
      <c r="S1432" s="1655" t="s">
        <v>434</v>
      </c>
      <c r="T1432" s="1655" t="s">
        <v>2037</v>
      </c>
      <c r="U1432" s="1656">
        <v>0</v>
      </c>
      <c r="V1432" s="1655" t="s">
        <v>42</v>
      </c>
      <c r="W1432" s="1655" t="s">
        <v>571</v>
      </c>
    </row>
    <row r="1433" spans="1:23">
      <c r="A1433" s="1655" t="s">
        <v>434</v>
      </c>
      <c r="B1433" s="1655" t="s">
        <v>2038</v>
      </c>
      <c r="C1433" s="1656">
        <v>0</v>
      </c>
      <c r="D1433" s="1655" t="s">
        <v>42</v>
      </c>
      <c r="E1433" s="1655" t="s">
        <v>571</v>
      </c>
      <c r="G1433" s="1655" t="s">
        <v>434</v>
      </c>
      <c r="H1433" s="1655" t="s">
        <v>2038</v>
      </c>
      <c r="I1433" s="1656">
        <v>0</v>
      </c>
      <c r="J1433" s="1655" t="s">
        <v>42</v>
      </c>
      <c r="K1433" s="1655" t="s">
        <v>571</v>
      </c>
      <c r="M1433" s="1655" t="s">
        <v>434</v>
      </c>
      <c r="N1433" s="1655" t="s">
        <v>2038</v>
      </c>
      <c r="O1433" s="1656">
        <v>0</v>
      </c>
      <c r="P1433" s="1655" t="s">
        <v>42</v>
      </c>
      <c r="Q1433" s="1655" t="s">
        <v>571</v>
      </c>
      <c r="S1433" s="1655" t="s">
        <v>434</v>
      </c>
      <c r="T1433" s="1655" t="s">
        <v>2038</v>
      </c>
      <c r="U1433" s="1656">
        <v>0</v>
      </c>
      <c r="V1433" s="1655" t="s">
        <v>42</v>
      </c>
      <c r="W1433" s="1655" t="s">
        <v>571</v>
      </c>
    </row>
    <row r="1434" spans="1:23">
      <c r="A1434" s="1655" t="s">
        <v>434</v>
      </c>
      <c r="B1434" s="1655" t="s">
        <v>2039</v>
      </c>
      <c r="C1434" s="1656">
        <v>0</v>
      </c>
      <c r="D1434" s="1655" t="s">
        <v>42</v>
      </c>
      <c r="E1434" s="1655" t="s">
        <v>571</v>
      </c>
      <c r="G1434" s="1655" t="s">
        <v>434</v>
      </c>
      <c r="H1434" s="1655" t="s">
        <v>2039</v>
      </c>
      <c r="I1434" s="1656">
        <v>0</v>
      </c>
      <c r="J1434" s="1655" t="s">
        <v>42</v>
      </c>
      <c r="K1434" s="1655" t="s">
        <v>571</v>
      </c>
      <c r="M1434" s="1655" t="s">
        <v>434</v>
      </c>
      <c r="N1434" s="1655" t="s">
        <v>2039</v>
      </c>
      <c r="O1434" s="1656">
        <v>0</v>
      </c>
      <c r="P1434" s="1655" t="s">
        <v>42</v>
      </c>
      <c r="Q1434" s="1655" t="s">
        <v>571</v>
      </c>
      <c r="S1434" s="1655" t="s">
        <v>434</v>
      </c>
      <c r="T1434" s="1655" t="s">
        <v>2039</v>
      </c>
      <c r="U1434" s="1656">
        <v>0</v>
      </c>
      <c r="V1434" s="1655" t="s">
        <v>42</v>
      </c>
      <c r="W1434" s="1655" t="s">
        <v>571</v>
      </c>
    </row>
    <row r="1435" spans="1:23">
      <c r="A1435" s="1655" t="s">
        <v>434</v>
      </c>
      <c r="B1435" s="1655" t="s">
        <v>2040</v>
      </c>
      <c r="C1435" s="1656">
        <v>0</v>
      </c>
      <c r="D1435" s="1655" t="s">
        <v>42</v>
      </c>
      <c r="E1435" s="1655" t="s">
        <v>571</v>
      </c>
      <c r="G1435" s="1655" t="s">
        <v>434</v>
      </c>
      <c r="H1435" s="1655" t="s">
        <v>2040</v>
      </c>
      <c r="I1435" s="1656">
        <v>0</v>
      </c>
      <c r="J1435" s="1655" t="s">
        <v>42</v>
      </c>
      <c r="K1435" s="1655" t="s">
        <v>571</v>
      </c>
      <c r="M1435" s="1655" t="s">
        <v>434</v>
      </c>
      <c r="N1435" s="1655" t="s">
        <v>2040</v>
      </c>
      <c r="O1435" s="1656">
        <v>0</v>
      </c>
      <c r="P1435" s="1655" t="s">
        <v>42</v>
      </c>
      <c r="Q1435" s="1655" t="s">
        <v>571</v>
      </c>
      <c r="S1435" s="1655" t="s">
        <v>434</v>
      </c>
      <c r="T1435" s="1655" t="s">
        <v>2040</v>
      </c>
      <c r="U1435" s="1656">
        <v>0</v>
      </c>
      <c r="V1435" s="1655" t="s">
        <v>42</v>
      </c>
      <c r="W1435" s="1655" t="s">
        <v>571</v>
      </c>
    </row>
    <row r="1436" spans="1:23">
      <c r="A1436" s="1655" t="s">
        <v>434</v>
      </c>
      <c r="B1436" s="1655" t="s">
        <v>2041</v>
      </c>
      <c r="C1436" s="1656">
        <v>0</v>
      </c>
      <c r="D1436" s="1655" t="s">
        <v>42</v>
      </c>
      <c r="E1436" s="1655" t="s">
        <v>571</v>
      </c>
      <c r="G1436" s="1655" t="s">
        <v>434</v>
      </c>
      <c r="H1436" s="1655" t="s">
        <v>2041</v>
      </c>
      <c r="I1436" s="1656">
        <v>0</v>
      </c>
      <c r="J1436" s="1655" t="s">
        <v>42</v>
      </c>
      <c r="K1436" s="1655" t="s">
        <v>571</v>
      </c>
      <c r="M1436" s="1655" t="s">
        <v>434</v>
      </c>
      <c r="N1436" s="1655" t="s">
        <v>2041</v>
      </c>
      <c r="O1436" s="1656">
        <v>0</v>
      </c>
      <c r="P1436" s="1655" t="s">
        <v>42</v>
      </c>
      <c r="Q1436" s="1655" t="s">
        <v>571</v>
      </c>
      <c r="S1436" s="1655" t="s">
        <v>434</v>
      </c>
      <c r="T1436" s="1655" t="s">
        <v>2041</v>
      </c>
      <c r="U1436" s="1656">
        <v>0</v>
      </c>
      <c r="V1436" s="1655" t="s">
        <v>42</v>
      </c>
      <c r="W1436" s="1655" t="s">
        <v>571</v>
      </c>
    </row>
    <row r="1437" spans="1:23">
      <c r="A1437" s="1655" t="s">
        <v>434</v>
      </c>
      <c r="B1437" s="1655" t="s">
        <v>2042</v>
      </c>
      <c r="C1437" s="1656">
        <v>0</v>
      </c>
      <c r="D1437" s="1655" t="s">
        <v>42</v>
      </c>
      <c r="E1437" s="1655" t="s">
        <v>571</v>
      </c>
      <c r="G1437" s="1655" t="s">
        <v>434</v>
      </c>
      <c r="H1437" s="1655" t="s">
        <v>2042</v>
      </c>
      <c r="I1437" s="1656">
        <v>0</v>
      </c>
      <c r="J1437" s="1655" t="s">
        <v>42</v>
      </c>
      <c r="K1437" s="1655" t="s">
        <v>571</v>
      </c>
      <c r="M1437" s="1655" t="s">
        <v>434</v>
      </c>
      <c r="N1437" s="1655" t="s">
        <v>2042</v>
      </c>
      <c r="O1437" s="1656">
        <v>0</v>
      </c>
      <c r="P1437" s="1655" t="s">
        <v>42</v>
      </c>
      <c r="Q1437" s="1655" t="s">
        <v>571</v>
      </c>
      <c r="S1437" s="1655" t="s">
        <v>434</v>
      </c>
      <c r="T1437" s="1655" t="s">
        <v>2042</v>
      </c>
      <c r="U1437" s="1656">
        <v>0</v>
      </c>
      <c r="V1437" s="1655" t="s">
        <v>42</v>
      </c>
      <c r="W1437" s="1655" t="s">
        <v>571</v>
      </c>
    </row>
    <row r="1438" spans="1:23">
      <c r="A1438" s="1655" t="s">
        <v>434</v>
      </c>
      <c r="B1438" s="1655" t="s">
        <v>2043</v>
      </c>
      <c r="C1438" s="1656">
        <v>0</v>
      </c>
      <c r="D1438" s="1655" t="s">
        <v>42</v>
      </c>
      <c r="E1438" s="1655" t="s">
        <v>571</v>
      </c>
      <c r="G1438" s="1655" t="s">
        <v>434</v>
      </c>
      <c r="H1438" s="1655" t="s">
        <v>2043</v>
      </c>
      <c r="I1438" s="1656">
        <v>0</v>
      </c>
      <c r="J1438" s="1655" t="s">
        <v>42</v>
      </c>
      <c r="K1438" s="1655" t="s">
        <v>571</v>
      </c>
      <c r="M1438" s="1655" t="s">
        <v>434</v>
      </c>
      <c r="N1438" s="1655" t="s">
        <v>2043</v>
      </c>
      <c r="O1438" s="1656">
        <v>0</v>
      </c>
      <c r="P1438" s="1655" t="s">
        <v>42</v>
      </c>
      <c r="Q1438" s="1655" t="s">
        <v>571</v>
      </c>
      <c r="S1438" s="1655" t="s">
        <v>434</v>
      </c>
      <c r="T1438" s="1655" t="s">
        <v>2043</v>
      </c>
      <c r="U1438" s="1656">
        <v>0</v>
      </c>
      <c r="V1438" s="1655" t="s">
        <v>42</v>
      </c>
      <c r="W1438" s="1655" t="s">
        <v>571</v>
      </c>
    </row>
    <row r="1439" spans="1:23">
      <c r="A1439" s="1655" t="s">
        <v>434</v>
      </c>
      <c r="B1439" s="1655" t="s">
        <v>2044</v>
      </c>
      <c r="C1439" s="1656">
        <v>0</v>
      </c>
      <c r="D1439" s="1655" t="s">
        <v>42</v>
      </c>
      <c r="E1439" s="1655" t="s">
        <v>571</v>
      </c>
      <c r="G1439" s="1655" t="s">
        <v>434</v>
      </c>
      <c r="H1439" s="1655" t="s">
        <v>2044</v>
      </c>
      <c r="I1439" s="1656">
        <v>0</v>
      </c>
      <c r="J1439" s="1655" t="s">
        <v>42</v>
      </c>
      <c r="K1439" s="1655" t="s">
        <v>571</v>
      </c>
      <c r="M1439" s="1655" t="s">
        <v>434</v>
      </c>
      <c r="N1439" s="1655" t="s">
        <v>2044</v>
      </c>
      <c r="O1439" s="1656">
        <v>0</v>
      </c>
      <c r="P1439" s="1655" t="s">
        <v>42</v>
      </c>
      <c r="Q1439" s="1655" t="s">
        <v>571</v>
      </c>
      <c r="S1439" s="1655" t="s">
        <v>434</v>
      </c>
      <c r="T1439" s="1655" t="s">
        <v>2044</v>
      </c>
      <c r="U1439" s="1656">
        <v>0</v>
      </c>
      <c r="V1439" s="1655" t="s">
        <v>42</v>
      </c>
      <c r="W1439" s="1655" t="s">
        <v>571</v>
      </c>
    </row>
    <row r="1440" spans="1:23">
      <c r="A1440" s="1655" t="s">
        <v>434</v>
      </c>
      <c r="B1440" s="1655" t="s">
        <v>2045</v>
      </c>
      <c r="C1440" s="1656">
        <v>0</v>
      </c>
      <c r="D1440" s="1655" t="s">
        <v>42</v>
      </c>
      <c r="E1440" s="1655" t="s">
        <v>571</v>
      </c>
      <c r="G1440" s="1655" t="s">
        <v>434</v>
      </c>
      <c r="H1440" s="1655" t="s">
        <v>2045</v>
      </c>
      <c r="I1440" s="1656">
        <v>0</v>
      </c>
      <c r="J1440" s="1655" t="s">
        <v>42</v>
      </c>
      <c r="K1440" s="1655" t="s">
        <v>571</v>
      </c>
      <c r="M1440" s="1655" t="s">
        <v>434</v>
      </c>
      <c r="N1440" s="1655" t="s">
        <v>2045</v>
      </c>
      <c r="O1440" s="1656">
        <v>0</v>
      </c>
      <c r="P1440" s="1655" t="s">
        <v>42</v>
      </c>
      <c r="Q1440" s="1655" t="s">
        <v>571</v>
      </c>
      <c r="S1440" s="1655" t="s">
        <v>434</v>
      </c>
      <c r="T1440" s="1655" t="s">
        <v>2045</v>
      </c>
      <c r="U1440" s="1656">
        <v>0</v>
      </c>
      <c r="V1440" s="1655" t="s">
        <v>42</v>
      </c>
      <c r="W1440" s="1655" t="s">
        <v>571</v>
      </c>
    </row>
    <row r="1441" spans="1:23">
      <c r="A1441" s="1655" t="s">
        <v>434</v>
      </c>
      <c r="B1441" s="1655" t="s">
        <v>2046</v>
      </c>
      <c r="C1441" s="1656">
        <v>0</v>
      </c>
      <c r="D1441" s="1655" t="s">
        <v>42</v>
      </c>
      <c r="E1441" s="1655" t="s">
        <v>571</v>
      </c>
      <c r="G1441" s="1655" t="s">
        <v>434</v>
      </c>
      <c r="H1441" s="1655" t="s">
        <v>2046</v>
      </c>
      <c r="I1441" s="1656">
        <v>0</v>
      </c>
      <c r="J1441" s="1655" t="s">
        <v>42</v>
      </c>
      <c r="K1441" s="1655" t="s">
        <v>571</v>
      </c>
      <c r="M1441" s="1655" t="s">
        <v>434</v>
      </c>
      <c r="N1441" s="1655" t="s">
        <v>2046</v>
      </c>
      <c r="O1441" s="1656">
        <v>0</v>
      </c>
      <c r="P1441" s="1655" t="s">
        <v>42</v>
      </c>
      <c r="Q1441" s="1655" t="s">
        <v>571</v>
      </c>
      <c r="S1441" s="1655" t="s">
        <v>434</v>
      </c>
      <c r="T1441" s="1655" t="s">
        <v>2046</v>
      </c>
      <c r="U1441" s="1656">
        <v>0</v>
      </c>
      <c r="V1441" s="1655" t="s">
        <v>42</v>
      </c>
      <c r="W1441" s="1655" t="s">
        <v>571</v>
      </c>
    </row>
    <row r="1442" spans="1:23">
      <c r="A1442" s="1655" t="s">
        <v>434</v>
      </c>
      <c r="B1442" s="1655" t="s">
        <v>2047</v>
      </c>
      <c r="C1442" s="1656">
        <v>0</v>
      </c>
      <c r="D1442" s="1655" t="s">
        <v>42</v>
      </c>
      <c r="E1442" s="1655" t="s">
        <v>571</v>
      </c>
      <c r="G1442" s="1655" t="s">
        <v>434</v>
      </c>
      <c r="H1442" s="1655" t="s">
        <v>2047</v>
      </c>
      <c r="I1442" s="1656">
        <v>0</v>
      </c>
      <c r="J1442" s="1655" t="s">
        <v>42</v>
      </c>
      <c r="K1442" s="1655" t="s">
        <v>571</v>
      </c>
      <c r="M1442" s="1655" t="s">
        <v>434</v>
      </c>
      <c r="N1442" s="1655" t="s">
        <v>2047</v>
      </c>
      <c r="O1442" s="1656">
        <v>0</v>
      </c>
      <c r="P1442" s="1655" t="s">
        <v>42</v>
      </c>
      <c r="Q1442" s="1655" t="s">
        <v>571</v>
      </c>
      <c r="S1442" s="1655" t="s">
        <v>434</v>
      </c>
      <c r="T1442" s="1655" t="s">
        <v>2047</v>
      </c>
      <c r="U1442" s="1656">
        <v>0</v>
      </c>
      <c r="V1442" s="1655" t="s">
        <v>42</v>
      </c>
      <c r="W1442" s="1655" t="s">
        <v>571</v>
      </c>
    </row>
    <row r="1443" spans="1:23">
      <c r="A1443" s="1655" t="s">
        <v>434</v>
      </c>
      <c r="B1443" s="1655" t="s">
        <v>2048</v>
      </c>
      <c r="C1443" s="1656">
        <v>0</v>
      </c>
      <c r="D1443" s="1655" t="s">
        <v>42</v>
      </c>
      <c r="E1443" s="1655" t="s">
        <v>571</v>
      </c>
      <c r="G1443" s="1655" t="s">
        <v>434</v>
      </c>
      <c r="H1443" s="1655" t="s">
        <v>2048</v>
      </c>
      <c r="I1443" s="1656">
        <v>0</v>
      </c>
      <c r="J1443" s="1655" t="s">
        <v>42</v>
      </c>
      <c r="K1443" s="1655" t="s">
        <v>571</v>
      </c>
      <c r="M1443" s="1655" t="s">
        <v>434</v>
      </c>
      <c r="N1443" s="1655" t="s">
        <v>2048</v>
      </c>
      <c r="O1443" s="1656">
        <v>0</v>
      </c>
      <c r="P1443" s="1655" t="s">
        <v>42</v>
      </c>
      <c r="Q1443" s="1655" t="s">
        <v>571</v>
      </c>
      <c r="S1443" s="1655" t="s">
        <v>434</v>
      </c>
      <c r="T1443" s="1655" t="s">
        <v>2048</v>
      </c>
      <c r="U1443" s="1656">
        <v>0</v>
      </c>
      <c r="V1443" s="1655" t="s">
        <v>42</v>
      </c>
      <c r="W1443" s="1655" t="s">
        <v>571</v>
      </c>
    </row>
    <row r="1444" spans="1:23">
      <c r="A1444" s="1655" t="s">
        <v>434</v>
      </c>
      <c r="B1444" s="1655" t="s">
        <v>2049</v>
      </c>
      <c r="C1444" s="1656">
        <v>0</v>
      </c>
      <c r="D1444" s="1655" t="s">
        <v>42</v>
      </c>
      <c r="E1444" s="1655" t="s">
        <v>571</v>
      </c>
      <c r="G1444" s="1655" t="s">
        <v>434</v>
      </c>
      <c r="H1444" s="1655" t="s">
        <v>2049</v>
      </c>
      <c r="I1444" s="1656">
        <v>0</v>
      </c>
      <c r="J1444" s="1655" t="s">
        <v>42</v>
      </c>
      <c r="K1444" s="1655" t="s">
        <v>571</v>
      </c>
      <c r="M1444" s="1655" t="s">
        <v>434</v>
      </c>
      <c r="N1444" s="1655" t="s">
        <v>2049</v>
      </c>
      <c r="O1444" s="1656">
        <v>0</v>
      </c>
      <c r="P1444" s="1655" t="s">
        <v>42</v>
      </c>
      <c r="Q1444" s="1655" t="s">
        <v>571</v>
      </c>
      <c r="S1444" s="1655" t="s">
        <v>434</v>
      </c>
      <c r="T1444" s="1655" t="s">
        <v>2049</v>
      </c>
      <c r="U1444" s="1656">
        <v>0</v>
      </c>
      <c r="V1444" s="1655" t="s">
        <v>42</v>
      </c>
      <c r="W1444" s="1655" t="s">
        <v>571</v>
      </c>
    </row>
    <row r="1445" spans="1:23">
      <c r="A1445" s="1655" t="s">
        <v>434</v>
      </c>
      <c r="B1445" s="1655" t="s">
        <v>2050</v>
      </c>
      <c r="C1445" s="1656">
        <v>0</v>
      </c>
      <c r="D1445" s="1655" t="s">
        <v>42</v>
      </c>
      <c r="E1445" s="1655" t="s">
        <v>571</v>
      </c>
      <c r="G1445" s="1655" t="s">
        <v>434</v>
      </c>
      <c r="H1445" s="1655" t="s">
        <v>2050</v>
      </c>
      <c r="I1445" s="1656">
        <v>0</v>
      </c>
      <c r="J1445" s="1655" t="s">
        <v>42</v>
      </c>
      <c r="K1445" s="1655" t="s">
        <v>571</v>
      </c>
      <c r="M1445" s="1655" t="s">
        <v>434</v>
      </c>
      <c r="N1445" s="1655" t="s">
        <v>2050</v>
      </c>
      <c r="O1445" s="1656">
        <v>0</v>
      </c>
      <c r="P1445" s="1655" t="s">
        <v>42</v>
      </c>
      <c r="Q1445" s="1655" t="s">
        <v>571</v>
      </c>
      <c r="S1445" s="1655" t="s">
        <v>434</v>
      </c>
      <c r="T1445" s="1655" t="s">
        <v>2050</v>
      </c>
      <c r="U1445" s="1656">
        <v>0</v>
      </c>
      <c r="V1445" s="1655" t="s">
        <v>42</v>
      </c>
      <c r="W1445" s="1655" t="s">
        <v>571</v>
      </c>
    </row>
    <row r="1446" spans="1:23">
      <c r="A1446" s="1655" t="s">
        <v>434</v>
      </c>
      <c r="B1446" s="1655" t="s">
        <v>2051</v>
      </c>
      <c r="C1446" s="1656">
        <v>0</v>
      </c>
      <c r="D1446" s="1655" t="s">
        <v>42</v>
      </c>
      <c r="E1446" s="1655" t="s">
        <v>571</v>
      </c>
      <c r="G1446" s="1655" t="s">
        <v>434</v>
      </c>
      <c r="H1446" s="1655" t="s">
        <v>2051</v>
      </c>
      <c r="I1446" s="1656">
        <v>0</v>
      </c>
      <c r="J1446" s="1655" t="s">
        <v>42</v>
      </c>
      <c r="K1446" s="1655" t="s">
        <v>571</v>
      </c>
      <c r="M1446" s="1655" t="s">
        <v>434</v>
      </c>
      <c r="N1446" s="1655" t="s">
        <v>2051</v>
      </c>
      <c r="O1446" s="1656">
        <v>0</v>
      </c>
      <c r="P1446" s="1655" t="s">
        <v>42</v>
      </c>
      <c r="Q1446" s="1655" t="s">
        <v>571</v>
      </c>
      <c r="S1446" s="1655" t="s">
        <v>434</v>
      </c>
      <c r="T1446" s="1655" t="s">
        <v>2051</v>
      </c>
      <c r="U1446" s="1656">
        <v>0</v>
      </c>
      <c r="V1446" s="1655" t="s">
        <v>42</v>
      </c>
      <c r="W1446" s="1655" t="s">
        <v>571</v>
      </c>
    </row>
    <row r="1447" spans="1:23">
      <c r="A1447" s="1655" t="s">
        <v>434</v>
      </c>
      <c r="B1447" s="1655" t="s">
        <v>2052</v>
      </c>
      <c r="C1447" s="1656">
        <v>0</v>
      </c>
      <c r="D1447" s="1655" t="s">
        <v>42</v>
      </c>
      <c r="E1447" s="1655" t="s">
        <v>571</v>
      </c>
      <c r="G1447" s="1655" t="s">
        <v>434</v>
      </c>
      <c r="H1447" s="1655" t="s">
        <v>2052</v>
      </c>
      <c r="I1447" s="1656">
        <v>0</v>
      </c>
      <c r="J1447" s="1655" t="s">
        <v>42</v>
      </c>
      <c r="K1447" s="1655" t="s">
        <v>571</v>
      </c>
      <c r="M1447" s="1655" t="s">
        <v>434</v>
      </c>
      <c r="N1447" s="1655" t="s">
        <v>2052</v>
      </c>
      <c r="O1447" s="1656">
        <v>0</v>
      </c>
      <c r="P1447" s="1655" t="s">
        <v>42</v>
      </c>
      <c r="Q1447" s="1655" t="s">
        <v>571</v>
      </c>
      <c r="S1447" s="1655" t="s">
        <v>434</v>
      </c>
      <c r="T1447" s="1655" t="s">
        <v>2052</v>
      </c>
      <c r="U1447" s="1656">
        <v>0</v>
      </c>
      <c r="V1447" s="1655" t="s">
        <v>42</v>
      </c>
      <c r="W1447" s="1655" t="s">
        <v>571</v>
      </c>
    </row>
    <row r="1448" spans="1:23">
      <c r="A1448" s="1655" t="s">
        <v>434</v>
      </c>
      <c r="B1448" s="1655" t="s">
        <v>2053</v>
      </c>
      <c r="C1448" s="1656">
        <v>0</v>
      </c>
      <c r="D1448" s="1655" t="s">
        <v>42</v>
      </c>
      <c r="E1448" s="1655" t="s">
        <v>571</v>
      </c>
      <c r="G1448" s="1655" t="s">
        <v>434</v>
      </c>
      <c r="H1448" s="1655" t="s">
        <v>2053</v>
      </c>
      <c r="I1448" s="1656">
        <v>0</v>
      </c>
      <c r="J1448" s="1655" t="s">
        <v>42</v>
      </c>
      <c r="K1448" s="1655" t="s">
        <v>571</v>
      </c>
      <c r="M1448" s="1655" t="s">
        <v>434</v>
      </c>
      <c r="N1448" s="1655" t="s">
        <v>2053</v>
      </c>
      <c r="O1448" s="1656">
        <v>0</v>
      </c>
      <c r="P1448" s="1655" t="s">
        <v>42</v>
      </c>
      <c r="Q1448" s="1655" t="s">
        <v>571</v>
      </c>
      <c r="S1448" s="1655" t="s">
        <v>434</v>
      </c>
      <c r="T1448" s="1655" t="s">
        <v>2053</v>
      </c>
      <c r="U1448" s="1656">
        <v>0</v>
      </c>
      <c r="V1448" s="1655" t="s">
        <v>42</v>
      </c>
      <c r="W1448" s="1655" t="s">
        <v>571</v>
      </c>
    </row>
    <row r="1449" spans="1:23">
      <c r="A1449" s="1655" t="s">
        <v>434</v>
      </c>
      <c r="B1449" s="1655" t="s">
        <v>2054</v>
      </c>
      <c r="C1449" s="1656">
        <v>0</v>
      </c>
      <c r="D1449" s="1655" t="s">
        <v>42</v>
      </c>
      <c r="E1449" s="1655" t="s">
        <v>571</v>
      </c>
      <c r="G1449" s="1655" t="s">
        <v>434</v>
      </c>
      <c r="H1449" s="1655" t="s">
        <v>2054</v>
      </c>
      <c r="I1449" s="1656">
        <v>0</v>
      </c>
      <c r="J1449" s="1655" t="s">
        <v>42</v>
      </c>
      <c r="K1449" s="1655" t="s">
        <v>571</v>
      </c>
      <c r="M1449" s="1655" t="s">
        <v>434</v>
      </c>
      <c r="N1449" s="1655" t="s">
        <v>2054</v>
      </c>
      <c r="O1449" s="1656">
        <v>0</v>
      </c>
      <c r="P1449" s="1655" t="s">
        <v>42</v>
      </c>
      <c r="Q1449" s="1655" t="s">
        <v>571</v>
      </c>
      <c r="S1449" s="1655" t="s">
        <v>434</v>
      </c>
      <c r="T1449" s="1655" t="s">
        <v>2054</v>
      </c>
      <c r="U1449" s="1656">
        <v>0</v>
      </c>
      <c r="V1449" s="1655" t="s">
        <v>42</v>
      </c>
      <c r="W1449" s="1655" t="s">
        <v>571</v>
      </c>
    </row>
    <row r="1450" spans="1:23">
      <c r="A1450" s="1655" t="s">
        <v>434</v>
      </c>
      <c r="B1450" s="1655" t="s">
        <v>2055</v>
      </c>
      <c r="C1450" s="1656">
        <v>0</v>
      </c>
      <c r="D1450" s="1655" t="s">
        <v>42</v>
      </c>
      <c r="E1450" s="1655" t="s">
        <v>571</v>
      </c>
      <c r="G1450" s="1655" t="s">
        <v>434</v>
      </c>
      <c r="H1450" s="1655" t="s">
        <v>2055</v>
      </c>
      <c r="I1450" s="1656">
        <v>0</v>
      </c>
      <c r="J1450" s="1655" t="s">
        <v>42</v>
      </c>
      <c r="K1450" s="1655" t="s">
        <v>571</v>
      </c>
      <c r="M1450" s="1655" t="s">
        <v>434</v>
      </c>
      <c r="N1450" s="1655" t="s">
        <v>2055</v>
      </c>
      <c r="O1450" s="1656">
        <v>0</v>
      </c>
      <c r="P1450" s="1655" t="s">
        <v>42</v>
      </c>
      <c r="Q1450" s="1655" t="s">
        <v>571</v>
      </c>
      <c r="S1450" s="1655" t="s">
        <v>434</v>
      </c>
      <c r="T1450" s="1655" t="s">
        <v>2055</v>
      </c>
      <c r="U1450" s="1656">
        <v>0</v>
      </c>
      <c r="V1450" s="1655" t="s">
        <v>42</v>
      </c>
      <c r="W1450" s="1655" t="s">
        <v>571</v>
      </c>
    </row>
    <row r="1451" spans="1:23">
      <c r="A1451" s="1655" t="s">
        <v>434</v>
      </c>
      <c r="B1451" s="1655" t="s">
        <v>2056</v>
      </c>
      <c r="C1451" s="1656">
        <v>0</v>
      </c>
      <c r="D1451" s="1655" t="s">
        <v>42</v>
      </c>
      <c r="E1451" s="1655" t="s">
        <v>571</v>
      </c>
      <c r="G1451" s="1655" t="s">
        <v>434</v>
      </c>
      <c r="H1451" s="1655" t="s">
        <v>2056</v>
      </c>
      <c r="I1451" s="1656">
        <v>0</v>
      </c>
      <c r="J1451" s="1655" t="s">
        <v>42</v>
      </c>
      <c r="K1451" s="1655" t="s">
        <v>571</v>
      </c>
      <c r="M1451" s="1655" t="s">
        <v>434</v>
      </c>
      <c r="N1451" s="1655" t="s">
        <v>2056</v>
      </c>
      <c r="O1451" s="1656">
        <v>0</v>
      </c>
      <c r="P1451" s="1655" t="s">
        <v>42</v>
      </c>
      <c r="Q1451" s="1655" t="s">
        <v>571</v>
      </c>
      <c r="S1451" s="1655" t="s">
        <v>434</v>
      </c>
      <c r="T1451" s="1655" t="s">
        <v>2056</v>
      </c>
      <c r="U1451" s="1656">
        <v>0</v>
      </c>
      <c r="V1451" s="1655" t="s">
        <v>42</v>
      </c>
      <c r="W1451" s="1655" t="s">
        <v>571</v>
      </c>
    </row>
    <row r="1452" spans="1:23">
      <c r="A1452" s="1655" t="s">
        <v>434</v>
      </c>
      <c r="B1452" s="1655" t="s">
        <v>2057</v>
      </c>
      <c r="C1452" s="1656">
        <v>0</v>
      </c>
      <c r="D1452" s="1655" t="s">
        <v>42</v>
      </c>
      <c r="E1452" s="1655" t="s">
        <v>571</v>
      </c>
      <c r="G1452" s="1655" t="s">
        <v>434</v>
      </c>
      <c r="H1452" s="1655" t="s">
        <v>2057</v>
      </c>
      <c r="I1452" s="1656">
        <v>0</v>
      </c>
      <c r="J1452" s="1655" t="s">
        <v>42</v>
      </c>
      <c r="K1452" s="1655" t="s">
        <v>571</v>
      </c>
      <c r="M1452" s="1655" t="s">
        <v>434</v>
      </c>
      <c r="N1452" s="1655" t="s">
        <v>2057</v>
      </c>
      <c r="O1452" s="1656">
        <v>0</v>
      </c>
      <c r="P1452" s="1655" t="s">
        <v>42</v>
      </c>
      <c r="Q1452" s="1655" t="s">
        <v>571</v>
      </c>
      <c r="S1452" s="1655" t="s">
        <v>434</v>
      </c>
      <c r="T1452" s="1655" t="s">
        <v>2057</v>
      </c>
      <c r="U1452" s="1656">
        <v>0</v>
      </c>
      <c r="V1452" s="1655" t="s">
        <v>42</v>
      </c>
      <c r="W1452" s="1655" t="s">
        <v>571</v>
      </c>
    </row>
    <row r="1453" spans="1:23">
      <c r="A1453" s="1655" t="s">
        <v>434</v>
      </c>
      <c r="B1453" s="1655" t="s">
        <v>2058</v>
      </c>
      <c r="C1453" s="1656">
        <v>0</v>
      </c>
      <c r="D1453" s="1655" t="s">
        <v>42</v>
      </c>
      <c r="E1453" s="1655" t="s">
        <v>571</v>
      </c>
      <c r="G1453" s="1655" t="s">
        <v>434</v>
      </c>
      <c r="H1453" s="1655" t="s">
        <v>2058</v>
      </c>
      <c r="I1453" s="1656">
        <v>0</v>
      </c>
      <c r="J1453" s="1655" t="s">
        <v>42</v>
      </c>
      <c r="K1453" s="1655" t="s">
        <v>571</v>
      </c>
      <c r="M1453" s="1655" t="s">
        <v>434</v>
      </c>
      <c r="N1453" s="1655" t="s">
        <v>2058</v>
      </c>
      <c r="O1453" s="1656">
        <v>0</v>
      </c>
      <c r="P1453" s="1655" t="s">
        <v>42</v>
      </c>
      <c r="Q1453" s="1655" t="s">
        <v>571</v>
      </c>
      <c r="S1453" s="1655" t="s">
        <v>434</v>
      </c>
      <c r="T1453" s="1655" t="s">
        <v>2058</v>
      </c>
      <c r="U1453" s="1656">
        <v>0</v>
      </c>
      <c r="V1453" s="1655" t="s">
        <v>42</v>
      </c>
      <c r="W1453" s="1655" t="s">
        <v>571</v>
      </c>
    </row>
    <row r="1454" spans="1:23">
      <c r="A1454" s="1655" t="s">
        <v>434</v>
      </c>
      <c r="B1454" s="1655" t="s">
        <v>1095</v>
      </c>
      <c r="C1454" s="1656" t="s">
        <v>570</v>
      </c>
      <c r="D1454" s="1655" t="s">
        <v>43</v>
      </c>
      <c r="E1454" s="1655" t="s">
        <v>569</v>
      </c>
      <c r="G1454" s="1655" t="s">
        <v>434</v>
      </c>
      <c r="H1454" s="1655" t="s">
        <v>1095</v>
      </c>
      <c r="I1454" s="1656" t="s">
        <v>570</v>
      </c>
      <c r="J1454" s="1655" t="s">
        <v>43</v>
      </c>
      <c r="K1454" s="1655" t="s">
        <v>569</v>
      </c>
      <c r="M1454" s="1655" t="s">
        <v>434</v>
      </c>
      <c r="N1454" s="1655" t="s">
        <v>1095</v>
      </c>
      <c r="O1454" s="1656" t="s">
        <v>570</v>
      </c>
      <c r="P1454" s="1655" t="s">
        <v>43</v>
      </c>
      <c r="Q1454" s="1655" t="s">
        <v>569</v>
      </c>
      <c r="S1454" s="1655" t="s">
        <v>434</v>
      </c>
      <c r="T1454" s="1655" t="s">
        <v>1095</v>
      </c>
      <c r="U1454" s="1656" t="s">
        <v>570</v>
      </c>
      <c r="V1454" s="1655" t="s">
        <v>43</v>
      </c>
      <c r="W1454" s="1655" t="s">
        <v>569</v>
      </c>
    </row>
    <row r="1455" spans="1:23">
      <c r="A1455" s="1655" t="s">
        <v>434</v>
      </c>
      <c r="B1455" s="1655" t="s">
        <v>1096</v>
      </c>
      <c r="C1455" s="1656" t="s">
        <v>570</v>
      </c>
      <c r="D1455" s="1655" t="s">
        <v>43</v>
      </c>
      <c r="E1455" s="1655" t="s">
        <v>569</v>
      </c>
      <c r="G1455" s="1655" t="s">
        <v>434</v>
      </c>
      <c r="H1455" s="1655" t="s">
        <v>1096</v>
      </c>
      <c r="I1455" s="1656" t="s">
        <v>570</v>
      </c>
      <c r="J1455" s="1655" t="s">
        <v>43</v>
      </c>
      <c r="K1455" s="1655" t="s">
        <v>569</v>
      </c>
      <c r="M1455" s="1655" t="s">
        <v>434</v>
      </c>
      <c r="N1455" s="1655" t="s">
        <v>1096</v>
      </c>
      <c r="O1455" s="1656" t="s">
        <v>570</v>
      </c>
      <c r="P1455" s="1655" t="s">
        <v>43</v>
      </c>
      <c r="Q1455" s="1655" t="s">
        <v>569</v>
      </c>
      <c r="S1455" s="1655" t="s">
        <v>434</v>
      </c>
      <c r="T1455" s="1655" t="s">
        <v>1096</v>
      </c>
      <c r="U1455" s="1656" t="s">
        <v>2390</v>
      </c>
      <c r="V1455" s="1655" t="s">
        <v>42</v>
      </c>
      <c r="W1455" s="1655" t="s">
        <v>569</v>
      </c>
    </row>
    <row r="1456" spans="1:23">
      <c r="A1456" s="1655" t="s">
        <v>434</v>
      </c>
      <c r="B1456" s="1655" t="s">
        <v>1097</v>
      </c>
      <c r="C1456" s="1656" t="s">
        <v>570</v>
      </c>
      <c r="D1456" s="1655" t="s">
        <v>43</v>
      </c>
      <c r="E1456" s="1655" t="s">
        <v>569</v>
      </c>
      <c r="G1456" s="1655" t="s">
        <v>434</v>
      </c>
      <c r="H1456" s="1655" t="s">
        <v>1097</v>
      </c>
      <c r="I1456" s="1656" t="s">
        <v>570</v>
      </c>
      <c r="J1456" s="1655" t="s">
        <v>43</v>
      </c>
      <c r="K1456" s="1655" t="s">
        <v>569</v>
      </c>
      <c r="M1456" s="1655" t="s">
        <v>434</v>
      </c>
      <c r="N1456" s="1655" t="s">
        <v>1097</v>
      </c>
      <c r="O1456" s="1656" t="s">
        <v>570</v>
      </c>
      <c r="P1456" s="1655" t="s">
        <v>43</v>
      </c>
      <c r="Q1456" s="1655" t="s">
        <v>569</v>
      </c>
      <c r="S1456" s="1655" t="s">
        <v>434</v>
      </c>
      <c r="T1456" s="1655" t="s">
        <v>1097</v>
      </c>
      <c r="U1456" s="1656" t="s">
        <v>2391</v>
      </c>
      <c r="V1456" s="1655" t="s">
        <v>42</v>
      </c>
      <c r="W1456" s="1655" t="s">
        <v>569</v>
      </c>
    </row>
    <row r="1457" spans="1:23">
      <c r="A1457" s="1655" t="s">
        <v>434</v>
      </c>
      <c r="B1457" s="1655" t="s">
        <v>1098</v>
      </c>
      <c r="C1457" s="1656" t="s">
        <v>570</v>
      </c>
      <c r="D1457" s="1655" t="s">
        <v>43</v>
      </c>
      <c r="E1457" s="1655" t="s">
        <v>569</v>
      </c>
      <c r="G1457" s="1655" t="s">
        <v>434</v>
      </c>
      <c r="H1457" s="1655" t="s">
        <v>1098</v>
      </c>
      <c r="I1457" s="1655" t="s">
        <v>570</v>
      </c>
      <c r="J1457" s="1655" t="s">
        <v>43</v>
      </c>
      <c r="K1457" s="1655" t="s">
        <v>569</v>
      </c>
      <c r="M1457" s="1655" t="s">
        <v>434</v>
      </c>
      <c r="N1457" s="1655" t="s">
        <v>1098</v>
      </c>
      <c r="O1457" s="1655" t="s">
        <v>570</v>
      </c>
      <c r="P1457" s="1655" t="s">
        <v>43</v>
      </c>
      <c r="Q1457" s="1655" t="s">
        <v>569</v>
      </c>
      <c r="S1457" s="1655" t="s">
        <v>434</v>
      </c>
      <c r="T1457" s="1655" t="s">
        <v>1098</v>
      </c>
      <c r="U1457" s="1655" t="s">
        <v>2390</v>
      </c>
      <c r="V1457" s="1655" t="s">
        <v>42</v>
      </c>
      <c r="W1457" s="1655" t="s">
        <v>569</v>
      </c>
    </row>
    <row r="1458" spans="1:23">
      <c r="A1458" s="1655" t="s">
        <v>434</v>
      </c>
      <c r="B1458" s="1655" t="s">
        <v>1099</v>
      </c>
      <c r="C1458" s="1656" t="s">
        <v>570</v>
      </c>
      <c r="D1458" s="1655" t="s">
        <v>43</v>
      </c>
      <c r="E1458" s="1655" t="s">
        <v>569</v>
      </c>
      <c r="G1458" s="1655" t="s">
        <v>434</v>
      </c>
      <c r="H1458" s="1655" t="s">
        <v>1099</v>
      </c>
      <c r="I1458" s="1655" t="s">
        <v>570</v>
      </c>
      <c r="J1458" s="1655" t="s">
        <v>43</v>
      </c>
      <c r="K1458" s="1655" t="s">
        <v>569</v>
      </c>
      <c r="M1458" s="1655" t="s">
        <v>434</v>
      </c>
      <c r="N1458" s="1655" t="s">
        <v>1099</v>
      </c>
      <c r="O1458" s="1655" t="s">
        <v>570</v>
      </c>
      <c r="P1458" s="1655" t="s">
        <v>43</v>
      </c>
      <c r="Q1458" s="1655" t="s">
        <v>569</v>
      </c>
      <c r="S1458" s="1655" t="s">
        <v>434</v>
      </c>
      <c r="T1458" s="1655" t="s">
        <v>1099</v>
      </c>
      <c r="U1458" s="1655" t="s">
        <v>2390</v>
      </c>
      <c r="V1458" s="1655" t="s">
        <v>42</v>
      </c>
      <c r="W1458" s="1655" t="s">
        <v>569</v>
      </c>
    </row>
    <row r="1459" spans="1:23">
      <c r="A1459" s="1655" t="s">
        <v>434</v>
      </c>
      <c r="B1459" s="1655" t="s">
        <v>1100</v>
      </c>
      <c r="C1459" s="1656" t="s">
        <v>570</v>
      </c>
      <c r="D1459" s="1655" t="s">
        <v>43</v>
      </c>
      <c r="E1459" s="1655" t="s">
        <v>569</v>
      </c>
      <c r="G1459" s="1655" t="s">
        <v>434</v>
      </c>
      <c r="H1459" s="1655" t="s">
        <v>1100</v>
      </c>
      <c r="I1459" s="1655" t="s">
        <v>570</v>
      </c>
      <c r="J1459" s="1655" t="s">
        <v>43</v>
      </c>
      <c r="K1459" s="1655" t="s">
        <v>569</v>
      </c>
      <c r="M1459" s="1655" t="s">
        <v>434</v>
      </c>
      <c r="N1459" s="1655" t="s">
        <v>1100</v>
      </c>
      <c r="O1459" s="1655" t="s">
        <v>570</v>
      </c>
      <c r="P1459" s="1655" t="s">
        <v>43</v>
      </c>
      <c r="Q1459" s="1655" t="s">
        <v>569</v>
      </c>
      <c r="S1459" s="1655" t="s">
        <v>434</v>
      </c>
      <c r="T1459" s="1655" t="s">
        <v>1100</v>
      </c>
      <c r="U1459" s="1655" t="s">
        <v>570</v>
      </c>
      <c r="V1459" s="1655" t="s">
        <v>43</v>
      </c>
      <c r="W1459" s="1655" t="s">
        <v>569</v>
      </c>
    </row>
    <row r="1460" spans="1:23">
      <c r="A1460" s="1655" t="s">
        <v>434</v>
      </c>
      <c r="B1460" s="1655" t="s">
        <v>1101</v>
      </c>
      <c r="C1460" s="1656" t="s">
        <v>570</v>
      </c>
      <c r="D1460" s="1655" t="s">
        <v>43</v>
      </c>
      <c r="E1460" s="1655" t="s">
        <v>569</v>
      </c>
      <c r="G1460" s="1655" t="s">
        <v>434</v>
      </c>
      <c r="H1460" s="1655" t="s">
        <v>1101</v>
      </c>
      <c r="I1460" s="1655" t="s">
        <v>570</v>
      </c>
      <c r="J1460" s="1655" t="s">
        <v>43</v>
      </c>
      <c r="K1460" s="1655" t="s">
        <v>569</v>
      </c>
      <c r="M1460" s="1655" t="s">
        <v>434</v>
      </c>
      <c r="N1460" s="1655" t="s">
        <v>1101</v>
      </c>
      <c r="O1460" s="1655" t="s">
        <v>570</v>
      </c>
      <c r="P1460" s="1655" t="s">
        <v>43</v>
      </c>
      <c r="Q1460" s="1655" t="s">
        <v>569</v>
      </c>
      <c r="S1460" s="1655" t="s">
        <v>434</v>
      </c>
      <c r="T1460" s="1655" t="s">
        <v>1101</v>
      </c>
      <c r="U1460" s="1655" t="s">
        <v>570</v>
      </c>
      <c r="V1460" s="1655" t="s">
        <v>43</v>
      </c>
      <c r="W1460" s="1655" t="s">
        <v>569</v>
      </c>
    </row>
    <row r="1461" spans="1:23">
      <c r="A1461" s="1655" t="s">
        <v>434</v>
      </c>
      <c r="B1461" s="1655" t="s">
        <v>1102</v>
      </c>
      <c r="C1461" s="1656" t="s">
        <v>570</v>
      </c>
      <c r="D1461" s="1655" t="s">
        <v>43</v>
      </c>
      <c r="E1461" s="1655" t="s">
        <v>569</v>
      </c>
      <c r="G1461" s="1655" t="s">
        <v>434</v>
      </c>
      <c r="H1461" s="1655" t="s">
        <v>1102</v>
      </c>
      <c r="I1461" s="1655" t="s">
        <v>570</v>
      </c>
      <c r="J1461" s="1655" t="s">
        <v>43</v>
      </c>
      <c r="K1461" s="1655" t="s">
        <v>569</v>
      </c>
      <c r="M1461" s="1655" t="s">
        <v>434</v>
      </c>
      <c r="N1461" s="1655" t="s">
        <v>1102</v>
      </c>
      <c r="O1461" s="1655" t="s">
        <v>570</v>
      </c>
      <c r="P1461" s="1655" t="s">
        <v>43</v>
      </c>
      <c r="Q1461" s="1655" t="s">
        <v>569</v>
      </c>
      <c r="S1461" s="1655" t="s">
        <v>434</v>
      </c>
      <c r="T1461" s="1655" t="s">
        <v>1102</v>
      </c>
      <c r="U1461" s="1655" t="s">
        <v>570</v>
      </c>
      <c r="V1461" s="1655" t="s">
        <v>43</v>
      </c>
      <c r="W1461" s="1655" t="s">
        <v>569</v>
      </c>
    </row>
    <row r="1462" spans="1:23">
      <c r="A1462" s="1655" t="s">
        <v>434</v>
      </c>
      <c r="B1462" s="1655" t="s">
        <v>1103</v>
      </c>
      <c r="C1462" s="1656" t="s">
        <v>570</v>
      </c>
      <c r="D1462" s="1655" t="s">
        <v>43</v>
      </c>
      <c r="E1462" s="1655" t="s">
        <v>569</v>
      </c>
      <c r="G1462" s="1655" t="s">
        <v>434</v>
      </c>
      <c r="H1462" s="1655" t="s">
        <v>1103</v>
      </c>
      <c r="I1462" s="1655" t="s">
        <v>570</v>
      </c>
      <c r="J1462" s="1655" t="s">
        <v>43</v>
      </c>
      <c r="K1462" s="1655" t="s">
        <v>569</v>
      </c>
      <c r="M1462" s="1655" t="s">
        <v>434</v>
      </c>
      <c r="N1462" s="1655" t="s">
        <v>1103</v>
      </c>
      <c r="O1462" s="1655" t="s">
        <v>570</v>
      </c>
      <c r="P1462" s="1655" t="s">
        <v>43</v>
      </c>
      <c r="Q1462" s="1655" t="s">
        <v>569</v>
      </c>
      <c r="S1462" s="1655" t="s">
        <v>434</v>
      </c>
      <c r="T1462" s="1655" t="s">
        <v>1103</v>
      </c>
      <c r="U1462" s="1655" t="s">
        <v>570</v>
      </c>
      <c r="V1462" s="1655" t="s">
        <v>43</v>
      </c>
      <c r="W1462" s="1655" t="s">
        <v>569</v>
      </c>
    </row>
    <row r="1463" spans="1:23">
      <c r="A1463" s="1655" t="s">
        <v>434</v>
      </c>
      <c r="B1463" s="1655" t="s">
        <v>1104</v>
      </c>
      <c r="C1463" s="1656" t="s">
        <v>570</v>
      </c>
      <c r="D1463" s="1655" t="s">
        <v>43</v>
      </c>
      <c r="E1463" s="1655" t="s">
        <v>569</v>
      </c>
      <c r="G1463" s="1655" t="s">
        <v>434</v>
      </c>
      <c r="H1463" s="1655" t="s">
        <v>1104</v>
      </c>
      <c r="I1463" s="1655" t="s">
        <v>570</v>
      </c>
      <c r="J1463" s="1655" t="s">
        <v>43</v>
      </c>
      <c r="K1463" s="1655" t="s">
        <v>569</v>
      </c>
      <c r="M1463" s="1655" t="s">
        <v>434</v>
      </c>
      <c r="N1463" s="1655" t="s">
        <v>1104</v>
      </c>
      <c r="O1463" s="1655" t="s">
        <v>570</v>
      </c>
      <c r="P1463" s="1655" t="s">
        <v>43</v>
      </c>
      <c r="Q1463" s="1655" t="s">
        <v>569</v>
      </c>
      <c r="S1463" s="1655" t="s">
        <v>434</v>
      </c>
      <c r="T1463" s="1655" t="s">
        <v>1104</v>
      </c>
      <c r="U1463" s="1655" t="s">
        <v>570</v>
      </c>
      <c r="V1463" s="1655" t="s">
        <v>43</v>
      </c>
      <c r="W1463" s="1655" t="s">
        <v>569</v>
      </c>
    </row>
    <row r="1464" spans="1:23">
      <c r="A1464" s="1655" t="s">
        <v>434</v>
      </c>
      <c r="B1464" s="1655" t="s">
        <v>1105</v>
      </c>
      <c r="C1464" s="1656" t="s">
        <v>570</v>
      </c>
      <c r="D1464" s="1655" t="s">
        <v>43</v>
      </c>
      <c r="E1464" s="1655" t="s">
        <v>569</v>
      </c>
      <c r="G1464" s="1655" t="s">
        <v>434</v>
      </c>
      <c r="H1464" s="1655" t="s">
        <v>1105</v>
      </c>
      <c r="I1464" s="1655" t="s">
        <v>570</v>
      </c>
      <c r="J1464" s="1655" t="s">
        <v>43</v>
      </c>
      <c r="K1464" s="1655" t="s">
        <v>569</v>
      </c>
      <c r="M1464" s="1655" t="s">
        <v>434</v>
      </c>
      <c r="N1464" s="1655" t="s">
        <v>1105</v>
      </c>
      <c r="O1464" s="1655" t="s">
        <v>570</v>
      </c>
      <c r="P1464" s="1655" t="s">
        <v>43</v>
      </c>
      <c r="Q1464" s="1655" t="s">
        <v>569</v>
      </c>
      <c r="S1464" s="1655" t="s">
        <v>434</v>
      </c>
      <c r="T1464" s="1655" t="s">
        <v>1105</v>
      </c>
      <c r="U1464" s="1655" t="s">
        <v>570</v>
      </c>
      <c r="V1464" s="1655" t="s">
        <v>43</v>
      </c>
      <c r="W1464" s="1655" t="s">
        <v>569</v>
      </c>
    </row>
    <row r="1465" spans="1:23">
      <c r="A1465" s="1655" t="s">
        <v>434</v>
      </c>
      <c r="B1465" s="1655" t="s">
        <v>1106</v>
      </c>
      <c r="C1465" s="1656" t="s">
        <v>570</v>
      </c>
      <c r="D1465" s="1655" t="s">
        <v>43</v>
      </c>
      <c r="E1465" s="1655" t="s">
        <v>569</v>
      </c>
      <c r="G1465" s="1655" t="s">
        <v>434</v>
      </c>
      <c r="H1465" s="1655" t="s">
        <v>1106</v>
      </c>
      <c r="I1465" s="1656" t="s">
        <v>570</v>
      </c>
      <c r="J1465" s="1655" t="s">
        <v>43</v>
      </c>
      <c r="K1465" s="1655" t="s">
        <v>569</v>
      </c>
      <c r="M1465" s="1655" t="s">
        <v>434</v>
      </c>
      <c r="N1465" s="1655" t="s">
        <v>1106</v>
      </c>
      <c r="O1465" s="1656" t="s">
        <v>570</v>
      </c>
      <c r="P1465" s="1655" t="s">
        <v>43</v>
      </c>
      <c r="Q1465" s="1655" t="s">
        <v>569</v>
      </c>
      <c r="S1465" s="1655" t="s">
        <v>434</v>
      </c>
      <c r="T1465" s="1655" t="s">
        <v>1106</v>
      </c>
      <c r="U1465" s="1656" t="s">
        <v>570</v>
      </c>
      <c r="V1465" s="1655" t="s">
        <v>43</v>
      </c>
      <c r="W1465" s="1655" t="s">
        <v>569</v>
      </c>
    </row>
    <row r="1466" spans="1:23">
      <c r="A1466" s="1655" t="s">
        <v>434</v>
      </c>
      <c r="B1466" s="1655" t="s">
        <v>1107</v>
      </c>
      <c r="C1466" s="1656" t="s">
        <v>570</v>
      </c>
      <c r="D1466" s="1655" t="s">
        <v>43</v>
      </c>
      <c r="E1466" s="1655" t="s">
        <v>569</v>
      </c>
      <c r="G1466" s="1655" t="s">
        <v>434</v>
      </c>
      <c r="H1466" s="1655" t="s">
        <v>1107</v>
      </c>
      <c r="I1466" s="1656" t="s">
        <v>570</v>
      </c>
      <c r="J1466" s="1655" t="s">
        <v>43</v>
      </c>
      <c r="K1466" s="1655" t="s">
        <v>569</v>
      </c>
      <c r="M1466" s="1655" t="s">
        <v>434</v>
      </c>
      <c r="N1466" s="1655" t="s">
        <v>1107</v>
      </c>
      <c r="O1466" s="1656" t="s">
        <v>570</v>
      </c>
      <c r="P1466" s="1655" t="s">
        <v>43</v>
      </c>
      <c r="Q1466" s="1655" t="s">
        <v>569</v>
      </c>
      <c r="S1466" s="1655" t="s">
        <v>434</v>
      </c>
      <c r="T1466" s="1655" t="s">
        <v>1107</v>
      </c>
      <c r="U1466" s="1656" t="s">
        <v>570</v>
      </c>
      <c r="V1466" s="1655" t="s">
        <v>43</v>
      </c>
      <c r="W1466" s="1655" t="s">
        <v>569</v>
      </c>
    </row>
    <row r="1467" spans="1:23">
      <c r="A1467" s="1655" t="s">
        <v>434</v>
      </c>
      <c r="B1467" s="1655" t="s">
        <v>1108</v>
      </c>
      <c r="C1467" s="1656" t="s">
        <v>570</v>
      </c>
      <c r="D1467" s="1655" t="s">
        <v>43</v>
      </c>
      <c r="E1467" s="1655" t="s">
        <v>569</v>
      </c>
      <c r="G1467" s="1655" t="s">
        <v>434</v>
      </c>
      <c r="H1467" s="1655" t="s">
        <v>1108</v>
      </c>
      <c r="I1467" s="1656" t="s">
        <v>570</v>
      </c>
      <c r="J1467" s="1655" t="s">
        <v>43</v>
      </c>
      <c r="K1467" s="1655" t="s">
        <v>569</v>
      </c>
      <c r="M1467" s="1655" t="s">
        <v>434</v>
      </c>
      <c r="N1467" s="1655" t="s">
        <v>1108</v>
      </c>
      <c r="O1467" s="1656" t="s">
        <v>570</v>
      </c>
      <c r="P1467" s="1655" t="s">
        <v>43</v>
      </c>
      <c r="Q1467" s="1655" t="s">
        <v>569</v>
      </c>
      <c r="S1467" s="1655" t="s">
        <v>434</v>
      </c>
      <c r="T1467" s="1655" t="s">
        <v>1108</v>
      </c>
      <c r="U1467" s="1656" t="s">
        <v>570</v>
      </c>
      <c r="V1467" s="1655" t="s">
        <v>43</v>
      </c>
      <c r="W1467" s="1655" t="s">
        <v>569</v>
      </c>
    </row>
    <row r="1468" spans="1:23">
      <c r="A1468" s="1655" t="s">
        <v>434</v>
      </c>
      <c r="B1468" s="1655" t="s">
        <v>1109</v>
      </c>
      <c r="C1468" s="1656" t="s">
        <v>570</v>
      </c>
      <c r="D1468" s="1655" t="s">
        <v>43</v>
      </c>
      <c r="E1468" s="1655" t="s">
        <v>569</v>
      </c>
      <c r="G1468" s="1655" t="s">
        <v>434</v>
      </c>
      <c r="H1468" s="1655" t="s">
        <v>1109</v>
      </c>
      <c r="I1468" s="1656" t="s">
        <v>570</v>
      </c>
      <c r="J1468" s="1655" t="s">
        <v>43</v>
      </c>
      <c r="K1468" s="1655" t="s">
        <v>569</v>
      </c>
      <c r="M1468" s="1655" t="s">
        <v>434</v>
      </c>
      <c r="N1468" s="1655" t="s">
        <v>1109</v>
      </c>
      <c r="O1468" s="1656" t="s">
        <v>570</v>
      </c>
      <c r="P1468" s="1655" t="s">
        <v>43</v>
      </c>
      <c r="Q1468" s="1655" t="s">
        <v>569</v>
      </c>
      <c r="S1468" s="1655" t="s">
        <v>434</v>
      </c>
      <c r="T1468" s="1655" t="s">
        <v>1109</v>
      </c>
      <c r="U1468" s="1656" t="s">
        <v>570</v>
      </c>
      <c r="V1468" s="1655" t="s">
        <v>43</v>
      </c>
      <c r="W1468" s="1655" t="s">
        <v>569</v>
      </c>
    </row>
    <row r="1469" spans="1:23">
      <c r="A1469" s="1655" t="s">
        <v>434</v>
      </c>
      <c r="B1469" s="1655" t="s">
        <v>1110</v>
      </c>
      <c r="C1469" s="1656" t="s">
        <v>570</v>
      </c>
      <c r="D1469" s="1655" t="s">
        <v>43</v>
      </c>
      <c r="E1469" s="1655" t="s">
        <v>569</v>
      </c>
      <c r="G1469" s="1655" t="s">
        <v>434</v>
      </c>
      <c r="H1469" s="1655" t="s">
        <v>1110</v>
      </c>
      <c r="I1469" s="1656" t="s">
        <v>570</v>
      </c>
      <c r="J1469" s="1655" t="s">
        <v>43</v>
      </c>
      <c r="K1469" s="1655" t="s">
        <v>569</v>
      </c>
      <c r="M1469" s="1655" t="s">
        <v>434</v>
      </c>
      <c r="N1469" s="1655" t="s">
        <v>1110</v>
      </c>
      <c r="O1469" s="1656" t="s">
        <v>570</v>
      </c>
      <c r="P1469" s="1655" t="s">
        <v>43</v>
      </c>
      <c r="Q1469" s="1655" t="s">
        <v>569</v>
      </c>
      <c r="S1469" s="1655" t="s">
        <v>434</v>
      </c>
      <c r="T1469" s="1655" t="s">
        <v>1110</v>
      </c>
      <c r="U1469" s="1656" t="s">
        <v>570</v>
      </c>
      <c r="V1469" s="1655" t="s">
        <v>43</v>
      </c>
      <c r="W1469" s="1655" t="s">
        <v>569</v>
      </c>
    </row>
    <row r="1470" spans="1:23">
      <c r="A1470" s="1655" t="s">
        <v>434</v>
      </c>
      <c r="B1470" s="1655" t="s">
        <v>1111</v>
      </c>
      <c r="C1470" s="1656" t="s">
        <v>570</v>
      </c>
      <c r="D1470" s="1655" t="s">
        <v>43</v>
      </c>
      <c r="E1470" s="1655" t="s">
        <v>569</v>
      </c>
      <c r="G1470" s="1655" t="s">
        <v>434</v>
      </c>
      <c r="H1470" s="1655" t="s">
        <v>1111</v>
      </c>
      <c r="I1470" s="1656" t="s">
        <v>570</v>
      </c>
      <c r="J1470" s="1655" t="s">
        <v>43</v>
      </c>
      <c r="K1470" s="1655" t="s">
        <v>569</v>
      </c>
      <c r="M1470" s="1655" t="s">
        <v>434</v>
      </c>
      <c r="N1470" s="1655" t="s">
        <v>1111</v>
      </c>
      <c r="O1470" s="1656" t="s">
        <v>570</v>
      </c>
      <c r="P1470" s="1655" t="s">
        <v>43</v>
      </c>
      <c r="Q1470" s="1655" t="s">
        <v>569</v>
      </c>
      <c r="S1470" s="1655" t="s">
        <v>434</v>
      </c>
      <c r="T1470" s="1655" t="s">
        <v>1111</v>
      </c>
      <c r="U1470" s="1656" t="s">
        <v>570</v>
      </c>
      <c r="V1470" s="1655" t="s">
        <v>43</v>
      </c>
      <c r="W1470" s="1655" t="s">
        <v>569</v>
      </c>
    </row>
    <row r="1471" spans="1:23">
      <c r="A1471" s="1655" t="s">
        <v>434</v>
      </c>
      <c r="B1471" s="1655" t="s">
        <v>1112</v>
      </c>
      <c r="C1471" s="1655" t="s">
        <v>570</v>
      </c>
      <c r="D1471" s="1655" t="s">
        <v>43</v>
      </c>
      <c r="E1471" s="1655" t="s">
        <v>569</v>
      </c>
      <c r="G1471" s="1655" t="s">
        <v>434</v>
      </c>
      <c r="H1471" s="1655" t="s">
        <v>1112</v>
      </c>
      <c r="I1471" s="1656" t="s">
        <v>570</v>
      </c>
      <c r="J1471" s="1655" t="s">
        <v>43</v>
      </c>
      <c r="K1471" s="1655" t="s">
        <v>569</v>
      </c>
      <c r="M1471" s="1655" t="s">
        <v>434</v>
      </c>
      <c r="N1471" s="1655" t="s">
        <v>1112</v>
      </c>
      <c r="O1471" s="1656" t="s">
        <v>570</v>
      </c>
      <c r="P1471" s="1655" t="s">
        <v>43</v>
      </c>
      <c r="Q1471" s="1655" t="s">
        <v>569</v>
      </c>
      <c r="S1471" s="1655" t="s">
        <v>434</v>
      </c>
      <c r="T1471" s="1655" t="s">
        <v>1112</v>
      </c>
      <c r="U1471" s="1656" t="s">
        <v>570</v>
      </c>
      <c r="V1471" s="1655" t="s">
        <v>43</v>
      </c>
      <c r="W1471" s="1655" t="s">
        <v>569</v>
      </c>
    </row>
    <row r="1472" spans="1:23">
      <c r="A1472" s="1655" t="s">
        <v>434</v>
      </c>
      <c r="B1472" s="1655" t="s">
        <v>1113</v>
      </c>
      <c r="C1472" s="1655" t="s">
        <v>570</v>
      </c>
      <c r="D1472" s="1655" t="s">
        <v>43</v>
      </c>
      <c r="E1472" s="1655" t="s">
        <v>569</v>
      </c>
      <c r="G1472" s="1655" t="s">
        <v>434</v>
      </c>
      <c r="H1472" s="1655" t="s">
        <v>1113</v>
      </c>
      <c r="I1472" s="1656" t="s">
        <v>570</v>
      </c>
      <c r="J1472" s="1655" t="s">
        <v>43</v>
      </c>
      <c r="K1472" s="1655" t="s">
        <v>569</v>
      </c>
      <c r="M1472" s="1655" t="s">
        <v>434</v>
      </c>
      <c r="N1472" s="1655" t="s">
        <v>1113</v>
      </c>
      <c r="O1472" s="1656" t="s">
        <v>570</v>
      </c>
      <c r="P1472" s="1655" t="s">
        <v>43</v>
      </c>
      <c r="Q1472" s="1655" t="s">
        <v>569</v>
      </c>
      <c r="S1472" s="1655" t="s">
        <v>434</v>
      </c>
      <c r="T1472" s="1655" t="s">
        <v>1113</v>
      </c>
      <c r="U1472" s="1656" t="s">
        <v>570</v>
      </c>
      <c r="V1472" s="1655" t="s">
        <v>43</v>
      </c>
      <c r="W1472" s="1655" t="s">
        <v>569</v>
      </c>
    </row>
    <row r="1473" spans="1:23">
      <c r="A1473" s="1655" t="s">
        <v>434</v>
      </c>
      <c r="B1473" s="1655" t="s">
        <v>1114</v>
      </c>
      <c r="C1473" s="1655" t="s">
        <v>570</v>
      </c>
      <c r="D1473" s="1655" t="s">
        <v>43</v>
      </c>
      <c r="E1473" s="1655" t="s">
        <v>569</v>
      </c>
      <c r="G1473" s="1655" t="s">
        <v>434</v>
      </c>
      <c r="H1473" s="1655" t="s">
        <v>1114</v>
      </c>
      <c r="I1473" s="1656" t="s">
        <v>570</v>
      </c>
      <c r="J1473" s="1655" t="s">
        <v>43</v>
      </c>
      <c r="K1473" s="1655" t="s">
        <v>569</v>
      </c>
      <c r="M1473" s="1655" t="s">
        <v>434</v>
      </c>
      <c r="N1473" s="1655" t="s">
        <v>1114</v>
      </c>
      <c r="O1473" s="1656" t="s">
        <v>570</v>
      </c>
      <c r="P1473" s="1655" t="s">
        <v>43</v>
      </c>
      <c r="Q1473" s="1655" t="s">
        <v>569</v>
      </c>
      <c r="S1473" s="1655" t="s">
        <v>434</v>
      </c>
      <c r="T1473" s="1655" t="s">
        <v>1114</v>
      </c>
      <c r="U1473" s="1656" t="s">
        <v>570</v>
      </c>
      <c r="V1473" s="1655" t="s">
        <v>43</v>
      </c>
      <c r="W1473" s="1655" t="s">
        <v>569</v>
      </c>
    </row>
    <row r="1474" spans="1:23">
      <c r="A1474" s="1655" t="s">
        <v>434</v>
      </c>
      <c r="B1474" s="1655" t="s">
        <v>1115</v>
      </c>
      <c r="C1474" s="1655" t="s">
        <v>570</v>
      </c>
      <c r="D1474" s="1655" t="s">
        <v>43</v>
      </c>
      <c r="E1474" s="1655" t="s">
        <v>569</v>
      </c>
      <c r="G1474" s="1655" t="s">
        <v>434</v>
      </c>
      <c r="H1474" s="1655" t="s">
        <v>1115</v>
      </c>
      <c r="I1474" s="1656" t="s">
        <v>570</v>
      </c>
      <c r="J1474" s="1655" t="s">
        <v>43</v>
      </c>
      <c r="K1474" s="1655" t="s">
        <v>569</v>
      </c>
      <c r="M1474" s="1655" t="s">
        <v>434</v>
      </c>
      <c r="N1474" s="1655" t="s">
        <v>1115</v>
      </c>
      <c r="O1474" s="1656" t="s">
        <v>570</v>
      </c>
      <c r="P1474" s="1655" t="s">
        <v>43</v>
      </c>
      <c r="Q1474" s="1655" t="s">
        <v>569</v>
      </c>
      <c r="S1474" s="1655" t="s">
        <v>434</v>
      </c>
      <c r="T1474" s="1655" t="s">
        <v>1115</v>
      </c>
      <c r="U1474" s="1656" t="s">
        <v>570</v>
      </c>
      <c r="V1474" s="1655" t="s">
        <v>43</v>
      </c>
      <c r="W1474" s="1655" t="s">
        <v>569</v>
      </c>
    </row>
    <row r="1475" spans="1:23">
      <c r="A1475" s="1655" t="s">
        <v>434</v>
      </c>
      <c r="B1475" s="1655" t="s">
        <v>1116</v>
      </c>
      <c r="C1475" s="1655" t="s">
        <v>570</v>
      </c>
      <c r="D1475" s="1655" t="s">
        <v>43</v>
      </c>
      <c r="E1475" s="1655" t="s">
        <v>569</v>
      </c>
      <c r="G1475" s="1655" t="s">
        <v>434</v>
      </c>
      <c r="H1475" s="1655" t="s">
        <v>1116</v>
      </c>
      <c r="I1475" s="1656" t="s">
        <v>570</v>
      </c>
      <c r="J1475" s="1655" t="s">
        <v>43</v>
      </c>
      <c r="K1475" s="1655" t="s">
        <v>569</v>
      </c>
      <c r="M1475" s="1655" t="s">
        <v>434</v>
      </c>
      <c r="N1475" s="1655" t="s">
        <v>1116</v>
      </c>
      <c r="O1475" s="1656" t="s">
        <v>570</v>
      </c>
      <c r="P1475" s="1655" t="s">
        <v>43</v>
      </c>
      <c r="Q1475" s="1655" t="s">
        <v>569</v>
      </c>
      <c r="S1475" s="1655" t="s">
        <v>434</v>
      </c>
      <c r="T1475" s="1655" t="s">
        <v>1116</v>
      </c>
      <c r="U1475" s="1656" t="s">
        <v>570</v>
      </c>
      <c r="V1475" s="1655" t="s">
        <v>43</v>
      </c>
      <c r="W1475" s="1655" t="s">
        <v>569</v>
      </c>
    </row>
    <row r="1476" spans="1:23">
      <c r="A1476" s="1655" t="s">
        <v>434</v>
      </c>
      <c r="B1476" s="1655" t="s">
        <v>1117</v>
      </c>
      <c r="C1476" s="1655" t="s">
        <v>570</v>
      </c>
      <c r="D1476" s="1655" t="s">
        <v>43</v>
      </c>
      <c r="E1476" s="1655" t="s">
        <v>569</v>
      </c>
      <c r="G1476" s="1655" t="s">
        <v>434</v>
      </c>
      <c r="H1476" s="1655" t="s">
        <v>1117</v>
      </c>
      <c r="I1476" s="1656" t="s">
        <v>570</v>
      </c>
      <c r="J1476" s="1655" t="s">
        <v>43</v>
      </c>
      <c r="K1476" s="1655" t="s">
        <v>569</v>
      </c>
      <c r="M1476" s="1655" t="s">
        <v>434</v>
      </c>
      <c r="N1476" s="1655" t="s">
        <v>1117</v>
      </c>
      <c r="O1476" s="1656" t="s">
        <v>570</v>
      </c>
      <c r="P1476" s="1655" t="s">
        <v>43</v>
      </c>
      <c r="Q1476" s="1655" t="s">
        <v>569</v>
      </c>
      <c r="S1476" s="1655" t="s">
        <v>434</v>
      </c>
      <c r="T1476" s="1655" t="s">
        <v>1117</v>
      </c>
      <c r="U1476" s="1656" t="s">
        <v>570</v>
      </c>
      <c r="V1476" s="1655" t="s">
        <v>43</v>
      </c>
      <c r="W1476" s="1655" t="s">
        <v>569</v>
      </c>
    </row>
    <row r="1477" spans="1:23">
      <c r="A1477" s="1655" t="s">
        <v>434</v>
      </c>
      <c r="B1477" s="1655" t="s">
        <v>1118</v>
      </c>
      <c r="C1477" s="1655" t="s">
        <v>570</v>
      </c>
      <c r="D1477" s="1655" t="s">
        <v>43</v>
      </c>
      <c r="E1477" s="1655" t="s">
        <v>569</v>
      </c>
      <c r="G1477" s="1655" t="s">
        <v>434</v>
      </c>
      <c r="H1477" s="1655" t="s">
        <v>1118</v>
      </c>
      <c r="I1477" s="1656" t="s">
        <v>570</v>
      </c>
      <c r="J1477" s="1655" t="s">
        <v>43</v>
      </c>
      <c r="K1477" s="1655" t="s">
        <v>569</v>
      </c>
      <c r="M1477" s="1655" t="s">
        <v>434</v>
      </c>
      <c r="N1477" s="1655" t="s">
        <v>1118</v>
      </c>
      <c r="O1477" s="1656" t="s">
        <v>570</v>
      </c>
      <c r="P1477" s="1655" t="s">
        <v>43</v>
      </c>
      <c r="Q1477" s="1655" t="s">
        <v>569</v>
      </c>
      <c r="S1477" s="1655" t="s">
        <v>434</v>
      </c>
      <c r="T1477" s="1655" t="s">
        <v>1118</v>
      </c>
      <c r="U1477" s="1656" t="s">
        <v>570</v>
      </c>
      <c r="V1477" s="1655" t="s">
        <v>43</v>
      </c>
      <c r="W1477" s="1655" t="s">
        <v>569</v>
      </c>
    </row>
    <row r="1478" spans="1:23">
      <c r="A1478" s="1655" t="s">
        <v>434</v>
      </c>
      <c r="B1478" s="1655" t="s">
        <v>1119</v>
      </c>
      <c r="C1478" s="1655" t="s">
        <v>570</v>
      </c>
      <c r="D1478" s="1655" t="s">
        <v>43</v>
      </c>
      <c r="E1478" s="1655" t="s">
        <v>569</v>
      </c>
      <c r="G1478" s="1655" t="s">
        <v>434</v>
      </c>
      <c r="H1478" s="1655" t="s">
        <v>1119</v>
      </c>
      <c r="I1478" s="1656" t="s">
        <v>570</v>
      </c>
      <c r="J1478" s="1655" t="s">
        <v>43</v>
      </c>
      <c r="K1478" s="1655" t="s">
        <v>569</v>
      </c>
      <c r="M1478" s="1655" t="s">
        <v>434</v>
      </c>
      <c r="N1478" s="1655" t="s">
        <v>1119</v>
      </c>
      <c r="O1478" s="1656" t="s">
        <v>570</v>
      </c>
      <c r="P1478" s="1655" t="s">
        <v>43</v>
      </c>
      <c r="Q1478" s="1655" t="s">
        <v>569</v>
      </c>
      <c r="S1478" s="1655" t="s">
        <v>434</v>
      </c>
      <c r="T1478" s="1655" t="s">
        <v>1119</v>
      </c>
      <c r="U1478" s="1656" t="s">
        <v>570</v>
      </c>
      <c r="V1478" s="1655" t="s">
        <v>43</v>
      </c>
      <c r="W1478" s="1655" t="s">
        <v>569</v>
      </c>
    </row>
    <row r="1479" spans="1:23">
      <c r="A1479" s="1655" t="s">
        <v>434</v>
      </c>
      <c r="B1479" s="1655" t="s">
        <v>1120</v>
      </c>
      <c r="C1479" s="1655" t="s">
        <v>570</v>
      </c>
      <c r="D1479" s="1655" t="s">
        <v>43</v>
      </c>
      <c r="E1479" s="1655" t="s">
        <v>569</v>
      </c>
      <c r="G1479" s="1655" t="s">
        <v>434</v>
      </c>
      <c r="H1479" s="1655" t="s">
        <v>1120</v>
      </c>
      <c r="I1479" s="1656" t="s">
        <v>570</v>
      </c>
      <c r="J1479" s="1655" t="s">
        <v>43</v>
      </c>
      <c r="K1479" s="1655" t="s">
        <v>569</v>
      </c>
      <c r="M1479" s="1655" t="s">
        <v>434</v>
      </c>
      <c r="N1479" s="1655" t="s">
        <v>1120</v>
      </c>
      <c r="O1479" s="1656" t="s">
        <v>570</v>
      </c>
      <c r="P1479" s="1655" t="s">
        <v>43</v>
      </c>
      <c r="Q1479" s="1655" t="s">
        <v>569</v>
      </c>
      <c r="S1479" s="1655" t="s">
        <v>434</v>
      </c>
      <c r="T1479" s="1655" t="s">
        <v>1120</v>
      </c>
      <c r="U1479" s="1656" t="s">
        <v>570</v>
      </c>
      <c r="V1479" s="1655" t="s">
        <v>43</v>
      </c>
      <c r="W1479" s="1655" t="s">
        <v>569</v>
      </c>
    </row>
    <row r="1480" spans="1:23">
      <c r="A1480" s="1655" t="s">
        <v>434</v>
      </c>
      <c r="B1480" s="1655" t="s">
        <v>1121</v>
      </c>
      <c r="C1480" s="1655" t="s">
        <v>570</v>
      </c>
      <c r="D1480" s="1655" t="s">
        <v>43</v>
      </c>
      <c r="E1480" s="1655" t="s">
        <v>569</v>
      </c>
      <c r="G1480" s="1655" t="s">
        <v>434</v>
      </c>
      <c r="H1480" s="1655" t="s">
        <v>1121</v>
      </c>
      <c r="I1480" s="1656" t="s">
        <v>570</v>
      </c>
      <c r="J1480" s="1655" t="s">
        <v>43</v>
      </c>
      <c r="K1480" s="1655" t="s">
        <v>569</v>
      </c>
      <c r="M1480" s="1655" t="s">
        <v>434</v>
      </c>
      <c r="N1480" s="1655" t="s">
        <v>1121</v>
      </c>
      <c r="O1480" s="1656" t="s">
        <v>570</v>
      </c>
      <c r="P1480" s="1655" t="s">
        <v>43</v>
      </c>
      <c r="Q1480" s="1655" t="s">
        <v>569</v>
      </c>
      <c r="S1480" s="1655" t="s">
        <v>434</v>
      </c>
      <c r="T1480" s="1655" t="s">
        <v>1121</v>
      </c>
      <c r="U1480" s="1656" t="s">
        <v>570</v>
      </c>
      <c r="V1480" s="1655" t="s">
        <v>43</v>
      </c>
      <c r="W1480" s="1655" t="s">
        <v>569</v>
      </c>
    </row>
    <row r="1481" spans="1:23">
      <c r="A1481" s="1655" t="s">
        <v>434</v>
      </c>
      <c r="B1481" s="1655" t="s">
        <v>1122</v>
      </c>
      <c r="C1481" s="1655" t="s">
        <v>570</v>
      </c>
      <c r="D1481" s="1655" t="s">
        <v>43</v>
      </c>
      <c r="E1481" s="1655" t="s">
        <v>569</v>
      </c>
      <c r="G1481" s="1655" t="s">
        <v>434</v>
      </c>
      <c r="H1481" s="1655" t="s">
        <v>1122</v>
      </c>
      <c r="I1481" s="1658" t="s">
        <v>570</v>
      </c>
      <c r="J1481" s="1655" t="s">
        <v>43</v>
      </c>
      <c r="K1481" s="1655" t="s">
        <v>569</v>
      </c>
      <c r="M1481" s="1655" t="s">
        <v>434</v>
      </c>
      <c r="N1481" s="1655" t="s">
        <v>1122</v>
      </c>
      <c r="O1481" s="1658" t="s">
        <v>570</v>
      </c>
      <c r="P1481" s="1655" t="s">
        <v>43</v>
      </c>
      <c r="Q1481" s="1655" t="s">
        <v>569</v>
      </c>
      <c r="S1481" s="1655" t="s">
        <v>434</v>
      </c>
      <c r="T1481" s="1655" t="s">
        <v>1122</v>
      </c>
      <c r="U1481" s="1658" t="s">
        <v>570</v>
      </c>
      <c r="V1481" s="1655" t="s">
        <v>43</v>
      </c>
      <c r="W1481" s="1655" t="s">
        <v>569</v>
      </c>
    </row>
    <row r="1482" spans="1:23">
      <c r="A1482" s="1655" t="s">
        <v>434</v>
      </c>
      <c r="B1482" s="1655" t="s">
        <v>1123</v>
      </c>
      <c r="C1482" s="1655" t="s">
        <v>570</v>
      </c>
      <c r="D1482" s="1655" t="s">
        <v>43</v>
      </c>
      <c r="E1482" s="1655" t="s">
        <v>569</v>
      </c>
      <c r="G1482" s="1655" t="s">
        <v>434</v>
      </c>
      <c r="H1482" s="1655" t="s">
        <v>1123</v>
      </c>
      <c r="I1482" s="1658" t="s">
        <v>570</v>
      </c>
      <c r="J1482" s="1655" t="s">
        <v>43</v>
      </c>
      <c r="K1482" s="1655" t="s">
        <v>569</v>
      </c>
      <c r="M1482" s="1655" t="s">
        <v>434</v>
      </c>
      <c r="N1482" s="1655" t="s">
        <v>1123</v>
      </c>
      <c r="O1482" s="1658" t="s">
        <v>570</v>
      </c>
      <c r="P1482" s="1655" t="s">
        <v>43</v>
      </c>
      <c r="Q1482" s="1655" t="s">
        <v>569</v>
      </c>
      <c r="S1482" s="1655" t="s">
        <v>434</v>
      </c>
      <c r="T1482" s="1655" t="s">
        <v>1123</v>
      </c>
      <c r="U1482" s="1658" t="s">
        <v>570</v>
      </c>
      <c r="V1482" s="1655" t="s">
        <v>43</v>
      </c>
      <c r="W1482" s="1655" t="s">
        <v>569</v>
      </c>
    </row>
    <row r="1483" spans="1:23">
      <c r="A1483" s="1655" t="s">
        <v>434</v>
      </c>
      <c r="B1483" s="1655" t="s">
        <v>1124</v>
      </c>
      <c r="C1483" s="1658" t="s">
        <v>570</v>
      </c>
      <c r="D1483" s="1655" t="s">
        <v>43</v>
      </c>
      <c r="E1483" s="1655" t="s">
        <v>569</v>
      </c>
      <c r="G1483" s="1655" t="s">
        <v>434</v>
      </c>
      <c r="H1483" s="1655" t="s">
        <v>1124</v>
      </c>
      <c r="I1483" s="1658" t="s">
        <v>570</v>
      </c>
      <c r="J1483" s="1655" t="s">
        <v>43</v>
      </c>
      <c r="K1483" s="1655" t="s">
        <v>569</v>
      </c>
      <c r="M1483" s="1655" t="s">
        <v>434</v>
      </c>
      <c r="N1483" s="1655" t="s">
        <v>1124</v>
      </c>
      <c r="O1483" s="1658" t="s">
        <v>570</v>
      </c>
      <c r="P1483" s="1655" t="s">
        <v>43</v>
      </c>
      <c r="Q1483" s="1655" t="s">
        <v>569</v>
      </c>
      <c r="S1483" s="1655" t="s">
        <v>434</v>
      </c>
      <c r="T1483" s="1655" t="s">
        <v>1124</v>
      </c>
      <c r="U1483" s="1658" t="s">
        <v>570</v>
      </c>
      <c r="V1483" s="1655" t="s">
        <v>43</v>
      </c>
      <c r="W1483" s="1655" t="s">
        <v>569</v>
      </c>
    </row>
    <row r="1484" spans="1:23">
      <c r="A1484" s="1655" t="s">
        <v>434</v>
      </c>
      <c r="B1484" s="1655" t="s">
        <v>1125</v>
      </c>
      <c r="C1484" s="1658" t="s">
        <v>570</v>
      </c>
      <c r="D1484" s="1655" t="s">
        <v>43</v>
      </c>
      <c r="E1484" s="1655" t="s">
        <v>569</v>
      </c>
      <c r="G1484" s="1655" t="s">
        <v>434</v>
      </c>
      <c r="H1484" s="1655" t="s">
        <v>1125</v>
      </c>
      <c r="I1484" s="1658" t="s">
        <v>570</v>
      </c>
      <c r="J1484" s="1655" t="s">
        <v>43</v>
      </c>
      <c r="K1484" s="1655" t="s">
        <v>569</v>
      </c>
      <c r="M1484" s="1655" t="s">
        <v>434</v>
      </c>
      <c r="N1484" s="1655" t="s">
        <v>1125</v>
      </c>
      <c r="O1484" s="1658" t="s">
        <v>570</v>
      </c>
      <c r="P1484" s="1655" t="s">
        <v>43</v>
      </c>
      <c r="Q1484" s="1655" t="s">
        <v>569</v>
      </c>
      <c r="S1484" s="1655" t="s">
        <v>434</v>
      </c>
      <c r="T1484" s="1655" t="s">
        <v>1125</v>
      </c>
      <c r="U1484" s="1658" t="s">
        <v>570</v>
      </c>
      <c r="V1484" s="1655" t="s">
        <v>43</v>
      </c>
      <c r="W1484" s="1655" t="s">
        <v>569</v>
      </c>
    </row>
    <row r="1485" spans="1:23">
      <c r="A1485" s="1655" t="s">
        <v>434</v>
      </c>
      <c r="B1485" s="1655" t="s">
        <v>1126</v>
      </c>
      <c r="C1485" s="1658" t="s">
        <v>570</v>
      </c>
      <c r="D1485" s="1655" t="s">
        <v>43</v>
      </c>
      <c r="E1485" s="1655" t="s">
        <v>569</v>
      </c>
      <c r="G1485" s="1655" t="s">
        <v>434</v>
      </c>
      <c r="H1485" s="1655" t="s">
        <v>1126</v>
      </c>
      <c r="I1485" s="1658" t="s">
        <v>570</v>
      </c>
      <c r="J1485" s="1655" t="s">
        <v>43</v>
      </c>
      <c r="K1485" s="1655" t="s">
        <v>569</v>
      </c>
      <c r="M1485" s="1655" t="s">
        <v>434</v>
      </c>
      <c r="N1485" s="1655" t="s">
        <v>1126</v>
      </c>
      <c r="O1485" s="1658" t="s">
        <v>570</v>
      </c>
      <c r="P1485" s="1655" t="s">
        <v>43</v>
      </c>
      <c r="Q1485" s="1655" t="s">
        <v>569</v>
      </c>
      <c r="S1485" s="1655" t="s">
        <v>434</v>
      </c>
      <c r="T1485" s="1655" t="s">
        <v>1126</v>
      </c>
      <c r="U1485" s="1658" t="s">
        <v>570</v>
      </c>
      <c r="V1485" s="1655" t="s">
        <v>43</v>
      </c>
      <c r="W1485" s="1655" t="s">
        <v>569</v>
      </c>
    </row>
    <row r="1486" spans="1:23">
      <c r="A1486" s="1655" t="s">
        <v>434</v>
      </c>
      <c r="B1486" s="1655" t="s">
        <v>1127</v>
      </c>
      <c r="C1486" s="1658" t="s">
        <v>570</v>
      </c>
      <c r="D1486" s="1655" t="s">
        <v>43</v>
      </c>
      <c r="E1486" s="1655" t="s">
        <v>569</v>
      </c>
      <c r="G1486" s="1655" t="s">
        <v>434</v>
      </c>
      <c r="H1486" s="1655" t="s">
        <v>1127</v>
      </c>
      <c r="I1486" s="1658" t="s">
        <v>570</v>
      </c>
      <c r="J1486" s="1655" t="s">
        <v>43</v>
      </c>
      <c r="K1486" s="1655" t="s">
        <v>569</v>
      </c>
      <c r="M1486" s="1655" t="s">
        <v>434</v>
      </c>
      <c r="N1486" s="1655" t="s">
        <v>1127</v>
      </c>
      <c r="O1486" s="1658" t="s">
        <v>570</v>
      </c>
      <c r="P1486" s="1655" t="s">
        <v>43</v>
      </c>
      <c r="Q1486" s="1655" t="s">
        <v>569</v>
      </c>
      <c r="S1486" s="1655" t="s">
        <v>434</v>
      </c>
      <c r="T1486" s="1655" t="s">
        <v>1127</v>
      </c>
      <c r="U1486" s="1658" t="s">
        <v>570</v>
      </c>
      <c r="V1486" s="1655" t="s">
        <v>43</v>
      </c>
      <c r="W1486" s="1655" t="s">
        <v>569</v>
      </c>
    </row>
    <row r="1487" spans="1:23">
      <c r="A1487" s="1655" t="s">
        <v>434</v>
      </c>
      <c r="B1487" s="1655" t="s">
        <v>1128</v>
      </c>
      <c r="C1487" s="1658" t="s">
        <v>570</v>
      </c>
      <c r="D1487" s="1655" t="s">
        <v>43</v>
      </c>
      <c r="E1487" s="1655" t="s">
        <v>569</v>
      </c>
      <c r="G1487" s="1655" t="s">
        <v>434</v>
      </c>
      <c r="H1487" s="1655" t="s">
        <v>1128</v>
      </c>
      <c r="I1487" s="1658" t="s">
        <v>570</v>
      </c>
      <c r="J1487" s="1655" t="s">
        <v>43</v>
      </c>
      <c r="K1487" s="1655" t="s">
        <v>569</v>
      </c>
      <c r="M1487" s="1655" t="s">
        <v>434</v>
      </c>
      <c r="N1487" s="1655" t="s">
        <v>1128</v>
      </c>
      <c r="O1487" s="1658" t="s">
        <v>570</v>
      </c>
      <c r="P1487" s="1655" t="s">
        <v>43</v>
      </c>
      <c r="Q1487" s="1655" t="s">
        <v>569</v>
      </c>
      <c r="S1487" s="1655" t="s">
        <v>434</v>
      </c>
      <c r="T1487" s="1655" t="s">
        <v>1128</v>
      </c>
      <c r="U1487" s="1658" t="s">
        <v>570</v>
      </c>
      <c r="V1487" s="1655" t="s">
        <v>43</v>
      </c>
      <c r="W1487" s="1655" t="s">
        <v>569</v>
      </c>
    </row>
    <row r="1488" spans="1:23">
      <c r="A1488" s="1655" t="s">
        <v>434</v>
      </c>
      <c r="B1488" s="1655" t="s">
        <v>1129</v>
      </c>
      <c r="C1488" s="1658" t="s">
        <v>570</v>
      </c>
      <c r="D1488" s="1655" t="s">
        <v>43</v>
      </c>
      <c r="E1488" s="1655" t="s">
        <v>569</v>
      </c>
      <c r="G1488" s="1655" t="s">
        <v>434</v>
      </c>
      <c r="H1488" s="1655" t="s">
        <v>1129</v>
      </c>
      <c r="I1488" s="1658" t="s">
        <v>570</v>
      </c>
      <c r="J1488" s="1655" t="s">
        <v>43</v>
      </c>
      <c r="K1488" s="1655" t="s">
        <v>569</v>
      </c>
      <c r="M1488" s="1655" t="s">
        <v>434</v>
      </c>
      <c r="N1488" s="1655" t="s">
        <v>1129</v>
      </c>
      <c r="O1488" s="1658" t="s">
        <v>570</v>
      </c>
      <c r="P1488" s="1655" t="s">
        <v>43</v>
      </c>
      <c r="Q1488" s="1655" t="s">
        <v>569</v>
      </c>
      <c r="S1488" s="1655" t="s">
        <v>434</v>
      </c>
      <c r="T1488" s="1655" t="s">
        <v>1129</v>
      </c>
      <c r="U1488" s="1658" t="s">
        <v>570</v>
      </c>
      <c r="V1488" s="1655" t="s">
        <v>43</v>
      </c>
      <c r="W1488" s="1655" t="s">
        <v>569</v>
      </c>
    </row>
    <row r="1489" spans="1:23">
      <c r="A1489" s="1655" t="s">
        <v>434</v>
      </c>
      <c r="B1489" s="1655" t="s">
        <v>1130</v>
      </c>
      <c r="C1489" s="1658" t="s">
        <v>570</v>
      </c>
      <c r="D1489" s="1655" t="s">
        <v>43</v>
      </c>
      <c r="E1489" s="1655" t="s">
        <v>569</v>
      </c>
      <c r="G1489" s="1655" t="s">
        <v>434</v>
      </c>
      <c r="H1489" s="1655" t="s">
        <v>1130</v>
      </c>
      <c r="I1489" s="1658" t="s">
        <v>570</v>
      </c>
      <c r="J1489" s="1655" t="s">
        <v>43</v>
      </c>
      <c r="K1489" s="1655" t="s">
        <v>569</v>
      </c>
      <c r="M1489" s="1655" t="s">
        <v>434</v>
      </c>
      <c r="N1489" s="1655" t="s">
        <v>1130</v>
      </c>
      <c r="O1489" s="1658" t="s">
        <v>570</v>
      </c>
      <c r="P1489" s="1655" t="s">
        <v>43</v>
      </c>
      <c r="Q1489" s="1655" t="s">
        <v>569</v>
      </c>
      <c r="S1489" s="1655" t="s">
        <v>434</v>
      </c>
      <c r="T1489" s="1655" t="s">
        <v>1130</v>
      </c>
      <c r="U1489" s="1658" t="s">
        <v>570</v>
      </c>
      <c r="V1489" s="1655" t="s">
        <v>43</v>
      </c>
      <c r="W1489" s="1655" t="s">
        <v>569</v>
      </c>
    </row>
    <row r="1490" spans="1:23">
      <c r="A1490" s="1655" t="s">
        <v>434</v>
      </c>
      <c r="B1490" s="1655" t="s">
        <v>1131</v>
      </c>
      <c r="C1490" s="1658" t="s">
        <v>570</v>
      </c>
      <c r="D1490" s="1655" t="s">
        <v>43</v>
      </c>
      <c r="E1490" s="1655" t="s">
        <v>569</v>
      </c>
      <c r="G1490" s="1655" t="s">
        <v>434</v>
      </c>
      <c r="H1490" s="1655" t="s">
        <v>1131</v>
      </c>
      <c r="I1490" s="1658" t="s">
        <v>570</v>
      </c>
      <c r="J1490" s="1655" t="s">
        <v>43</v>
      </c>
      <c r="K1490" s="1655" t="s">
        <v>569</v>
      </c>
      <c r="M1490" s="1655" t="s">
        <v>434</v>
      </c>
      <c r="N1490" s="1655" t="s">
        <v>1131</v>
      </c>
      <c r="O1490" s="1658" t="s">
        <v>570</v>
      </c>
      <c r="P1490" s="1655" t="s">
        <v>43</v>
      </c>
      <c r="Q1490" s="1655" t="s">
        <v>569</v>
      </c>
      <c r="S1490" s="1655" t="s">
        <v>434</v>
      </c>
      <c r="T1490" s="1655" t="s">
        <v>1131</v>
      </c>
      <c r="U1490" s="1658" t="s">
        <v>570</v>
      </c>
      <c r="V1490" s="1655" t="s">
        <v>43</v>
      </c>
      <c r="W1490" s="1655" t="s">
        <v>569</v>
      </c>
    </row>
    <row r="1491" spans="1:23">
      <c r="A1491" s="1655" t="s">
        <v>434</v>
      </c>
      <c r="B1491" s="1655" t="s">
        <v>1132</v>
      </c>
      <c r="C1491" s="1658" t="s">
        <v>570</v>
      </c>
      <c r="D1491" s="1655" t="s">
        <v>43</v>
      </c>
      <c r="E1491" s="1655" t="s">
        <v>569</v>
      </c>
      <c r="G1491" s="1655" t="s">
        <v>434</v>
      </c>
      <c r="H1491" s="1655" t="s">
        <v>1132</v>
      </c>
      <c r="I1491" s="1658" t="s">
        <v>570</v>
      </c>
      <c r="J1491" s="1655" t="s">
        <v>43</v>
      </c>
      <c r="K1491" s="1655" t="s">
        <v>569</v>
      </c>
      <c r="M1491" s="1655" t="s">
        <v>434</v>
      </c>
      <c r="N1491" s="1655" t="s">
        <v>1132</v>
      </c>
      <c r="O1491" s="1658" t="s">
        <v>570</v>
      </c>
      <c r="P1491" s="1655" t="s">
        <v>43</v>
      </c>
      <c r="Q1491" s="1655" t="s">
        <v>569</v>
      </c>
      <c r="S1491" s="1655" t="s">
        <v>434</v>
      </c>
      <c r="T1491" s="1655" t="s">
        <v>1132</v>
      </c>
      <c r="U1491" s="1658" t="s">
        <v>570</v>
      </c>
      <c r="V1491" s="1655" t="s">
        <v>43</v>
      </c>
      <c r="W1491" s="1655" t="s">
        <v>569</v>
      </c>
    </row>
    <row r="1492" spans="1:23">
      <c r="A1492" s="1655" t="s">
        <v>434</v>
      </c>
      <c r="B1492" s="1655" t="s">
        <v>1133</v>
      </c>
      <c r="C1492" s="1658" t="s">
        <v>570</v>
      </c>
      <c r="D1492" s="1655" t="s">
        <v>43</v>
      </c>
      <c r="E1492" s="1655" t="s">
        <v>569</v>
      </c>
      <c r="G1492" s="1655" t="s">
        <v>434</v>
      </c>
      <c r="H1492" s="1655" t="s">
        <v>1133</v>
      </c>
      <c r="I1492" s="1658" t="s">
        <v>570</v>
      </c>
      <c r="J1492" s="1655" t="s">
        <v>43</v>
      </c>
      <c r="K1492" s="1655" t="s">
        <v>569</v>
      </c>
      <c r="M1492" s="1655" t="s">
        <v>434</v>
      </c>
      <c r="N1492" s="1655" t="s">
        <v>1133</v>
      </c>
      <c r="O1492" s="1658" t="s">
        <v>570</v>
      </c>
      <c r="P1492" s="1655" t="s">
        <v>43</v>
      </c>
      <c r="Q1492" s="1655" t="s">
        <v>569</v>
      </c>
      <c r="S1492" s="1655" t="s">
        <v>434</v>
      </c>
      <c r="T1492" s="1655" t="s">
        <v>1133</v>
      </c>
      <c r="U1492" s="1658" t="s">
        <v>570</v>
      </c>
      <c r="V1492" s="1655" t="s">
        <v>43</v>
      </c>
      <c r="W1492" s="1655" t="s">
        <v>569</v>
      </c>
    </row>
    <row r="1493" spans="1:23">
      <c r="A1493" s="1655" t="s">
        <v>434</v>
      </c>
      <c r="B1493" s="1655" t="s">
        <v>1134</v>
      </c>
      <c r="C1493" s="1658" t="s">
        <v>570</v>
      </c>
      <c r="D1493" s="1655" t="s">
        <v>43</v>
      </c>
      <c r="E1493" s="1655" t="s">
        <v>569</v>
      </c>
      <c r="G1493" s="1655" t="s">
        <v>434</v>
      </c>
      <c r="H1493" s="1655" t="s">
        <v>1134</v>
      </c>
      <c r="I1493" s="1658" t="s">
        <v>570</v>
      </c>
      <c r="J1493" s="1655" t="s">
        <v>43</v>
      </c>
      <c r="K1493" s="1655" t="s">
        <v>569</v>
      </c>
      <c r="M1493" s="1655" t="s">
        <v>434</v>
      </c>
      <c r="N1493" s="1655" t="s">
        <v>1134</v>
      </c>
      <c r="O1493" s="1658" t="s">
        <v>570</v>
      </c>
      <c r="P1493" s="1655" t="s">
        <v>43</v>
      </c>
      <c r="Q1493" s="1655" t="s">
        <v>569</v>
      </c>
      <c r="S1493" s="1655" t="s">
        <v>434</v>
      </c>
      <c r="T1493" s="1655" t="s">
        <v>1134</v>
      </c>
      <c r="U1493" s="1658" t="s">
        <v>570</v>
      </c>
      <c r="V1493" s="1655" t="s">
        <v>43</v>
      </c>
      <c r="W1493" s="1655" t="s">
        <v>569</v>
      </c>
    </row>
    <row r="1494" spans="1:23">
      <c r="A1494" s="1655" t="s">
        <v>2497</v>
      </c>
      <c r="B1494" s="1655" t="s">
        <v>2646</v>
      </c>
      <c r="C1494" s="1660" t="s">
        <v>2369</v>
      </c>
      <c r="D1494" s="1655" t="s">
        <v>42</v>
      </c>
      <c r="E1494" s="1655" t="s">
        <v>569</v>
      </c>
      <c r="G1494" s="1655" t="s">
        <v>2497</v>
      </c>
      <c r="H1494" s="1655" t="s">
        <v>2646</v>
      </c>
      <c r="I1494" s="1656" t="s">
        <v>2369</v>
      </c>
      <c r="J1494" s="1655" t="s">
        <v>42</v>
      </c>
      <c r="K1494" s="1655" t="s">
        <v>569</v>
      </c>
      <c r="M1494" s="1655" t="s">
        <v>2497</v>
      </c>
      <c r="N1494" s="1655" t="s">
        <v>2646</v>
      </c>
      <c r="O1494" s="1656" t="s">
        <v>2369</v>
      </c>
      <c r="P1494" s="1655" t="s">
        <v>42</v>
      </c>
      <c r="Q1494" s="1655" t="s">
        <v>569</v>
      </c>
      <c r="S1494" s="1655" t="s">
        <v>2497</v>
      </c>
      <c r="T1494" s="1655" t="s">
        <v>2646</v>
      </c>
      <c r="U1494" s="1656" t="s">
        <v>2369</v>
      </c>
      <c r="V1494" s="1655" t="s">
        <v>42</v>
      </c>
      <c r="W1494" s="1655" t="s">
        <v>569</v>
      </c>
    </row>
    <row r="1495" spans="1:23">
      <c r="A1495" s="1655" t="s">
        <v>2497</v>
      </c>
      <c r="B1495" s="1655" t="s">
        <v>1231</v>
      </c>
      <c r="C1495" s="1656" t="s">
        <v>42</v>
      </c>
      <c r="D1495" s="1655" t="s">
        <v>42</v>
      </c>
      <c r="E1495" s="1655" t="s">
        <v>569</v>
      </c>
      <c r="G1495" s="1655" t="s">
        <v>2497</v>
      </c>
      <c r="H1495" s="1655" t="s">
        <v>1231</v>
      </c>
      <c r="I1495" s="1656" t="s">
        <v>43</v>
      </c>
      <c r="J1495" s="1655" t="s">
        <v>42</v>
      </c>
      <c r="K1495" s="1655" t="s">
        <v>569</v>
      </c>
      <c r="M1495" s="1655" t="s">
        <v>2497</v>
      </c>
      <c r="N1495" s="1655" t="s">
        <v>1231</v>
      </c>
      <c r="O1495" s="1656" t="s">
        <v>43</v>
      </c>
      <c r="P1495" s="1655" t="s">
        <v>42</v>
      </c>
      <c r="Q1495" s="1655" t="s">
        <v>569</v>
      </c>
      <c r="S1495" s="1655" t="s">
        <v>2497</v>
      </c>
      <c r="T1495" s="1655" t="s">
        <v>1231</v>
      </c>
      <c r="U1495" s="1656" t="s">
        <v>43</v>
      </c>
      <c r="V1495" s="1655" t="s">
        <v>42</v>
      </c>
      <c r="W1495" s="1655" t="s">
        <v>569</v>
      </c>
    </row>
    <row r="1496" spans="1:23">
      <c r="A1496" s="1655" t="s">
        <v>2497</v>
      </c>
      <c r="B1496" s="1655" t="s">
        <v>2193</v>
      </c>
      <c r="C1496" s="1659">
        <v>125</v>
      </c>
      <c r="D1496" s="1655" t="s">
        <v>42</v>
      </c>
      <c r="E1496" s="1655" t="s">
        <v>572</v>
      </c>
      <c r="G1496" s="1655" t="s">
        <v>2497</v>
      </c>
      <c r="H1496" s="1655" t="s">
        <v>2193</v>
      </c>
      <c r="I1496" s="1659">
        <v>125</v>
      </c>
      <c r="J1496" s="1655" t="s">
        <v>42</v>
      </c>
      <c r="K1496" s="1655" t="s">
        <v>572</v>
      </c>
      <c r="M1496" s="1655" t="s">
        <v>2497</v>
      </c>
      <c r="N1496" s="1655" t="s">
        <v>2193</v>
      </c>
      <c r="O1496" s="1656">
        <v>125</v>
      </c>
      <c r="P1496" s="1655" t="s">
        <v>42</v>
      </c>
      <c r="Q1496" s="1655" t="s">
        <v>572</v>
      </c>
      <c r="S1496" s="1655" t="s">
        <v>2497</v>
      </c>
      <c r="T1496" s="1655" t="s">
        <v>2193</v>
      </c>
      <c r="U1496" s="1656">
        <v>125</v>
      </c>
      <c r="V1496" s="1655" t="s">
        <v>42</v>
      </c>
      <c r="W1496" s="1655" t="s">
        <v>572</v>
      </c>
    </row>
    <row r="1497" spans="1:23">
      <c r="A1497" s="1655" t="s">
        <v>432</v>
      </c>
      <c r="B1497" s="1655" t="s">
        <v>1958</v>
      </c>
      <c r="C1497" s="2052">
        <v>0</v>
      </c>
      <c r="D1497" s="1655" t="s">
        <v>42</v>
      </c>
      <c r="E1497" s="1655" t="s">
        <v>80</v>
      </c>
      <c r="G1497" s="1655" t="s">
        <v>432</v>
      </c>
      <c r="H1497" s="1655" t="s">
        <v>1958</v>
      </c>
      <c r="I1497" s="2052">
        <v>0</v>
      </c>
      <c r="J1497" s="1655" t="s">
        <v>42</v>
      </c>
      <c r="K1497" s="1655" t="s">
        <v>80</v>
      </c>
      <c r="M1497" s="1655" t="s">
        <v>432</v>
      </c>
      <c r="N1497" s="1655" t="s">
        <v>1958</v>
      </c>
      <c r="O1497" s="1656">
        <v>0</v>
      </c>
      <c r="P1497" s="1655" t="s">
        <v>42</v>
      </c>
      <c r="Q1497" s="1655" t="s">
        <v>80</v>
      </c>
      <c r="S1497" s="1655" t="s">
        <v>432</v>
      </c>
      <c r="T1497" s="1655" t="s">
        <v>1958</v>
      </c>
      <c r="U1497" s="1656">
        <v>0</v>
      </c>
      <c r="V1497" s="1655" t="s">
        <v>42</v>
      </c>
      <c r="W1497" s="1655" t="s">
        <v>80</v>
      </c>
    </row>
    <row r="1498" spans="1:23">
      <c r="A1498" s="1655" t="s">
        <v>432</v>
      </c>
      <c r="B1498" s="1655" t="s">
        <v>980</v>
      </c>
      <c r="C1498" s="2052">
        <v>0</v>
      </c>
      <c r="D1498" s="1655" t="s">
        <v>42</v>
      </c>
      <c r="E1498" s="1655" t="s">
        <v>80</v>
      </c>
      <c r="G1498" s="1655" t="s">
        <v>432</v>
      </c>
      <c r="H1498" s="1655" t="s">
        <v>980</v>
      </c>
      <c r="I1498" s="2052">
        <v>0</v>
      </c>
      <c r="J1498" s="1655" t="s">
        <v>42</v>
      </c>
      <c r="K1498" s="1655" t="s">
        <v>80</v>
      </c>
      <c r="M1498" s="1655" t="s">
        <v>432</v>
      </c>
      <c r="N1498" s="1655" t="s">
        <v>980</v>
      </c>
      <c r="O1498" s="1656">
        <v>0</v>
      </c>
      <c r="P1498" s="1655" t="s">
        <v>42</v>
      </c>
      <c r="Q1498" s="1655" t="s">
        <v>80</v>
      </c>
      <c r="S1498" s="1655" t="s">
        <v>432</v>
      </c>
      <c r="T1498" s="1655" t="s">
        <v>980</v>
      </c>
      <c r="U1498" s="1656">
        <v>0</v>
      </c>
      <c r="V1498" s="1655" t="s">
        <v>42</v>
      </c>
      <c r="W1498" s="1655" t="s">
        <v>80</v>
      </c>
    </row>
    <row r="1499" spans="1:23">
      <c r="A1499" s="1655" t="s">
        <v>432</v>
      </c>
      <c r="B1499" s="1655" t="s">
        <v>625</v>
      </c>
      <c r="C1499" s="1656" t="s">
        <v>570</v>
      </c>
      <c r="D1499" s="1655" t="s">
        <v>43</v>
      </c>
      <c r="E1499" s="1655" t="s">
        <v>80</v>
      </c>
      <c r="G1499" s="1655" t="s">
        <v>432</v>
      </c>
      <c r="H1499" s="1655" t="s">
        <v>625</v>
      </c>
      <c r="I1499" s="1656" t="s">
        <v>570</v>
      </c>
      <c r="J1499" s="1655" t="s">
        <v>43</v>
      </c>
      <c r="K1499" s="1655" t="s">
        <v>80</v>
      </c>
      <c r="M1499" s="1655" t="s">
        <v>432</v>
      </c>
      <c r="N1499" s="1655" t="s">
        <v>625</v>
      </c>
      <c r="O1499" s="1656" t="s">
        <v>570</v>
      </c>
      <c r="P1499" s="1655" t="s">
        <v>43</v>
      </c>
      <c r="Q1499" s="1655" t="s">
        <v>80</v>
      </c>
      <c r="S1499" s="1655" t="s">
        <v>432</v>
      </c>
      <c r="T1499" s="1655" t="s">
        <v>625</v>
      </c>
      <c r="U1499" s="1656" t="s">
        <v>570</v>
      </c>
      <c r="V1499" s="1655" t="s">
        <v>43</v>
      </c>
      <c r="W1499" s="1655" t="s">
        <v>80</v>
      </c>
    </row>
    <row r="1500" spans="1:23">
      <c r="A1500" s="1655" t="s">
        <v>432</v>
      </c>
      <c r="B1500" s="1655" t="s">
        <v>626</v>
      </c>
      <c r="C1500" s="1656" t="s">
        <v>570</v>
      </c>
      <c r="D1500" s="1655" t="s">
        <v>43</v>
      </c>
      <c r="E1500" s="1655" t="s">
        <v>80</v>
      </c>
      <c r="G1500" s="1655" t="s">
        <v>432</v>
      </c>
      <c r="H1500" s="1655" t="s">
        <v>626</v>
      </c>
      <c r="I1500" s="1656" t="s">
        <v>570</v>
      </c>
      <c r="J1500" s="1655" t="s">
        <v>43</v>
      </c>
      <c r="K1500" s="1655" t="s">
        <v>80</v>
      </c>
      <c r="M1500" s="1655" t="s">
        <v>432</v>
      </c>
      <c r="N1500" s="1655" t="s">
        <v>626</v>
      </c>
      <c r="O1500" s="1656" t="s">
        <v>570</v>
      </c>
      <c r="P1500" s="1655" t="s">
        <v>43</v>
      </c>
      <c r="Q1500" s="1655" t="s">
        <v>80</v>
      </c>
      <c r="S1500" s="1655" t="s">
        <v>432</v>
      </c>
      <c r="T1500" s="1655" t="s">
        <v>626</v>
      </c>
      <c r="U1500" s="1656" t="s">
        <v>570</v>
      </c>
      <c r="V1500" s="1655" t="s">
        <v>43</v>
      </c>
      <c r="W1500" s="1655" t="s">
        <v>80</v>
      </c>
    </row>
    <row r="1501" spans="1:23">
      <c r="A1501" s="1655" t="s">
        <v>432</v>
      </c>
      <c r="B1501" s="1655" t="s">
        <v>627</v>
      </c>
      <c r="C1501" s="1656" t="s">
        <v>570</v>
      </c>
      <c r="D1501" s="1655" t="s">
        <v>43</v>
      </c>
      <c r="E1501" s="1655" t="s">
        <v>80</v>
      </c>
      <c r="G1501" s="1655" t="s">
        <v>432</v>
      </c>
      <c r="H1501" s="1655" t="s">
        <v>627</v>
      </c>
      <c r="I1501" s="1656" t="s">
        <v>570</v>
      </c>
      <c r="J1501" s="1655" t="s">
        <v>43</v>
      </c>
      <c r="K1501" s="1655" t="s">
        <v>80</v>
      </c>
      <c r="M1501" s="1655" t="s">
        <v>432</v>
      </c>
      <c r="N1501" s="1655" t="s">
        <v>627</v>
      </c>
      <c r="O1501" s="1656" t="s">
        <v>570</v>
      </c>
      <c r="P1501" s="1655" t="s">
        <v>43</v>
      </c>
      <c r="Q1501" s="1655" t="s">
        <v>80</v>
      </c>
      <c r="S1501" s="1655" t="s">
        <v>432</v>
      </c>
      <c r="T1501" s="1655" t="s">
        <v>627</v>
      </c>
      <c r="U1501" s="1656" t="s">
        <v>570</v>
      </c>
      <c r="V1501" s="1655" t="s">
        <v>43</v>
      </c>
      <c r="W1501" s="1655" t="s">
        <v>80</v>
      </c>
    </row>
    <row r="1502" spans="1:23">
      <c r="A1502" s="1655" t="s">
        <v>432</v>
      </c>
      <c r="B1502" s="1655" t="s">
        <v>628</v>
      </c>
      <c r="C1502" s="1656" t="s">
        <v>570</v>
      </c>
      <c r="D1502" s="1655" t="s">
        <v>43</v>
      </c>
      <c r="E1502" s="1655" t="s">
        <v>80</v>
      </c>
      <c r="G1502" s="1655" t="s">
        <v>432</v>
      </c>
      <c r="H1502" s="1655" t="s">
        <v>628</v>
      </c>
      <c r="I1502" s="1656" t="s">
        <v>570</v>
      </c>
      <c r="J1502" s="1655" t="s">
        <v>43</v>
      </c>
      <c r="K1502" s="1655" t="s">
        <v>80</v>
      </c>
      <c r="M1502" s="1655" t="s">
        <v>432</v>
      </c>
      <c r="N1502" s="1655" t="s">
        <v>628</v>
      </c>
      <c r="O1502" s="1656" t="s">
        <v>570</v>
      </c>
      <c r="P1502" s="1655" t="s">
        <v>43</v>
      </c>
      <c r="Q1502" s="1655" t="s">
        <v>80</v>
      </c>
      <c r="S1502" s="1655" t="s">
        <v>432</v>
      </c>
      <c r="T1502" s="1655" t="s">
        <v>628</v>
      </c>
      <c r="U1502" s="1656" t="s">
        <v>570</v>
      </c>
      <c r="V1502" s="1655" t="s">
        <v>43</v>
      </c>
      <c r="W1502" s="1655" t="s">
        <v>80</v>
      </c>
    </row>
    <row r="1503" spans="1:23">
      <c r="A1503" s="1655" t="s">
        <v>432</v>
      </c>
      <c r="B1503" s="1655" t="s">
        <v>1089</v>
      </c>
      <c r="C1503" s="1656" t="s">
        <v>570</v>
      </c>
      <c r="D1503" s="1655" t="s">
        <v>43</v>
      </c>
      <c r="E1503" s="1655" t="s">
        <v>80</v>
      </c>
      <c r="G1503" s="1655" t="s">
        <v>432</v>
      </c>
      <c r="H1503" s="1655" t="s">
        <v>1089</v>
      </c>
      <c r="I1503" s="1656" t="s">
        <v>570</v>
      </c>
      <c r="J1503" s="1655" t="s">
        <v>43</v>
      </c>
      <c r="K1503" s="1655" t="s">
        <v>80</v>
      </c>
      <c r="M1503" s="1655" t="s">
        <v>432</v>
      </c>
      <c r="N1503" s="1655" t="s">
        <v>1089</v>
      </c>
      <c r="O1503" s="1656" t="s">
        <v>570</v>
      </c>
      <c r="P1503" s="1655" t="s">
        <v>43</v>
      </c>
      <c r="Q1503" s="1655" t="s">
        <v>80</v>
      </c>
      <c r="S1503" s="1655" t="s">
        <v>432</v>
      </c>
      <c r="T1503" s="1655" t="s">
        <v>1089</v>
      </c>
      <c r="U1503" s="1656" t="s">
        <v>570</v>
      </c>
      <c r="V1503" s="1655" t="s">
        <v>43</v>
      </c>
      <c r="W1503" s="1655" t="s">
        <v>80</v>
      </c>
    </row>
    <row r="1504" spans="1:23">
      <c r="A1504" s="1655" t="s">
        <v>432</v>
      </c>
      <c r="B1504" s="1655" t="s">
        <v>981</v>
      </c>
      <c r="C1504" s="1656" t="s">
        <v>570</v>
      </c>
      <c r="D1504" s="1655" t="s">
        <v>43</v>
      </c>
      <c r="E1504" s="1655" t="s">
        <v>80</v>
      </c>
      <c r="G1504" s="1655" t="s">
        <v>432</v>
      </c>
      <c r="H1504" s="1655" t="s">
        <v>981</v>
      </c>
      <c r="I1504" s="1656" t="s">
        <v>570</v>
      </c>
      <c r="J1504" s="1655" t="s">
        <v>43</v>
      </c>
      <c r="K1504" s="1655" t="s">
        <v>80</v>
      </c>
      <c r="M1504" s="1655" t="s">
        <v>432</v>
      </c>
      <c r="N1504" s="1655" t="s">
        <v>981</v>
      </c>
      <c r="O1504" s="1656" t="s">
        <v>570</v>
      </c>
      <c r="P1504" s="1655" t="s">
        <v>43</v>
      </c>
      <c r="Q1504" s="1655" t="s">
        <v>80</v>
      </c>
      <c r="S1504" s="1655" t="s">
        <v>432</v>
      </c>
      <c r="T1504" s="1655" t="s">
        <v>981</v>
      </c>
      <c r="U1504" s="1656" t="s">
        <v>570</v>
      </c>
      <c r="V1504" s="1655" t="s">
        <v>43</v>
      </c>
      <c r="W1504" s="1655" t="s">
        <v>80</v>
      </c>
    </row>
    <row r="1505" spans="1:23">
      <c r="A1505" s="1655" t="s">
        <v>432</v>
      </c>
      <c r="B1505" s="1655" t="s">
        <v>982</v>
      </c>
      <c r="C1505" s="1656" t="s">
        <v>570</v>
      </c>
      <c r="D1505" s="1655" t="s">
        <v>43</v>
      </c>
      <c r="E1505" s="1655" t="s">
        <v>80</v>
      </c>
      <c r="G1505" s="1655" t="s">
        <v>432</v>
      </c>
      <c r="H1505" s="1655" t="s">
        <v>982</v>
      </c>
      <c r="I1505" s="1656" t="s">
        <v>570</v>
      </c>
      <c r="J1505" s="1655" t="s">
        <v>43</v>
      </c>
      <c r="K1505" s="1655" t="s">
        <v>80</v>
      </c>
      <c r="M1505" s="1655" t="s">
        <v>432</v>
      </c>
      <c r="N1505" s="1655" t="s">
        <v>982</v>
      </c>
      <c r="O1505" s="1656" t="s">
        <v>570</v>
      </c>
      <c r="P1505" s="1655" t="s">
        <v>43</v>
      </c>
      <c r="Q1505" s="1655" t="s">
        <v>80</v>
      </c>
      <c r="S1505" s="1655" t="s">
        <v>432</v>
      </c>
      <c r="T1505" s="1655" t="s">
        <v>982</v>
      </c>
      <c r="U1505" s="1656" t="s">
        <v>570</v>
      </c>
      <c r="V1505" s="1655" t="s">
        <v>43</v>
      </c>
      <c r="W1505" s="1655" t="s">
        <v>80</v>
      </c>
    </row>
    <row r="1506" spans="1:23">
      <c r="A1506" s="1655" t="s">
        <v>432</v>
      </c>
      <c r="B1506" s="1655" t="s">
        <v>629</v>
      </c>
      <c r="C1506" s="1656" t="s">
        <v>570</v>
      </c>
      <c r="D1506" s="1655" t="s">
        <v>43</v>
      </c>
      <c r="E1506" s="1655" t="s">
        <v>80</v>
      </c>
      <c r="G1506" s="1655" t="s">
        <v>432</v>
      </c>
      <c r="H1506" s="1655" t="s">
        <v>629</v>
      </c>
      <c r="I1506" s="1656" t="s">
        <v>570</v>
      </c>
      <c r="J1506" s="1655" t="s">
        <v>43</v>
      </c>
      <c r="K1506" s="1655" t="s">
        <v>80</v>
      </c>
      <c r="M1506" s="1655" t="s">
        <v>432</v>
      </c>
      <c r="N1506" s="1655" t="s">
        <v>629</v>
      </c>
      <c r="O1506" s="1656" t="s">
        <v>570</v>
      </c>
      <c r="P1506" s="1655" t="s">
        <v>43</v>
      </c>
      <c r="Q1506" s="1655" t="s">
        <v>80</v>
      </c>
      <c r="S1506" s="1655" t="s">
        <v>432</v>
      </c>
      <c r="T1506" s="1655" t="s">
        <v>629</v>
      </c>
      <c r="U1506" s="1656" t="s">
        <v>570</v>
      </c>
      <c r="V1506" s="1655" t="s">
        <v>43</v>
      </c>
      <c r="W1506" s="1655" t="s">
        <v>80</v>
      </c>
    </row>
    <row r="1507" spans="1:23">
      <c r="A1507" s="1655" t="s">
        <v>432</v>
      </c>
      <c r="B1507" s="1655" t="s">
        <v>630</v>
      </c>
      <c r="C1507" s="1656" t="s">
        <v>570</v>
      </c>
      <c r="D1507" s="1655" t="s">
        <v>43</v>
      </c>
      <c r="E1507" s="1655" t="s">
        <v>80</v>
      </c>
      <c r="G1507" s="1655" t="s">
        <v>432</v>
      </c>
      <c r="H1507" s="1655" t="s">
        <v>630</v>
      </c>
      <c r="I1507" s="1656" t="s">
        <v>570</v>
      </c>
      <c r="J1507" s="1655" t="s">
        <v>43</v>
      </c>
      <c r="K1507" s="1655" t="s">
        <v>80</v>
      </c>
      <c r="M1507" s="1655" t="s">
        <v>432</v>
      </c>
      <c r="N1507" s="1655" t="s">
        <v>630</v>
      </c>
      <c r="O1507" s="1656" t="s">
        <v>570</v>
      </c>
      <c r="P1507" s="1655" t="s">
        <v>43</v>
      </c>
      <c r="Q1507" s="1655" t="s">
        <v>80</v>
      </c>
      <c r="S1507" s="1655" t="s">
        <v>432</v>
      </c>
      <c r="T1507" s="1655" t="s">
        <v>630</v>
      </c>
      <c r="U1507" s="1656" t="s">
        <v>570</v>
      </c>
      <c r="V1507" s="1655" t="s">
        <v>43</v>
      </c>
      <c r="W1507" s="1655" t="s">
        <v>80</v>
      </c>
    </row>
    <row r="1508" spans="1:23">
      <c r="A1508" s="1655" t="s">
        <v>432</v>
      </c>
      <c r="B1508" s="1655" t="s">
        <v>631</v>
      </c>
      <c r="C1508" s="1656" t="s">
        <v>570</v>
      </c>
      <c r="D1508" s="1655" t="s">
        <v>43</v>
      </c>
      <c r="E1508" s="1655" t="s">
        <v>80</v>
      </c>
      <c r="G1508" s="1655" t="s">
        <v>432</v>
      </c>
      <c r="H1508" s="1655" t="s">
        <v>631</v>
      </c>
      <c r="I1508" s="1656" t="s">
        <v>570</v>
      </c>
      <c r="J1508" s="1655" t="s">
        <v>43</v>
      </c>
      <c r="K1508" s="1655" t="s">
        <v>80</v>
      </c>
      <c r="M1508" s="1655" t="s">
        <v>432</v>
      </c>
      <c r="N1508" s="1655" t="s">
        <v>631</v>
      </c>
      <c r="O1508" s="1656" t="s">
        <v>570</v>
      </c>
      <c r="P1508" s="1655" t="s">
        <v>43</v>
      </c>
      <c r="Q1508" s="1655" t="s">
        <v>80</v>
      </c>
      <c r="S1508" s="1655" t="s">
        <v>432</v>
      </c>
      <c r="T1508" s="1655" t="s">
        <v>631</v>
      </c>
      <c r="U1508" s="1656" t="s">
        <v>570</v>
      </c>
      <c r="V1508" s="1655" t="s">
        <v>43</v>
      </c>
      <c r="W1508" s="1655" t="s">
        <v>80</v>
      </c>
    </row>
    <row r="1509" spans="1:23">
      <c r="A1509" s="1655" t="s">
        <v>432</v>
      </c>
      <c r="B1509" s="1655" t="s">
        <v>632</v>
      </c>
      <c r="C1509" s="1656" t="s">
        <v>570</v>
      </c>
      <c r="D1509" s="1655" t="s">
        <v>43</v>
      </c>
      <c r="E1509" s="1655" t="s">
        <v>80</v>
      </c>
      <c r="G1509" s="1655" t="s">
        <v>432</v>
      </c>
      <c r="H1509" s="1655" t="s">
        <v>632</v>
      </c>
      <c r="I1509" s="1656" t="s">
        <v>570</v>
      </c>
      <c r="J1509" s="1655" t="s">
        <v>43</v>
      </c>
      <c r="K1509" s="1655" t="s">
        <v>80</v>
      </c>
      <c r="M1509" s="1655" t="s">
        <v>432</v>
      </c>
      <c r="N1509" s="1655" t="s">
        <v>632</v>
      </c>
      <c r="O1509" s="1656" t="s">
        <v>570</v>
      </c>
      <c r="P1509" s="1655" t="s">
        <v>43</v>
      </c>
      <c r="Q1509" s="1655" t="s">
        <v>80</v>
      </c>
      <c r="S1509" s="1655" t="s">
        <v>432</v>
      </c>
      <c r="T1509" s="1655" t="s">
        <v>632</v>
      </c>
      <c r="U1509" s="1656" t="s">
        <v>570</v>
      </c>
      <c r="V1509" s="1655" t="s">
        <v>43</v>
      </c>
      <c r="W1509" s="1655" t="s">
        <v>80</v>
      </c>
    </row>
    <row r="1510" spans="1:23">
      <c r="A1510" s="1655" t="s">
        <v>432</v>
      </c>
      <c r="B1510" s="1655" t="s">
        <v>1140</v>
      </c>
      <c r="C1510" s="1656">
        <v>0</v>
      </c>
      <c r="D1510" s="1655" t="s">
        <v>42</v>
      </c>
      <c r="E1510" s="1655" t="s">
        <v>571</v>
      </c>
      <c r="G1510" s="1655" t="s">
        <v>432</v>
      </c>
      <c r="H1510" s="1655" t="s">
        <v>1140</v>
      </c>
      <c r="I1510" s="1656">
        <v>0</v>
      </c>
      <c r="J1510" s="1655" t="s">
        <v>42</v>
      </c>
      <c r="K1510" s="1655" t="s">
        <v>571</v>
      </c>
      <c r="M1510" s="1655" t="s">
        <v>432</v>
      </c>
      <c r="N1510" s="1655" t="s">
        <v>1140</v>
      </c>
      <c r="O1510" s="1656">
        <v>0</v>
      </c>
      <c r="P1510" s="1655" t="s">
        <v>42</v>
      </c>
      <c r="Q1510" s="1655" t="s">
        <v>571</v>
      </c>
      <c r="S1510" s="1655" t="s">
        <v>432</v>
      </c>
      <c r="T1510" s="1655" t="s">
        <v>1140</v>
      </c>
      <c r="U1510" s="1656">
        <v>0</v>
      </c>
      <c r="V1510" s="1655" t="s">
        <v>42</v>
      </c>
      <c r="W1510" s="1655" t="s">
        <v>571</v>
      </c>
    </row>
    <row r="1511" spans="1:23">
      <c r="A1511" s="1655" t="s">
        <v>432</v>
      </c>
      <c r="B1511" s="1655" t="s">
        <v>645</v>
      </c>
      <c r="C1511" s="1656">
        <v>0</v>
      </c>
      <c r="D1511" s="1655" t="s">
        <v>42</v>
      </c>
      <c r="E1511" s="1655" t="s">
        <v>571</v>
      </c>
      <c r="G1511" s="1655" t="s">
        <v>432</v>
      </c>
      <c r="H1511" s="1655" t="s">
        <v>645</v>
      </c>
      <c r="I1511" s="1656">
        <v>0</v>
      </c>
      <c r="J1511" s="1655" t="s">
        <v>42</v>
      </c>
      <c r="K1511" s="1655" t="s">
        <v>571</v>
      </c>
      <c r="M1511" s="1655" t="s">
        <v>432</v>
      </c>
      <c r="N1511" s="1655" t="s">
        <v>645</v>
      </c>
      <c r="O1511" s="1656">
        <v>0</v>
      </c>
      <c r="P1511" s="1655" t="s">
        <v>42</v>
      </c>
      <c r="Q1511" s="1655" t="s">
        <v>571</v>
      </c>
      <c r="S1511" s="1655" t="s">
        <v>432</v>
      </c>
      <c r="T1511" s="1655" t="s">
        <v>645</v>
      </c>
      <c r="U1511" s="1656">
        <v>0</v>
      </c>
      <c r="V1511" s="1655" t="s">
        <v>42</v>
      </c>
      <c r="W1511" s="1655" t="s">
        <v>571</v>
      </c>
    </row>
    <row r="1512" spans="1:23">
      <c r="A1512" s="1655" t="s">
        <v>432</v>
      </c>
      <c r="B1512" s="1655" t="s">
        <v>646</v>
      </c>
      <c r="C1512" s="1656">
        <v>0</v>
      </c>
      <c r="D1512" s="1655" t="s">
        <v>42</v>
      </c>
      <c r="E1512" s="1655" t="s">
        <v>571</v>
      </c>
      <c r="G1512" s="1655" t="s">
        <v>432</v>
      </c>
      <c r="H1512" s="1655" t="s">
        <v>646</v>
      </c>
      <c r="I1512" s="1656">
        <v>0</v>
      </c>
      <c r="J1512" s="1655" t="s">
        <v>42</v>
      </c>
      <c r="K1512" s="1655" t="s">
        <v>571</v>
      </c>
      <c r="M1512" s="1655" t="s">
        <v>432</v>
      </c>
      <c r="N1512" s="1655" t="s">
        <v>646</v>
      </c>
      <c r="O1512" s="1656">
        <v>0</v>
      </c>
      <c r="P1512" s="1655" t="s">
        <v>42</v>
      </c>
      <c r="Q1512" s="1655" t="s">
        <v>571</v>
      </c>
      <c r="S1512" s="1655" t="s">
        <v>432</v>
      </c>
      <c r="T1512" s="1655" t="s">
        <v>646</v>
      </c>
      <c r="U1512" s="1656">
        <v>0</v>
      </c>
      <c r="V1512" s="1655" t="s">
        <v>42</v>
      </c>
      <c r="W1512" s="1655" t="s">
        <v>571</v>
      </c>
    </row>
    <row r="1513" spans="1:23">
      <c r="A1513" s="1655" t="s">
        <v>432</v>
      </c>
      <c r="B1513" s="1655" t="s">
        <v>647</v>
      </c>
      <c r="C1513" s="1656">
        <v>0</v>
      </c>
      <c r="D1513" s="1655" t="s">
        <v>42</v>
      </c>
      <c r="E1513" s="1655" t="s">
        <v>571</v>
      </c>
      <c r="G1513" s="1655" t="s">
        <v>432</v>
      </c>
      <c r="H1513" s="1655" t="s">
        <v>647</v>
      </c>
      <c r="I1513" s="1656">
        <v>0</v>
      </c>
      <c r="J1513" s="1655" t="s">
        <v>42</v>
      </c>
      <c r="K1513" s="1655" t="s">
        <v>571</v>
      </c>
      <c r="M1513" s="1655" t="s">
        <v>432</v>
      </c>
      <c r="N1513" s="1655" t="s">
        <v>647</v>
      </c>
      <c r="O1513" s="1656">
        <v>0</v>
      </c>
      <c r="P1513" s="1655" t="s">
        <v>42</v>
      </c>
      <c r="Q1513" s="1655" t="s">
        <v>571</v>
      </c>
      <c r="S1513" s="1655" t="s">
        <v>432</v>
      </c>
      <c r="T1513" s="1655" t="s">
        <v>647</v>
      </c>
      <c r="U1513" s="1656">
        <v>0</v>
      </c>
      <c r="V1513" s="1655" t="s">
        <v>42</v>
      </c>
      <c r="W1513" s="1655" t="s">
        <v>571</v>
      </c>
    </row>
    <row r="1514" spans="1:23">
      <c r="A1514" s="1655" t="s">
        <v>432</v>
      </c>
      <c r="B1514" s="1655" t="s">
        <v>648</v>
      </c>
      <c r="C1514" s="1656">
        <v>0</v>
      </c>
      <c r="D1514" s="1655" t="s">
        <v>42</v>
      </c>
      <c r="E1514" s="1655" t="s">
        <v>571</v>
      </c>
      <c r="G1514" s="1655" t="s">
        <v>432</v>
      </c>
      <c r="H1514" s="1655" t="s">
        <v>648</v>
      </c>
      <c r="I1514" s="1656">
        <v>0</v>
      </c>
      <c r="J1514" s="1655" t="s">
        <v>42</v>
      </c>
      <c r="K1514" s="1655" t="s">
        <v>571</v>
      </c>
      <c r="M1514" s="1655" t="s">
        <v>432</v>
      </c>
      <c r="N1514" s="1655" t="s">
        <v>648</v>
      </c>
      <c r="O1514" s="1656">
        <v>0</v>
      </c>
      <c r="P1514" s="1655" t="s">
        <v>42</v>
      </c>
      <c r="Q1514" s="1655" t="s">
        <v>571</v>
      </c>
      <c r="S1514" s="1655" t="s">
        <v>432</v>
      </c>
      <c r="T1514" s="1655" t="s">
        <v>648</v>
      </c>
      <c r="U1514" s="1656">
        <v>0</v>
      </c>
      <c r="V1514" s="1655" t="s">
        <v>42</v>
      </c>
      <c r="W1514" s="1655" t="s">
        <v>571</v>
      </c>
    </row>
    <row r="1515" spans="1:23">
      <c r="A1515" s="1655" t="s">
        <v>432</v>
      </c>
      <c r="B1515" s="1655" t="s">
        <v>1141</v>
      </c>
      <c r="C1515" s="1656">
        <v>0</v>
      </c>
      <c r="D1515" s="1655" t="s">
        <v>42</v>
      </c>
      <c r="E1515" s="1655" t="s">
        <v>571</v>
      </c>
      <c r="G1515" s="1655" t="s">
        <v>432</v>
      </c>
      <c r="H1515" s="1655" t="s">
        <v>1141</v>
      </c>
      <c r="I1515" s="1656">
        <v>0</v>
      </c>
      <c r="J1515" s="1655" t="s">
        <v>42</v>
      </c>
      <c r="K1515" s="1655" t="s">
        <v>571</v>
      </c>
      <c r="M1515" s="1655" t="s">
        <v>432</v>
      </c>
      <c r="N1515" s="1655" t="s">
        <v>1141</v>
      </c>
      <c r="O1515" s="1656">
        <v>0</v>
      </c>
      <c r="P1515" s="1655" t="s">
        <v>42</v>
      </c>
      <c r="Q1515" s="1655" t="s">
        <v>571</v>
      </c>
      <c r="S1515" s="1655" t="s">
        <v>432</v>
      </c>
      <c r="T1515" s="1655" t="s">
        <v>1141</v>
      </c>
      <c r="U1515" s="1656">
        <v>0</v>
      </c>
      <c r="V1515" s="1655" t="s">
        <v>42</v>
      </c>
      <c r="W1515" s="1655" t="s">
        <v>571</v>
      </c>
    </row>
    <row r="1516" spans="1:23">
      <c r="A1516" s="1655" t="s">
        <v>432</v>
      </c>
      <c r="B1516" s="1655" t="s">
        <v>1142</v>
      </c>
      <c r="C1516" s="1656">
        <v>0</v>
      </c>
      <c r="D1516" s="1655" t="s">
        <v>42</v>
      </c>
      <c r="E1516" s="1655" t="s">
        <v>571</v>
      </c>
      <c r="G1516" s="1655" t="s">
        <v>432</v>
      </c>
      <c r="H1516" s="1655" t="s">
        <v>1142</v>
      </c>
      <c r="I1516" s="1656">
        <v>0</v>
      </c>
      <c r="J1516" s="1655" t="s">
        <v>42</v>
      </c>
      <c r="K1516" s="1655" t="s">
        <v>571</v>
      </c>
      <c r="M1516" s="1655" t="s">
        <v>432</v>
      </c>
      <c r="N1516" s="1655" t="s">
        <v>1142</v>
      </c>
      <c r="O1516" s="1656">
        <v>0</v>
      </c>
      <c r="P1516" s="1655" t="s">
        <v>42</v>
      </c>
      <c r="Q1516" s="1655" t="s">
        <v>571</v>
      </c>
      <c r="S1516" s="1655" t="s">
        <v>432</v>
      </c>
      <c r="T1516" s="1655" t="s">
        <v>1142</v>
      </c>
      <c r="U1516" s="1656">
        <v>0</v>
      </c>
      <c r="V1516" s="1655" t="s">
        <v>42</v>
      </c>
      <c r="W1516" s="1655" t="s">
        <v>571</v>
      </c>
    </row>
    <row r="1517" spans="1:23">
      <c r="A1517" s="1655" t="s">
        <v>432</v>
      </c>
      <c r="B1517" s="1655" t="s">
        <v>1143</v>
      </c>
      <c r="C1517" s="1656">
        <v>0</v>
      </c>
      <c r="D1517" s="1655" t="s">
        <v>42</v>
      </c>
      <c r="E1517" s="1655" t="s">
        <v>571</v>
      </c>
      <c r="G1517" s="1655" t="s">
        <v>432</v>
      </c>
      <c r="H1517" s="1655" t="s">
        <v>1143</v>
      </c>
      <c r="I1517" s="1656">
        <v>0</v>
      </c>
      <c r="J1517" s="1655" t="s">
        <v>42</v>
      </c>
      <c r="K1517" s="1655" t="s">
        <v>571</v>
      </c>
      <c r="M1517" s="1655" t="s">
        <v>432</v>
      </c>
      <c r="N1517" s="1655" t="s">
        <v>1143</v>
      </c>
      <c r="O1517" s="1656">
        <v>0</v>
      </c>
      <c r="P1517" s="1655" t="s">
        <v>42</v>
      </c>
      <c r="Q1517" s="1655" t="s">
        <v>571</v>
      </c>
      <c r="S1517" s="1655" t="s">
        <v>432</v>
      </c>
      <c r="T1517" s="1655" t="s">
        <v>1143</v>
      </c>
      <c r="U1517" s="1656">
        <v>0</v>
      </c>
      <c r="V1517" s="1655" t="s">
        <v>42</v>
      </c>
      <c r="W1517" s="1655" t="s">
        <v>571</v>
      </c>
    </row>
    <row r="1518" spans="1:23">
      <c r="A1518" s="1655" t="s">
        <v>432</v>
      </c>
      <c r="B1518" s="1655" t="s">
        <v>649</v>
      </c>
      <c r="C1518" s="1656">
        <v>0</v>
      </c>
      <c r="D1518" s="1655" t="s">
        <v>42</v>
      </c>
      <c r="E1518" s="1655" t="s">
        <v>571</v>
      </c>
      <c r="G1518" s="1655" t="s">
        <v>432</v>
      </c>
      <c r="H1518" s="1655" t="s">
        <v>649</v>
      </c>
      <c r="I1518" s="1656">
        <v>0</v>
      </c>
      <c r="J1518" s="1655" t="s">
        <v>42</v>
      </c>
      <c r="K1518" s="1655" t="s">
        <v>571</v>
      </c>
      <c r="M1518" s="1655" t="s">
        <v>432</v>
      </c>
      <c r="N1518" s="1655" t="s">
        <v>649</v>
      </c>
      <c r="O1518" s="1656">
        <v>0</v>
      </c>
      <c r="P1518" s="1655" t="s">
        <v>42</v>
      </c>
      <c r="Q1518" s="1655" t="s">
        <v>571</v>
      </c>
      <c r="S1518" s="1655" t="s">
        <v>432</v>
      </c>
      <c r="T1518" s="1655" t="s">
        <v>649</v>
      </c>
      <c r="U1518" s="1656">
        <v>0</v>
      </c>
      <c r="V1518" s="1655" t="s">
        <v>42</v>
      </c>
      <c r="W1518" s="1655" t="s">
        <v>571</v>
      </c>
    </row>
    <row r="1519" spans="1:23">
      <c r="A1519" s="1655" t="s">
        <v>432</v>
      </c>
      <c r="B1519" s="1655" t="s">
        <v>650</v>
      </c>
      <c r="C1519" s="1656">
        <v>0</v>
      </c>
      <c r="D1519" s="1655" t="s">
        <v>42</v>
      </c>
      <c r="E1519" s="1655" t="s">
        <v>571</v>
      </c>
      <c r="G1519" s="1655" t="s">
        <v>432</v>
      </c>
      <c r="H1519" s="1655" t="s">
        <v>650</v>
      </c>
      <c r="I1519" s="1656">
        <v>0</v>
      </c>
      <c r="J1519" s="1655" t="s">
        <v>42</v>
      </c>
      <c r="K1519" s="1655" t="s">
        <v>571</v>
      </c>
      <c r="M1519" s="1655" t="s">
        <v>432</v>
      </c>
      <c r="N1519" s="1655" t="s">
        <v>650</v>
      </c>
      <c r="O1519" s="1656">
        <v>0</v>
      </c>
      <c r="P1519" s="1655" t="s">
        <v>42</v>
      </c>
      <c r="Q1519" s="1655" t="s">
        <v>571</v>
      </c>
      <c r="S1519" s="1655" t="s">
        <v>432</v>
      </c>
      <c r="T1519" s="1655" t="s">
        <v>650</v>
      </c>
      <c r="U1519" s="1656">
        <v>0</v>
      </c>
      <c r="V1519" s="1655" t="s">
        <v>42</v>
      </c>
      <c r="W1519" s="1655" t="s">
        <v>571</v>
      </c>
    </row>
    <row r="1520" spans="1:23">
      <c r="A1520" s="1655" t="s">
        <v>432</v>
      </c>
      <c r="B1520" s="1655" t="s">
        <v>651</v>
      </c>
      <c r="C1520" s="1656">
        <v>0</v>
      </c>
      <c r="D1520" s="1655" t="s">
        <v>42</v>
      </c>
      <c r="E1520" s="1655" t="s">
        <v>571</v>
      </c>
      <c r="G1520" s="1655" t="s">
        <v>432</v>
      </c>
      <c r="H1520" s="1655" t="s">
        <v>651</v>
      </c>
      <c r="I1520" s="1655">
        <v>0</v>
      </c>
      <c r="J1520" s="1655" t="s">
        <v>42</v>
      </c>
      <c r="K1520" s="1655" t="s">
        <v>571</v>
      </c>
      <c r="M1520" s="1655" t="s">
        <v>432</v>
      </c>
      <c r="N1520" s="1655" t="s">
        <v>651</v>
      </c>
      <c r="O1520" s="1655">
        <v>0</v>
      </c>
      <c r="P1520" s="1655" t="s">
        <v>42</v>
      </c>
      <c r="Q1520" s="1655" t="s">
        <v>571</v>
      </c>
      <c r="S1520" s="1655" t="s">
        <v>432</v>
      </c>
      <c r="T1520" s="1655" t="s">
        <v>651</v>
      </c>
      <c r="U1520" s="1656">
        <v>0</v>
      </c>
      <c r="V1520" s="1655" t="s">
        <v>42</v>
      </c>
      <c r="W1520" s="1655" t="s">
        <v>571</v>
      </c>
    </row>
    <row r="1521" spans="1:23">
      <c r="A1521" s="1655" t="s">
        <v>432</v>
      </c>
      <c r="B1521" s="1655" t="s">
        <v>652</v>
      </c>
      <c r="C1521" s="1656">
        <v>0</v>
      </c>
      <c r="D1521" s="1655" t="s">
        <v>42</v>
      </c>
      <c r="E1521" s="1655" t="s">
        <v>571</v>
      </c>
      <c r="G1521" s="1655" t="s">
        <v>432</v>
      </c>
      <c r="H1521" s="1655" t="s">
        <v>652</v>
      </c>
      <c r="I1521" s="1655">
        <v>0</v>
      </c>
      <c r="J1521" s="1655" t="s">
        <v>42</v>
      </c>
      <c r="K1521" s="1655" t="s">
        <v>571</v>
      </c>
      <c r="M1521" s="1655" t="s">
        <v>432</v>
      </c>
      <c r="N1521" s="1655" t="s">
        <v>652</v>
      </c>
      <c r="O1521" s="1655">
        <v>0</v>
      </c>
      <c r="P1521" s="1655" t="s">
        <v>42</v>
      </c>
      <c r="Q1521" s="1655" t="s">
        <v>571</v>
      </c>
      <c r="S1521" s="1655" t="s">
        <v>432</v>
      </c>
      <c r="T1521" s="1655" t="s">
        <v>652</v>
      </c>
      <c r="U1521" s="1656">
        <v>0</v>
      </c>
      <c r="V1521" s="1655" t="s">
        <v>42</v>
      </c>
      <c r="W1521" s="1655" t="s">
        <v>571</v>
      </c>
    </row>
    <row r="1522" spans="1:23">
      <c r="A1522" s="1655" t="s">
        <v>432</v>
      </c>
      <c r="B1522" s="1655" t="s">
        <v>2060</v>
      </c>
      <c r="C1522" s="1656">
        <v>0</v>
      </c>
      <c r="D1522" s="1655" t="s">
        <v>42</v>
      </c>
      <c r="E1522" s="1655" t="s">
        <v>571</v>
      </c>
      <c r="G1522" s="1655" t="s">
        <v>432</v>
      </c>
      <c r="H1522" s="1655" t="s">
        <v>2060</v>
      </c>
      <c r="I1522" s="1655">
        <v>0</v>
      </c>
      <c r="J1522" s="1655" t="s">
        <v>42</v>
      </c>
      <c r="K1522" s="1655" t="s">
        <v>571</v>
      </c>
      <c r="M1522" s="1655" t="s">
        <v>432</v>
      </c>
      <c r="N1522" s="1655" t="s">
        <v>2060</v>
      </c>
      <c r="O1522" s="1655">
        <v>0</v>
      </c>
      <c r="P1522" s="1655" t="s">
        <v>42</v>
      </c>
      <c r="Q1522" s="1655" t="s">
        <v>571</v>
      </c>
      <c r="S1522" s="1655" t="s">
        <v>432</v>
      </c>
      <c r="T1522" s="1655" t="s">
        <v>2060</v>
      </c>
      <c r="U1522" s="1656">
        <v>0</v>
      </c>
      <c r="V1522" s="1655" t="s">
        <v>42</v>
      </c>
      <c r="W1522" s="1655" t="s">
        <v>571</v>
      </c>
    </row>
    <row r="1523" spans="1:23">
      <c r="A1523" s="1655" t="s">
        <v>432</v>
      </c>
      <c r="B1523" s="1655" t="s">
        <v>666</v>
      </c>
      <c r="C1523" s="1656">
        <v>0</v>
      </c>
      <c r="D1523" s="1655" t="s">
        <v>42</v>
      </c>
      <c r="E1523" s="1655" t="s">
        <v>571</v>
      </c>
      <c r="G1523" s="1655" t="s">
        <v>432</v>
      </c>
      <c r="H1523" s="1655" t="s">
        <v>666</v>
      </c>
      <c r="I1523" s="1655">
        <v>0</v>
      </c>
      <c r="J1523" s="1655" t="s">
        <v>42</v>
      </c>
      <c r="K1523" s="1655" t="s">
        <v>571</v>
      </c>
      <c r="M1523" s="1655" t="s">
        <v>432</v>
      </c>
      <c r="N1523" s="1655" t="s">
        <v>666</v>
      </c>
      <c r="O1523" s="1655">
        <v>0</v>
      </c>
      <c r="P1523" s="1655" t="s">
        <v>42</v>
      </c>
      <c r="Q1523" s="1655" t="s">
        <v>571</v>
      </c>
      <c r="S1523" s="1655" t="s">
        <v>432</v>
      </c>
      <c r="T1523" s="1655" t="s">
        <v>666</v>
      </c>
      <c r="U1523" s="1656">
        <v>0</v>
      </c>
      <c r="V1523" s="1655" t="s">
        <v>42</v>
      </c>
      <c r="W1523" s="1655" t="s">
        <v>571</v>
      </c>
    </row>
    <row r="1524" spans="1:23">
      <c r="A1524" s="1655" t="s">
        <v>432</v>
      </c>
      <c r="B1524" s="1655" t="s">
        <v>667</v>
      </c>
      <c r="C1524" s="1656">
        <v>0</v>
      </c>
      <c r="D1524" s="1655" t="s">
        <v>42</v>
      </c>
      <c r="E1524" s="1655" t="s">
        <v>571</v>
      </c>
      <c r="G1524" s="1655" t="s">
        <v>432</v>
      </c>
      <c r="H1524" s="1655" t="s">
        <v>667</v>
      </c>
      <c r="I1524" s="1655">
        <v>0</v>
      </c>
      <c r="J1524" s="1655" t="s">
        <v>42</v>
      </c>
      <c r="K1524" s="1655" t="s">
        <v>571</v>
      </c>
      <c r="M1524" s="1655" t="s">
        <v>432</v>
      </c>
      <c r="N1524" s="1655" t="s">
        <v>667</v>
      </c>
      <c r="O1524" s="1655">
        <v>0</v>
      </c>
      <c r="P1524" s="1655" t="s">
        <v>42</v>
      </c>
      <c r="Q1524" s="1655" t="s">
        <v>571</v>
      </c>
      <c r="S1524" s="1655" t="s">
        <v>432</v>
      </c>
      <c r="T1524" s="1655" t="s">
        <v>667</v>
      </c>
      <c r="U1524" s="1656">
        <v>0</v>
      </c>
      <c r="V1524" s="1655" t="s">
        <v>42</v>
      </c>
      <c r="W1524" s="1655" t="s">
        <v>571</v>
      </c>
    </row>
    <row r="1525" spans="1:23">
      <c r="A1525" s="1655" t="s">
        <v>432</v>
      </c>
      <c r="B1525" s="1655" t="s">
        <v>668</v>
      </c>
      <c r="C1525" s="1656">
        <v>0</v>
      </c>
      <c r="D1525" s="1655" t="s">
        <v>42</v>
      </c>
      <c r="E1525" s="1655" t="s">
        <v>571</v>
      </c>
      <c r="G1525" s="1655" t="s">
        <v>432</v>
      </c>
      <c r="H1525" s="1655" t="s">
        <v>668</v>
      </c>
      <c r="I1525" s="1655">
        <v>0</v>
      </c>
      <c r="J1525" s="1655" t="s">
        <v>42</v>
      </c>
      <c r="K1525" s="1655" t="s">
        <v>571</v>
      </c>
      <c r="M1525" s="1655" t="s">
        <v>432</v>
      </c>
      <c r="N1525" s="1655" t="s">
        <v>668</v>
      </c>
      <c r="O1525" s="1655">
        <v>0</v>
      </c>
      <c r="P1525" s="1655" t="s">
        <v>42</v>
      </c>
      <c r="Q1525" s="1655" t="s">
        <v>571</v>
      </c>
      <c r="S1525" s="1655" t="s">
        <v>432</v>
      </c>
      <c r="T1525" s="1655" t="s">
        <v>668</v>
      </c>
      <c r="U1525" s="1656">
        <v>0</v>
      </c>
      <c r="V1525" s="1655" t="s">
        <v>42</v>
      </c>
      <c r="W1525" s="1655" t="s">
        <v>571</v>
      </c>
    </row>
    <row r="1526" spans="1:23">
      <c r="A1526" s="1655" t="s">
        <v>432</v>
      </c>
      <c r="B1526" s="1655" t="s">
        <v>669</v>
      </c>
      <c r="C1526" s="1656">
        <v>0</v>
      </c>
      <c r="D1526" s="1655" t="s">
        <v>42</v>
      </c>
      <c r="E1526" s="1655" t="s">
        <v>571</v>
      </c>
      <c r="G1526" s="1655" t="s">
        <v>432</v>
      </c>
      <c r="H1526" s="1655" t="s">
        <v>669</v>
      </c>
      <c r="I1526" s="1655">
        <v>0</v>
      </c>
      <c r="J1526" s="1655" t="s">
        <v>42</v>
      </c>
      <c r="K1526" s="1655" t="s">
        <v>571</v>
      </c>
      <c r="M1526" s="1655" t="s">
        <v>432</v>
      </c>
      <c r="N1526" s="1655" t="s">
        <v>669</v>
      </c>
      <c r="O1526" s="1655">
        <v>0</v>
      </c>
      <c r="P1526" s="1655" t="s">
        <v>42</v>
      </c>
      <c r="Q1526" s="1655" t="s">
        <v>571</v>
      </c>
      <c r="S1526" s="1655" t="s">
        <v>432</v>
      </c>
      <c r="T1526" s="1655" t="s">
        <v>669</v>
      </c>
      <c r="U1526" s="1656">
        <v>0</v>
      </c>
      <c r="V1526" s="1655" t="s">
        <v>42</v>
      </c>
      <c r="W1526" s="1655" t="s">
        <v>571</v>
      </c>
    </row>
    <row r="1527" spans="1:23">
      <c r="A1527" s="1655" t="s">
        <v>432</v>
      </c>
      <c r="B1527" s="1655" t="s">
        <v>2061</v>
      </c>
      <c r="C1527" s="1656">
        <v>0</v>
      </c>
      <c r="D1527" s="1655" t="s">
        <v>42</v>
      </c>
      <c r="E1527" s="1655" t="s">
        <v>571</v>
      </c>
      <c r="G1527" s="1655" t="s">
        <v>432</v>
      </c>
      <c r="H1527" s="1655" t="s">
        <v>2061</v>
      </c>
      <c r="I1527" s="1655">
        <v>0</v>
      </c>
      <c r="J1527" s="1655" t="s">
        <v>42</v>
      </c>
      <c r="K1527" s="1655" t="s">
        <v>571</v>
      </c>
      <c r="M1527" s="1655" t="s">
        <v>432</v>
      </c>
      <c r="N1527" s="1655" t="s">
        <v>2061</v>
      </c>
      <c r="O1527" s="1655">
        <v>0</v>
      </c>
      <c r="P1527" s="1655" t="s">
        <v>42</v>
      </c>
      <c r="Q1527" s="1655" t="s">
        <v>571</v>
      </c>
      <c r="S1527" s="1655" t="s">
        <v>432</v>
      </c>
      <c r="T1527" s="1655" t="s">
        <v>2061</v>
      </c>
      <c r="U1527" s="1656">
        <v>0</v>
      </c>
      <c r="V1527" s="1655" t="s">
        <v>42</v>
      </c>
      <c r="W1527" s="1655" t="s">
        <v>571</v>
      </c>
    </row>
    <row r="1528" spans="1:23">
      <c r="A1528" s="1655" t="s">
        <v>432</v>
      </c>
      <c r="B1528" s="1655" t="s">
        <v>2062</v>
      </c>
      <c r="C1528" s="1656">
        <v>0</v>
      </c>
      <c r="D1528" s="1655" t="s">
        <v>42</v>
      </c>
      <c r="E1528" s="1655" t="s">
        <v>571</v>
      </c>
      <c r="G1528" s="1655" t="s">
        <v>432</v>
      </c>
      <c r="H1528" s="1655" t="s">
        <v>2062</v>
      </c>
      <c r="I1528" s="1655">
        <v>0</v>
      </c>
      <c r="J1528" s="1655" t="s">
        <v>42</v>
      </c>
      <c r="K1528" s="1655" t="s">
        <v>571</v>
      </c>
      <c r="M1528" s="1655" t="s">
        <v>432</v>
      </c>
      <c r="N1528" s="1655" t="s">
        <v>2062</v>
      </c>
      <c r="O1528" s="1655">
        <v>0</v>
      </c>
      <c r="P1528" s="1655" t="s">
        <v>42</v>
      </c>
      <c r="Q1528" s="1655" t="s">
        <v>571</v>
      </c>
      <c r="S1528" s="1655" t="s">
        <v>432</v>
      </c>
      <c r="T1528" s="1655" t="s">
        <v>2062</v>
      </c>
      <c r="U1528" s="1656">
        <v>0</v>
      </c>
      <c r="V1528" s="1655" t="s">
        <v>42</v>
      </c>
      <c r="W1528" s="1655" t="s">
        <v>571</v>
      </c>
    </row>
    <row r="1529" spans="1:23">
      <c r="A1529" s="1655" t="s">
        <v>432</v>
      </c>
      <c r="B1529" s="1655" t="s">
        <v>2063</v>
      </c>
      <c r="C1529" s="1656">
        <v>0</v>
      </c>
      <c r="D1529" s="1655" t="s">
        <v>42</v>
      </c>
      <c r="E1529" s="1655" t="s">
        <v>571</v>
      </c>
      <c r="G1529" s="1655" t="s">
        <v>432</v>
      </c>
      <c r="H1529" s="1655" t="s">
        <v>2063</v>
      </c>
      <c r="I1529" s="1655">
        <v>0</v>
      </c>
      <c r="J1529" s="1655" t="s">
        <v>42</v>
      </c>
      <c r="K1529" s="1655" t="s">
        <v>571</v>
      </c>
      <c r="M1529" s="1655" t="s">
        <v>432</v>
      </c>
      <c r="N1529" s="1655" t="s">
        <v>2063</v>
      </c>
      <c r="O1529" s="1655">
        <v>0</v>
      </c>
      <c r="P1529" s="1655" t="s">
        <v>42</v>
      </c>
      <c r="Q1529" s="1655" t="s">
        <v>571</v>
      </c>
      <c r="S1529" s="1655" t="s">
        <v>432</v>
      </c>
      <c r="T1529" s="1655" t="s">
        <v>2063</v>
      </c>
      <c r="U1529" s="1656">
        <v>0</v>
      </c>
      <c r="V1529" s="1655" t="s">
        <v>42</v>
      </c>
      <c r="W1529" s="1655" t="s">
        <v>571</v>
      </c>
    </row>
    <row r="1530" spans="1:23">
      <c r="A1530" s="1655" t="s">
        <v>432</v>
      </c>
      <c r="B1530" s="1655" t="s">
        <v>670</v>
      </c>
      <c r="C1530" s="1656">
        <v>0</v>
      </c>
      <c r="D1530" s="1655" t="s">
        <v>42</v>
      </c>
      <c r="E1530" s="1655" t="s">
        <v>571</v>
      </c>
      <c r="G1530" s="1655" t="s">
        <v>432</v>
      </c>
      <c r="H1530" s="1655" t="s">
        <v>670</v>
      </c>
      <c r="I1530" s="1655">
        <v>0</v>
      </c>
      <c r="J1530" s="1655" t="s">
        <v>42</v>
      </c>
      <c r="K1530" s="1655" t="s">
        <v>571</v>
      </c>
      <c r="M1530" s="1655" t="s">
        <v>432</v>
      </c>
      <c r="N1530" s="1655" t="s">
        <v>670</v>
      </c>
      <c r="O1530" s="1655">
        <v>0</v>
      </c>
      <c r="P1530" s="1655" t="s">
        <v>42</v>
      </c>
      <c r="Q1530" s="1655" t="s">
        <v>571</v>
      </c>
      <c r="S1530" s="1655" t="s">
        <v>432</v>
      </c>
      <c r="T1530" s="1655" t="s">
        <v>670</v>
      </c>
      <c r="U1530" s="1656">
        <v>0</v>
      </c>
      <c r="V1530" s="1655" t="s">
        <v>42</v>
      </c>
      <c r="W1530" s="1655" t="s">
        <v>571</v>
      </c>
    </row>
    <row r="1531" spans="1:23">
      <c r="A1531" s="1655" t="s">
        <v>432</v>
      </c>
      <c r="B1531" s="1655" t="s">
        <v>671</v>
      </c>
      <c r="C1531" s="1656">
        <v>0</v>
      </c>
      <c r="D1531" s="1655" t="s">
        <v>42</v>
      </c>
      <c r="E1531" s="1655" t="s">
        <v>571</v>
      </c>
      <c r="G1531" s="1655" t="s">
        <v>432</v>
      </c>
      <c r="H1531" s="1655" t="s">
        <v>671</v>
      </c>
      <c r="I1531" s="1656">
        <v>0</v>
      </c>
      <c r="J1531" s="1655" t="s">
        <v>42</v>
      </c>
      <c r="K1531" s="1655" t="s">
        <v>571</v>
      </c>
      <c r="M1531" s="1655" t="s">
        <v>432</v>
      </c>
      <c r="N1531" s="1655" t="s">
        <v>671</v>
      </c>
      <c r="O1531" s="1656">
        <v>0</v>
      </c>
      <c r="P1531" s="1655" t="s">
        <v>42</v>
      </c>
      <c r="Q1531" s="1655" t="s">
        <v>571</v>
      </c>
      <c r="S1531" s="1655" t="s">
        <v>432</v>
      </c>
      <c r="T1531" s="1655" t="s">
        <v>671</v>
      </c>
      <c r="U1531" s="1656">
        <v>0</v>
      </c>
      <c r="V1531" s="1655" t="s">
        <v>42</v>
      </c>
      <c r="W1531" s="1655" t="s">
        <v>571</v>
      </c>
    </row>
    <row r="1532" spans="1:23">
      <c r="A1532" s="1655" t="s">
        <v>432</v>
      </c>
      <c r="B1532" s="1655" t="s">
        <v>672</v>
      </c>
      <c r="C1532" s="1656">
        <v>0</v>
      </c>
      <c r="D1532" s="1655" t="s">
        <v>42</v>
      </c>
      <c r="E1532" s="1655" t="s">
        <v>571</v>
      </c>
      <c r="G1532" s="1655" t="s">
        <v>432</v>
      </c>
      <c r="H1532" s="1655" t="s">
        <v>672</v>
      </c>
      <c r="I1532" s="1656">
        <v>0</v>
      </c>
      <c r="J1532" s="1655" t="s">
        <v>42</v>
      </c>
      <c r="K1532" s="1655" t="s">
        <v>571</v>
      </c>
      <c r="M1532" s="1655" t="s">
        <v>432</v>
      </c>
      <c r="N1532" s="1655" t="s">
        <v>672</v>
      </c>
      <c r="O1532" s="1656">
        <v>0</v>
      </c>
      <c r="P1532" s="1655" t="s">
        <v>42</v>
      </c>
      <c r="Q1532" s="1655" t="s">
        <v>571</v>
      </c>
      <c r="S1532" s="1655" t="s">
        <v>432</v>
      </c>
      <c r="T1532" s="1655" t="s">
        <v>672</v>
      </c>
      <c r="U1532" s="1656">
        <v>0</v>
      </c>
      <c r="V1532" s="1655" t="s">
        <v>42</v>
      </c>
      <c r="W1532" s="1655" t="s">
        <v>571</v>
      </c>
    </row>
    <row r="1533" spans="1:23">
      <c r="A1533" s="1655" t="s">
        <v>432</v>
      </c>
      <c r="B1533" s="1655" t="s">
        <v>673</v>
      </c>
      <c r="C1533" s="1656">
        <v>0</v>
      </c>
      <c r="D1533" s="1655" t="s">
        <v>42</v>
      </c>
      <c r="E1533" s="1655" t="s">
        <v>571</v>
      </c>
      <c r="G1533" s="1655" t="s">
        <v>432</v>
      </c>
      <c r="H1533" s="1655" t="s">
        <v>673</v>
      </c>
      <c r="I1533" s="1656">
        <v>0</v>
      </c>
      <c r="J1533" s="1655" t="s">
        <v>42</v>
      </c>
      <c r="K1533" s="1655" t="s">
        <v>571</v>
      </c>
      <c r="M1533" s="1655" t="s">
        <v>432</v>
      </c>
      <c r="N1533" s="1655" t="s">
        <v>673</v>
      </c>
      <c r="O1533" s="1656">
        <v>0</v>
      </c>
      <c r="P1533" s="1655" t="s">
        <v>42</v>
      </c>
      <c r="Q1533" s="1655" t="s">
        <v>571</v>
      </c>
      <c r="S1533" s="1655" t="s">
        <v>432</v>
      </c>
      <c r="T1533" s="1655" t="s">
        <v>673</v>
      </c>
      <c r="U1533" s="1656">
        <v>0</v>
      </c>
      <c r="V1533" s="1655" t="s">
        <v>42</v>
      </c>
      <c r="W1533" s="1655" t="s">
        <v>571</v>
      </c>
    </row>
    <row r="1534" spans="1:23">
      <c r="A1534" s="1655" t="s">
        <v>432</v>
      </c>
      <c r="B1534" s="1655" t="s">
        <v>2064</v>
      </c>
      <c r="C1534" s="1656">
        <v>0</v>
      </c>
      <c r="D1534" s="1655" t="s">
        <v>42</v>
      </c>
      <c r="E1534" s="1655" t="s">
        <v>571</v>
      </c>
      <c r="G1534" s="1655" t="s">
        <v>432</v>
      </c>
      <c r="H1534" s="1655" t="s">
        <v>2064</v>
      </c>
      <c r="I1534" s="1656">
        <v>0</v>
      </c>
      <c r="J1534" s="1655" t="s">
        <v>42</v>
      </c>
      <c r="K1534" s="1655" t="s">
        <v>571</v>
      </c>
      <c r="M1534" s="1655" t="s">
        <v>432</v>
      </c>
      <c r="N1534" s="1655" t="s">
        <v>2064</v>
      </c>
      <c r="O1534" s="1656">
        <v>0</v>
      </c>
      <c r="P1534" s="1655" t="s">
        <v>42</v>
      </c>
      <c r="Q1534" s="1655" t="s">
        <v>571</v>
      </c>
      <c r="S1534" s="1655" t="s">
        <v>432</v>
      </c>
      <c r="T1534" s="1655" t="s">
        <v>2064</v>
      </c>
      <c r="U1534" s="1656">
        <v>0</v>
      </c>
      <c r="V1534" s="1655" t="s">
        <v>42</v>
      </c>
      <c r="W1534" s="1655" t="s">
        <v>571</v>
      </c>
    </row>
    <row r="1535" spans="1:23">
      <c r="A1535" s="1655" t="s">
        <v>432</v>
      </c>
      <c r="B1535" s="1655" t="s">
        <v>1046</v>
      </c>
      <c r="C1535" s="1656">
        <v>0</v>
      </c>
      <c r="D1535" s="1655" t="s">
        <v>42</v>
      </c>
      <c r="E1535" s="1655" t="s">
        <v>80</v>
      </c>
      <c r="G1535" s="1655" t="s">
        <v>432</v>
      </c>
      <c r="H1535" s="1655" t="s">
        <v>1046</v>
      </c>
      <c r="I1535" s="1656">
        <v>0.01</v>
      </c>
      <c r="J1535" s="1655" t="s">
        <v>42</v>
      </c>
      <c r="K1535" s="1655" t="s">
        <v>80</v>
      </c>
      <c r="M1535" s="1655" t="s">
        <v>432</v>
      </c>
      <c r="N1535" s="1655" t="s">
        <v>1046</v>
      </c>
      <c r="O1535" s="1656">
        <v>0</v>
      </c>
      <c r="P1535" s="1655" t="s">
        <v>42</v>
      </c>
      <c r="Q1535" s="1655" t="s">
        <v>80</v>
      </c>
      <c r="S1535" s="1655" t="s">
        <v>432</v>
      </c>
      <c r="T1535" s="1655" t="s">
        <v>1046</v>
      </c>
      <c r="U1535" s="1656">
        <v>0</v>
      </c>
      <c r="V1535" s="1655" t="s">
        <v>42</v>
      </c>
      <c r="W1535" s="1655" t="s">
        <v>80</v>
      </c>
    </row>
    <row r="1536" spans="1:23">
      <c r="A1536" s="1655" t="s">
        <v>432</v>
      </c>
      <c r="B1536" s="1655" t="s">
        <v>1047</v>
      </c>
      <c r="C1536" s="1656" t="s">
        <v>570</v>
      </c>
      <c r="D1536" s="1655" t="s">
        <v>43</v>
      </c>
      <c r="E1536" s="1655" t="s">
        <v>80</v>
      </c>
      <c r="G1536" s="1655" t="s">
        <v>432</v>
      </c>
      <c r="H1536" s="1655" t="s">
        <v>1047</v>
      </c>
      <c r="I1536" s="1656" t="s">
        <v>570</v>
      </c>
      <c r="J1536" s="1655" t="s">
        <v>43</v>
      </c>
      <c r="K1536" s="1655" t="s">
        <v>80</v>
      </c>
      <c r="M1536" s="1655" t="s">
        <v>432</v>
      </c>
      <c r="N1536" s="1655" t="s">
        <v>1047</v>
      </c>
      <c r="O1536" s="1656" t="s">
        <v>570</v>
      </c>
      <c r="P1536" s="1655" t="s">
        <v>43</v>
      </c>
      <c r="Q1536" s="1655" t="s">
        <v>80</v>
      </c>
      <c r="S1536" s="1655" t="s">
        <v>432</v>
      </c>
      <c r="T1536" s="1655" t="s">
        <v>1047</v>
      </c>
      <c r="U1536" s="1656" t="s">
        <v>570</v>
      </c>
      <c r="V1536" s="1655" t="s">
        <v>43</v>
      </c>
      <c r="W1536" s="1655" t="s">
        <v>80</v>
      </c>
    </row>
    <row r="1537" spans="1:23">
      <c r="A1537" s="1655" t="s">
        <v>432</v>
      </c>
      <c r="B1537" s="1655" t="s">
        <v>1048</v>
      </c>
      <c r="C1537" s="1656" t="s">
        <v>570</v>
      </c>
      <c r="D1537" s="1655" t="s">
        <v>43</v>
      </c>
      <c r="E1537" s="1655" t="s">
        <v>80</v>
      </c>
      <c r="G1537" s="1655" t="s">
        <v>432</v>
      </c>
      <c r="H1537" s="1655" t="s">
        <v>1048</v>
      </c>
      <c r="I1537" s="1656" t="s">
        <v>570</v>
      </c>
      <c r="J1537" s="1655" t="s">
        <v>43</v>
      </c>
      <c r="K1537" s="1655" t="s">
        <v>80</v>
      </c>
      <c r="M1537" s="1655" t="s">
        <v>432</v>
      </c>
      <c r="N1537" s="1655" t="s">
        <v>1048</v>
      </c>
      <c r="O1537" s="1656" t="s">
        <v>570</v>
      </c>
      <c r="P1537" s="1655" t="s">
        <v>43</v>
      </c>
      <c r="Q1537" s="1655" t="s">
        <v>80</v>
      </c>
      <c r="S1537" s="1655" t="s">
        <v>432</v>
      </c>
      <c r="T1537" s="1655" t="s">
        <v>1048</v>
      </c>
      <c r="U1537" s="1656" t="s">
        <v>570</v>
      </c>
      <c r="V1537" s="1655" t="s">
        <v>43</v>
      </c>
      <c r="W1537" s="1655" t="s">
        <v>80</v>
      </c>
    </row>
    <row r="1538" spans="1:23">
      <c r="A1538" s="1655" t="s">
        <v>432</v>
      </c>
      <c r="B1538" s="1655" t="s">
        <v>1049</v>
      </c>
      <c r="C1538" s="1656" t="s">
        <v>570</v>
      </c>
      <c r="D1538" s="1655" t="s">
        <v>43</v>
      </c>
      <c r="E1538" s="1655" t="s">
        <v>80</v>
      </c>
      <c r="G1538" s="1655" t="s">
        <v>432</v>
      </c>
      <c r="H1538" s="1655" t="s">
        <v>1049</v>
      </c>
      <c r="I1538" s="1656" t="s">
        <v>570</v>
      </c>
      <c r="J1538" s="1655" t="s">
        <v>43</v>
      </c>
      <c r="K1538" s="1655" t="s">
        <v>80</v>
      </c>
      <c r="M1538" s="1655" t="s">
        <v>432</v>
      </c>
      <c r="N1538" s="1655" t="s">
        <v>1049</v>
      </c>
      <c r="O1538" s="1656" t="s">
        <v>570</v>
      </c>
      <c r="P1538" s="1655" t="s">
        <v>43</v>
      </c>
      <c r="Q1538" s="1655" t="s">
        <v>80</v>
      </c>
      <c r="S1538" s="1655" t="s">
        <v>432</v>
      </c>
      <c r="T1538" s="1655" t="s">
        <v>1049</v>
      </c>
      <c r="U1538" s="1656" t="s">
        <v>570</v>
      </c>
      <c r="V1538" s="1655" t="s">
        <v>43</v>
      </c>
      <c r="W1538" s="1655" t="s">
        <v>80</v>
      </c>
    </row>
    <row r="1539" spans="1:23">
      <c r="A1539" s="1655" t="s">
        <v>432</v>
      </c>
      <c r="B1539" s="1655" t="s">
        <v>1050</v>
      </c>
      <c r="C1539" s="1656" t="s">
        <v>570</v>
      </c>
      <c r="D1539" s="1655" t="s">
        <v>43</v>
      </c>
      <c r="E1539" s="1655" t="s">
        <v>80</v>
      </c>
      <c r="G1539" s="1655" t="s">
        <v>432</v>
      </c>
      <c r="H1539" s="1655" t="s">
        <v>1050</v>
      </c>
      <c r="I1539" s="1656" t="s">
        <v>570</v>
      </c>
      <c r="J1539" s="1655" t="s">
        <v>43</v>
      </c>
      <c r="K1539" s="1655" t="s">
        <v>80</v>
      </c>
      <c r="M1539" s="1655" t="s">
        <v>432</v>
      </c>
      <c r="N1539" s="1655" t="s">
        <v>1050</v>
      </c>
      <c r="O1539" s="1656" t="s">
        <v>570</v>
      </c>
      <c r="P1539" s="1655" t="s">
        <v>43</v>
      </c>
      <c r="Q1539" s="1655" t="s">
        <v>80</v>
      </c>
      <c r="S1539" s="1655" t="s">
        <v>432</v>
      </c>
      <c r="T1539" s="1655" t="s">
        <v>1050</v>
      </c>
      <c r="U1539" s="1656" t="s">
        <v>570</v>
      </c>
      <c r="V1539" s="1655" t="s">
        <v>43</v>
      </c>
      <c r="W1539" s="1655" t="s">
        <v>80</v>
      </c>
    </row>
    <row r="1540" spans="1:23">
      <c r="A1540" s="1655" t="s">
        <v>432</v>
      </c>
      <c r="B1540" s="1655" t="s">
        <v>1051</v>
      </c>
      <c r="C1540" s="1656" t="s">
        <v>570</v>
      </c>
      <c r="D1540" s="1655" t="s">
        <v>43</v>
      </c>
      <c r="E1540" s="1655" t="s">
        <v>80</v>
      </c>
      <c r="G1540" s="1655" t="s">
        <v>432</v>
      </c>
      <c r="H1540" s="1655" t="s">
        <v>1051</v>
      </c>
      <c r="I1540" s="1656" t="s">
        <v>570</v>
      </c>
      <c r="J1540" s="1655" t="s">
        <v>43</v>
      </c>
      <c r="K1540" s="1655" t="s">
        <v>80</v>
      </c>
      <c r="M1540" s="1655" t="s">
        <v>432</v>
      </c>
      <c r="N1540" s="1655" t="s">
        <v>1051</v>
      </c>
      <c r="O1540" s="1656" t="s">
        <v>570</v>
      </c>
      <c r="P1540" s="1655" t="s">
        <v>43</v>
      </c>
      <c r="Q1540" s="1655" t="s">
        <v>80</v>
      </c>
      <c r="S1540" s="1655" t="s">
        <v>432</v>
      </c>
      <c r="T1540" s="1655" t="s">
        <v>1051</v>
      </c>
      <c r="U1540" s="1656" t="s">
        <v>570</v>
      </c>
      <c r="V1540" s="1655" t="s">
        <v>43</v>
      </c>
      <c r="W1540" s="1655" t="s">
        <v>80</v>
      </c>
    </row>
    <row r="1541" spans="1:23">
      <c r="A1541" s="1655" t="s">
        <v>432</v>
      </c>
      <c r="B1541" s="1655" t="s">
        <v>1052</v>
      </c>
      <c r="C1541" s="1656" t="s">
        <v>570</v>
      </c>
      <c r="D1541" s="1655" t="s">
        <v>43</v>
      </c>
      <c r="E1541" s="1655" t="s">
        <v>80</v>
      </c>
      <c r="G1541" s="1655" t="s">
        <v>432</v>
      </c>
      <c r="H1541" s="1655" t="s">
        <v>1052</v>
      </c>
      <c r="I1541" s="1656" t="s">
        <v>570</v>
      </c>
      <c r="J1541" s="1655" t="s">
        <v>43</v>
      </c>
      <c r="K1541" s="1655" t="s">
        <v>80</v>
      </c>
      <c r="M1541" s="1655" t="s">
        <v>432</v>
      </c>
      <c r="N1541" s="1655" t="s">
        <v>1052</v>
      </c>
      <c r="O1541" s="1656" t="s">
        <v>570</v>
      </c>
      <c r="P1541" s="1655" t="s">
        <v>43</v>
      </c>
      <c r="Q1541" s="1655" t="s">
        <v>80</v>
      </c>
      <c r="S1541" s="1655" t="s">
        <v>432</v>
      </c>
      <c r="T1541" s="1655" t="s">
        <v>1052</v>
      </c>
      <c r="U1541" s="1656" t="s">
        <v>570</v>
      </c>
      <c r="V1541" s="1655" t="s">
        <v>43</v>
      </c>
      <c r="W1541" s="1655" t="s">
        <v>80</v>
      </c>
    </row>
    <row r="1542" spans="1:23">
      <c r="A1542" s="1655" t="s">
        <v>432</v>
      </c>
      <c r="B1542" s="1655" t="s">
        <v>1053</v>
      </c>
      <c r="C1542" s="1656" t="s">
        <v>570</v>
      </c>
      <c r="D1542" s="1655" t="s">
        <v>43</v>
      </c>
      <c r="E1542" s="1655" t="s">
        <v>80</v>
      </c>
      <c r="G1542" s="1655" t="s">
        <v>432</v>
      </c>
      <c r="H1542" s="1655" t="s">
        <v>1053</v>
      </c>
      <c r="I1542" s="1656" t="s">
        <v>570</v>
      </c>
      <c r="J1542" s="1655" t="s">
        <v>43</v>
      </c>
      <c r="K1542" s="1655" t="s">
        <v>80</v>
      </c>
      <c r="M1542" s="1655" t="s">
        <v>432</v>
      </c>
      <c r="N1542" s="1655" t="s">
        <v>1053</v>
      </c>
      <c r="O1542" s="1656" t="s">
        <v>570</v>
      </c>
      <c r="P1542" s="1655" t="s">
        <v>43</v>
      </c>
      <c r="Q1542" s="1655" t="s">
        <v>80</v>
      </c>
      <c r="S1542" s="1655" t="s">
        <v>432</v>
      </c>
      <c r="T1542" s="1655" t="s">
        <v>1053</v>
      </c>
      <c r="U1542" s="1656" t="s">
        <v>570</v>
      </c>
      <c r="V1542" s="1655" t="s">
        <v>43</v>
      </c>
      <c r="W1542" s="1655" t="s">
        <v>80</v>
      </c>
    </row>
    <row r="1543" spans="1:23">
      <c r="A1543" s="1655" t="s">
        <v>432</v>
      </c>
      <c r="B1543" s="1655" t="s">
        <v>1054</v>
      </c>
      <c r="C1543" s="1656" t="s">
        <v>570</v>
      </c>
      <c r="D1543" s="1655" t="s">
        <v>43</v>
      </c>
      <c r="E1543" s="1655" t="s">
        <v>80</v>
      </c>
      <c r="G1543" s="1655" t="s">
        <v>432</v>
      </c>
      <c r="H1543" s="1655" t="s">
        <v>1054</v>
      </c>
      <c r="I1543" s="1656" t="s">
        <v>570</v>
      </c>
      <c r="J1543" s="1655" t="s">
        <v>43</v>
      </c>
      <c r="K1543" s="1655" t="s">
        <v>80</v>
      </c>
      <c r="M1543" s="1655" t="s">
        <v>432</v>
      </c>
      <c r="N1543" s="1655" t="s">
        <v>1054</v>
      </c>
      <c r="O1543" s="1656" t="s">
        <v>570</v>
      </c>
      <c r="P1543" s="1655" t="s">
        <v>43</v>
      </c>
      <c r="Q1543" s="1655" t="s">
        <v>80</v>
      </c>
      <c r="S1543" s="1655" t="s">
        <v>432</v>
      </c>
      <c r="T1543" s="1655" t="s">
        <v>1054</v>
      </c>
      <c r="U1543" s="1656" t="s">
        <v>570</v>
      </c>
      <c r="V1543" s="1655" t="s">
        <v>43</v>
      </c>
      <c r="W1543" s="1655" t="s">
        <v>80</v>
      </c>
    </row>
    <row r="1544" spans="1:23">
      <c r="A1544" s="1655" t="s">
        <v>432</v>
      </c>
      <c r="B1544" s="1655" t="s">
        <v>1055</v>
      </c>
      <c r="C1544" s="1656" t="s">
        <v>570</v>
      </c>
      <c r="D1544" s="1655" t="s">
        <v>43</v>
      </c>
      <c r="E1544" s="1655" t="s">
        <v>80</v>
      </c>
      <c r="G1544" s="1655" t="s">
        <v>432</v>
      </c>
      <c r="H1544" s="1655" t="s">
        <v>1055</v>
      </c>
      <c r="I1544" s="1656" t="s">
        <v>570</v>
      </c>
      <c r="J1544" s="1655" t="s">
        <v>43</v>
      </c>
      <c r="K1544" s="1655" t="s">
        <v>80</v>
      </c>
      <c r="M1544" s="1655" t="s">
        <v>432</v>
      </c>
      <c r="N1544" s="1655" t="s">
        <v>1055</v>
      </c>
      <c r="O1544" s="1656" t="s">
        <v>570</v>
      </c>
      <c r="P1544" s="1655" t="s">
        <v>43</v>
      </c>
      <c r="Q1544" s="1655" t="s">
        <v>80</v>
      </c>
      <c r="S1544" s="1655" t="s">
        <v>432</v>
      </c>
      <c r="T1544" s="1655" t="s">
        <v>1055</v>
      </c>
      <c r="U1544" s="1656" t="s">
        <v>570</v>
      </c>
      <c r="V1544" s="1655" t="s">
        <v>43</v>
      </c>
      <c r="W1544" s="1655" t="s">
        <v>80</v>
      </c>
    </row>
    <row r="1545" spans="1:23">
      <c r="A1545" s="1655" t="s">
        <v>432</v>
      </c>
      <c r="B1545" s="1655" t="s">
        <v>1056</v>
      </c>
      <c r="C1545" s="1656" t="s">
        <v>570</v>
      </c>
      <c r="D1545" s="1655" t="s">
        <v>43</v>
      </c>
      <c r="E1545" s="1655" t="s">
        <v>80</v>
      </c>
      <c r="G1545" s="1655" t="s">
        <v>432</v>
      </c>
      <c r="H1545" s="1655" t="s">
        <v>1056</v>
      </c>
      <c r="I1545" s="1656" t="s">
        <v>570</v>
      </c>
      <c r="J1545" s="1655" t="s">
        <v>43</v>
      </c>
      <c r="K1545" s="1655" t="s">
        <v>80</v>
      </c>
      <c r="M1545" s="1655" t="s">
        <v>432</v>
      </c>
      <c r="N1545" s="1655" t="s">
        <v>1056</v>
      </c>
      <c r="O1545" s="1656" t="s">
        <v>570</v>
      </c>
      <c r="P1545" s="1655" t="s">
        <v>43</v>
      </c>
      <c r="Q1545" s="1655" t="s">
        <v>80</v>
      </c>
      <c r="S1545" s="1655" t="s">
        <v>432</v>
      </c>
      <c r="T1545" s="1655" t="s">
        <v>1056</v>
      </c>
      <c r="U1545" s="1656" t="s">
        <v>570</v>
      </c>
      <c r="V1545" s="1655" t="s">
        <v>43</v>
      </c>
      <c r="W1545" s="1655" t="s">
        <v>80</v>
      </c>
    </row>
    <row r="1546" spans="1:23">
      <c r="A1546" s="1655" t="s">
        <v>432</v>
      </c>
      <c r="B1546" s="1655" t="s">
        <v>1057</v>
      </c>
      <c r="C1546" s="1656" t="s">
        <v>570</v>
      </c>
      <c r="D1546" s="1655" t="s">
        <v>43</v>
      </c>
      <c r="E1546" s="1655" t="s">
        <v>80</v>
      </c>
      <c r="G1546" s="1655" t="s">
        <v>432</v>
      </c>
      <c r="H1546" s="1655" t="s">
        <v>1057</v>
      </c>
      <c r="I1546" s="1656" t="s">
        <v>570</v>
      </c>
      <c r="J1546" s="1655" t="s">
        <v>43</v>
      </c>
      <c r="K1546" s="1655" t="s">
        <v>80</v>
      </c>
      <c r="M1546" s="1655" t="s">
        <v>432</v>
      </c>
      <c r="N1546" s="1655" t="s">
        <v>1057</v>
      </c>
      <c r="O1546" s="1656" t="s">
        <v>570</v>
      </c>
      <c r="P1546" s="1655" t="s">
        <v>43</v>
      </c>
      <c r="Q1546" s="1655" t="s">
        <v>80</v>
      </c>
      <c r="S1546" s="1655" t="s">
        <v>432</v>
      </c>
      <c r="T1546" s="1655" t="s">
        <v>1057</v>
      </c>
      <c r="U1546" s="1656" t="s">
        <v>570</v>
      </c>
      <c r="V1546" s="1655" t="s">
        <v>43</v>
      </c>
      <c r="W1546" s="1655" t="s">
        <v>80</v>
      </c>
    </row>
    <row r="1547" spans="1:23">
      <c r="A1547" s="1655" t="s">
        <v>432</v>
      </c>
      <c r="B1547" s="1655" t="s">
        <v>1058</v>
      </c>
      <c r="C1547" s="1656">
        <v>0</v>
      </c>
      <c r="D1547" s="1655" t="s">
        <v>42</v>
      </c>
      <c r="E1547" s="1655" t="s">
        <v>571</v>
      </c>
      <c r="G1547" s="1655" t="s">
        <v>432</v>
      </c>
      <c r="H1547" s="1655" t="s">
        <v>1058</v>
      </c>
      <c r="I1547" s="1656">
        <v>0</v>
      </c>
      <c r="J1547" s="1655" t="s">
        <v>42</v>
      </c>
      <c r="K1547" s="1655" t="s">
        <v>571</v>
      </c>
      <c r="M1547" s="1655" t="s">
        <v>432</v>
      </c>
      <c r="N1547" s="1655" t="s">
        <v>1058</v>
      </c>
      <c r="O1547" s="1656">
        <v>0</v>
      </c>
      <c r="P1547" s="1655" t="s">
        <v>42</v>
      </c>
      <c r="Q1547" s="1655" t="s">
        <v>571</v>
      </c>
      <c r="S1547" s="1655" t="s">
        <v>432</v>
      </c>
      <c r="T1547" s="1655" t="s">
        <v>1058</v>
      </c>
      <c r="U1547" s="1656">
        <v>0</v>
      </c>
      <c r="V1547" s="1655" t="s">
        <v>42</v>
      </c>
      <c r="W1547" s="1655" t="s">
        <v>571</v>
      </c>
    </row>
    <row r="1548" spans="1:23">
      <c r="A1548" s="1655" t="s">
        <v>432</v>
      </c>
      <c r="B1548" s="1655" t="s">
        <v>1059</v>
      </c>
      <c r="C1548" s="1656">
        <v>0</v>
      </c>
      <c r="D1548" s="1655" t="s">
        <v>42</v>
      </c>
      <c r="E1548" s="1655" t="s">
        <v>571</v>
      </c>
      <c r="G1548" s="1655" t="s">
        <v>432</v>
      </c>
      <c r="H1548" s="1655" t="s">
        <v>1059</v>
      </c>
      <c r="I1548" s="1656">
        <v>0</v>
      </c>
      <c r="J1548" s="1655" t="s">
        <v>42</v>
      </c>
      <c r="K1548" s="1655" t="s">
        <v>571</v>
      </c>
      <c r="M1548" s="1655" t="s">
        <v>432</v>
      </c>
      <c r="N1548" s="1655" t="s">
        <v>1059</v>
      </c>
      <c r="O1548" s="1656">
        <v>0</v>
      </c>
      <c r="P1548" s="1655" t="s">
        <v>42</v>
      </c>
      <c r="Q1548" s="1655" t="s">
        <v>571</v>
      </c>
      <c r="S1548" s="1655" t="s">
        <v>432</v>
      </c>
      <c r="T1548" s="1655" t="s">
        <v>1059</v>
      </c>
      <c r="U1548" s="1656">
        <v>0</v>
      </c>
      <c r="V1548" s="1655" t="s">
        <v>42</v>
      </c>
      <c r="W1548" s="1655" t="s">
        <v>571</v>
      </c>
    </row>
    <row r="1549" spans="1:23">
      <c r="A1549" s="1655" t="s">
        <v>432</v>
      </c>
      <c r="B1549" s="1655" t="s">
        <v>1060</v>
      </c>
      <c r="C1549" s="1656">
        <v>0</v>
      </c>
      <c r="D1549" s="1655" t="s">
        <v>42</v>
      </c>
      <c r="E1549" s="1655" t="s">
        <v>571</v>
      </c>
      <c r="G1549" s="1655" t="s">
        <v>432</v>
      </c>
      <c r="H1549" s="1655" t="s">
        <v>1060</v>
      </c>
      <c r="I1549" s="1656">
        <v>0</v>
      </c>
      <c r="J1549" s="1655" t="s">
        <v>42</v>
      </c>
      <c r="K1549" s="1655" t="s">
        <v>571</v>
      </c>
      <c r="M1549" s="1655" t="s">
        <v>432</v>
      </c>
      <c r="N1549" s="1655" t="s">
        <v>1060</v>
      </c>
      <c r="O1549" s="1656">
        <v>0</v>
      </c>
      <c r="P1549" s="1655" t="s">
        <v>42</v>
      </c>
      <c r="Q1549" s="1655" t="s">
        <v>571</v>
      </c>
      <c r="S1549" s="1655" t="s">
        <v>432</v>
      </c>
      <c r="T1549" s="1655" t="s">
        <v>1060</v>
      </c>
      <c r="U1549" s="1656">
        <v>0</v>
      </c>
      <c r="V1549" s="1655" t="s">
        <v>42</v>
      </c>
      <c r="W1549" s="1655" t="s">
        <v>571</v>
      </c>
    </row>
    <row r="1550" spans="1:23">
      <c r="A1550" s="1655" t="s">
        <v>432</v>
      </c>
      <c r="B1550" s="1655" t="s">
        <v>1061</v>
      </c>
      <c r="C1550" s="1656">
        <v>0</v>
      </c>
      <c r="D1550" s="1655" t="s">
        <v>42</v>
      </c>
      <c r="E1550" s="1655" t="s">
        <v>571</v>
      </c>
      <c r="G1550" s="1655" t="s">
        <v>432</v>
      </c>
      <c r="H1550" s="1655" t="s">
        <v>1061</v>
      </c>
      <c r="I1550" s="1656">
        <v>0</v>
      </c>
      <c r="J1550" s="1655" t="s">
        <v>42</v>
      </c>
      <c r="K1550" s="1655" t="s">
        <v>571</v>
      </c>
      <c r="M1550" s="1655" t="s">
        <v>432</v>
      </c>
      <c r="N1550" s="1655" t="s">
        <v>1061</v>
      </c>
      <c r="O1550" s="1656">
        <v>0</v>
      </c>
      <c r="P1550" s="1655" t="s">
        <v>42</v>
      </c>
      <c r="Q1550" s="1655" t="s">
        <v>571</v>
      </c>
      <c r="S1550" s="1655" t="s">
        <v>432</v>
      </c>
      <c r="T1550" s="1655" t="s">
        <v>1061</v>
      </c>
      <c r="U1550" s="1656">
        <v>0</v>
      </c>
      <c r="V1550" s="1655" t="s">
        <v>42</v>
      </c>
      <c r="W1550" s="1655" t="s">
        <v>571</v>
      </c>
    </row>
    <row r="1551" spans="1:23">
      <c r="A1551" s="1655" t="s">
        <v>432</v>
      </c>
      <c r="B1551" s="1655" t="s">
        <v>1062</v>
      </c>
      <c r="C1551" s="1656">
        <v>0</v>
      </c>
      <c r="D1551" s="1655" t="s">
        <v>42</v>
      </c>
      <c r="E1551" s="1655" t="s">
        <v>571</v>
      </c>
      <c r="G1551" s="1655" t="s">
        <v>432</v>
      </c>
      <c r="H1551" s="1655" t="s">
        <v>1062</v>
      </c>
      <c r="I1551" s="1656">
        <v>0</v>
      </c>
      <c r="J1551" s="1655" t="s">
        <v>42</v>
      </c>
      <c r="K1551" s="1655" t="s">
        <v>571</v>
      </c>
      <c r="M1551" s="1655" t="s">
        <v>432</v>
      </c>
      <c r="N1551" s="1655" t="s">
        <v>1062</v>
      </c>
      <c r="O1551" s="1656">
        <v>0</v>
      </c>
      <c r="P1551" s="1655" t="s">
        <v>42</v>
      </c>
      <c r="Q1551" s="1655" t="s">
        <v>571</v>
      </c>
      <c r="S1551" s="1655" t="s">
        <v>432</v>
      </c>
      <c r="T1551" s="1655" t="s">
        <v>1062</v>
      </c>
      <c r="U1551" s="1656">
        <v>0</v>
      </c>
      <c r="V1551" s="1655" t="s">
        <v>42</v>
      </c>
      <c r="W1551" s="1655" t="s">
        <v>571</v>
      </c>
    </row>
    <row r="1552" spans="1:23">
      <c r="A1552" s="1655" t="s">
        <v>432</v>
      </c>
      <c r="B1552" s="1655" t="s">
        <v>1063</v>
      </c>
      <c r="C1552" s="1656">
        <v>0</v>
      </c>
      <c r="D1552" s="1655" t="s">
        <v>42</v>
      </c>
      <c r="E1552" s="1655" t="s">
        <v>571</v>
      </c>
      <c r="G1552" s="1655" t="s">
        <v>432</v>
      </c>
      <c r="H1552" s="1655" t="s">
        <v>1063</v>
      </c>
      <c r="I1552" s="1656">
        <v>0</v>
      </c>
      <c r="J1552" s="1655" t="s">
        <v>42</v>
      </c>
      <c r="K1552" s="1655" t="s">
        <v>571</v>
      </c>
      <c r="M1552" s="1655" t="s">
        <v>432</v>
      </c>
      <c r="N1552" s="1655" t="s">
        <v>1063</v>
      </c>
      <c r="O1552" s="1656">
        <v>0</v>
      </c>
      <c r="P1552" s="1655" t="s">
        <v>42</v>
      </c>
      <c r="Q1552" s="1655" t="s">
        <v>571</v>
      </c>
      <c r="S1552" s="1655" t="s">
        <v>432</v>
      </c>
      <c r="T1552" s="1655" t="s">
        <v>1063</v>
      </c>
      <c r="U1552" s="1656">
        <v>0</v>
      </c>
      <c r="V1552" s="1655" t="s">
        <v>42</v>
      </c>
      <c r="W1552" s="1655" t="s">
        <v>571</v>
      </c>
    </row>
    <row r="1553" spans="1:23">
      <c r="A1553" s="1655" t="s">
        <v>432</v>
      </c>
      <c r="B1553" s="1655" t="s">
        <v>1064</v>
      </c>
      <c r="C1553" s="1656">
        <v>0</v>
      </c>
      <c r="D1553" s="1655" t="s">
        <v>42</v>
      </c>
      <c r="E1553" s="1655" t="s">
        <v>571</v>
      </c>
      <c r="G1553" s="1655" t="s">
        <v>432</v>
      </c>
      <c r="H1553" s="1655" t="s">
        <v>1064</v>
      </c>
      <c r="I1553" s="1656">
        <v>0</v>
      </c>
      <c r="J1553" s="1655" t="s">
        <v>42</v>
      </c>
      <c r="K1553" s="1655" t="s">
        <v>571</v>
      </c>
      <c r="M1553" s="1655" t="s">
        <v>432</v>
      </c>
      <c r="N1553" s="1655" t="s">
        <v>1064</v>
      </c>
      <c r="O1553" s="1656">
        <v>0</v>
      </c>
      <c r="P1553" s="1655" t="s">
        <v>42</v>
      </c>
      <c r="Q1553" s="1655" t="s">
        <v>571</v>
      </c>
      <c r="S1553" s="1655" t="s">
        <v>432</v>
      </c>
      <c r="T1553" s="1655" t="s">
        <v>1064</v>
      </c>
      <c r="U1553" s="1656">
        <v>0</v>
      </c>
      <c r="V1553" s="1655" t="s">
        <v>42</v>
      </c>
      <c r="W1553" s="1655" t="s">
        <v>571</v>
      </c>
    </row>
    <row r="1554" spans="1:23">
      <c r="A1554" s="1655" t="s">
        <v>432</v>
      </c>
      <c r="B1554" s="1655" t="s">
        <v>1065</v>
      </c>
      <c r="C1554" s="1656">
        <v>0</v>
      </c>
      <c r="D1554" s="1655" t="s">
        <v>42</v>
      </c>
      <c r="E1554" s="1655" t="s">
        <v>571</v>
      </c>
      <c r="G1554" s="1655" t="s">
        <v>432</v>
      </c>
      <c r="H1554" s="1655" t="s">
        <v>1065</v>
      </c>
      <c r="I1554" s="1656">
        <v>0</v>
      </c>
      <c r="J1554" s="1655" t="s">
        <v>42</v>
      </c>
      <c r="K1554" s="1655" t="s">
        <v>571</v>
      </c>
      <c r="M1554" s="1655" t="s">
        <v>432</v>
      </c>
      <c r="N1554" s="1655" t="s">
        <v>1065</v>
      </c>
      <c r="O1554" s="1656">
        <v>0</v>
      </c>
      <c r="P1554" s="1655" t="s">
        <v>42</v>
      </c>
      <c r="Q1554" s="1655" t="s">
        <v>571</v>
      </c>
      <c r="S1554" s="1655" t="s">
        <v>432</v>
      </c>
      <c r="T1554" s="1655" t="s">
        <v>1065</v>
      </c>
      <c r="U1554" s="1656">
        <v>0</v>
      </c>
      <c r="V1554" s="1655" t="s">
        <v>42</v>
      </c>
      <c r="W1554" s="1655" t="s">
        <v>571</v>
      </c>
    </row>
    <row r="1555" spans="1:23">
      <c r="A1555" s="1655" t="s">
        <v>432</v>
      </c>
      <c r="B1555" s="1655" t="s">
        <v>1066</v>
      </c>
      <c r="C1555" s="1656">
        <v>0</v>
      </c>
      <c r="D1555" s="1655" t="s">
        <v>42</v>
      </c>
      <c r="E1555" s="1655" t="s">
        <v>571</v>
      </c>
      <c r="G1555" s="1655" t="s">
        <v>432</v>
      </c>
      <c r="H1555" s="1655" t="s">
        <v>1066</v>
      </c>
      <c r="I1555" s="1656">
        <v>0</v>
      </c>
      <c r="J1555" s="1655" t="s">
        <v>42</v>
      </c>
      <c r="K1555" s="1655" t="s">
        <v>571</v>
      </c>
      <c r="M1555" s="1655" t="s">
        <v>432</v>
      </c>
      <c r="N1555" s="1655" t="s">
        <v>1066</v>
      </c>
      <c r="O1555" s="1656">
        <v>0</v>
      </c>
      <c r="P1555" s="1655" t="s">
        <v>42</v>
      </c>
      <c r="Q1555" s="1655" t="s">
        <v>571</v>
      </c>
      <c r="S1555" s="1655" t="s">
        <v>432</v>
      </c>
      <c r="T1555" s="1655" t="s">
        <v>1066</v>
      </c>
      <c r="U1555" s="1656">
        <v>0</v>
      </c>
      <c r="V1555" s="1655" t="s">
        <v>42</v>
      </c>
      <c r="W1555" s="1655" t="s">
        <v>571</v>
      </c>
    </row>
    <row r="1556" spans="1:23">
      <c r="A1556" s="1655" t="s">
        <v>432</v>
      </c>
      <c r="B1556" s="1655" t="s">
        <v>1067</v>
      </c>
      <c r="C1556" s="1656">
        <v>0</v>
      </c>
      <c r="D1556" s="1655" t="s">
        <v>42</v>
      </c>
      <c r="E1556" s="1655" t="s">
        <v>571</v>
      </c>
      <c r="G1556" s="1655" t="s">
        <v>432</v>
      </c>
      <c r="H1556" s="1655" t="s">
        <v>1067</v>
      </c>
      <c r="I1556" s="1656">
        <v>0</v>
      </c>
      <c r="J1556" s="1655" t="s">
        <v>42</v>
      </c>
      <c r="K1556" s="1655" t="s">
        <v>571</v>
      </c>
      <c r="M1556" s="1655" t="s">
        <v>432</v>
      </c>
      <c r="N1556" s="1655" t="s">
        <v>1067</v>
      </c>
      <c r="O1556" s="1656">
        <v>0</v>
      </c>
      <c r="P1556" s="1655" t="s">
        <v>42</v>
      </c>
      <c r="Q1556" s="1655" t="s">
        <v>571</v>
      </c>
      <c r="S1556" s="1655" t="s">
        <v>432</v>
      </c>
      <c r="T1556" s="1655" t="s">
        <v>1067</v>
      </c>
      <c r="U1556" s="1656">
        <v>0</v>
      </c>
      <c r="V1556" s="1655" t="s">
        <v>42</v>
      </c>
      <c r="W1556" s="1655" t="s">
        <v>571</v>
      </c>
    </row>
    <row r="1557" spans="1:23">
      <c r="A1557" s="1655" t="s">
        <v>432</v>
      </c>
      <c r="B1557" s="1655" t="s">
        <v>1068</v>
      </c>
      <c r="C1557" s="1656">
        <v>0</v>
      </c>
      <c r="D1557" s="1655" t="s">
        <v>42</v>
      </c>
      <c r="E1557" s="1655" t="s">
        <v>571</v>
      </c>
      <c r="G1557" s="1655" t="s">
        <v>432</v>
      </c>
      <c r="H1557" s="1655" t="s">
        <v>1068</v>
      </c>
      <c r="I1557" s="1656">
        <v>0</v>
      </c>
      <c r="J1557" s="1655" t="s">
        <v>42</v>
      </c>
      <c r="K1557" s="1655" t="s">
        <v>571</v>
      </c>
      <c r="M1557" s="1655" t="s">
        <v>432</v>
      </c>
      <c r="N1557" s="1655" t="s">
        <v>1068</v>
      </c>
      <c r="O1557" s="1656">
        <v>0</v>
      </c>
      <c r="P1557" s="1655" t="s">
        <v>42</v>
      </c>
      <c r="Q1557" s="1655" t="s">
        <v>571</v>
      </c>
      <c r="S1557" s="1655" t="s">
        <v>432</v>
      </c>
      <c r="T1557" s="1655" t="s">
        <v>1068</v>
      </c>
      <c r="U1557" s="1656">
        <v>0</v>
      </c>
      <c r="V1557" s="1655" t="s">
        <v>42</v>
      </c>
      <c r="W1557" s="1655" t="s">
        <v>571</v>
      </c>
    </row>
    <row r="1558" spans="1:23">
      <c r="A1558" s="1655" t="s">
        <v>432</v>
      </c>
      <c r="B1558" s="1655" t="s">
        <v>1069</v>
      </c>
      <c r="C1558" s="1656">
        <v>0</v>
      </c>
      <c r="D1558" s="1655" t="s">
        <v>42</v>
      </c>
      <c r="E1558" s="1655" t="s">
        <v>571</v>
      </c>
      <c r="G1558" s="1655" t="s">
        <v>432</v>
      </c>
      <c r="H1558" s="1655" t="s">
        <v>1069</v>
      </c>
      <c r="I1558" s="1656">
        <v>0</v>
      </c>
      <c r="J1558" s="1655" t="s">
        <v>42</v>
      </c>
      <c r="K1558" s="1655" t="s">
        <v>571</v>
      </c>
      <c r="M1558" s="1655" t="s">
        <v>432</v>
      </c>
      <c r="N1558" s="1655" t="s">
        <v>1069</v>
      </c>
      <c r="O1558" s="1656">
        <v>0</v>
      </c>
      <c r="P1558" s="1655" t="s">
        <v>42</v>
      </c>
      <c r="Q1558" s="1655" t="s">
        <v>571</v>
      </c>
      <c r="S1558" s="1655" t="s">
        <v>432</v>
      </c>
      <c r="T1558" s="1655" t="s">
        <v>1069</v>
      </c>
      <c r="U1558" s="1656">
        <v>0</v>
      </c>
      <c r="V1558" s="1655" t="s">
        <v>42</v>
      </c>
      <c r="W1558" s="1655" t="s">
        <v>571</v>
      </c>
    </row>
    <row r="1559" spans="1:23">
      <c r="A1559" s="1655" t="s">
        <v>432</v>
      </c>
      <c r="B1559" s="1655" t="s">
        <v>1070</v>
      </c>
      <c r="C1559" s="1656">
        <v>0</v>
      </c>
      <c r="D1559" s="1655" t="s">
        <v>42</v>
      </c>
      <c r="E1559" s="1655" t="s">
        <v>571</v>
      </c>
      <c r="G1559" s="1655" t="s">
        <v>432</v>
      </c>
      <c r="H1559" s="1655" t="s">
        <v>1070</v>
      </c>
      <c r="I1559" s="1656">
        <v>999999999</v>
      </c>
      <c r="J1559" s="1655" t="s">
        <v>42</v>
      </c>
      <c r="K1559" s="1655" t="s">
        <v>571</v>
      </c>
      <c r="M1559" s="1655" t="s">
        <v>432</v>
      </c>
      <c r="N1559" s="1655" t="s">
        <v>1070</v>
      </c>
      <c r="O1559" s="1656">
        <v>0</v>
      </c>
      <c r="P1559" s="1655" t="s">
        <v>42</v>
      </c>
      <c r="Q1559" s="1655" t="s">
        <v>571</v>
      </c>
      <c r="S1559" s="1655" t="s">
        <v>432</v>
      </c>
      <c r="T1559" s="1655" t="s">
        <v>1070</v>
      </c>
      <c r="U1559" s="1656">
        <v>0</v>
      </c>
      <c r="V1559" s="1655" t="s">
        <v>42</v>
      </c>
      <c r="W1559" s="1655" t="s">
        <v>571</v>
      </c>
    </row>
    <row r="1560" spans="1:23">
      <c r="A1560" s="1655" t="s">
        <v>432</v>
      </c>
      <c r="B1560" s="1655" t="s">
        <v>1071</v>
      </c>
      <c r="C1560" s="1656">
        <v>0</v>
      </c>
      <c r="D1560" s="1655" t="s">
        <v>42</v>
      </c>
      <c r="E1560" s="1655" t="s">
        <v>571</v>
      </c>
      <c r="G1560" s="1655" t="s">
        <v>432</v>
      </c>
      <c r="H1560" s="1655" t="s">
        <v>1071</v>
      </c>
      <c r="I1560" s="1656">
        <v>0</v>
      </c>
      <c r="J1560" s="1655" t="s">
        <v>42</v>
      </c>
      <c r="K1560" s="1655" t="s">
        <v>571</v>
      </c>
      <c r="M1560" s="1655" t="s">
        <v>432</v>
      </c>
      <c r="N1560" s="1655" t="s">
        <v>1071</v>
      </c>
      <c r="O1560" s="1656">
        <v>0</v>
      </c>
      <c r="P1560" s="1655" t="s">
        <v>42</v>
      </c>
      <c r="Q1560" s="1655" t="s">
        <v>571</v>
      </c>
      <c r="S1560" s="1655" t="s">
        <v>432</v>
      </c>
      <c r="T1560" s="1655" t="s">
        <v>1071</v>
      </c>
      <c r="U1560" s="1656">
        <v>0</v>
      </c>
      <c r="V1560" s="1655" t="s">
        <v>42</v>
      </c>
      <c r="W1560" s="1655" t="s">
        <v>571</v>
      </c>
    </row>
    <row r="1561" spans="1:23">
      <c r="A1561" s="1655" t="s">
        <v>432</v>
      </c>
      <c r="B1561" s="1655" t="s">
        <v>1072</v>
      </c>
      <c r="C1561" s="1656">
        <v>0</v>
      </c>
      <c r="D1561" s="1655" t="s">
        <v>42</v>
      </c>
      <c r="E1561" s="1655" t="s">
        <v>571</v>
      </c>
      <c r="G1561" s="1655" t="s">
        <v>432</v>
      </c>
      <c r="H1561" s="1655" t="s">
        <v>1072</v>
      </c>
      <c r="I1561" s="1656">
        <v>0</v>
      </c>
      <c r="J1561" s="1655" t="s">
        <v>42</v>
      </c>
      <c r="K1561" s="1655" t="s">
        <v>571</v>
      </c>
      <c r="M1561" s="1655" t="s">
        <v>432</v>
      </c>
      <c r="N1561" s="1655" t="s">
        <v>1072</v>
      </c>
      <c r="O1561" s="1656">
        <v>0</v>
      </c>
      <c r="P1561" s="1655" t="s">
        <v>42</v>
      </c>
      <c r="Q1561" s="1655" t="s">
        <v>571</v>
      </c>
      <c r="S1561" s="1655" t="s">
        <v>432</v>
      </c>
      <c r="T1561" s="1655" t="s">
        <v>1072</v>
      </c>
      <c r="U1561" s="1656">
        <v>0</v>
      </c>
      <c r="V1561" s="1655" t="s">
        <v>42</v>
      </c>
      <c r="W1561" s="1655" t="s">
        <v>571</v>
      </c>
    </row>
    <row r="1562" spans="1:23">
      <c r="A1562" s="1655" t="s">
        <v>432</v>
      </c>
      <c r="B1562" s="1655" t="s">
        <v>1073</v>
      </c>
      <c r="C1562" s="1656">
        <v>0</v>
      </c>
      <c r="D1562" s="1655" t="s">
        <v>42</v>
      </c>
      <c r="E1562" s="1655" t="s">
        <v>571</v>
      </c>
      <c r="G1562" s="1655" t="s">
        <v>432</v>
      </c>
      <c r="H1562" s="1655" t="s">
        <v>1073</v>
      </c>
      <c r="I1562" s="1656">
        <v>0</v>
      </c>
      <c r="J1562" s="1655" t="s">
        <v>42</v>
      </c>
      <c r="K1562" s="1655" t="s">
        <v>571</v>
      </c>
      <c r="M1562" s="1655" t="s">
        <v>432</v>
      </c>
      <c r="N1562" s="1655" t="s">
        <v>1073</v>
      </c>
      <c r="O1562" s="1656">
        <v>0</v>
      </c>
      <c r="P1562" s="1655" t="s">
        <v>42</v>
      </c>
      <c r="Q1562" s="1655" t="s">
        <v>571</v>
      </c>
      <c r="S1562" s="1655" t="s">
        <v>432</v>
      </c>
      <c r="T1562" s="1655" t="s">
        <v>1073</v>
      </c>
      <c r="U1562" s="1656">
        <v>0</v>
      </c>
      <c r="V1562" s="1655" t="s">
        <v>42</v>
      </c>
      <c r="W1562" s="1655" t="s">
        <v>571</v>
      </c>
    </row>
    <row r="1563" spans="1:23">
      <c r="A1563" s="1655" t="s">
        <v>432</v>
      </c>
      <c r="B1563" s="1655" t="s">
        <v>1074</v>
      </c>
      <c r="C1563" s="1656">
        <v>0</v>
      </c>
      <c r="D1563" s="1655" t="s">
        <v>42</v>
      </c>
      <c r="E1563" s="1655" t="s">
        <v>571</v>
      </c>
      <c r="G1563" s="1655" t="s">
        <v>432</v>
      </c>
      <c r="H1563" s="1655" t="s">
        <v>1074</v>
      </c>
      <c r="I1563" s="1656">
        <v>0</v>
      </c>
      <c r="J1563" s="1655" t="s">
        <v>42</v>
      </c>
      <c r="K1563" s="1655" t="s">
        <v>571</v>
      </c>
      <c r="M1563" s="1655" t="s">
        <v>432</v>
      </c>
      <c r="N1563" s="1655" t="s">
        <v>1074</v>
      </c>
      <c r="O1563" s="1656">
        <v>0</v>
      </c>
      <c r="P1563" s="1655" t="s">
        <v>42</v>
      </c>
      <c r="Q1563" s="1655" t="s">
        <v>571</v>
      </c>
      <c r="S1563" s="1655" t="s">
        <v>432</v>
      </c>
      <c r="T1563" s="1655" t="s">
        <v>1074</v>
      </c>
      <c r="U1563" s="1656">
        <v>0</v>
      </c>
      <c r="V1563" s="1655" t="s">
        <v>42</v>
      </c>
      <c r="W1563" s="1655" t="s">
        <v>571</v>
      </c>
    </row>
    <row r="1564" spans="1:23">
      <c r="A1564" s="1655" t="s">
        <v>432</v>
      </c>
      <c r="B1564" s="1655" t="s">
        <v>1075</v>
      </c>
      <c r="C1564" s="1656">
        <v>0</v>
      </c>
      <c r="D1564" s="1655" t="s">
        <v>42</v>
      </c>
      <c r="E1564" s="1655" t="s">
        <v>571</v>
      </c>
      <c r="G1564" s="1655" t="s">
        <v>432</v>
      </c>
      <c r="H1564" s="1655" t="s">
        <v>1075</v>
      </c>
      <c r="I1564" s="1656">
        <v>0</v>
      </c>
      <c r="J1564" s="1655" t="s">
        <v>42</v>
      </c>
      <c r="K1564" s="1655" t="s">
        <v>571</v>
      </c>
      <c r="M1564" s="1655" t="s">
        <v>432</v>
      </c>
      <c r="N1564" s="1655" t="s">
        <v>1075</v>
      </c>
      <c r="O1564" s="1656">
        <v>0</v>
      </c>
      <c r="P1564" s="1655" t="s">
        <v>42</v>
      </c>
      <c r="Q1564" s="1655" t="s">
        <v>571</v>
      </c>
      <c r="S1564" s="1655" t="s">
        <v>432</v>
      </c>
      <c r="T1564" s="1655" t="s">
        <v>1075</v>
      </c>
      <c r="U1564" s="1656">
        <v>0</v>
      </c>
      <c r="V1564" s="1655" t="s">
        <v>42</v>
      </c>
      <c r="W1564" s="1655" t="s">
        <v>571</v>
      </c>
    </row>
    <row r="1565" spans="1:23">
      <c r="A1565" s="1655" t="s">
        <v>432</v>
      </c>
      <c r="B1565" s="1655" t="s">
        <v>1076</v>
      </c>
      <c r="C1565" s="1656">
        <v>0</v>
      </c>
      <c r="D1565" s="1655" t="s">
        <v>42</v>
      </c>
      <c r="E1565" s="1655" t="s">
        <v>571</v>
      </c>
      <c r="G1565" s="1655" t="s">
        <v>432</v>
      </c>
      <c r="H1565" s="1655" t="s">
        <v>1076</v>
      </c>
      <c r="I1565" s="1656">
        <v>0</v>
      </c>
      <c r="J1565" s="1655" t="s">
        <v>42</v>
      </c>
      <c r="K1565" s="1655" t="s">
        <v>571</v>
      </c>
      <c r="M1565" s="1655" t="s">
        <v>432</v>
      </c>
      <c r="N1565" s="1655" t="s">
        <v>1076</v>
      </c>
      <c r="O1565" s="1656">
        <v>0</v>
      </c>
      <c r="P1565" s="1655" t="s">
        <v>42</v>
      </c>
      <c r="Q1565" s="1655" t="s">
        <v>571</v>
      </c>
      <c r="S1565" s="1655" t="s">
        <v>432</v>
      </c>
      <c r="T1565" s="1655" t="s">
        <v>1076</v>
      </c>
      <c r="U1565" s="1656">
        <v>0</v>
      </c>
      <c r="V1565" s="1655" t="s">
        <v>42</v>
      </c>
      <c r="W1565" s="1655" t="s">
        <v>571</v>
      </c>
    </row>
    <row r="1566" spans="1:23">
      <c r="A1566" s="1655" t="s">
        <v>432</v>
      </c>
      <c r="B1566" s="1655" t="s">
        <v>1077</v>
      </c>
      <c r="C1566" s="1656">
        <v>0</v>
      </c>
      <c r="D1566" s="1655" t="s">
        <v>42</v>
      </c>
      <c r="E1566" s="1655" t="s">
        <v>571</v>
      </c>
      <c r="G1566" s="1655" t="s">
        <v>432</v>
      </c>
      <c r="H1566" s="1655" t="s">
        <v>1077</v>
      </c>
      <c r="I1566" s="1655">
        <v>0</v>
      </c>
      <c r="J1566" s="1655" t="s">
        <v>42</v>
      </c>
      <c r="K1566" s="1655" t="s">
        <v>571</v>
      </c>
      <c r="M1566" s="1655" t="s">
        <v>432</v>
      </c>
      <c r="N1566" s="1655" t="s">
        <v>1077</v>
      </c>
      <c r="O1566" s="1655">
        <v>0</v>
      </c>
      <c r="P1566" s="1655" t="s">
        <v>42</v>
      </c>
      <c r="Q1566" s="1655" t="s">
        <v>571</v>
      </c>
      <c r="S1566" s="1655" t="s">
        <v>432</v>
      </c>
      <c r="T1566" s="1655" t="s">
        <v>1077</v>
      </c>
      <c r="U1566" s="1656">
        <v>0</v>
      </c>
      <c r="V1566" s="1655" t="s">
        <v>42</v>
      </c>
      <c r="W1566" s="1655" t="s">
        <v>571</v>
      </c>
    </row>
    <row r="1567" spans="1:23">
      <c r="A1567" s="1655" t="s">
        <v>432</v>
      </c>
      <c r="B1567" s="1655" t="s">
        <v>1078</v>
      </c>
      <c r="C1567" s="1656">
        <v>0</v>
      </c>
      <c r="D1567" s="1655" t="s">
        <v>42</v>
      </c>
      <c r="E1567" s="1655" t="s">
        <v>571</v>
      </c>
      <c r="G1567" s="1655" t="s">
        <v>432</v>
      </c>
      <c r="H1567" s="1655" t="s">
        <v>1078</v>
      </c>
      <c r="I1567" s="1655">
        <v>0</v>
      </c>
      <c r="J1567" s="1655" t="s">
        <v>42</v>
      </c>
      <c r="K1567" s="1655" t="s">
        <v>571</v>
      </c>
      <c r="M1567" s="1655" t="s">
        <v>432</v>
      </c>
      <c r="N1567" s="1655" t="s">
        <v>1078</v>
      </c>
      <c r="O1567" s="1655">
        <v>0</v>
      </c>
      <c r="P1567" s="1655" t="s">
        <v>42</v>
      </c>
      <c r="Q1567" s="1655" t="s">
        <v>571</v>
      </c>
      <c r="S1567" s="1655" t="s">
        <v>432</v>
      </c>
      <c r="T1567" s="1655" t="s">
        <v>1078</v>
      </c>
      <c r="U1567" s="1656">
        <v>0</v>
      </c>
      <c r="V1567" s="1655" t="s">
        <v>42</v>
      </c>
      <c r="W1567" s="1655" t="s">
        <v>571</v>
      </c>
    </row>
    <row r="1568" spans="1:23">
      <c r="A1568" s="1655" t="s">
        <v>432</v>
      </c>
      <c r="B1568" s="1655" t="s">
        <v>1079</v>
      </c>
      <c r="C1568" s="1656">
        <v>0</v>
      </c>
      <c r="D1568" s="1655" t="s">
        <v>42</v>
      </c>
      <c r="E1568" s="1655" t="s">
        <v>571</v>
      </c>
      <c r="G1568" s="1655" t="s">
        <v>432</v>
      </c>
      <c r="H1568" s="1655" t="s">
        <v>1079</v>
      </c>
      <c r="I1568" s="1655">
        <v>0</v>
      </c>
      <c r="J1568" s="1655" t="s">
        <v>42</v>
      </c>
      <c r="K1568" s="1655" t="s">
        <v>571</v>
      </c>
      <c r="M1568" s="1655" t="s">
        <v>432</v>
      </c>
      <c r="N1568" s="1655" t="s">
        <v>1079</v>
      </c>
      <c r="O1568" s="1655">
        <v>0</v>
      </c>
      <c r="P1568" s="1655" t="s">
        <v>42</v>
      </c>
      <c r="Q1568" s="1655" t="s">
        <v>571</v>
      </c>
      <c r="S1568" s="1655" t="s">
        <v>432</v>
      </c>
      <c r="T1568" s="1655" t="s">
        <v>1079</v>
      </c>
      <c r="U1568" s="1656">
        <v>0</v>
      </c>
      <c r="V1568" s="1655" t="s">
        <v>42</v>
      </c>
      <c r="W1568" s="1655" t="s">
        <v>571</v>
      </c>
    </row>
    <row r="1569" spans="1:23">
      <c r="A1569" s="1655" t="s">
        <v>432</v>
      </c>
      <c r="B1569" s="1655" t="s">
        <v>1080</v>
      </c>
      <c r="C1569" s="1656">
        <v>0</v>
      </c>
      <c r="D1569" s="1655" t="s">
        <v>42</v>
      </c>
      <c r="E1569" s="1655" t="s">
        <v>571</v>
      </c>
      <c r="G1569" s="1655" t="s">
        <v>432</v>
      </c>
      <c r="H1569" s="1655" t="s">
        <v>1080</v>
      </c>
      <c r="I1569" s="1655">
        <v>0</v>
      </c>
      <c r="J1569" s="1655" t="s">
        <v>42</v>
      </c>
      <c r="K1569" s="1655" t="s">
        <v>571</v>
      </c>
      <c r="M1569" s="1655" t="s">
        <v>432</v>
      </c>
      <c r="N1569" s="1655" t="s">
        <v>1080</v>
      </c>
      <c r="O1569" s="1655">
        <v>0</v>
      </c>
      <c r="P1569" s="1655" t="s">
        <v>42</v>
      </c>
      <c r="Q1569" s="1655" t="s">
        <v>571</v>
      </c>
      <c r="S1569" s="1655" t="s">
        <v>432</v>
      </c>
      <c r="T1569" s="1655" t="s">
        <v>1080</v>
      </c>
      <c r="U1569" s="1656">
        <v>0</v>
      </c>
      <c r="V1569" s="1655" t="s">
        <v>42</v>
      </c>
      <c r="W1569" s="1655" t="s">
        <v>571</v>
      </c>
    </row>
    <row r="1570" spans="1:23">
      <c r="A1570" s="1655" t="s">
        <v>432</v>
      </c>
      <c r="B1570" s="1655" t="s">
        <v>1081</v>
      </c>
      <c r="C1570" s="1656">
        <v>0</v>
      </c>
      <c r="D1570" s="1655" t="s">
        <v>42</v>
      </c>
      <c r="E1570" s="1655" t="s">
        <v>571</v>
      </c>
      <c r="G1570" s="1655" t="s">
        <v>432</v>
      </c>
      <c r="H1570" s="1655" t="s">
        <v>1081</v>
      </c>
      <c r="I1570" s="1655">
        <v>0</v>
      </c>
      <c r="J1570" s="1655" t="s">
        <v>42</v>
      </c>
      <c r="K1570" s="1655" t="s">
        <v>571</v>
      </c>
      <c r="M1570" s="1655" t="s">
        <v>432</v>
      </c>
      <c r="N1570" s="1655" t="s">
        <v>1081</v>
      </c>
      <c r="O1570" s="1655">
        <v>0</v>
      </c>
      <c r="P1570" s="1655" t="s">
        <v>42</v>
      </c>
      <c r="Q1570" s="1655" t="s">
        <v>571</v>
      </c>
      <c r="S1570" s="1655" t="s">
        <v>432</v>
      </c>
      <c r="T1570" s="1655" t="s">
        <v>1081</v>
      </c>
      <c r="U1570" s="1656">
        <v>0</v>
      </c>
      <c r="V1570" s="1655" t="s">
        <v>42</v>
      </c>
      <c r="W1570" s="1655" t="s">
        <v>571</v>
      </c>
    </row>
    <row r="1571" spans="1:23">
      <c r="A1571" s="1655" t="s">
        <v>432</v>
      </c>
      <c r="B1571" s="1655" t="s">
        <v>1154</v>
      </c>
      <c r="C1571" s="1656">
        <v>0</v>
      </c>
      <c r="D1571" s="1655" t="s">
        <v>42</v>
      </c>
      <c r="E1571" s="1655" t="s">
        <v>571</v>
      </c>
      <c r="G1571" s="1655" t="s">
        <v>432</v>
      </c>
      <c r="H1571" s="1655" t="s">
        <v>1154</v>
      </c>
      <c r="I1571" s="1655">
        <v>0</v>
      </c>
      <c r="J1571" s="1655" t="s">
        <v>42</v>
      </c>
      <c r="K1571" s="1655" t="s">
        <v>571</v>
      </c>
      <c r="M1571" s="1655" t="s">
        <v>432</v>
      </c>
      <c r="N1571" s="1655" t="s">
        <v>1154</v>
      </c>
      <c r="O1571" s="1655">
        <v>0</v>
      </c>
      <c r="P1571" s="1655" t="s">
        <v>42</v>
      </c>
      <c r="Q1571" s="1655" t="s">
        <v>571</v>
      </c>
      <c r="S1571" s="1655" t="s">
        <v>432</v>
      </c>
      <c r="T1571" s="1655" t="s">
        <v>1154</v>
      </c>
      <c r="U1571" s="1656">
        <v>0</v>
      </c>
      <c r="V1571" s="1655" t="s">
        <v>42</v>
      </c>
      <c r="W1571" s="1655" t="s">
        <v>571</v>
      </c>
    </row>
    <row r="1572" spans="1:23">
      <c r="A1572" s="1655" t="s">
        <v>1298</v>
      </c>
      <c r="B1572" s="1655" t="s">
        <v>1255</v>
      </c>
      <c r="C1572" s="1656" t="s">
        <v>259</v>
      </c>
      <c r="D1572" s="1655" t="s">
        <v>42</v>
      </c>
      <c r="E1572" s="1655" t="s">
        <v>569</v>
      </c>
      <c r="G1572" s="1655" t="s">
        <v>1298</v>
      </c>
      <c r="H1572" s="1655" t="s">
        <v>1255</v>
      </c>
      <c r="I1572" s="1656" t="s">
        <v>259</v>
      </c>
      <c r="J1572" s="1655" t="s">
        <v>42</v>
      </c>
      <c r="K1572" s="1655" t="s">
        <v>569</v>
      </c>
      <c r="M1572" s="1655" t="s">
        <v>1298</v>
      </c>
      <c r="N1572" s="1655" t="s">
        <v>1255</v>
      </c>
      <c r="O1572" s="1656" t="s">
        <v>259</v>
      </c>
      <c r="P1572" s="1655" t="s">
        <v>42</v>
      </c>
      <c r="Q1572" s="1655" t="s">
        <v>569</v>
      </c>
      <c r="S1572" s="1655" t="s">
        <v>1298</v>
      </c>
      <c r="T1572" s="1655" t="s">
        <v>1255</v>
      </c>
      <c r="U1572" s="1656" t="s">
        <v>259</v>
      </c>
      <c r="V1572" s="1655" t="s">
        <v>42</v>
      </c>
      <c r="W1572" s="1655" t="s">
        <v>569</v>
      </c>
    </row>
    <row r="1573" spans="1:23">
      <c r="A1573" s="1655" t="s">
        <v>1298</v>
      </c>
      <c r="B1573" s="1655" t="s">
        <v>1256</v>
      </c>
      <c r="C1573" s="1656" t="s">
        <v>251</v>
      </c>
      <c r="D1573" s="1655" t="s">
        <v>42</v>
      </c>
      <c r="E1573" s="1655" t="s">
        <v>569</v>
      </c>
      <c r="G1573" s="1655" t="s">
        <v>1298</v>
      </c>
      <c r="H1573" s="1655" t="s">
        <v>1256</v>
      </c>
      <c r="I1573" s="1656" t="s">
        <v>251</v>
      </c>
      <c r="J1573" s="1655" t="s">
        <v>42</v>
      </c>
      <c r="K1573" s="1655" t="s">
        <v>569</v>
      </c>
      <c r="M1573" s="1655" t="s">
        <v>1298</v>
      </c>
      <c r="N1573" s="1655" t="s">
        <v>1256</v>
      </c>
      <c r="O1573" s="1656" t="s">
        <v>251</v>
      </c>
      <c r="P1573" s="1655" t="s">
        <v>42</v>
      </c>
      <c r="Q1573" s="1655" t="s">
        <v>569</v>
      </c>
      <c r="S1573" s="1655" t="s">
        <v>1298</v>
      </c>
      <c r="T1573" s="1655" t="s">
        <v>1256</v>
      </c>
      <c r="U1573" s="1656" t="s">
        <v>251</v>
      </c>
      <c r="V1573" s="1655" t="s">
        <v>42</v>
      </c>
      <c r="W1573" s="1655" t="s">
        <v>569</v>
      </c>
    </row>
    <row r="1574" spans="1:23">
      <c r="A1574" s="1655" t="s">
        <v>1298</v>
      </c>
      <c r="B1574" s="1655" t="s">
        <v>1257</v>
      </c>
      <c r="C1574" s="1656" t="s">
        <v>11</v>
      </c>
      <c r="D1574" s="1655" t="s">
        <v>42</v>
      </c>
      <c r="E1574" s="1655" t="s">
        <v>569</v>
      </c>
      <c r="G1574" s="1655" t="s">
        <v>1298</v>
      </c>
      <c r="H1574" s="1655" t="s">
        <v>1257</v>
      </c>
      <c r="I1574" s="1656" t="s">
        <v>11</v>
      </c>
      <c r="J1574" s="1655" t="s">
        <v>42</v>
      </c>
      <c r="K1574" s="1655" t="s">
        <v>569</v>
      </c>
      <c r="M1574" s="1655" t="s">
        <v>1298</v>
      </c>
      <c r="N1574" s="1655" t="s">
        <v>1257</v>
      </c>
      <c r="O1574" s="1656" t="s">
        <v>11</v>
      </c>
      <c r="P1574" s="1655" t="s">
        <v>42</v>
      </c>
      <c r="Q1574" s="1655" t="s">
        <v>569</v>
      </c>
      <c r="S1574" s="1655" t="s">
        <v>1298</v>
      </c>
      <c r="T1574" s="1655" t="s">
        <v>1257</v>
      </c>
      <c r="U1574" s="1656" t="s">
        <v>2682</v>
      </c>
      <c r="V1574" s="1655" t="s">
        <v>42</v>
      </c>
      <c r="W1574" s="1655" t="s">
        <v>569</v>
      </c>
    </row>
    <row r="1575" spans="1:23">
      <c r="A1575" s="1655" t="s">
        <v>1298</v>
      </c>
      <c r="B1575" s="1655" t="s">
        <v>1258</v>
      </c>
      <c r="C1575" s="1656" t="s">
        <v>252</v>
      </c>
      <c r="D1575" s="1655" t="s">
        <v>42</v>
      </c>
      <c r="E1575" s="1655" t="s">
        <v>569</v>
      </c>
      <c r="G1575" s="1655" t="s">
        <v>1298</v>
      </c>
      <c r="H1575" s="1655" t="s">
        <v>1258</v>
      </c>
      <c r="I1575" s="1656" t="s">
        <v>252</v>
      </c>
      <c r="J1575" s="1655" t="s">
        <v>42</v>
      </c>
      <c r="K1575" s="1655" t="s">
        <v>569</v>
      </c>
      <c r="M1575" s="1655" t="s">
        <v>1298</v>
      </c>
      <c r="N1575" s="1655" t="s">
        <v>1258</v>
      </c>
      <c r="O1575" s="1656" t="s">
        <v>252</v>
      </c>
      <c r="P1575" s="1655" t="s">
        <v>42</v>
      </c>
      <c r="Q1575" s="1655" t="s">
        <v>569</v>
      </c>
      <c r="S1575" s="1655" t="s">
        <v>1298</v>
      </c>
      <c r="T1575" s="1655" t="s">
        <v>1258</v>
      </c>
      <c r="U1575" s="1656" t="s">
        <v>252</v>
      </c>
      <c r="V1575" s="1655" t="s">
        <v>42</v>
      </c>
      <c r="W1575" s="1655" t="s">
        <v>569</v>
      </c>
    </row>
    <row r="1576" spans="1:23">
      <c r="A1576" s="1655" t="s">
        <v>1298</v>
      </c>
      <c r="B1576" s="1655" t="s">
        <v>1259</v>
      </c>
      <c r="C1576" s="1656" t="s">
        <v>260</v>
      </c>
      <c r="D1576" s="1655" t="s">
        <v>42</v>
      </c>
      <c r="E1576" s="1655" t="s">
        <v>569</v>
      </c>
      <c r="G1576" s="1655" t="s">
        <v>1298</v>
      </c>
      <c r="H1576" s="1655" t="s">
        <v>1259</v>
      </c>
      <c r="I1576" s="1656" t="s">
        <v>260</v>
      </c>
      <c r="J1576" s="1655" t="s">
        <v>42</v>
      </c>
      <c r="K1576" s="1655" t="s">
        <v>569</v>
      </c>
      <c r="M1576" s="1655" t="s">
        <v>1298</v>
      </c>
      <c r="N1576" s="1655" t="s">
        <v>1259</v>
      </c>
      <c r="O1576" s="1656" t="s">
        <v>260</v>
      </c>
      <c r="P1576" s="1655" t="s">
        <v>42</v>
      </c>
      <c r="Q1576" s="1655" t="s">
        <v>569</v>
      </c>
      <c r="S1576" s="1655" t="s">
        <v>1298</v>
      </c>
      <c r="T1576" s="1655" t="s">
        <v>1259</v>
      </c>
      <c r="U1576" s="1656" t="s">
        <v>12</v>
      </c>
      <c r="V1576" s="1655" t="s">
        <v>42</v>
      </c>
      <c r="W1576" s="1655" t="s">
        <v>569</v>
      </c>
    </row>
    <row r="1577" spans="1:23">
      <c r="A1577" s="1655" t="s">
        <v>1298</v>
      </c>
      <c r="B1577" s="1655" t="s">
        <v>1260</v>
      </c>
      <c r="C1577" s="1656" t="s">
        <v>253</v>
      </c>
      <c r="D1577" s="1655" t="s">
        <v>42</v>
      </c>
      <c r="E1577" s="1655" t="s">
        <v>569</v>
      </c>
      <c r="G1577" s="1655" t="s">
        <v>1298</v>
      </c>
      <c r="H1577" s="1655" t="s">
        <v>1260</v>
      </c>
      <c r="I1577" s="1656" t="s">
        <v>253</v>
      </c>
      <c r="J1577" s="1655" t="s">
        <v>42</v>
      </c>
      <c r="K1577" s="1655" t="s">
        <v>569</v>
      </c>
      <c r="M1577" s="1655" t="s">
        <v>1298</v>
      </c>
      <c r="N1577" s="1655" t="s">
        <v>1260</v>
      </c>
      <c r="O1577" s="1656" t="s">
        <v>253</v>
      </c>
      <c r="P1577" s="1655" t="s">
        <v>42</v>
      </c>
      <c r="Q1577" s="1655" t="s">
        <v>569</v>
      </c>
      <c r="S1577" s="1655" t="s">
        <v>1298</v>
      </c>
      <c r="T1577" s="1655" t="s">
        <v>1260</v>
      </c>
      <c r="U1577" s="1656" t="s">
        <v>12</v>
      </c>
      <c r="V1577" s="1655" t="s">
        <v>42</v>
      </c>
      <c r="W1577" s="1655" t="s">
        <v>569</v>
      </c>
    </row>
    <row r="1578" spans="1:23">
      <c r="A1578" s="1655" t="s">
        <v>1298</v>
      </c>
      <c r="B1578" s="1655" t="s">
        <v>1261</v>
      </c>
      <c r="C1578" s="1656" t="s">
        <v>254</v>
      </c>
      <c r="D1578" s="1655" t="s">
        <v>42</v>
      </c>
      <c r="E1578" s="1655" t="s">
        <v>569</v>
      </c>
      <c r="G1578" s="1655" t="s">
        <v>1298</v>
      </c>
      <c r="H1578" s="1655" t="s">
        <v>1261</v>
      </c>
      <c r="I1578" s="1656" t="s">
        <v>12</v>
      </c>
      <c r="J1578" s="1655" t="s">
        <v>42</v>
      </c>
      <c r="K1578" s="1655" t="s">
        <v>569</v>
      </c>
      <c r="M1578" s="1655" t="s">
        <v>1298</v>
      </c>
      <c r="N1578" s="1655" t="s">
        <v>1261</v>
      </c>
      <c r="O1578" s="1656" t="s">
        <v>12</v>
      </c>
      <c r="P1578" s="1655" t="s">
        <v>42</v>
      </c>
      <c r="Q1578" s="1655" t="s">
        <v>569</v>
      </c>
      <c r="S1578" s="1655" t="s">
        <v>1298</v>
      </c>
      <c r="T1578" s="1655" t="s">
        <v>1261</v>
      </c>
      <c r="U1578" s="1656" t="s">
        <v>12</v>
      </c>
      <c r="V1578" s="1655" t="s">
        <v>42</v>
      </c>
      <c r="W1578" s="1655" t="s">
        <v>569</v>
      </c>
    </row>
    <row r="1579" spans="1:23">
      <c r="A1579" s="1655" t="s">
        <v>1298</v>
      </c>
      <c r="B1579" s="1655" t="s">
        <v>1497</v>
      </c>
      <c r="C1579" s="1656" t="s">
        <v>12</v>
      </c>
      <c r="D1579" s="1655" t="s">
        <v>42</v>
      </c>
      <c r="E1579" s="1655" t="s">
        <v>569</v>
      </c>
      <c r="G1579" s="1655" t="s">
        <v>1298</v>
      </c>
      <c r="H1579" s="1655" t="s">
        <v>1497</v>
      </c>
      <c r="I1579" s="1656" t="s">
        <v>12</v>
      </c>
      <c r="J1579" s="1655" t="s">
        <v>42</v>
      </c>
      <c r="K1579" s="1655" t="s">
        <v>569</v>
      </c>
      <c r="M1579" s="1655" t="s">
        <v>1298</v>
      </c>
      <c r="N1579" s="1655" t="s">
        <v>1497</v>
      </c>
      <c r="O1579" s="1656" t="s">
        <v>12</v>
      </c>
      <c r="P1579" s="1655" t="s">
        <v>42</v>
      </c>
      <c r="Q1579" s="1655" t="s">
        <v>569</v>
      </c>
      <c r="S1579" s="1655" t="s">
        <v>1298</v>
      </c>
      <c r="T1579" s="1655" t="s">
        <v>1497</v>
      </c>
      <c r="U1579" s="1656" t="s">
        <v>12</v>
      </c>
      <c r="V1579" s="1655" t="s">
        <v>42</v>
      </c>
      <c r="W1579" s="1655" t="s">
        <v>569</v>
      </c>
    </row>
    <row r="1580" spans="1:23">
      <c r="A1580" s="1655" t="s">
        <v>1298</v>
      </c>
      <c r="B1580" s="1655" t="s">
        <v>1498</v>
      </c>
      <c r="C1580" s="1656" t="s">
        <v>12</v>
      </c>
      <c r="D1580" s="1655" t="s">
        <v>42</v>
      </c>
      <c r="E1580" s="1655" t="s">
        <v>569</v>
      </c>
      <c r="G1580" s="1655" t="s">
        <v>1298</v>
      </c>
      <c r="H1580" s="1655" t="s">
        <v>1498</v>
      </c>
      <c r="I1580" s="1656" t="s">
        <v>12</v>
      </c>
      <c r="J1580" s="1655" t="s">
        <v>42</v>
      </c>
      <c r="K1580" s="1655" t="s">
        <v>569</v>
      </c>
      <c r="M1580" s="1655" t="s">
        <v>1298</v>
      </c>
      <c r="N1580" s="1655" t="s">
        <v>1498</v>
      </c>
      <c r="O1580" s="1656" t="s">
        <v>12</v>
      </c>
      <c r="P1580" s="1655" t="s">
        <v>42</v>
      </c>
      <c r="Q1580" s="1655" t="s">
        <v>569</v>
      </c>
      <c r="S1580" s="1655" t="s">
        <v>1298</v>
      </c>
      <c r="T1580" s="1655" t="s">
        <v>1498</v>
      </c>
      <c r="U1580" s="1656" t="s">
        <v>12</v>
      </c>
      <c r="V1580" s="1655" t="s">
        <v>42</v>
      </c>
      <c r="W1580" s="1655" t="s">
        <v>569</v>
      </c>
    </row>
    <row r="1581" spans="1:23">
      <c r="A1581" s="1655" t="s">
        <v>1298</v>
      </c>
      <c r="B1581" s="1655" t="s">
        <v>1499</v>
      </c>
      <c r="C1581" s="1656" t="s">
        <v>12</v>
      </c>
      <c r="D1581" s="1655" t="s">
        <v>42</v>
      </c>
      <c r="E1581" s="1655" t="s">
        <v>569</v>
      </c>
      <c r="G1581" s="1655" t="s">
        <v>1298</v>
      </c>
      <c r="H1581" s="1655" t="s">
        <v>1499</v>
      </c>
      <c r="I1581" s="1656" t="s">
        <v>12</v>
      </c>
      <c r="J1581" s="1655" t="s">
        <v>42</v>
      </c>
      <c r="K1581" s="1655" t="s">
        <v>569</v>
      </c>
      <c r="M1581" s="1655" t="s">
        <v>1298</v>
      </c>
      <c r="N1581" s="1655" t="s">
        <v>1499</v>
      </c>
      <c r="O1581" s="1656" t="s">
        <v>12</v>
      </c>
      <c r="P1581" s="1655" t="s">
        <v>42</v>
      </c>
      <c r="Q1581" s="1655" t="s">
        <v>569</v>
      </c>
      <c r="S1581" s="1655" t="s">
        <v>1298</v>
      </c>
      <c r="T1581" s="1655" t="s">
        <v>1499</v>
      </c>
      <c r="U1581" s="1656" t="s">
        <v>12</v>
      </c>
      <c r="V1581" s="1655" t="s">
        <v>42</v>
      </c>
      <c r="W1581" s="1655" t="s">
        <v>569</v>
      </c>
    </row>
    <row r="1582" spans="1:23">
      <c r="A1582" s="1655" t="s">
        <v>1298</v>
      </c>
      <c r="B1582" s="1655" t="s">
        <v>2059</v>
      </c>
      <c r="C1582" s="1655" t="s">
        <v>570</v>
      </c>
      <c r="D1582" s="1655" t="s">
        <v>43</v>
      </c>
      <c r="E1582" s="1655" t="s">
        <v>569</v>
      </c>
      <c r="G1582" s="1655" t="s">
        <v>1298</v>
      </c>
      <c r="H1582" s="1655" t="s">
        <v>2059</v>
      </c>
      <c r="I1582" s="1655" t="s">
        <v>570</v>
      </c>
      <c r="J1582" s="1655" t="s">
        <v>43</v>
      </c>
      <c r="K1582" s="1655" t="s">
        <v>569</v>
      </c>
      <c r="M1582" s="1655" t="s">
        <v>1298</v>
      </c>
      <c r="N1582" s="1655" t="s">
        <v>2059</v>
      </c>
      <c r="O1582" s="1655" t="s">
        <v>570</v>
      </c>
      <c r="P1582" s="1655" t="s">
        <v>43</v>
      </c>
      <c r="Q1582" s="1655" t="s">
        <v>569</v>
      </c>
      <c r="S1582" s="1655" t="s">
        <v>1298</v>
      </c>
      <c r="T1582" s="1655" t="s">
        <v>2059</v>
      </c>
      <c r="U1582" s="1655" t="s">
        <v>570</v>
      </c>
      <c r="V1582" s="1655" t="s">
        <v>43</v>
      </c>
      <c r="W1582" s="1655" t="s">
        <v>569</v>
      </c>
    </row>
    <row r="1583" spans="1:23">
      <c r="A1583" s="1655" t="s">
        <v>1298</v>
      </c>
      <c r="B1583" s="1655" t="s">
        <v>1500</v>
      </c>
      <c r="C1583" s="1655" t="s">
        <v>570</v>
      </c>
      <c r="D1583" s="1655" t="s">
        <v>43</v>
      </c>
      <c r="E1583" s="1655" t="s">
        <v>569</v>
      </c>
      <c r="G1583" s="1655" t="s">
        <v>1298</v>
      </c>
      <c r="H1583" s="1655" t="s">
        <v>1500</v>
      </c>
      <c r="I1583" s="1659" t="s">
        <v>570</v>
      </c>
      <c r="J1583" s="1655" t="s">
        <v>43</v>
      </c>
      <c r="K1583" s="1655" t="s">
        <v>569</v>
      </c>
      <c r="M1583" s="1655" t="s">
        <v>1298</v>
      </c>
      <c r="N1583" s="1655" t="s">
        <v>1500</v>
      </c>
      <c r="O1583" s="1659" t="s">
        <v>570</v>
      </c>
      <c r="P1583" s="1655" t="s">
        <v>43</v>
      </c>
      <c r="Q1583" s="1655" t="s">
        <v>569</v>
      </c>
      <c r="S1583" s="1655" t="s">
        <v>1298</v>
      </c>
      <c r="T1583" s="1655" t="s">
        <v>1500</v>
      </c>
      <c r="U1583" s="1659" t="s">
        <v>570</v>
      </c>
      <c r="V1583" s="1655" t="s">
        <v>43</v>
      </c>
      <c r="W1583" s="1655" t="s">
        <v>569</v>
      </c>
    </row>
    <row r="1584" spans="1:23">
      <c r="A1584" s="1655" t="s">
        <v>1298</v>
      </c>
      <c r="B1584" s="1655" t="s">
        <v>1501</v>
      </c>
      <c r="C1584" s="1655" t="s">
        <v>570</v>
      </c>
      <c r="D1584" s="1655" t="s">
        <v>43</v>
      </c>
      <c r="E1584" s="1655" t="s">
        <v>569</v>
      </c>
      <c r="G1584" s="1655" t="s">
        <v>1298</v>
      </c>
      <c r="H1584" s="1655" t="s">
        <v>1501</v>
      </c>
      <c r="I1584" s="1659" t="s">
        <v>570</v>
      </c>
      <c r="J1584" s="1655" t="s">
        <v>43</v>
      </c>
      <c r="K1584" s="1655" t="s">
        <v>569</v>
      </c>
      <c r="M1584" s="1655" t="s">
        <v>1298</v>
      </c>
      <c r="N1584" s="1655" t="s">
        <v>1501</v>
      </c>
      <c r="O1584" s="1659" t="s">
        <v>570</v>
      </c>
      <c r="P1584" s="1655" t="s">
        <v>43</v>
      </c>
      <c r="Q1584" s="1655" t="s">
        <v>569</v>
      </c>
      <c r="S1584" s="1655" t="s">
        <v>1298</v>
      </c>
      <c r="T1584" s="1655" t="s">
        <v>1501</v>
      </c>
      <c r="U1584" s="1659" t="s">
        <v>570</v>
      </c>
      <c r="V1584" s="1655" t="s">
        <v>43</v>
      </c>
      <c r="W1584" s="1655" t="s">
        <v>569</v>
      </c>
    </row>
    <row r="1585" spans="1:23">
      <c r="A1585" s="1655" t="s">
        <v>1298</v>
      </c>
      <c r="B1585" s="1655" t="s">
        <v>1502</v>
      </c>
      <c r="C1585" s="1656" t="s">
        <v>570</v>
      </c>
      <c r="D1585" s="1655" t="s">
        <v>43</v>
      </c>
      <c r="E1585" s="1655" t="s">
        <v>569</v>
      </c>
      <c r="G1585" s="1655" t="s">
        <v>1298</v>
      </c>
      <c r="H1585" s="1655" t="s">
        <v>1502</v>
      </c>
      <c r="I1585" s="1659" t="s">
        <v>570</v>
      </c>
      <c r="J1585" s="1655" t="s">
        <v>43</v>
      </c>
      <c r="K1585" s="1655" t="s">
        <v>569</v>
      </c>
      <c r="M1585" s="1655" t="s">
        <v>1298</v>
      </c>
      <c r="N1585" s="1655" t="s">
        <v>1502</v>
      </c>
      <c r="O1585" s="1659" t="s">
        <v>570</v>
      </c>
      <c r="P1585" s="1655" t="s">
        <v>43</v>
      </c>
      <c r="Q1585" s="1655" t="s">
        <v>569</v>
      </c>
      <c r="S1585" s="1655" t="s">
        <v>1298</v>
      </c>
      <c r="T1585" s="1655" t="s">
        <v>1502</v>
      </c>
      <c r="U1585" s="1659" t="s">
        <v>570</v>
      </c>
      <c r="V1585" s="1655" t="s">
        <v>43</v>
      </c>
      <c r="W1585" s="1655" t="s">
        <v>569</v>
      </c>
    </row>
    <row r="1586" spans="1:23">
      <c r="A1586" s="1655" t="s">
        <v>1298</v>
      </c>
      <c r="B1586" s="1655" t="s">
        <v>1503</v>
      </c>
      <c r="C1586" s="1656" t="s">
        <v>570</v>
      </c>
      <c r="D1586" s="1655" t="s">
        <v>43</v>
      </c>
      <c r="E1586" s="1655" t="s">
        <v>569</v>
      </c>
      <c r="G1586" s="1655" t="s">
        <v>1298</v>
      </c>
      <c r="H1586" s="1655" t="s">
        <v>1503</v>
      </c>
      <c r="I1586" s="1655" t="s">
        <v>570</v>
      </c>
      <c r="J1586" s="1655" t="s">
        <v>43</v>
      </c>
      <c r="K1586" s="1655" t="s">
        <v>569</v>
      </c>
      <c r="M1586" s="1655" t="s">
        <v>1298</v>
      </c>
      <c r="N1586" s="1655" t="s">
        <v>1503</v>
      </c>
      <c r="O1586" s="1655" t="s">
        <v>570</v>
      </c>
      <c r="P1586" s="1655" t="s">
        <v>43</v>
      </c>
      <c r="Q1586" s="1655" t="s">
        <v>569</v>
      </c>
      <c r="S1586" s="1655" t="s">
        <v>1298</v>
      </c>
      <c r="T1586" s="1655" t="s">
        <v>1503</v>
      </c>
      <c r="U1586" s="1655" t="s">
        <v>570</v>
      </c>
      <c r="V1586" s="1655" t="s">
        <v>43</v>
      </c>
      <c r="W1586" s="1655" t="s">
        <v>569</v>
      </c>
    </row>
    <row r="1587" spans="1:23">
      <c r="A1587" s="1655" t="s">
        <v>1298</v>
      </c>
      <c r="B1587" s="1655" t="s">
        <v>1504</v>
      </c>
      <c r="C1587" s="1656" t="s">
        <v>570</v>
      </c>
      <c r="D1587" s="1655" t="s">
        <v>43</v>
      </c>
      <c r="E1587" s="1655" t="s">
        <v>569</v>
      </c>
      <c r="G1587" s="1655" t="s">
        <v>1298</v>
      </c>
      <c r="H1587" s="1655" t="s">
        <v>1504</v>
      </c>
      <c r="I1587" s="1659" t="s">
        <v>570</v>
      </c>
      <c r="J1587" s="1655" t="s">
        <v>43</v>
      </c>
      <c r="K1587" s="1655" t="s">
        <v>569</v>
      </c>
      <c r="M1587" s="1655" t="s">
        <v>1298</v>
      </c>
      <c r="N1587" s="1655" t="s">
        <v>1504</v>
      </c>
      <c r="O1587" s="1659" t="s">
        <v>570</v>
      </c>
      <c r="P1587" s="1655" t="s">
        <v>43</v>
      </c>
      <c r="Q1587" s="1655" t="s">
        <v>569</v>
      </c>
      <c r="S1587" s="1655" t="s">
        <v>1298</v>
      </c>
      <c r="T1587" s="1655" t="s">
        <v>1504</v>
      </c>
      <c r="U1587" s="1659" t="s">
        <v>570</v>
      </c>
      <c r="V1587" s="1655" t="s">
        <v>43</v>
      </c>
      <c r="W1587" s="1655" t="s">
        <v>569</v>
      </c>
    </row>
    <row r="1588" spans="1:23">
      <c r="A1588" s="1655" t="s">
        <v>1298</v>
      </c>
      <c r="B1588" s="1655" t="s">
        <v>1266</v>
      </c>
      <c r="C1588" s="1656">
        <v>2000</v>
      </c>
      <c r="D1588" s="1655" t="s">
        <v>42</v>
      </c>
      <c r="E1588" s="1655" t="s">
        <v>571</v>
      </c>
      <c r="G1588" s="1655" t="s">
        <v>1298</v>
      </c>
      <c r="H1588" s="1655" t="s">
        <v>1266</v>
      </c>
      <c r="I1588" s="1659">
        <v>2000</v>
      </c>
      <c r="J1588" s="1655" t="s">
        <v>42</v>
      </c>
      <c r="K1588" s="1655" t="s">
        <v>571</v>
      </c>
      <c r="M1588" s="1655" t="s">
        <v>1298</v>
      </c>
      <c r="N1588" s="1655" t="s">
        <v>1266</v>
      </c>
      <c r="O1588" s="1659">
        <v>980</v>
      </c>
      <c r="P1588" s="1655" t="s">
        <v>42</v>
      </c>
      <c r="Q1588" s="1655" t="s">
        <v>571</v>
      </c>
      <c r="S1588" s="1655" t="s">
        <v>1298</v>
      </c>
      <c r="T1588" s="1655" t="s">
        <v>1266</v>
      </c>
      <c r="U1588" s="1659">
        <v>0</v>
      </c>
      <c r="V1588" s="1655" t="s">
        <v>42</v>
      </c>
      <c r="W1588" s="1655" t="s">
        <v>571</v>
      </c>
    </row>
    <row r="1589" spans="1:23">
      <c r="A1589" s="1655" t="s">
        <v>1298</v>
      </c>
      <c r="B1589" s="1655" t="s">
        <v>1267</v>
      </c>
      <c r="C1589" s="1656">
        <v>600</v>
      </c>
      <c r="D1589" s="1655" t="s">
        <v>42</v>
      </c>
      <c r="E1589" s="1655" t="s">
        <v>571</v>
      </c>
      <c r="G1589" s="1655" t="s">
        <v>1298</v>
      </c>
      <c r="H1589" s="1655" t="s">
        <v>1267</v>
      </c>
      <c r="I1589" s="1659">
        <v>50</v>
      </c>
      <c r="J1589" s="1655" t="s">
        <v>42</v>
      </c>
      <c r="K1589" s="1655" t="s">
        <v>571</v>
      </c>
      <c r="M1589" s="1655" t="s">
        <v>1298</v>
      </c>
      <c r="N1589" s="1655" t="s">
        <v>1267</v>
      </c>
      <c r="O1589" s="1659">
        <v>200</v>
      </c>
      <c r="P1589" s="1655" t="s">
        <v>42</v>
      </c>
      <c r="Q1589" s="1655" t="s">
        <v>571</v>
      </c>
      <c r="S1589" s="1655" t="s">
        <v>1298</v>
      </c>
      <c r="T1589" s="1655" t="s">
        <v>1267</v>
      </c>
      <c r="U1589" s="1659">
        <v>0</v>
      </c>
      <c r="V1589" s="1655" t="s">
        <v>42</v>
      </c>
      <c r="W1589" s="1655" t="s">
        <v>571</v>
      </c>
    </row>
    <row r="1590" spans="1:23">
      <c r="A1590" s="1655" t="s">
        <v>1298</v>
      </c>
      <c r="B1590" s="1655" t="s">
        <v>574</v>
      </c>
      <c r="C1590" s="1656">
        <v>100</v>
      </c>
      <c r="D1590" s="1655" t="s">
        <v>42</v>
      </c>
      <c r="E1590" s="1655" t="s">
        <v>571</v>
      </c>
      <c r="G1590" s="1655" t="s">
        <v>1298</v>
      </c>
      <c r="H1590" s="1655" t="s">
        <v>574</v>
      </c>
      <c r="I1590" s="1659">
        <v>4</v>
      </c>
      <c r="J1590" s="1655" t="s">
        <v>42</v>
      </c>
      <c r="K1590" s="1655" t="s">
        <v>571</v>
      </c>
      <c r="M1590" s="1655" t="s">
        <v>1298</v>
      </c>
      <c r="N1590" s="1655" t="s">
        <v>574</v>
      </c>
      <c r="O1590" s="1659">
        <v>150</v>
      </c>
      <c r="P1590" s="1655" t="s">
        <v>42</v>
      </c>
      <c r="Q1590" s="1655" t="s">
        <v>571</v>
      </c>
      <c r="S1590" s="1655" t="s">
        <v>1298</v>
      </c>
      <c r="T1590" s="1655" t="s">
        <v>574</v>
      </c>
      <c r="U1590" s="1659">
        <v>0</v>
      </c>
      <c r="V1590" s="1655" t="s">
        <v>42</v>
      </c>
      <c r="W1590" s="1655" t="s">
        <v>571</v>
      </c>
    </row>
    <row r="1591" spans="1:23">
      <c r="A1591" s="1655" t="s">
        <v>1298</v>
      </c>
      <c r="B1591" s="1655" t="s">
        <v>575</v>
      </c>
      <c r="C1591" s="1656">
        <v>50</v>
      </c>
      <c r="D1591" s="1655" t="s">
        <v>42</v>
      </c>
      <c r="E1591" s="1655" t="s">
        <v>571</v>
      </c>
      <c r="G1591" s="1655" t="s">
        <v>1298</v>
      </c>
      <c r="H1591" s="1655" t="s">
        <v>575</v>
      </c>
      <c r="I1591" s="1659">
        <v>50</v>
      </c>
      <c r="J1591" s="1655" t="s">
        <v>42</v>
      </c>
      <c r="K1591" s="1655" t="s">
        <v>571</v>
      </c>
      <c r="M1591" s="1655" t="s">
        <v>1298</v>
      </c>
      <c r="N1591" s="1655" t="s">
        <v>575</v>
      </c>
      <c r="O1591" s="1659">
        <v>125</v>
      </c>
      <c r="P1591" s="1655" t="s">
        <v>42</v>
      </c>
      <c r="Q1591" s="1655" t="s">
        <v>571</v>
      </c>
      <c r="S1591" s="1655" t="s">
        <v>1298</v>
      </c>
      <c r="T1591" s="1655" t="s">
        <v>575</v>
      </c>
      <c r="U1591" s="1659">
        <v>0</v>
      </c>
      <c r="V1591" s="1655" t="s">
        <v>42</v>
      </c>
      <c r="W1591" s="1655" t="s">
        <v>571</v>
      </c>
    </row>
    <row r="1592" spans="1:23">
      <c r="A1592" s="1655" t="s">
        <v>1298</v>
      </c>
      <c r="B1592" s="1655" t="s">
        <v>576</v>
      </c>
      <c r="C1592" s="1656">
        <v>115</v>
      </c>
      <c r="D1592" s="1655" t="s">
        <v>42</v>
      </c>
      <c r="E1592" s="1655" t="s">
        <v>571</v>
      </c>
      <c r="G1592" s="1655" t="s">
        <v>1298</v>
      </c>
      <c r="H1592" s="1655" t="s">
        <v>576</v>
      </c>
      <c r="I1592" s="1656">
        <v>115</v>
      </c>
      <c r="J1592" s="1655" t="s">
        <v>42</v>
      </c>
      <c r="K1592" s="1655" t="s">
        <v>571</v>
      </c>
      <c r="M1592" s="1655" t="s">
        <v>1298</v>
      </c>
      <c r="N1592" s="1655" t="s">
        <v>576</v>
      </c>
      <c r="O1592" s="1656">
        <v>115</v>
      </c>
      <c r="P1592" s="1655" t="s">
        <v>42</v>
      </c>
      <c r="Q1592" s="1655" t="s">
        <v>571</v>
      </c>
      <c r="S1592" s="1655" t="s">
        <v>1298</v>
      </c>
      <c r="T1592" s="1655" t="s">
        <v>576</v>
      </c>
      <c r="U1592" s="1656">
        <v>0</v>
      </c>
      <c r="V1592" s="1655" t="s">
        <v>42</v>
      </c>
      <c r="W1592" s="1655" t="s">
        <v>571</v>
      </c>
    </row>
    <row r="1593" spans="1:23">
      <c r="A1593" s="1655" t="s">
        <v>1298</v>
      </c>
      <c r="B1593" s="1655" t="s">
        <v>577</v>
      </c>
      <c r="C1593" s="1656">
        <v>100</v>
      </c>
      <c r="D1593" s="1655" t="s">
        <v>42</v>
      </c>
      <c r="E1593" s="1655" t="s">
        <v>571</v>
      </c>
      <c r="G1593" s="1655" t="s">
        <v>1298</v>
      </c>
      <c r="H1593" s="1655" t="s">
        <v>577</v>
      </c>
      <c r="I1593" s="1656">
        <v>100</v>
      </c>
      <c r="J1593" s="1655" t="s">
        <v>42</v>
      </c>
      <c r="K1593" s="1655" t="s">
        <v>571</v>
      </c>
      <c r="M1593" s="1655" t="s">
        <v>1298</v>
      </c>
      <c r="N1593" s="1655" t="s">
        <v>577</v>
      </c>
      <c r="O1593" s="1656">
        <v>80</v>
      </c>
      <c r="P1593" s="1655" t="s">
        <v>42</v>
      </c>
      <c r="Q1593" s="1655" t="s">
        <v>571</v>
      </c>
      <c r="S1593" s="1655" t="s">
        <v>1298</v>
      </c>
      <c r="T1593" s="1655" t="s">
        <v>577</v>
      </c>
      <c r="U1593" s="1656">
        <v>0</v>
      </c>
      <c r="V1593" s="1655" t="s">
        <v>42</v>
      </c>
      <c r="W1593" s="1655" t="s">
        <v>571</v>
      </c>
    </row>
    <row r="1594" spans="1:23">
      <c r="A1594" s="1655" t="s">
        <v>1298</v>
      </c>
      <c r="B1594" s="1655" t="s">
        <v>578</v>
      </c>
      <c r="C1594" s="1656">
        <v>250</v>
      </c>
      <c r="D1594" s="1655" t="s">
        <v>42</v>
      </c>
      <c r="E1594" s="1655" t="s">
        <v>571</v>
      </c>
      <c r="G1594" s="1655" t="s">
        <v>1298</v>
      </c>
      <c r="H1594" s="1655" t="s">
        <v>578</v>
      </c>
      <c r="I1594" s="1656">
        <v>0</v>
      </c>
      <c r="J1594" s="1655" t="s">
        <v>42</v>
      </c>
      <c r="K1594" s="1655" t="s">
        <v>571</v>
      </c>
      <c r="M1594" s="1655" t="s">
        <v>1298</v>
      </c>
      <c r="N1594" s="1655" t="s">
        <v>578</v>
      </c>
      <c r="O1594" s="1656">
        <v>0</v>
      </c>
      <c r="P1594" s="1655" t="s">
        <v>42</v>
      </c>
      <c r="Q1594" s="1655" t="s">
        <v>571</v>
      </c>
      <c r="S1594" s="1655" t="s">
        <v>1298</v>
      </c>
      <c r="T1594" s="1655" t="s">
        <v>578</v>
      </c>
      <c r="U1594" s="1656">
        <v>0</v>
      </c>
      <c r="V1594" s="1655" t="s">
        <v>42</v>
      </c>
      <c r="W1594" s="1655" t="s">
        <v>571</v>
      </c>
    </row>
    <row r="1595" spans="1:23">
      <c r="A1595" s="1655" t="s">
        <v>1298</v>
      </c>
      <c r="B1595" s="1655" t="s">
        <v>579</v>
      </c>
      <c r="C1595" s="1656">
        <v>0</v>
      </c>
      <c r="D1595" s="1655" t="s">
        <v>42</v>
      </c>
      <c r="E1595" s="1655" t="s">
        <v>571</v>
      </c>
      <c r="G1595" s="1655" t="s">
        <v>1298</v>
      </c>
      <c r="H1595" s="1655" t="s">
        <v>579</v>
      </c>
      <c r="I1595" s="1656">
        <v>0</v>
      </c>
      <c r="J1595" s="1655" t="s">
        <v>42</v>
      </c>
      <c r="K1595" s="1655" t="s">
        <v>571</v>
      </c>
      <c r="M1595" s="1655" t="s">
        <v>1298</v>
      </c>
      <c r="N1595" s="1655" t="s">
        <v>579</v>
      </c>
      <c r="O1595" s="1656">
        <v>0</v>
      </c>
      <c r="P1595" s="1655" t="s">
        <v>42</v>
      </c>
      <c r="Q1595" s="1655" t="s">
        <v>571</v>
      </c>
      <c r="S1595" s="1655" t="s">
        <v>1298</v>
      </c>
      <c r="T1595" s="1655" t="s">
        <v>579</v>
      </c>
      <c r="U1595" s="1656">
        <v>0</v>
      </c>
      <c r="V1595" s="1655" t="s">
        <v>42</v>
      </c>
      <c r="W1595" s="1655" t="s">
        <v>571</v>
      </c>
    </row>
    <row r="1596" spans="1:23">
      <c r="A1596" s="1655" t="s">
        <v>1298</v>
      </c>
      <c r="B1596" s="1655" t="s">
        <v>580</v>
      </c>
      <c r="C1596" s="1656">
        <v>0</v>
      </c>
      <c r="D1596" s="1655" t="s">
        <v>42</v>
      </c>
      <c r="E1596" s="1655" t="s">
        <v>571</v>
      </c>
      <c r="G1596" s="1655" t="s">
        <v>1298</v>
      </c>
      <c r="H1596" s="1655" t="s">
        <v>580</v>
      </c>
      <c r="I1596" s="1656">
        <v>0</v>
      </c>
      <c r="J1596" s="1655" t="s">
        <v>42</v>
      </c>
      <c r="K1596" s="1655" t="s">
        <v>571</v>
      </c>
      <c r="M1596" s="1655" t="s">
        <v>1298</v>
      </c>
      <c r="N1596" s="1655" t="s">
        <v>580</v>
      </c>
      <c r="O1596" s="1656">
        <v>0</v>
      </c>
      <c r="P1596" s="1655" t="s">
        <v>42</v>
      </c>
      <c r="Q1596" s="1655" t="s">
        <v>571</v>
      </c>
      <c r="S1596" s="1655" t="s">
        <v>1298</v>
      </c>
      <c r="T1596" s="1655" t="s">
        <v>580</v>
      </c>
      <c r="U1596" s="1656">
        <v>0</v>
      </c>
      <c r="V1596" s="1655" t="s">
        <v>42</v>
      </c>
      <c r="W1596" s="1655" t="s">
        <v>571</v>
      </c>
    </row>
    <row r="1597" spans="1:23">
      <c r="A1597" s="1655" t="s">
        <v>1298</v>
      </c>
      <c r="B1597" s="1655" t="s">
        <v>581</v>
      </c>
      <c r="C1597" s="1656">
        <v>0</v>
      </c>
      <c r="D1597" s="1655" t="s">
        <v>42</v>
      </c>
      <c r="E1597" s="1655" t="s">
        <v>571</v>
      </c>
      <c r="G1597" s="1655" t="s">
        <v>1298</v>
      </c>
      <c r="H1597" s="1655" t="s">
        <v>581</v>
      </c>
      <c r="I1597" s="1655">
        <v>0</v>
      </c>
      <c r="J1597" s="1655" t="s">
        <v>42</v>
      </c>
      <c r="K1597" s="1655" t="s">
        <v>571</v>
      </c>
      <c r="M1597" s="1655" t="s">
        <v>1298</v>
      </c>
      <c r="N1597" s="1655" t="s">
        <v>581</v>
      </c>
      <c r="O1597" s="1655">
        <v>0</v>
      </c>
      <c r="P1597" s="1655" t="s">
        <v>42</v>
      </c>
      <c r="Q1597" s="1655" t="s">
        <v>571</v>
      </c>
      <c r="S1597" s="1655" t="s">
        <v>1298</v>
      </c>
      <c r="T1597" s="1655" t="s">
        <v>581</v>
      </c>
      <c r="U1597" s="1656">
        <v>0</v>
      </c>
      <c r="V1597" s="1655" t="s">
        <v>42</v>
      </c>
      <c r="W1597" s="1655" t="s">
        <v>571</v>
      </c>
    </row>
    <row r="1598" spans="1:23">
      <c r="A1598" s="1655" t="s">
        <v>1298</v>
      </c>
      <c r="B1598" s="1655" t="s">
        <v>1271</v>
      </c>
      <c r="C1598" s="1655">
        <v>2</v>
      </c>
      <c r="D1598" s="1655" t="s">
        <v>42</v>
      </c>
      <c r="E1598" s="1655" t="s">
        <v>572</v>
      </c>
      <c r="G1598" s="1655" t="s">
        <v>1298</v>
      </c>
      <c r="H1598" s="1655" t="s">
        <v>1271</v>
      </c>
      <c r="I1598" s="1655">
        <v>1</v>
      </c>
      <c r="J1598" s="1655" t="s">
        <v>42</v>
      </c>
      <c r="K1598" s="1655" t="s">
        <v>572</v>
      </c>
      <c r="M1598" s="1655" t="s">
        <v>1298</v>
      </c>
      <c r="N1598" s="1655" t="s">
        <v>1271</v>
      </c>
      <c r="O1598" s="1655">
        <v>2</v>
      </c>
      <c r="P1598" s="1655" t="s">
        <v>42</v>
      </c>
      <c r="Q1598" s="1655" t="s">
        <v>572</v>
      </c>
      <c r="S1598" s="1655" t="s">
        <v>1298</v>
      </c>
      <c r="T1598" s="1655" t="s">
        <v>1271</v>
      </c>
      <c r="U1598" s="1655">
        <v>0</v>
      </c>
      <c r="V1598" s="1655" t="s">
        <v>42</v>
      </c>
      <c r="W1598" s="1655" t="s">
        <v>572</v>
      </c>
    </row>
    <row r="1599" spans="1:23">
      <c r="A1599" s="1655" t="s">
        <v>1298</v>
      </c>
      <c r="B1599" s="1655" t="s">
        <v>1174</v>
      </c>
      <c r="C1599" s="1655">
        <v>2</v>
      </c>
      <c r="D1599" s="1655" t="s">
        <v>42</v>
      </c>
      <c r="E1599" s="1655" t="s">
        <v>572</v>
      </c>
      <c r="G1599" s="1655" t="s">
        <v>1298</v>
      </c>
      <c r="H1599" s="1655" t="s">
        <v>1174</v>
      </c>
      <c r="I1599" s="1655">
        <v>2</v>
      </c>
      <c r="J1599" s="1655" t="s">
        <v>42</v>
      </c>
      <c r="K1599" s="1655" t="s">
        <v>572</v>
      </c>
      <c r="M1599" s="1655" t="s">
        <v>1298</v>
      </c>
      <c r="N1599" s="1655" t="s">
        <v>1174</v>
      </c>
      <c r="O1599" s="1655">
        <v>3</v>
      </c>
      <c r="P1599" s="1655" t="s">
        <v>42</v>
      </c>
      <c r="Q1599" s="1655" t="s">
        <v>572</v>
      </c>
      <c r="S1599" s="1655" t="s">
        <v>1298</v>
      </c>
      <c r="T1599" s="1655" t="s">
        <v>1174</v>
      </c>
      <c r="U1599" s="1655">
        <v>0</v>
      </c>
      <c r="V1599" s="1655" t="s">
        <v>42</v>
      </c>
      <c r="W1599" s="1655" t="s">
        <v>572</v>
      </c>
    </row>
    <row r="1600" spans="1:23">
      <c r="A1600" s="1655" t="s">
        <v>1298</v>
      </c>
      <c r="B1600" s="1655" t="s">
        <v>590</v>
      </c>
      <c r="C1600" s="1655">
        <v>12</v>
      </c>
      <c r="D1600" s="1655" t="s">
        <v>42</v>
      </c>
      <c r="E1600" s="1655" t="s">
        <v>572</v>
      </c>
      <c r="G1600" s="1655" t="s">
        <v>1298</v>
      </c>
      <c r="H1600" s="1655" t="s">
        <v>590</v>
      </c>
      <c r="I1600" s="1655">
        <v>1</v>
      </c>
      <c r="J1600" s="1655" t="s">
        <v>42</v>
      </c>
      <c r="K1600" s="1655" t="s">
        <v>572</v>
      </c>
      <c r="M1600" s="1655" t="s">
        <v>1298</v>
      </c>
      <c r="N1600" s="1655" t="s">
        <v>590</v>
      </c>
      <c r="O1600" s="1655">
        <v>2</v>
      </c>
      <c r="P1600" s="1655" t="s">
        <v>42</v>
      </c>
      <c r="Q1600" s="1655" t="s">
        <v>572</v>
      </c>
      <c r="S1600" s="1655" t="s">
        <v>1298</v>
      </c>
      <c r="T1600" s="1655" t="s">
        <v>590</v>
      </c>
      <c r="U1600" s="1655">
        <v>0</v>
      </c>
      <c r="V1600" s="1655" t="s">
        <v>42</v>
      </c>
      <c r="W1600" s="1655" t="s">
        <v>572</v>
      </c>
    </row>
    <row r="1601" spans="1:23">
      <c r="A1601" s="1655" t="s">
        <v>1298</v>
      </c>
      <c r="B1601" s="1655" t="s">
        <v>591</v>
      </c>
      <c r="C1601" s="1655">
        <v>12</v>
      </c>
      <c r="D1601" s="1655" t="s">
        <v>42</v>
      </c>
      <c r="E1601" s="1655" t="s">
        <v>572</v>
      </c>
      <c r="G1601" s="1655" t="s">
        <v>1298</v>
      </c>
      <c r="H1601" s="1655" t="s">
        <v>591</v>
      </c>
      <c r="I1601" s="1655">
        <v>12</v>
      </c>
      <c r="J1601" s="1655" t="s">
        <v>42</v>
      </c>
      <c r="K1601" s="1655" t="s">
        <v>572</v>
      </c>
      <c r="M1601" s="1655" t="s">
        <v>1298</v>
      </c>
      <c r="N1601" s="1655" t="s">
        <v>591</v>
      </c>
      <c r="O1601" s="1655">
        <v>12</v>
      </c>
      <c r="P1601" s="1655" t="s">
        <v>42</v>
      </c>
      <c r="Q1601" s="1655" t="s">
        <v>572</v>
      </c>
      <c r="S1601" s="1655" t="s">
        <v>1298</v>
      </c>
      <c r="T1601" s="1655" t="s">
        <v>591</v>
      </c>
      <c r="U1601" s="1655">
        <v>0</v>
      </c>
      <c r="V1601" s="1655" t="s">
        <v>42</v>
      </c>
      <c r="W1601" s="1655" t="s">
        <v>572</v>
      </c>
    </row>
    <row r="1602" spans="1:23">
      <c r="A1602" s="1655" t="s">
        <v>1298</v>
      </c>
      <c r="B1602" s="1655" t="s">
        <v>592</v>
      </c>
      <c r="C1602" s="1655">
        <v>2</v>
      </c>
      <c r="D1602" s="1655" t="s">
        <v>42</v>
      </c>
      <c r="E1602" s="1655" t="s">
        <v>572</v>
      </c>
      <c r="G1602" s="1655" t="s">
        <v>1298</v>
      </c>
      <c r="H1602" s="1655" t="s">
        <v>592</v>
      </c>
      <c r="I1602" s="1655">
        <v>1</v>
      </c>
      <c r="J1602" s="1655" t="s">
        <v>42</v>
      </c>
      <c r="K1602" s="1655" t="s">
        <v>572</v>
      </c>
      <c r="M1602" s="1655" t="s">
        <v>1298</v>
      </c>
      <c r="N1602" s="1655" t="s">
        <v>592</v>
      </c>
      <c r="O1602" s="1655">
        <v>2</v>
      </c>
      <c r="P1602" s="1655" t="s">
        <v>42</v>
      </c>
      <c r="Q1602" s="1655" t="s">
        <v>572</v>
      </c>
      <c r="S1602" s="1655" t="s">
        <v>1298</v>
      </c>
      <c r="T1602" s="1655" t="s">
        <v>592</v>
      </c>
      <c r="U1602" s="1655">
        <v>0</v>
      </c>
      <c r="V1602" s="1655" t="s">
        <v>42</v>
      </c>
      <c r="W1602" s="1655" t="s">
        <v>572</v>
      </c>
    </row>
    <row r="1603" spans="1:23">
      <c r="A1603" s="1655" t="s">
        <v>1298</v>
      </c>
      <c r="B1603" s="1655" t="s">
        <v>593</v>
      </c>
      <c r="C1603" s="1655">
        <v>12</v>
      </c>
      <c r="D1603" s="1655" t="s">
        <v>42</v>
      </c>
      <c r="E1603" s="1655" t="s">
        <v>572</v>
      </c>
      <c r="G1603" s="1655" t="s">
        <v>1298</v>
      </c>
      <c r="H1603" s="1655" t="s">
        <v>593</v>
      </c>
      <c r="I1603" s="1655">
        <v>12</v>
      </c>
      <c r="J1603" s="1655" t="s">
        <v>42</v>
      </c>
      <c r="K1603" s="1655" t="s">
        <v>572</v>
      </c>
      <c r="M1603" s="1655" t="s">
        <v>1298</v>
      </c>
      <c r="N1603" s="1655" t="s">
        <v>593</v>
      </c>
      <c r="O1603" s="1655">
        <v>12</v>
      </c>
      <c r="P1603" s="1655" t="s">
        <v>42</v>
      </c>
      <c r="Q1603" s="1655" t="s">
        <v>572</v>
      </c>
      <c r="S1603" s="1655" t="s">
        <v>1298</v>
      </c>
      <c r="T1603" s="1655" t="s">
        <v>593</v>
      </c>
      <c r="U1603" s="1655">
        <v>0</v>
      </c>
      <c r="V1603" s="1655" t="s">
        <v>42</v>
      </c>
      <c r="W1603" s="1655" t="s">
        <v>572</v>
      </c>
    </row>
    <row r="1604" spans="1:23">
      <c r="A1604" s="1655" t="s">
        <v>1298</v>
      </c>
      <c r="B1604" s="1655" t="s">
        <v>594</v>
      </c>
      <c r="C1604" s="1655">
        <v>1</v>
      </c>
      <c r="D1604" s="1655" t="s">
        <v>42</v>
      </c>
      <c r="E1604" s="1655" t="s">
        <v>572</v>
      </c>
      <c r="G1604" s="1655" t="s">
        <v>1298</v>
      </c>
      <c r="H1604" s="1655" t="s">
        <v>594</v>
      </c>
      <c r="I1604" s="1655">
        <v>0</v>
      </c>
      <c r="J1604" s="1655" t="s">
        <v>42</v>
      </c>
      <c r="K1604" s="1655" t="s">
        <v>572</v>
      </c>
      <c r="M1604" s="1655" t="s">
        <v>1298</v>
      </c>
      <c r="N1604" s="1655" t="s">
        <v>594</v>
      </c>
      <c r="O1604" s="1655">
        <v>0</v>
      </c>
      <c r="P1604" s="1655" t="s">
        <v>42</v>
      </c>
      <c r="Q1604" s="1655" t="s">
        <v>572</v>
      </c>
      <c r="S1604" s="1655" t="s">
        <v>1298</v>
      </c>
      <c r="T1604" s="1655" t="s">
        <v>594</v>
      </c>
      <c r="U1604" s="1655">
        <v>0</v>
      </c>
      <c r="V1604" s="1655" t="s">
        <v>42</v>
      </c>
      <c r="W1604" s="1655" t="s">
        <v>572</v>
      </c>
    </row>
    <row r="1605" spans="1:23">
      <c r="A1605" s="1655" t="s">
        <v>1298</v>
      </c>
      <c r="B1605" s="1655" t="s">
        <v>595</v>
      </c>
      <c r="C1605" s="1655">
        <v>0</v>
      </c>
      <c r="D1605" s="1655" t="s">
        <v>42</v>
      </c>
      <c r="E1605" s="1655" t="s">
        <v>572</v>
      </c>
      <c r="G1605" s="1655" t="s">
        <v>1298</v>
      </c>
      <c r="H1605" s="1655" t="s">
        <v>595</v>
      </c>
      <c r="I1605" s="1655">
        <v>0</v>
      </c>
      <c r="J1605" s="1655" t="s">
        <v>42</v>
      </c>
      <c r="K1605" s="1655" t="s">
        <v>572</v>
      </c>
      <c r="M1605" s="1655" t="s">
        <v>1298</v>
      </c>
      <c r="N1605" s="1655" t="s">
        <v>595</v>
      </c>
      <c r="O1605" s="1655">
        <v>0</v>
      </c>
      <c r="P1605" s="1655" t="s">
        <v>42</v>
      </c>
      <c r="Q1605" s="1655" t="s">
        <v>572</v>
      </c>
      <c r="S1605" s="1655" t="s">
        <v>1298</v>
      </c>
      <c r="T1605" s="1655" t="s">
        <v>595</v>
      </c>
      <c r="U1605" s="1655">
        <v>0</v>
      </c>
      <c r="V1605" s="1655" t="s">
        <v>42</v>
      </c>
      <c r="W1605" s="1655" t="s">
        <v>572</v>
      </c>
    </row>
    <row r="1606" spans="1:23">
      <c r="A1606" s="1655" t="s">
        <v>1298</v>
      </c>
      <c r="B1606" s="1655" t="s">
        <v>596</v>
      </c>
      <c r="C1606" s="1655">
        <v>0</v>
      </c>
      <c r="D1606" s="1655" t="s">
        <v>42</v>
      </c>
      <c r="E1606" s="1655" t="s">
        <v>572</v>
      </c>
      <c r="G1606" s="1655" t="s">
        <v>1298</v>
      </c>
      <c r="H1606" s="1655" t="s">
        <v>596</v>
      </c>
      <c r="I1606" s="1655">
        <v>0</v>
      </c>
      <c r="J1606" s="1655" t="s">
        <v>42</v>
      </c>
      <c r="K1606" s="1655" t="s">
        <v>572</v>
      </c>
      <c r="M1606" s="1655" t="s">
        <v>1298</v>
      </c>
      <c r="N1606" s="1655" t="s">
        <v>596</v>
      </c>
      <c r="O1606" s="1655">
        <v>0</v>
      </c>
      <c r="P1606" s="1655" t="s">
        <v>42</v>
      </c>
      <c r="Q1606" s="1655" t="s">
        <v>572</v>
      </c>
      <c r="S1606" s="1655" t="s">
        <v>1298</v>
      </c>
      <c r="T1606" s="1655" t="s">
        <v>596</v>
      </c>
      <c r="U1606" s="1655">
        <v>0</v>
      </c>
      <c r="V1606" s="1655" t="s">
        <v>42</v>
      </c>
      <c r="W1606" s="1655" t="s">
        <v>572</v>
      </c>
    </row>
    <row r="1607" spans="1:23">
      <c r="A1607" s="1655" t="s">
        <v>1298</v>
      </c>
      <c r="B1607" s="1655" t="s">
        <v>597</v>
      </c>
      <c r="C1607" s="1655">
        <v>0</v>
      </c>
      <c r="D1607" s="1655" t="s">
        <v>42</v>
      </c>
      <c r="E1607" s="1655" t="s">
        <v>572</v>
      </c>
      <c r="G1607" s="1655" t="s">
        <v>1298</v>
      </c>
      <c r="H1607" s="1655" t="s">
        <v>597</v>
      </c>
      <c r="I1607" s="1655">
        <v>0</v>
      </c>
      <c r="J1607" s="1655" t="s">
        <v>42</v>
      </c>
      <c r="K1607" s="1655" t="s">
        <v>572</v>
      </c>
      <c r="M1607" s="1655" t="s">
        <v>1298</v>
      </c>
      <c r="N1607" s="1655" t="s">
        <v>597</v>
      </c>
      <c r="O1607" s="1655">
        <v>0</v>
      </c>
      <c r="P1607" s="1655" t="s">
        <v>42</v>
      </c>
      <c r="Q1607" s="1655" t="s">
        <v>572</v>
      </c>
      <c r="S1607" s="1655" t="s">
        <v>1298</v>
      </c>
      <c r="T1607" s="1655" t="s">
        <v>597</v>
      </c>
      <c r="U1607" s="1655">
        <v>0</v>
      </c>
      <c r="V1607" s="1655" t="s">
        <v>42</v>
      </c>
      <c r="W1607" s="1655" t="s">
        <v>572</v>
      </c>
    </row>
    <row r="1608" spans="1:23">
      <c r="A1608" s="1655" t="s">
        <v>1298</v>
      </c>
      <c r="B1608" s="1655" t="s">
        <v>1186</v>
      </c>
      <c r="C1608" s="1655" t="s">
        <v>42</v>
      </c>
      <c r="D1608" s="1655" t="s">
        <v>42</v>
      </c>
      <c r="E1608" s="1655" t="s">
        <v>569</v>
      </c>
      <c r="G1608" s="1655" t="s">
        <v>1298</v>
      </c>
      <c r="H1608" s="1655" t="s">
        <v>1186</v>
      </c>
      <c r="I1608" s="1655" t="s">
        <v>42</v>
      </c>
      <c r="J1608" s="1655" t="s">
        <v>42</v>
      </c>
      <c r="K1608" s="1655" t="s">
        <v>569</v>
      </c>
      <c r="M1608" s="1655" t="s">
        <v>1298</v>
      </c>
      <c r="N1608" s="1655" t="s">
        <v>1186</v>
      </c>
      <c r="O1608" s="1655" t="s">
        <v>42</v>
      </c>
      <c r="P1608" s="1655" t="s">
        <v>42</v>
      </c>
      <c r="Q1608" s="1655" t="s">
        <v>569</v>
      </c>
      <c r="S1608" s="1655" t="s">
        <v>1298</v>
      </c>
      <c r="T1608" s="1655" t="s">
        <v>1186</v>
      </c>
      <c r="U1608" s="1655" t="s">
        <v>42</v>
      </c>
      <c r="V1608" s="1655" t="s">
        <v>42</v>
      </c>
      <c r="W1608" s="1655" t="s">
        <v>569</v>
      </c>
    </row>
    <row r="1609" spans="1:23">
      <c r="A1609" s="1655" t="s">
        <v>1298</v>
      </c>
      <c r="B1609" s="1655" t="s">
        <v>1187</v>
      </c>
      <c r="C1609" s="1655" t="s">
        <v>42</v>
      </c>
      <c r="D1609" s="1655" t="s">
        <v>42</v>
      </c>
      <c r="E1609" s="1655" t="s">
        <v>569</v>
      </c>
      <c r="G1609" s="1655" t="s">
        <v>1298</v>
      </c>
      <c r="H1609" s="1655" t="s">
        <v>1187</v>
      </c>
      <c r="I1609" s="1655" t="s">
        <v>42</v>
      </c>
      <c r="J1609" s="1655" t="s">
        <v>42</v>
      </c>
      <c r="K1609" s="1655" t="s">
        <v>569</v>
      </c>
      <c r="M1609" s="1655" t="s">
        <v>1298</v>
      </c>
      <c r="N1609" s="1655" t="s">
        <v>1187</v>
      </c>
      <c r="O1609" s="1655" t="s">
        <v>42</v>
      </c>
      <c r="P1609" s="1655" t="s">
        <v>42</v>
      </c>
      <c r="Q1609" s="1655" t="s">
        <v>569</v>
      </c>
      <c r="S1609" s="1655" t="s">
        <v>1298</v>
      </c>
      <c r="T1609" s="1655" t="s">
        <v>1187</v>
      </c>
      <c r="U1609" s="1655" t="s">
        <v>42</v>
      </c>
      <c r="V1609" s="1655" t="s">
        <v>42</v>
      </c>
      <c r="W1609" s="1655" t="s">
        <v>569</v>
      </c>
    </row>
    <row r="1610" spans="1:23">
      <c r="A1610" s="1655" t="s">
        <v>1298</v>
      </c>
      <c r="B1610" s="1655" t="s">
        <v>601</v>
      </c>
      <c r="C1610" s="1655" t="s">
        <v>42</v>
      </c>
      <c r="D1610" s="1655" t="s">
        <v>42</v>
      </c>
      <c r="E1610" s="1655" t="s">
        <v>569</v>
      </c>
      <c r="G1610" s="1655" t="s">
        <v>1298</v>
      </c>
      <c r="H1610" s="1655" t="s">
        <v>601</v>
      </c>
      <c r="I1610" s="1655" t="s">
        <v>42</v>
      </c>
      <c r="J1610" s="1655" t="s">
        <v>42</v>
      </c>
      <c r="K1610" s="1655" t="s">
        <v>569</v>
      </c>
      <c r="M1610" s="1655" t="s">
        <v>1298</v>
      </c>
      <c r="N1610" s="1655" t="s">
        <v>601</v>
      </c>
      <c r="O1610" s="1655" t="s">
        <v>42</v>
      </c>
      <c r="P1610" s="1655" t="s">
        <v>42</v>
      </c>
      <c r="Q1610" s="1655" t="s">
        <v>569</v>
      </c>
      <c r="S1610" s="1655" t="s">
        <v>1298</v>
      </c>
      <c r="T1610" s="1655" t="s">
        <v>601</v>
      </c>
      <c r="U1610" s="1655" t="s">
        <v>42</v>
      </c>
      <c r="V1610" s="1655" t="s">
        <v>42</v>
      </c>
      <c r="W1610" s="1655" t="s">
        <v>569</v>
      </c>
    </row>
    <row r="1611" spans="1:23">
      <c r="A1611" s="1655" t="s">
        <v>1298</v>
      </c>
      <c r="B1611" s="1655" t="s">
        <v>602</v>
      </c>
      <c r="C1611" s="1655" t="s">
        <v>42</v>
      </c>
      <c r="D1611" s="1655" t="s">
        <v>42</v>
      </c>
      <c r="E1611" s="1655" t="s">
        <v>569</v>
      </c>
      <c r="G1611" s="1655" t="s">
        <v>1298</v>
      </c>
      <c r="H1611" s="1655" t="s">
        <v>602</v>
      </c>
      <c r="I1611" s="1655" t="s">
        <v>42</v>
      </c>
      <c r="J1611" s="1655" t="s">
        <v>42</v>
      </c>
      <c r="K1611" s="1655" t="s">
        <v>569</v>
      </c>
      <c r="M1611" s="1655" t="s">
        <v>1298</v>
      </c>
      <c r="N1611" s="1655" t="s">
        <v>602</v>
      </c>
      <c r="O1611" s="1655" t="s">
        <v>42</v>
      </c>
      <c r="P1611" s="1655" t="s">
        <v>42</v>
      </c>
      <c r="Q1611" s="1655" t="s">
        <v>569</v>
      </c>
      <c r="S1611" s="1655" t="s">
        <v>1298</v>
      </c>
      <c r="T1611" s="1655" t="s">
        <v>602</v>
      </c>
      <c r="U1611" s="1655" t="s">
        <v>42</v>
      </c>
      <c r="V1611" s="1655" t="s">
        <v>42</v>
      </c>
      <c r="W1611" s="1655" t="s">
        <v>569</v>
      </c>
    </row>
    <row r="1612" spans="1:23">
      <c r="A1612" s="2036" t="s">
        <v>1298</v>
      </c>
      <c r="B1612" s="2036" t="s">
        <v>603</v>
      </c>
      <c r="C1612" s="2036" t="s">
        <v>42</v>
      </c>
      <c r="D1612" s="2036" t="s">
        <v>42</v>
      </c>
      <c r="E1612" s="2036" t="s">
        <v>569</v>
      </c>
      <c r="G1612" s="1655" t="s">
        <v>1298</v>
      </c>
      <c r="H1612" s="1655" t="s">
        <v>603</v>
      </c>
      <c r="I1612" s="2035" t="s">
        <v>42</v>
      </c>
      <c r="J1612" s="1655" t="s">
        <v>42</v>
      </c>
      <c r="K1612" s="1655" t="s">
        <v>569</v>
      </c>
      <c r="M1612" s="1655" t="s">
        <v>1298</v>
      </c>
      <c r="N1612" s="1655" t="s">
        <v>603</v>
      </c>
      <c r="O1612" s="1655" t="s">
        <v>42</v>
      </c>
      <c r="P1612" s="1655" t="s">
        <v>42</v>
      </c>
      <c r="Q1612" s="1655" t="s">
        <v>569</v>
      </c>
      <c r="S1612" s="1655" t="s">
        <v>1298</v>
      </c>
      <c r="T1612" s="1655" t="s">
        <v>603</v>
      </c>
      <c r="U1612" s="1655" t="s">
        <v>42</v>
      </c>
      <c r="V1612" s="1655" t="s">
        <v>42</v>
      </c>
      <c r="W1612" s="1655" t="s">
        <v>569</v>
      </c>
    </row>
    <row r="1613" spans="1:23">
      <c r="A1613" s="1770" t="s">
        <v>1298</v>
      </c>
      <c r="B1613" s="1770" t="s">
        <v>604</v>
      </c>
      <c r="C1613" s="1770" t="s">
        <v>42</v>
      </c>
      <c r="D1613" s="1770" t="s">
        <v>42</v>
      </c>
      <c r="E1613" s="1770" t="s">
        <v>569</v>
      </c>
      <c r="G1613" s="1655" t="s">
        <v>1298</v>
      </c>
      <c r="H1613" s="1655" t="s">
        <v>604</v>
      </c>
      <c r="I1613" s="1655" t="s">
        <v>42</v>
      </c>
      <c r="J1613" s="1655" t="s">
        <v>42</v>
      </c>
      <c r="K1613" s="1655" t="s">
        <v>569</v>
      </c>
      <c r="M1613" s="1655" t="s">
        <v>1298</v>
      </c>
      <c r="N1613" s="1655" t="s">
        <v>604</v>
      </c>
      <c r="O1613" s="1655" t="s">
        <v>42</v>
      </c>
      <c r="P1613" s="1655" t="s">
        <v>42</v>
      </c>
      <c r="Q1613" s="1655" t="s">
        <v>569</v>
      </c>
      <c r="S1613" s="1655" t="s">
        <v>1298</v>
      </c>
      <c r="T1613" s="1655" t="s">
        <v>604</v>
      </c>
      <c r="U1613" s="1655" t="s">
        <v>42</v>
      </c>
      <c r="V1613" s="1655" t="s">
        <v>42</v>
      </c>
      <c r="W1613" s="1655" t="s">
        <v>569</v>
      </c>
    </row>
    <row r="1614" spans="1:23">
      <c r="A1614" s="1770" t="s">
        <v>1298</v>
      </c>
      <c r="B1614" s="1770" t="s">
        <v>605</v>
      </c>
      <c r="C1614" s="1770" t="s">
        <v>42</v>
      </c>
      <c r="D1614" s="1770" t="s">
        <v>42</v>
      </c>
      <c r="E1614" s="1770" t="s">
        <v>569</v>
      </c>
      <c r="G1614" s="1655" t="s">
        <v>1298</v>
      </c>
      <c r="H1614" s="1655" t="s">
        <v>605</v>
      </c>
      <c r="I1614" s="1655" t="s">
        <v>43</v>
      </c>
      <c r="J1614" s="1655" t="s">
        <v>42</v>
      </c>
      <c r="K1614" s="1655" t="s">
        <v>569</v>
      </c>
      <c r="M1614" s="1655" t="s">
        <v>1298</v>
      </c>
      <c r="N1614" s="1655" t="s">
        <v>605</v>
      </c>
      <c r="O1614" s="1655" t="s">
        <v>43</v>
      </c>
      <c r="P1614" s="1655" t="s">
        <v>42</v>
      </c>
      <c r="Q1614" s="1655" t="s">
        <v>569</v>
      </c>
      <c r="S1614" s="1655" t="s">
        <v>1298</v>
      </c>
      <c r="T1614" s="1655" t="s">
        <v>605</v>
      </c>
      <c r="U1614" s="1655" t="s">
        <v>42</v>
      </c>
      <c r="V1614" s="1655" t="s">
        <v>42</v>
      </c>
      <c r="W1614" s="1655" t="s">
        <v>569</v>
      </c>
    </row>
    <row r="1615" spans="1:23">
      <c r="A1615" s="1770" t="s">
        <v>1298</v>
      </c>
      <c r="B1615" s="1770" t="s">
        <v>606</v>
      </c>
      <c r="C1615" s="1770" t="s">
        <v>42</v>
      </c>
      <c r="D1615" s="1770" t="s">
        <v>42</v>
      </c>
      <c r="E1615" s="1770" t="s">
        <v>569</v>
      </c>
      <c r="G1615" s="1655" t="s">
        <v>1298</v>
      </c>
      <c r="H1615" s="1655" t="s">
        <v>606</v>
      </c>
      <c r="I1615" s="1655" t="s">
        <v>43</v>
      </c>
      <c r="J1615" s="1655" t="s">
        <v>42</v>
      </c>
      <c r="K1615" s="1655" t="s">
        <v>569</v>
      </c>
      <c r="M1615" s="1655" t="s">
        <v>1298</v>
      </c>
      <c r="N1615" s="1655" t="s">
        <v>606</v>
      </c>
      <c r="O1615" s="1655" t="s">
        <v>43</v>
      </c>
      <c r="P1615" s="1655" t="s">
        <v>42</v>
      </c>
      <c r="Q1615" s="1655" t="s">
        <v>569</v>
      </c>
      <c r="S1615" s="1655" t="s">
        <v>1298</v>
      </c>
      <c r="T1615" s="1655" t="s">
        <v>606</v>
      </c>
      <c r="U1615" s="1655" t="s">
        <v>42</v>
      </c>
      <c r="V1615" s="1655" t="s">
        <v>42</v>
      </c>
      <c r="W1615" s="1655" t="s">
        <v>569</v>
      </c>
    </row>
    <row r="1616" spans="1:23">
      <c r="A1616" s="1770" t="s">
        <v>1298</v>
      </c>
      <c r="B1616" s="1770" t="s">
        <v>607</v>
      </c>
      <c r="C1616" s="1770" t="s">
        <v>43</v>
      </c>
      <c r="D1616" s="1770" t="s">
        <v>42</v>
      </c>
      <c r="E1616" s="1770" t="s">
        <v>569</v>
      </c>
      <c r="G1616" s="1655" t="s">
        <v>1298</v>
      </c>
      <c r="H1616" s="1655" t="s">
        <v>607</v>
      </c>
      <c r="I1616" s="1655" t="s">
        <v>43</v>
      </c>
      <c r="J1616" s="1655" t="s">
        <v>42</v>
      </c>
      <c r="K1616" s="1655" t="s">
        <v>569</v>
      </c>
      <c r="M1616" s="1655" t="s">
        <v>1298</v>
      </c>
      <c r="N1616" s="1655" t="s">
        <v>607</v>
      </c>
      <c r="O1616" s="1655" t="s">
        <v>43</v>
      </c>
      <c r="P1616" s="1655" t="s">
        <v>42</v>
      </c>
      <c r="Q1616" s="1655" t="s">
        <v>569</v>
      </c>
      <c r="S1616" s="1655" t="s">
        <v>1298</v>
      </c>
      <c r="T1616" s="1655" t="s">
        <v>607</v>
      </c>
      <c r="U1616" s="1655" t="s">
        <v>42</v>
      </c>
      <c r="V1616" s="1655" t="s">
        <v>42</v>
      </c>
      <c r="W1616" s="1655" t="s">
        <v>569</v>
      </c>
    </row>
    <row r="1617" spans="1:23">
      <c r="A1617" s="1770" t="s">
        <v>1298</v>
      </c>
      <c r="B1617" s="1770" t="s">
        <v>608</v>
      </c>
      <c r="C1617" s="1770" t="s">
        <v>43</v>
      </c>
      <c r="D1617" s="1770" t="s">
        <v>42</v>
      </c>
      <c r="E1617" s="1770" t="s">
        <v>569</v>
      </c>
      <c r="G1617" s="1655" t="s">
        <v>1298</v>
      </c>
      <c r="H1617" s="1655" t="s">
        <v>608</v>
      </c>
      <c r="I1617" s="1655" t="s">
        <v>43</v>
      </c>
      <c r="J1617" s="1655" t="s">
        <v>42</v>
      </c>
      <c r="K1617" s="1655" t="s">
        <v>569</v>
      </c>
      <c r="M1617" s="1655" t="s">
        <v>1298</v>
      </c>
      <c r="N1617" s="1655" t="s">
        <v>608</v>
      </c>
      <c r="O1617" s="1655" t="s">
        <v>43</v>
      </c>
      <c r="P1617" s="1655" t="s">
        <v>42</v>
      </c>
      <c r="Q1617" s="1655" t="s">
        <v>569</v>
      </c>
      <c r="S1617" s="1655" t="s">
        <v>1298</v>
      </c>
      <c r="T1617" s="1655" t="s">
        <v>608</v>
      </c>
      <c r="U1617" s="1655" t="s">
        <v>42</v>
      </c>
      <c r="V1617" s="1655" t="s">
        <v>42</v>
      </c>
      <c r="W1617" s="1655" t="s">
        <v>569</v>
      </c>
    </row>
    <row r="1618" spans="1:23">
      <c r="A1618" s="1770" t="s">
        <v>1298</v>
      </c>
      <c r="B1618" s="1770" t="s">
        <v>1207</v>
      </c>
      <c r="C1618" s="1770" t="s">
        <v>395</v>
      </c>
      <c r="D1618" s="1770" t="s">
        <v>42</v>
      </c>
      <c r="E1618" s="1770" t="s">
        <v>569</v>
      </c>
      <c r="G1618" s="1655" t="s">
        <v>1298</v>
      </c>
      <c r="H1618" s="1655" t="s">
        <v>1207</v>
      </c>
      <c r="I1618" s="1655" t="s">
        <v>395</v>
      </c>
      <c r="J1618" s="1655" t="s">
        <v>42</v>
      </c>
      <c r="K1618" s="1655" t="s">
        <v>569</v>
      </c>
      <c r="M1618" s="1655" t="s">
        <v>1298</v>
      </c>
      <c r="N1618" s="1655" t="s">
        <v>1207</v>
      </c>
      <c r="O1618" s="1655" t="s">
        <v>395</v>
      </c>
      <c r="P1618" s="1655" t="s">
        <v>42</v>
      </c>
      <c r="Q1618" s="1655" t="s">
        <v>569</v>
      </c>
      <c r="S1618" s="1655" t="s">
        <v>1298</v>
      </c>
      <c r="T1618" s="1655" t="s">
        <v>1207</v>
      </c>
      <c r="U1618" s="1655" t="s">
        <v>402</v>
      </c>
      <c r="V1618" s="1655" t="s">
        <v>42</v>
      </c>
      <c r="W1618" s="1655" t="s">
        <v>569</v>
      </c>
    </row>
    <row r="1619" spans="1:23">
      <c r="A1619" s="1770" t="s">
        <v>1298</v>
      </c>
      <c r="B1619" s="1770" t="s">
        <v>1208</v>
      </c>
      <c r="C1619" s="1770" t="s">
        <v>395</v>
      </c>
      <c r="D1619" s="1770" t="s">
        <v>42</v>
      </c>
      <c r="E1619" s="1770" t="s">
        <v>569</v>
      </c>
      <c r="G1619" s="1655" t="s">
        <v>1298</v>
      </c>
      <c r="H1619" s="1655" t="s">
        <v>1208</v>
      </c>
      <c r="I1619" s="1655" t="s">
        <v>395</v>
      </c>
      <c r="J1619" s="1655" t="s">
        <v>42</v>
      </c>
      <c r="K1619" s="1655" t="s">
        <v>569</v>
      </c>
      <c r="M1619" s="1655" t="s">
        <v>1298</v>
      </c>
      <c r="N1619" s="1655" t="s">
        <v>1208</v>
      </c>
      <c r="O1619" s="1655" t="s">
        <v>395</v>
      </c>
      <c r="P1619" s="1655" t="s">
        <v>42</v>
      </c>
      <c r="Q1619" s="1655" t="s">
        <v>569</v>
      </c>
      <c r="S1619" s="1655" t="s">
        <v>1298</v>
      </c>
      <c r="T1619" s="1655" t="s">
        <v>1208</v>
      </c>
      <c r="U1619" s="1655" t="s">
        <v>402</v>
      </c>
      <c r="V1619" s="1655" t="s">
        <v>42</v>
      </c>
      <c r="W1619" s="1655" t="s">
        <v>569</v>
      </c>
    </row>
    <row r="1620" spans="1:23">
      <c r="A1620" s="1770" t="s">
        <v>1298</v>
      </c>
      <c r="B1620" s="1770" t="s">
        <v>1209</v>
      </c>
      <c r="C1620" s="1770" t="s">
        <v>395</v>
      </c>
      <c r="D1620" s="1770" t="s">
        <v>42</v>
      </c>
      <c r="E1620" s="1770" t="s">
        <v>569</v>
      </c>
      <c r="G1620" s="1655" t="s">
        <v>1298</v>
      </c>
      <c r="H1620" s="1655" t="s">
        <v>1209</v>
      </c>
      <c r="I1620" s="1655" t="s">
        <v>395</v>
      </c>
      <c r="J1620" s="1655" t="s">
        <v>42</v>
      </c>
      <c r="K1620" s="1655" t="s">
        <v>569</v>
      </c>
      <c r="M1620" s="1655" t="s">
        <v>1298</v>
      </c>
      <c r="N1620" s="1655" t="s">
        <v>1209</v>
      </c>
      <c r="O1620" s="1655" t="s">
        <v>395</v>
      </c>
      <c r="P1620" s="1655" t="s">
        <v>42</v>
      </c>
      <c r="Q1620" s="1655" t="s">
        <v>569</v>
      </c>
      <c r="S1620" s="1655" t="s">
        <v>1298</v>
      </c>
      <c r="T1620" s="1655" t="s">
        <v>1209</v>
      </c>
      <c r="U1620" s="1655" t="s">
        <v>402</v>
      </c>
      <c r="V1620" s="1655" t="s">
        <v>42</v>
      </c>
      <c r="W1620" s="1655" t="s">
        <v>569</v>
      </c>
    </row>
    <row r="1621" spans="1:23">
      <c r="A1621" s="1770" t="s">
        <v>1298</v>
      </c>
      <c r="B1621" s="1770" t="s">
        <v>1210</v>
      </c>
      <c r="C1621" s="1770" t="s">
        <v>395</v>
      </c>
      <c r="D1621" s="1770" t="s">
        <v>42</v>
      </c>
      <c r="E1621" s="1770" t="s">
        <v>569</v>
      </c>
      <c r="G1621" s="1655" t="s">
        <v>1298</v>
      </c>
      <c r="H1621" s="1655" t="s">
        <v>1210</v>
      </c>
      <c r="I1621" s="1655" t="s">
        <v>395</v>
      </c>
      <c r="J1621" s="1655" t="s">
        <v>42</v>
      </c>
      <c r="K1621" s="1655" t="s">
        <v>569</v>
      </c>
      <c r="M1621" s="1655" t="s">
        <v>1298</v>
      </c>
      <c r="N1621" s="1655" t="s">
        <v>1210</v>
      </c>
      <c r="O1621" s="1655" t="s">
        <v>395</v>
      </c>
      <c r="P1621" s="1655" t="s">
        <v>42</v>
      </c>
      <c r="Q1621" s="1655" t="s">
        <v>569</v>
      </c>
      <c r="S1621" s="1655" t="s">
        <v>1298</v>
      </c>
      <c r="T1621" s="1655" t="s">
        <v>1210</v>
      </c>
      <c r="U1621" s="1655" t="s">
        <v>402</v>
      </c>
      <c r="V1621" s="1655" t="s">
        <v>42</v>
      </c>
      <c r="W1621" s="1655" t="s">
        <v>569</v>
      </c>
    </row>
    <row r="1622" spans="1:23">
      <c r="A1622" s="1770" t="s">
        <v>1298</v>
      </c>
      <c r="B1622" s="1770" t="s">
        <v>1211</v>
      </c>
      <c r="C1622" s="1770" t="s">
        <v>395</v>
      </c>
      <c r="D1622" s="1770" t="s">
        <v>42</v>
      </c>
      <c r="E1622" s="1770" t="s">
        <v>569</v>
      </c>
      <c r="G1622" s="1655" t="s">
        <v>1298</v>
      </c>
      <c r="H1622" s="1655" t="s">
        <v>1211</v>
      </c>
      <c r="I1622" s="1655" t="s">
        <v>395</v>
      </c>
      <c r="J1622" s="1655" t="s">
        <v>42</v>
      </c>
      <c r="K1622" s="1655" t="s">
        <v>569</v>
      </c>
      <c r="M1622" s="1655" t="s">
        <v>1298</v>
      </c>
      <c r="N1622" s="1655" t="s">
        <v>1211</v>
      </c>
      <c r="O1622" s="1655" t="s">
        <v>395</v>
      </c>
      <c r="P1622" s="1655" t="s">
        <v>42</v>
      </c>
      <c r="Q1622" s="1655" t="s">
        <v>569</v>
      </c>
      <c r="S1622" s="1655" t="s">
        <v>1298</v>
      </c>
      <c r="T1622" s="1655" t="s">
        <v>1211</v>
      </c>
      <c r="U1622" s="1655" t="s">
        <v>402</v>
      </c>
      <c r="V1622" s="1655" t="s">
        <v>42</v>
      </c>
      <c r="W1622" s="1655" t="s">
        <v>569</v>
      </c>
    </row>
    <row r="1623" spans="1:23">
      <c r="A1623" s="1770" t="s">
        <v>1298</v>
      </c>
      <c r="B1623" s="1770" t="s">
        <v>1212</v>
      </c>
      <c r="C1623" s="1770" t="s">
        <v>395</v>
      </c>
      <c r="D1623" s="1770" t="s">
        <v>42</v>
      </c>
      <c r="E1623" s="1770" t="s">
        <v>569</v>
      </c>
      <c r="G1623" s="1655" t="s">
        <v>1298</v>
      </c>
      <c r="H1623" s="1655" t="s">
        <v>1212</v>
      </c>
      <c r="I1623" s="1655" t="s">
        <v>395</v>
      </c>
      <c r="J1623" s="1655" t="s">
        <v>42</v>
      </c>
      <c r="K1623" s="1655" t="s">
        <v>569</v>
      </c>
      <c r="M1623" s="1655" t="s">
        <v>1298</v>
      </c>
      <c r="N1623" s="1655" t="s">
        <v>1212</v>
      </c>
      <c r="O1623" s="1655" t="s">
        <v>395</v>
      </c>
      <c r="P1623" s="1655" t="s">
        <v>42</v>
      </c>
      <c r="Q1623" s="1655" t="s">
        <v>569</v>
      </c>
      <c r="S1623" s="1655" t="s">
        <v>1298</v>
      </c>
      <c r="T1623" s="1655" t="s">
        <v>1212</v>
      </c>
      <c r="U1623" s="1655" t="s">
        <v>402</v>
      </c>
      <c r="V1623" s="1655" t="s">
        <v>42</v>
      </c>
      <c r="W1623" s="1655" t="s">
        <v>569</v>
      </c>
    </row>
    <row r="1624" spans="1:23">
      <c r="A1624" s="1770" t="s">
        <v>1298</v>
      </c>
      <c r="B1624" s="1770" t="s">
        <v>1213</v>
      </c>
      <c r="C1624" s="1770" t="s">
        <v>395</v>
      </c>
      <c r="D1624" s="1770" t="s">
        <v>42</v>
      </c>
      <c r="E1624" s="1770" t="s">
        <v>569</v>
      </c>
      <c r="G1624" s="1655" t="s">
        <v>1298</v>
      </c>
      <c r="H1624" s="1655" t="s">
        <v>1213</v>
      </c>
      <c r="I1624" s="1655" t="s">
        <v>402</v>
      </c>
      <c r="J1624" s="1655" t="s">
        <v>42</v>
      </c>
      <c r="K1624" s="1655" t="s">
        <v>569</v>
      </c>
      <c r="M1624" s="1655" t="s">
        <v>1298</v>
      </c>
      <c r="N1624" s="1655" t="s">
        <v>1213</v>
      </c>
      <c r="O1624" s="1655" t="s">
        <v>402</v>
      </c>
      <c r="P1624" s="1655" t="s">
        <v>42</v>
      </c>
      <c r="Q1624" s="1655" t="s">
        <v>569</v>
      </c>
      <c r="S1624" s="1655" t="s">
        <v>1298</v>
      </c>
      <c r="T1624" s="1655" t="s">
        <v>1213</v>
      </c>
      <c r="U1624" s="1655" t="s">
        <v>402</v>
      </c>
      <c r="V1624" s="1655" t="s">
        <v>42</v>
      </c>
      <c r="W1624" s="1655" t="s">
        <v>569</v>
      </c>
    </row>
    <row r="1625" spans="1:23">
      <c r="A1625" s="1770" t="s">
        <v>1298</v>
      </c>
      <c r="B1625" s="1770" t="s">
        <v>1214</v>
      </c>
      <c r="C1625" s="1770" t="s">
        <v>402</v>
      </c>
      <c r="D1625" s="1770" t="s">
        <v>42</v>
      </c>
      <c r="E1625" s="1770" t="s">
        <v>569</v>
      </c>
      <c r="G1625" s="1655" t="s">
        <v>1298</v>
      </c>
      <c r="H1625" s="1655" t="s">
        <v>1214</v>
      </c>
      <c r="I1625" s="1655" t="s">
        <v>402</v>
      </c>
      <c r="J1625" s="1655" t="s">
        <v>42</v>
      </c>
      <c r="K1625" s="1655" t="s">
        <v>569</v>
      </c>
      <c r="M1625" s="1655" t="s">
        <v>1298</v>
      </c>
      <c r="N1625" s="1655" t="s">
        <v>1214</v>
      </c>
      <c r="O1625" s="1655" t="s">
        <v>402</v>
      </c>
      <c r="P1625" s="1655" t="s">
        <v>42</v>
      </c>
      <c r="Q1625" s="1655" t="s">
        <v>569</v>
      </c>
      <c r="S1625" s="1655" t="s">
        <v>1298</v>
      </c>
      <c r="T1625" s="1655" t="s">
        <v>1214</v>
      </c>
      <c r="U1625" s="1655" t="s">
        <v>402</v>
      </c>
      <c r="V1625" s="1655" t="s">
        <v>42</v>
      </c>
      <c r="W1625" s="1655" t="s">
        <v>569</v>
      </c>
    </row>
    <row r="1626" spans="1:23">
      <c r="A1626" s="1770" t="s">
        <v>1298</v>
      </c>
      <c r="B1626" s="1770" t="s">
        <v>1215</v>
      </c>
      <c r="C1626" s="1770" t="s">
        <v>402</v>
      </c>
      <c r="D1626" s="1770" t="s">
        <v>42</v>
      </c>
      <c r="E1626" s="1770" t="s">
        <v>569</v>
      </c>
      <c r="G1626" s="1655" t="s">
        <v>1298</v>
      </c>
      <c r="H1626" s="1655" t="s">
        <v>1215</v>
      </c>
      <c r="I1626" s="1655" t="s">
        <v>402</v>
      </c>
      <c r="J1626" s="1655" t="s">
        <v>42</v>
      </c>
      <c r="K1626" s="1655" t="s">
        <v>569</v>
      </c>
      <c r="M1626" s="1655" t="s">
        <v>1298</v>
      </c>
      <c r="N1626" s="1655" t="s">
        <v>1215</v>
      </c>
      <c r="O1626" s="1655" t="s">
        <v>402</v>
      </c>
      <c r="P1626" s="1655" t="s">
        <v>42</v>
      </c>
      <c r="Q1626" s="1655" t="s">
        <v>569</v>
      </c>
      <c r="S1626" s="1655" t="s">
        <v>1298</v>
      </c>
      <c r="T1626" s="1655" t="s">
        <v>1215</v>
      </c>
      <c r="U1626" s="1655" t="s">
        <v>402</v>
      </c>
      <c r="V1626" s="1655" t="s">
        <v>42</v>
      </c>
      <c r="W1626" s="1655" t="s">
        <v>569</v>
      </c>
    </row>
    <row r="1627" spans="1:23">
      <c r="A1627" s="1770" t="s">
        <v>1298</v>
      </c>
      <c r="B1627" s="1770" t="s">
        <v>1216</v>
      </c>
      <c r="C1627" s="1770" t="s">
        <v>402</v>
      </c>
      <c r="D1627" s="1770" t="s">
        <v>42</v>
      </c>
      <c r="E1627" s="1770" t="s">
        <v>569</v>
      </c>
      <c r="G1627" s="1655" t="s">
        <v>1298</v>
      </c>
      <c r="H1627" s="1655" t="s">
        <v>1216</v>
      </c>
      <c r="I1627" s="1655" t="s">
        <v>402</v>
      </c>
      <c r="J1627" s="1655" t="s">
        <v>42</v>
      </c>
      <c r="K1627" s="1655" t="s">
        <v>569</v>
      </c>
      <c r="M1627" s="1655" t="s">
        <v>1298</v>
      </c>
      <c r="N1627" s="1655" t="s">
        <v>1216</v>
      </c>
      <c r="O1627" s="1655" t="s">
        <v>402</v>
      </c>
      <c r="P1627" s="1655" t="s">
        <v>42</v>
      </c>
      <c r="Q1627" s="1655" t="s">
        <v>569</v>
      </c>
      <c r="S1627" s="1655" t="s">
        <v>1298</v>
      </c>
      <c r="T1627" s="1655" t="s">
        <v>1216</v>
      </c>
      <c r="U1627" s="1655" t="s">
        <v>402</v>
      </c>
      <c r="V1627" s="1655" t="s">
        <v>42</v>
      </c>
      <c r="W1627" s="1655" t="s">
        <v>569</v>
      </c>
    </row>
    <row r="1628" spans="1:23">
      <c r="A1628" s="1770"/>
      <c r="B1628" s="1770"/>
      <c r="C1628" s="1770"/>
      <c r="D1628" s="1770"/>
      <c r="E1628" s="1770"/>
      <c r="S1628" s="1770"/>
      <c r="T1628" s="1770"/>
      <c r="U1628" s="1770"/>
      <c r="V1628" s="1770"/>
      <c r="W1628" s="1770"/>
    </row>
    <row r="1629" spans="1:23">
      <c r="A1629" s="1770"/>
      <c r="B1629" s="1770"/>
      <c r="C1629" s="1770"/>
      <c r="D1629" s="1770"/>
      <c r="E1629" s="1770"/>
      <c r="S1629" s="1770"/>
      <c r="T1629" s="1770"/>
      <c r="U1629" s="1770"/>
      <c r="V1629" s="1770"/>
      <c r="W1629" s="1770"/>
    </row>
    <row r="1630" spans="1:23">
      <c r="A1630" s="1770"/>
      <c r="B1630" s="1770"/>
      <c r="C1630" s="1770"/>
      <c r="D1630" s="1770"/>
      <c r="E1630" s="1770"/>
      <c r="S1630" s="1770"/>
      <c r="T1630" s="1770"/>
      <c r="U1630" s="1770"/>
      <c r="V1630" s="1770"/>
      <c r="W1630" s="1770"/>
    </row>
    <row r="1631" spans="1:23">
      <c r="A1631" s="1770"/>
      <c r="B1631" s="1770"/>
      <c r="C1631" s="1770"/>
      <c r="D1631" s="1770"/>
      <c r="E1631" s="1770"/>
      <c r="S1631" s="1770"/>
      <c r="T1631" s="1770"/>
      <c r="U1631" s="1770"/>
      <c r="V1631" s="1770"/>
      <c r="W1631" s="1770"/>
    </row>
    <row r="1632" spans="1:23">
      <c r="A1632" s="1770"/>
      <c r="B1632" s="1770"/>
      <c r="C1632" s="1770"/>
      <c r="D1632" s="1770"/>
      <c r="E1632" s="1770"/>
      <c r="S1632" s="1770"/>
      <c r="T1632" s="1770"/>
      <c r="U1632" s="1770"/>
      <c r="V1632" s="1770"/>
      <c r="W1632" s="1770"/>
    </row>
    <row r="1633" spans="1:23">
      <c r="A1633" s="1770"/>
      <c r="B1633" s="1770"/>
      <c r="C1633" s="1770"/>
      <c r="D1633" s="1770"/>
      <c r="E1633" s="1770"/>
      <c r="S1633" s="1770"/>
      <c r="T1633" s="1770"/>
      <c r="U1633" s="1770"/>
      <c r="V1633" s="1770"/>
      <c r="W1633" s="1770"/>
    </row>
    <row r="1634" spans="1:23">
      <c r="A1634" s="1770"/>
      <c r="B1634" s="1770"/>
      <c r="C1634" s="1770"/>
      <c r="D1634" s="1770"/>
      <c r="E1634" s="1770"/>
      <c r="S1634" s="1770"/>
      <c r="T1634" s="1770"/>
      <c r="U1634" s="1770"/>
      <c r="V1634" s="1770"/>
      <c r="W1634" s="1770"/>
    </row>
    <row r="1635" spans="1:23">
      <c r="A1635" s="1770"/>
      <c r="B1635" s="1770"/>
      <c r="C1635" s="1770"/>
      <c r="D1635" s="1770"/>
      <c r="E1635" s="1770"/>
      <c r="S1635" s="1770"/>
      <c r="T1635" s="1770"/>
      <c r="U1635" s="1770"/>
      <c r="V1635" s="1770"/>
      <c r="W1635" s="1770"/>
    </row>
    <row r="1636" spans="1:23">
      <c r="A1636" s="1770"/>
      <c r="B1636" s="1770"/>
      <c r="C1636" s="1770"/>
      <c r="D1636" s="1770"/>
      <c r="E1636" s="1770"/>
      <c r="S1636" s="1770"/>
      <c r="T1636" s="1770"/>
      <c r="U1636" s="1770"/>
      <c r="V1636" s="1770"/>
      <c r="W1636" s="1770"/>
    </row>
    <row r="1637" spans="1:23">
      <c r="A1637" s="1770"/>
      <c r="B1637" s="1770"/>
      <c r="C1637" s="1770"/>
      <c r="D1637" s="1770"/>
      <c r="E1637" s="1770"/>
      <c r="S1637" s="1770"/>
      <c r="T1637" s="1770"/>
      <c r="U1637" s="1770"/>
      <c r="V1637" s="1770"/>
      <c r="W1637" s="1770"/>
    </row>
    <row r="1638" spans="1:23">
      <c r="A1638" s="1770"/>
      <c r="B1638" s="1770"/>
      <c r="C1638" s="1770"/>
      <c r="D1638" s="1770"/>
      <c r="E1638" s="1770"/>
      <c r="S1638" s="1770"/>
      <c r="T1638" s="1770"/>
      <c r="U1638" s="1770"/>
      <c r="V1638" s="1770"/>
      <c r="W1638" s="1770"/>
    </row>
    <row r="1639" spans="1:23">
      <c r="A1639" s="1770"/>
      <c r="B1639" s="1770"/>
      <c r="C1639" s="1770"/>
      <c r="D1639" s="1770"/>
      <c r="E1639" s="1770"/>
      <c r="S1639" s="1770"/>
      <c r="T1639" s="1770"/>
      <c r="U1639" s="1770"/>
      <c r="V1639" s="1770"/>
      <c r="W1639" s="1770"/>
    </row>
    <row r="1640" spans="1:23">
      <c r="A1640" s="1770"/>
      <c r="B1640" s="1770"/>
      <c r="C1640" s="1770"/>
      <c r="D1640" s="1770"/>
      <c r="E1640" s="1770"/>
      <c r="S1640" s="1770"/>
      <c r="T1640" s="1770"/>
      <c r="U1640" s="1770"/>
      <c r="V1640" s="1770"/>
      <c r="W1640" s="1770"/>
    </row>
    <row r="1641" spans="1:23">
      <c r="A1641" s="1770"/>
      <c r="B1641" s="1770"/>
      <c r="C1641" s="1770"/>
      <c r="D1641" s="1770"/>
      <c r="E1641" s="1770"/>
      <c r="S1641" s="1770"/>
      <c r="T1641" s="1770"/>
      <c r="U1641" s="1770"/>
      <c r="V1641" s="1770"/>
      <c r="W1641" s="1770"/>
    </row>
    <row r="1642" spans="1:23">
      <c r="A1642" s="1770"/>
      <c r="B1642" s="1770"/>
      <c r="C1642" s="1770"/>
      <c r="D1642" s="1770"/>
      <c r="E1642" s="1770"/>
      <c r="S1642" s="1770"/>
      <c r="T1642" s="1770"/>
      <c r="U1642" s="1770"/>
      <c r="V1642" s="1770"/>
      <c r="W1642" s="1770"/>
    </row>
    <row r="1643" spans="1:23">
      <c r="A1643" s="1770"/>
      <c r="B1643" s="1770"/>
      <c r="C1643" s="1770"/>
      <c r="D1643" s="1770"/>
      <c r="E1643" s="1770"/>
      <c r="S1643" s="1770"/>
      <c r="T1643" s="1770"/>
      <c r="U1643" s="1770"/>
      <c r="V1643" s="1770"/>
      <c r="W1643" s="1770"/>
    </row>
    <row r="1644" spans="1:23">
      <c r="A1644" s="1770"/>
      <c r="B1644" s="1770"/>
      <c r="C1644" s="1770"/>
      <c r="D1644" s="1770"/>
      <c r="E1644" s="1770"/>
      <c r="S1644" s="1770"/>
      <c r="T1644" s="1770"/>
      <c r="U1644" s="1770"/>
      <c r="V1644" s="1770"/>
      <c r="W1644" s="1770"/>
    </row>
    <row r="1645" spans="1:23">
      <c r="A1645" s="1770"/>
      <c r="B1645" s="1770"/>
      <c r="C1645" s="1770"/>
      <c r="D1645" s="1770"/>
      <c r="E1645" s="1770"/>
      <c r="S1645" s="1770"/>
      <c r="T1645" s="1770"/>
      <c r="U1645" s="1770"/>
      <c r="V1645" s="1770"/>
      <c r="W1645" s="1770"/>
    </row>
    <row r="1646" spans="1:23">
      <c r="A1646" s="1770"/>
      <c r="B1646" s="1770"/>
      <c r="C1646" s="1770"/>
      <c r="D1646" s="1770"/>
      <c r="E1646" s="1770"/>
      <c r="S1646" s="1770"/>
      <c r="T1646" s="1770"/>
      <c r="U1646" s="1770"/>
      <c r="V1646" s="1770"/>
      <c r="W1646" s="1770"/>
    </row>
  </sheetData>
  <sheetProtection algorithmName="SHA-512" hashValue="ueAshfHc7p/i5+Mzw45ukJIYyujpN2DLJ0VG1qWSuAkEi3BvlJDY0TNAKI+f23650CFctCBEaWfY1qGaI7oPLQ==" saltValue="r+EJnXhF8i9UrMQMgCenGw=="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25" zoomScaleNormal="125" workbookViewId="0"/>
  </sheetViews>
  <sheetFormatPr baseColWidth="10" defaultRowHeight="16"/>
  <cols>
    <col min="1" max="1" width="5.7109375" style="805" customWidth="1"/>
    <col min="2" max="2" width="1.7109375" style="805" customWidth="1"/>
    <col min="3" max="16384" width="10.7109375" style="805"/>
  </cols>
  <sheetData>
    <row r="1" spans="1:14" ht="8" customHeight="1">
      <c r="A1" s="917"/>
      <c r="B1" s="917"/>
      <c r="C1" s="917"/>
      <c r="D1" s="917"/>
      <c r="E1" s="917"/>
      <c r="F1" s="917"/>
      <c r="G1" s="917"/>
      <c r="H1" s="917"/>
      <c r="I1" s="917"/>
      <c r="J1" s="917"/>
      <c r="K1" s="917"/>
      <c r="L1" s="917"/>
      <c r="M1" s="1750"/>
      <c r="N1" s="1750"/>
    </row>
    <row r="2" spans="1:14" ht="40" customHeight="1">
      <c r="B2" s="894" t="s">
        <v>1406</v>
      </c>
    </row>
    <row r="3" spans="1:14">
      <c r="A3" s="860" t="s">
        <v>1310</v>
      </c>
    </row>
    <row r="4" spans="1:14" ht="39" customHeight="1">
      <c r="C4" s="1351" t="s">
        <v>2180</v>
      </c>
      <c r="D4" s="1350" t="s">
        <v>2181</v>
      </c>
    </row>
    <row r="5" spans="1:14" ht="31" customHeight="1">
      <c r="A5" s="1324" t="s">
        <v>2149</v>
      </c>
    </row>
    <row r="6" spans="1:14" ht="23" customHeight="1">
      <c r="C6" s="2501" t="s">
        <v>383</v>
      </c>
      <c r="D6" s="2502"/>
      <c r="E6" s="2502"/>
      <c r="F6" s="2502"/>
      <c r="G6" s="2502"/>
      <c r="H6" s="2502"/>
      <c r="I6" s="2502"/>
      <c r="J6" s="2502"/>
      <c r="K6" s="2502"/>
      <c r="L6" s="2503"/>
    </row>
    <row r="7" spans="1:14">
      <c r="C7" s="2498" t="s">
        <v>384</v>
      </c>
      <c r="D7" s="2499"/>
      <c r="E7" s="2499"/>
      <c r="F7" s="2499"/>
      <c r="G7" s="2500"/>
      <c r="H7" s="2498" t="s">
        <v>495</v>
      </c>
      <c r="I7" s="2499"/>
      <c r="J7" s="2499"/>
      <c r="K7" s="2499"/>
      <c r="L7" s="2500"/>
    </row>
    <row r="8" spans="1:14">
      <c r="C8" s="910"/>
      <c r="D8" s="911"/>
      <c r="E8" s="911"/>
      <c r="F8" s="907" t="s">
        <v>245</v>
      </c>
      <c r="G8" s="912" t="s">
        <v>246</v>
      </c>
      <c r="H8" s="910"/>
      <c r="I8" s="911"/>
      <c r="J8" s="911"/>
      <c r="K8" s="907" t="s">
        <v>245</v>
      </c>
      <c r="L8" s="912" t="s">
        <v>246</v>
      </c>
    </row>
    <row r="9" spans="1:14">
      <c r="C9" s="913" t="s">
        <v>6</v>
      </c>
      <c r="D9" s="914" t="s">
        <v>385</v>
      </c>
      <c r="E9" s="914" t="s">
        <v>386</v>
      </c>
      <c r="F9" s="914" t="s">
        <v>247</v>
      </c>
      <c r="G9" s="915" t="s">
        <v>247</v>
      </c>
      <c r="H9" s="913" t="s">
        <v>6</v>
      </c>
      <c r="I9" s="914" t="s">
        <v>385</v>
      </c>
      <c r="J9" s="914" t="s">
        <v>386</v>
      </c>
      <c r="K9" s="914" t="s">
        <v>247</v>
      </c>
      <c r="L9" s="915" t="s">
        <v>247</v>
      </c>
    </row>
    <row r="10" spans="1:14">
      <c r="C10" s="916">
        <v>2022</v>
      </c>
      <c r="D10" s="967">
        <v>0</v>
      </c>
      <c r="E10" s="796">
        <f>D11</f>
        <v>91000</v>
      </c>
      <c r="F10" s="968">
        <v>170.1</v>
      </c>
      <c r="G10" s="969">
        <v>0</v>
      </c>
      <c r="H10" s="916">
        <v>2022</v>
      </c>
      <c r="I10" s="967">
        <v>0</v>
      </c>
      <c r="J10" s="796">
        <f>I11</f>
        <v>182000</v>
      </c>
      <c r="K10" s="968">
        <v>170.1</v>
      </c>
      <c r="L10" s="969">
        <v>0</v>
      </c>
    </row>
    <row r="11" spans="1:14">
      <c r="C11" s="797"/>
      <c r="D11" s="970">
        <v>91000</v>
      </c>
      <c r="E11" s="802">
        <f>D12</f>
        <v>114000</v>
      </c>
      <c r="F11" s="971">
        <v>238.1</v>
      </c>
      <c r="G11" s="972">
        <v>12.4</v>
      </c>
      <c r="H11" s="797"/>
      <c r="I11" s="970">
        <v>182000</v>
      </c>
      <c r="J11" s="802">
        <f>I12</f>
        <v>228000</v>
      </c>
      <c r="K11" s="971">
        <v>238.1</v>
      </c>
      <c r="L11" s="972">
        <v>12.4</v>
      </c>
    </row>
    <row r="12" spans="1:14">
      <c r="C12" s="797"/>
      <c r="D12" s="973">
        <v>114000</v>
      </c>
      <c r="E12" s="551">
        <f>D13</f>
        <v>142000</v>
      </c>
      <c r="F12" s="974">
        <v>340.2</v>
      </c>
      <c r="G12" s="975">
        <v>32.1</v>
      </c>
      <c r="H12" s="797"/>
      <c r="I12" s="973">
        <v>228000</v>
      </c>
      <c r="J12" s="551">
        <f>I13</f>
        <v>284000</v>
      </c>
      <c r="K12" s="974">
        <v>340.2</v>
      </c>
      <c r="L12" s="975">
        <v>32.1</v>
      </c>
    </row>
    <row r="13" spans="1:14">
      <c r="C13" s="797"/>
      <c r="D13" s="970">
        <v>142000</v>
      </c>
      <c r="E13" s="802">
        <f>D14</f>
        <v>170000</v>
      </c>
      <c r="F13" s="971">
        <v>442.3</v>
      </c>
      <c r="G13" s="972">
        <v>51.7</v>
      </c>
      <c r="H13" s="797"/>
      <c r="I13" s="970">
        <v>284000</v>
      </c>
      <c r="J13" s="802">
        <f>I14</f>
        <v>340000</v>
      </c>
      <c r="K13" s="971">
        <v>442.3</v>
      </c>
      <c r="L13" s="972">
        <v>51.7</v>
      </c>
    </row>
    <row r="14" spans="1:14">
      <c r="C14" s="797"/>
      <c r="D14" s="973">
        <v>170000</v>
      </c>
      <c r="E14" s="551">
        <f>D15</f>
        <v>500000</v>
      </c>
      <c r="F14" s="974">
        <v>544.29999999999995</v>
      </c>
      <c r="G14" s="975">
        <v>71.3</v>
      </c>
      <c r="H14" s="797"/>
      <c r="I14" s="973">
        <v>340000</v>
      </c>
      <c r="J14" s="551">
        <f>I15</f>
        <v>750000</v>
      </c>
      <c r="K14" s="974">
        <v>544.29999999999995</v>
      </c>
      <c r="L14" s="975">
        <v>71.3</v>
      </c>
    </row>
    <row r="15" spans="1:14">
      <c r="C15" s="798"/>
      <c r="D15" s="976">
        <v>500000</v>
      </c>
      <c r="E15" s="803"/>
      <c r="F15" s="977">
        <v>578.29999999999995</v>
      </c>
      <c r="G15" s="978">
        <v>77.900000000000006</v>
      </c>
      <c r="H15" s="798"/>
      <c r="I15" s="976">
        <v>750000</v>
      </c>
      <c r="J15" s="803"/>
      <c r="K15" s="977">
        <v>578.29999999999995</v>
      </c>
      <c r="L15" s="978">
        <v>77.900000000000006</v>
      </c>
    </row>
    <row r="21" spans="3:12" ht="60" customHeight="1">
      <c r="C21" s="2504" t="s">
        <v>1407</v>
      </c>
      <c r="D21" s="2505"/>
      <c r="E21" s="2505"/>
      <c r="F21" s="2505"/>
      <c r="G21" s="2505"/>
      <c r="H21" s="2505"/>
      <c r="I21" s="2505"/>
      <c r="J21" s="2505"/>
      <c r="K21" s="2505"/>
      <c r="L21" s="2505"/>
    </row>
  </sheetData>
  <sheetProtection algorithmName="SHA-512" hashValue="jLtaQv7O9uJwJPxX+PChGPv0K1jR5AQ/u3pId8KSVNLJDtD9G+tPKbO4cXcMizyV2aMQuMS75/LxkmVx26HZag==" saltValue="8UApzTrWxJiuu6Chr9u5HA=="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125" zoomScaleNormal="125" workbookViewId="0">
      <pane ySplit="6" topLeftCell="A7" activePane="bottomLeft" state="frozen"/>
      <selection pane="bottomLeft" activeCell="B1" sqref="A1:B1"/>
    </sheetView>
  </sheetViews>
  <sheetFormatPr baseColWidth="10" defaultRowHeight="16"/>
  <cols>
    <col min="1" max="1" width="5.7109375" style="805" customWidth="1"/>
    <col min="2" max="3" width="1.7109375" style="805" customWidth="1"/>
    <col min="4" max="6" width="10.7109375" style="805"/>
    <col min="7" max="7" width="5.42578125" style="805" customWidth="1"/>
    <col min="8" max="10" width="9.140625" style="805" customWidth="1"/>
    <col min="11" max="14" width="10.7109375" style="805"/>
    <col min="15" max="15" width="3.7109375" style="805" customWidth="1"/>
    <col min="16" max="16384" width="10.7109375" style="805"/>
  </cols>
  <sheetData>
    <row r="1" spans="1:15" ht="8" customHeight="1">
      <c r="A1" s="917"/>
      <c r="B1" s="917"/>
      <c r="C1" s="917"/>
      <c r="D1" s="917"/>
      <c r="E1" s="917"/>
      <c r="F1" s="917"/>
      <c r="G1" s="917"/>
      <c r="H1" s="917"/>
      <c r="I1" s="917"/>
      <c r="J1" s="917"/>
      <c r="K1" s="917"/>
      <c r="L1" s="917"/>
      <c r="M1" s="917"/>
      <c r="N1" s="917"/>
      <c r="O1" s="917"/>
    </row>
    <row r="2" spans="1:15" ht="40" customHeight="1">
      <c r="B2" s="894" t="s">
        <v>1395</v>
      </c>
    </row>
    <row r="3" spans="1:15" ht="40" customHeight="1">
      <c r="A3" s="918" t="s">
        <v>1310</v>
      </c>
      <c r="D3" s="1353" t="s">
        <v>2182</v>
      </c>
      <c r="E3" s="1352" t="s">
        <v>2183</v>
      </c>
    </row>
    <row r="4" spans="1:15">
      <c r="D4" s="919" t="s">
        <v>1331</v>
      </c>
      <c r="E4" s="920"/>
      <c r="F4" s="921">
        <v>2022</v>
      </c>
      <c r="G4" s="420"/>
      <c r="H4" s="2506" t="s">
        <v>1332</v>
      </c>
      <c r="I4" s="2507"/>
      <c r="J4" s="2508"/>
    </row>
    <row r="5" spans="1:15">
      <c r="D5" s="906"/>
      <c r="E5" s="907"/>
      <c r="F5" s="1279"/>
      <c r="G5" s="420"/>
      <c r="H5" s="794"/>
      <c r="I5" s="908">
        <v>18080</v>
      </c>
      <c r="J5" s="795"/>
    </row>
    <row r="6" spans="1:15" ht="31" customHeight="1">
      <c r="A6" s="1324" t="s">
        <v>2149</v>
      </c>
      <c r="D6" s="909" t="s">
        <v>65</v>
      </c>
      <c r="E6" s="1325" t="s">
        <v>2150</v>
      </c>
      <c r="F6" s="1279" t="s">
        <v>420</v>
      </c>
      <c r="G6" s="420"/>
      <c r="H6" s="420"/>
      <c r="I6" s="420"/>
      <c r="J6" s="420"/>
    </row>
    <row r="7" spans="1:15">
      <c r="D7" s="791">
        <v>70</v>
      </c>
      <c r="E7" s="922">
        <v>29.1</v>
      </c>
      <c r="F7" s="923">
        <v>3.44E-2</v>
      </c>
      <c r="G7" s="420"/>
      <c r="H7" s="420"/>
      <c r="I7" s="420"/>
      <c r="J7" s="420"/>
    </row>
    <row r="8" spans="1:15">
      <c r="D8" s="792">
        <f t="shared" ref="D8:D52" si="0">D7+1</f>
        <v>71</v>
      </c>
      <c r="E8" s="924">
        <v>28.2</v>
      </c>
      <c r="F8" s="925">
        <v>3.5499999999999997E-2</v>
      </c>
      <c r="G8" s="420"/>
      <c r="H8" s="420"/>
      <c r="I8" s="420"/>
      <c r="J8" s="420"/>
    </row>
    <row r="9" spans="1:15">
      <c r="D9" s="791">
        <f t="shared" si="0"/>
        <v>72</v>
      </c>
      <c r="E9" s="922">
        <v>27.4</v>
      </c>
      <c r="F9" s="923">
        <v>3.6499999999999998E-2</v>
      </c>
      <c r="G9" s="420"/>
      <c r="H9" s="420"/>
      <c r="I9" s="420"/>
      <c r="J9" s="420"/>
    </row>
    <row r="10" spans="1:15">
      <c r="D10" s="792">
        <f t="shared" si="0"/>
        <v>73</v>
      </c>
      <c r="E10" s="924">
        <v>26.5</v>
      </c>
      <c r="F10" s="925">
        <v>3.78E-2</v>
      </c>
      <c r="G10" s="420"/>
      <c r="H10" s="420"/>
      <c r="I10" s="420"/>
      <c r="J10" s="420"/>
    </row>
    <row r="11" spans="1:15">
      <c r="D11" s="791">
        <f t="shared" si="0"/>
        <v>74</v>
      </c>
      <c r="E11" s="922">
        <v>25.5</v>
      </c>
      <c r="F11" s="923">
        <v>3.9300000000000002E-2</v>
      </c>
      <c r="G11" s="420"/>
      <c r="H11" s="420"/>
      <c r="I11" s="420"/>
      <c r="J11" s="420"/>
    </row>
    <row r="12" spans="1:15">
      <c r="D12" s="792">
        <f t="shared" si="0"/>
        <v>75</v>
      </c>
      <c r="E12" s="924">
        <v>24.6</v>
      </c>
      <c r="F12" s="925">
        <v>4.07E-2</v>
      </c>
      <c r="G12" s="420"/>
      <c r="H12" s="420"/>
      <c r="I12" s="420"/>
      <c r="J12" s="420"/>
    </row>
    <row r="13" spans="1:15">
      <c r="D13" s="791">
        <f t="shared" si="0"/>
        <v>76</v>
      </c>
      <c r="E13" s="922">
        <v>23.7</v>
      </c>
      <c r="F13" s="923">
        <v>4.2200000000000001E-2</v>
      </c>
      <c r="G13" s="420"/>
      <c r="H13" s="420"/>
      <c r="I13" s="420"/>
      <c r="J13" s="420"/>
    </row>
    <row r="14" spans="1:15">
      <c r="D14" s="792">
        <f t="shared" si="0"/>
        <v>77</v>
      </c>
      <c r="E14" s="924">
        <v>22.9</v>
      </c>
      <c r="F14" s="925">
        <v>4.3700000000000003E-2</v>
      </c>
      <c r="G14" s="420"/>
      <c r="H14" s="2510" t="s">
        <v>2185</v>
      </c>
      <c r="I14" s="2511"/>
      <c r="J14" s="2511"/>
      <c r="K14" s="2511"/>
      <c r="L14" s="2511"/>
      <c r="M14" s="2511"/>
      <c r="N14" s="2512"/>
    </row>
    <row r="15" spans="1:15" ht="16" customHeight="1">
      <c r="D15" s="791">
        <f t="shared" si="0"/>
        <v>78</v>
      </c>
      <c r="E15" s="922">
        <v>22</v>
      </c>
      <c r="F15" s="923">
        <v>4.5499999999999999E-2</v>
      </c>
      <c r="G15" s="420"/>
      <c r="H15" s="2509" t="s">
        <v>2184</v>
      </c>
      <c r="I15" s="2509"/>
      <c r="J15" s="2509"/>
      <c r="K15" s="2509"/>
      <c r="L15" s="2509"/>
      <c r="M15" s="2509"/>
      <c r="N15" s="2509"/>
    </row>
    <row r="16" spans="1:15" ht="16" customHeight="1">
      <c r="D16" s="792">
        <f t="shared" si="0"/>
        <v>79</v>
      </c>
      <c r="E16" s="924">
        <v>21.1</v>
      </c>
      <c r="F16" s="925">
        <v>4.7399999999999998E-2</v>
      </c>
      <c r="G16" s="420"/>
      <c r="H16" s="2509"/>
      <c r="I16" s="2509"/>
      <c r="J16" s="2509"/>
      <c r="K16" s="2509"/>
      <c r="L16" s="2509"/>
      <c r="M16" s="2509"/>
      <c r="N16" s="2509"/>
    </row>
    <row r="17" spans="4:14" ht="16" customHeight="1">
      <c r="D17" s="791">
        <f t="shared" si="0"/>
        <v>80</v>
      </c>
      <c r="E17" s="922">
        <v>20.2</v>
      </c>
      <c r="F17" s="923">
        <v>4.9599999999999998E-2</v>
      </c>
      <c r="G17" s="420"/>
      <c r="H17" s="2509"/>
      <c r="I17" s="2509"/>
      <c r="J17" s="2509"/>
      <c r="K17" s="2509"/>
      <c r="L17" s="2509"/>
      <c r="M17" s="2509"/>
      <c r="N17" s="2509"/>
    </row>
    <row r="18" spans="4:14" ht="16" customHeight="1">
      <c r="D18" s="792">
        <f t="shared" si="0"/>
        <v>81</v>
      </c>
      <c r="E18" s="924">
        <v>19.399999999999999</v>
      </c>
      <c r="F18" s="925">
        <v>5.16E-2</v>
      </c>
      <c r="G18" s="420"/>
      <c r="H18" s="2509"/>
      <c r="I18" s="2509"/>
      <c r="J18" s="2509"/>
      <c r="K18" s="2509"/>
      <c r="L18" s="2509"/>
      <c r="M18" s="2509"/>
      <c r="N18" s="2509"/>
    </row>
    <row r="19" spans="4:14" ht="16" customHeight="1">
      <c r="D19" s="791">
        <f t="shared" si="0"/>
        <v>82</v>
      </c>
      <c r="E19" s="922">
        <v>18.5</v>
      </c>
      <c r="F19" s="923">
        <v>5.4100000000000002E-2</v>
      </c>
      <c r="G19" s="420"/>
      <c r="H19" s="2509"/>
      <c r="I19" s="2509"/>
      <c r="J19" s="2509"/>
      <c r="K19" s="2509"/>
      <c r="L19" s="2509"/>
      <c r="M19" s="2509"/>
      <c r="N19" s="2509"/>
    </row>
    <row r="20" spans="4:14" ht="16" customHeight="1">
      <c r="D20" s="792">
        <f t="shared" si="0"/>
        <v>83</v>
      </c>
      <c r="E20" s="924">
        <v>17.7</v>
      </c>
      <c r="F20" s="925">
        <v>5.6500000000000002E-2</v>
      </c>
      <c r="G20" s="420"/>
      <c r="H20" s="2509"/>
      <c r="I20" s="2509"/>
      <c r="J20" s="2509"/>
      <c r="K20" s="2509"/>
      <c r="L20" s="2509"/>
      <c r="M20" s="2509"/>
      <c r="N20" s="2509"/>
    </row>
    <row r="21" spans="4:14" ht="16" customHeight="1">
      <c r="D21" s="791">
        <f t="shared" si="0"/>
        <v>84</v>
      </c>
      <c r="E21" s="922">
        <v>16.8</v>
      </c>
      <c r="F21" s="923">
        <v>5.96E-2</v>
      </c>
      <c r="G21" s="420"/>
      <c r="H21" s="2509"/>
      <c r="I21" s="2509"/>
      <c r="J21" s="2509"/>
      <c r="K21" s="2509"/>
      <c r="L21" s="2509"/>
      <c r="M21" s="2509"/>
      <c r="N21" s="2509"/>
    </row>
    <row r="22" spans="4:14" ht="16" customHeight="1">
      <c r="D22" s="792">
        <f t="shared" si="0"/>
        <v>85</v>
      </c>
      <c r="E22" s="924">
        <v>16</v>
      </c>
      <c r="F22" s="925">
        <v>6.25E-2</v>
      </c>
      <c r="G22" s="420"/>
      <c r="H22" s="2509"/>
      <c r="I22" s="2509"/>
      <c r="J22" s="2509"/>
      <c r="K22" s="2509"/>
      <c r="L22" s="2509"/>
      <c r="M22" s="2509"/>
      <c r="N22" s="2509"/>
    </row>
    <row r="23" spans="4:14" ht="16" customHeight="1">
      <c r="D23" s="791">
        <f t="shared" si="0"/>
        <v>86</v>
      </c>
      <c r="E23" s="922">
        <v>15.2</v>
      </c>
      <c r="F23" s="923">
        <v>6.5799999999999997E-2</v>
      </c>
      <c r="G23" s="420"/>
      <c r="H23" s="2509"/>
      <c r="I23" s="2509"/>
      <c r="J23" s="2509"/>
      <c r="K23" s="2509"/>
      <c r="L23" s="2509"/>
      <c r="M23" s="2509"/>
      <c r="N23" s="2509"/>
    </row>
    <row r="24" spans="4:14">
      <c r="D24" s="792">
        <f t="shared" si="0"/>
        <v>87</v>
      </c>
      <c r="E24" s="924">
        <v>14.4</v>
      </c>
      <c r="F24" s="925">
        <v>6.9500000000000006E-2</v>
      </c>
      <c r="G24" s="420"/>
      <c r="H24" s="2509"/>
      <c r="I24" s="2509"/>
      <c r="J24" s="2509"/>
      <c r="K24" s="2509"/>
      <c r="L24" s="2509"/>
      <c r="M24" s="2509"/>
      <c r="N24" s="2509"/>
    </row>
    <row r="25" spans="4:14">
      <c r="D25" s="791">
        <f t="shared" si="0"/>
        <v>88</v>
      </c>
      <c r="E25" s="922">
        <v>13.7</v>
      </c>
      <c r="F25" s="923">
        <v>7.2999999999999995E-2</v>
      </c>
      <c r="G25" s="420"/>
      <c r="H25" s="2509"/>
      <c r="I25" s="2509"/>
      <c r="J25" s="2509"/>
      <c r="K25" s="2509"/>
      <c r="L25" s="2509"/>
      <c r="M25" s="2509"/>
      <c r="N25" s="2509"/>
    </row>
    <row r="26" spans="4:14">
      <c r="D26" s="792">
        <f t="shared" si="0"/>
        <v>89</v>
      </c>
      <c r="E26" s="924">
        <v>12.9</v>
      </c>
      <c r="F26" s="925">
        <v>7.7600000000000002E-2</v>
      </c>
      <c r="G26" s="420"/>
      <c r="H26" s="420"/>
      <c r="I26" s="420"/>
      <c r="J26" s="420"/>
    </row>
    <row r="27" spans="4:14">
      <c r="D27" s="791">
        <f t="shared" si="0"/>
        <v>90</v>
      </c>
      <c r="E27" s="922">
        <v>12.2</v>
      </c>
      <c r="F27" s="923">
        <v>8.2000000000000003E-2</v>
      </c>
      <c r="G27" s="420"/>
      <c r="H27" s="420"/>
      <c r="I27" s="420"/>
      <c r="J27" s="420"/>
    </row>
    <row r="28" spans="4:14">
      <c r="D28" s="792">
        <f t="shared" si="0"/>
        <v>91</v>
      </c>
      <c r="E28" s="924">
        <v>11.5</v>
      </c>
      <c r="F28" s="925">
        <v>8.6999999999999994E-2</v>
      </c>
      <c r="G28" s="420"/>
      <c r="H28" s="420"/>
      <c r="I28" s="420"/>
      <c r="J28" s="420"/>
    </row>
    <row r="29" spans="4:14">
      <c r="D29" s="791">
        <f t="shared" si="0"/>
        <v>92</v>
      </c>
      <c r="E29" s="922">
        <v>10.8</v>
      </c>
      <c r="F29" s="923">
        <v>9.2600000000000002E-2</v>
      </c>
      <c r="G29" s="420"/>
      <c r="H29" s="420"/>
      <c r="I29" s="420"/>
      <c r="J29" s="420"/>
    </row>
    <row r="30" spans="4:14">
      <c r="D30" s="792">
        <f t="shared" si="0"/>
        <v>93</v>
      </c>
      <c r="E30" s="924">
        <v>10.1</v>
      </c>
      <c r="F30" s="925">
        <v>9.9099999999999994E-2</v>
      </c>
      <c r="G30" s="420"/>
      <c r="H30" s="420"/>
      <c r="I30" s="420"/>
      <c r="J30" s="420"/>
    </row>
    <row r="31" spans="4:14">
      <c r="D31" s="791">
        <f t="shared" si="0"/>
        <v>94</v>
      </c>
      <c r="E31" s="922">
        <v>9.5</v>
      </c>
      <c r="F31" s="923">
        <v>0.1053</v>
      </c>
      <c r="G31" s="420"/>
      <c r="H31" s="420"/>
      <c r="I31" s="420"/>
      <c r="J31" s="420"/>
    </row>
    <row r="32" spans="4:14">
      <c r="D32" s="792">
        <f t="shared" si="0"/>
        <v>95</v>
      </c>
      <c r="E32" s="924">
        <v>8.9</v>
      </c>
      <c r="F32" s="925">
        <v>0.1124</v>
      </c>
      <c r="G32" s="420"/>
      <c r="H32" s="420"/>
      <c r="I32" s="420"/>
      <c r="J32" s="420"/>
    </row>
    <row r="33" spans="4:10">
      <c r="D33" s="791">
        <f t="shared" si="0"/>
        <v>96</v>
      </c>
      <c r="E33" s="922">
        <v>8.4</v>
      </c>
      <c r="F33" s="923">
        <v>0.1191</v>
      </c>
      <c r="G33" s="420"/>
      <c r="H33" s="420"/>
      <c r="I33" s="420"/>
      <c r="J33" s="420"/>
    </row>
    <row r="34" spans="4:10">
      <c r="D34" s="792">
        <f t="shared" si="0"/>
        <v>97</v>
      </c>
      <c r="E34" s="924">
        <v>7.8</v>
      </c>
      <c r="F34" s="925">
        <v>0.1283</v>
      </c>
      <c r="G34" s="420"/>
      <c r="H34" s="420"/>
      <c r="I34" s="420"/>
      <c r="J34" s="420"/>
    </row>
    <row r="35" spans="4:10">
      <c r="D35" s="791">
        <f t="shared" si="0"/>
        <v>98</v>
      </c>
      <c r="E35" s="922">
        <v>7.3</v>
      </c>
      <c r="F35" s="923">
        <v>0.13700000000000001</v>
      </c>
      <c r="G35" s="420"/>
      <c r="H35" s="420"/>
      <c r="I35" s="420"/>
      <c r="J35" s="420"/>
    </row>
    <row r="36" spans="4:10">
      <c r="D36" s="792">
        <f t="shared" si="0"/>
        <v>99</v>
      </c>
      <c r="E36" s="924">
        <v>6.8</v>
      </c>
      <c r="F36" s="925">
        <v>0.14710000000000001</v>
      </c>
      <c r="G36" s="420"/>
      <c r="H36" s="420"/>
      <c r="I36" s="418"/>
      <c r="J36" s="420"/>
    </row>
    <row r="37" spans="4:10">
      <c r="D37" s="791">
        <f t="shared" si="0"/>
        <v>100</v>
      </c>
      <c r="E37" s="922">
        <v>6.4</v>
      </c>
      <c r="F37" s="923">
        <v>0.15629999999999999</v>
      </c>
      <c r="G37" s="420"/>
      <c r="H37" s="420"/>
      <c r="I37" s="418"/>
      <c r="J37" s="420"/>
    </row>
    <row r="38" spans="4:10">
      <c r="D38" s="792">
        <f t="shared" si="0"/>
        <v>101</v>
      </c>
      <c r="E38" s="924">
        <v>6</v>
      </c>
      <c r="F38" s="925">
        <v>0.16669999999999999</v>
      </c>
      <c r="G38" s="420"/>
      <c r="H38" s="420"/>
      <c r="I38" s="420"/>
      <c r="J38" s="420"/>
    </row>
    <row r="39" spans="4:10">
      <c r="D39" s="791">
        <f t="shared" si="0"/>
        <v>102</v>
      </c>
      <c r="E39" s="922">
        <v>5.6</v>
      </c>
      <c r="F39" s="923">
        <v>0.17860000000000001</v>
      </c>
      <c r="G39" s="420"/>
      <c r="H39" s="420"/>
      <c r="I39" s="420"/>
      <c r="J39" s="420"/>
    </row>
    <row r="40" spans="4:10">
      <c r="D40" s="792">
        <f t="shared" si="0"/>
        <v>103</v>
      </c>
      <c r="E40" s="924">
        <v>5.2</v>
      </c>
      <c r="F40" s="925">
        <v>0.19239999999999999</v>
      </c>
      <c r="G40" s="420"/>
      <c r="H40" s="420"/>
      <c r="I40" s="420"/>
      <c r="J40" s="420"/>
    </row>
    <row r="41" spans="4:10">
      <c r="D41" s="791">
        <f t="shared" si="0"/>
        <v>104</v>
      </c>
      <c r="E41" s="922">
        <v>4.9000000000000004</v>
      </c>
      <c r="F41" s="923">
        <v>0.2041</v>
      </c>
      <c r="G41" s="420"/>
      <c r="H41" s="420"/>
      <c r="I41" s="420"/>
      <c r="J41" s="420"/>
    </row>
    <row r="42" spans="4:10">
      <c r="D42" s="792">
        <f t="shared" si="0"/>
        <v>105</v>
      </c>
      <c r="E42" s="924">
        <v>4.5999999999999996</v>
      </c>
      <c r="F42" s="925">
        <v>0.21740000000000001</v>
      </c>
      <c r="G42" s="420"/>
      <c r="H42" s="420"/>
      <c r="I42" s="420"/>
      <c r="J42" s="420"/>
    </row>
    <row r="43" spans="4:10">
      <c r="D43" s="791">
        <f t="shared" si="0"/>
        <v>106</v>
      </c>
      <c r="E43" s="922">
        <v>4.3</v>
      </c>
      <c r="F43" s="923">
        <v>0.2326</v>
      </c>
      <c r="G43" s="420"/>
      <c r="H43" s="420"/>
      <c r="I43" s="420"/>
      <c r="J43" s="420"/>
    </row>
    <row r="44" spans="4:10">
      <c r="D44" s="792">
        <f t="shared" si="0"/>
        <v>107</v>
      </c>
      <c r="E44" s="924">
        <v>4.0999999999999996</v>
      </c>
      <c r="F44" s="925">
        <v>0.24399999999999999</v>
      </c>
      <c r="G44" s="420"/>
      <c r="H44" s="420"/>
      <c r="I44" s="420"/>
      <c r="J44" s="420"/>
    </row>
    <row r="45" spans="4:10">
      <c r="D45" s="791">
        <f t="shared" si="0"/>
        <v>108</v>
      </c>
      <c r="E45" s="922">
        <v>3.9</v>
      </c>
      <c r="F45" s="923">
        <v>0.25650000000000001</v>
      </c>
      <c r="G45" s="420"/>
      <c r="H45" s="420"/>
      <c r="I45" s="420"/>
      <c r="J45" s="420"/>
    </row>
    <row r="46" spans="4:10">
      <c r="D46" s="792">
        <f t="shared" si="0"/>
        <v>109</v>
      </c>
      <c r="E46" s="924">
        <v>3.7</v>
      </c>
      <c r="F46" s="925">
        <v>0.27029999999999998</v>
      </c>
      <c r="G46" s="420"/>
      <c r="H46" s="420"/>
      <c r="I46" s="420"/>
      <c r="J46" s="420"/>
    </row>
    <row r="47" spans="4:10">
      <c r="D47" s="791">
        <f t="shared" si="0"/>
        <v>110</v>
      </c>
      <c r="E47" s="922">
        <v>3.5</v>
      </c>
      <c r="F47" s="923">
        <v>0.2858</v>
      </c>
      <c r="G47" s="420"/>
      <c r="H47" s="420"/>
      <c r="I47" s="420"/>
      <c r="J47" s="420"/>
    </row>
    <row r="48" spans="4:10">
      <c r="D48" s="792">
        <f t="shared" si="0"/>
        <v>111</v>
      </c>
      <c r="E48" s="924">
        <v>3.4</v>
      </c>
      <c r="F48" s="925">
        <v>0.29420000000000002</v>
      </c>
      <c r="G48" s="420"/>
      <c r="H48" s="420"/>
      <c r="I48" s="420"/>
      <c r="J48" s="420"/>
    </row>
    <row r="49" spans="4:10">
      <c r="D49" s="791">
        <f t="shared" si="0"/>
        <v>112</v>
      </c>
      <c r="E49" s="922">
        <v>3.3</v>
      </c>
      <c r="F49" s="923">
        <v>0.30309999999999998</v>
      </c>
      <c r="G49" s="420"/>
      <c r="H49" s="420"/>
      <c r="I49" s="418"/>
      <c r="J49" s="420"/>
    </row>
    <row r="50" spans="4:10">
      <c r="D50" s="792">
        <f t="shared" si="0"/>
        <v>113</v>
      </c>
      <c r="E50" s="924">
        <v>3.1</v>
      </c>
      <c r="F50" s="925">
        <v>0.3226</v>
      </c>
      <c r="G50" s="420"/>
      <c r="H50" s="420"/>
      <c r="I50" s="418"/>
      <c r="J50" s="420"/>
    </row>
    <row r="51" spans="4:10">
      <c r="D51" s="791">
        <f t="shared" si="0"/>
        <v>114</v>
      </c>
      <c r="E51" s="922">
        <v>3</v>
      </c>
      <c r="F51" s="923">
        <v>0.33339999999999997</v>
      </c>
      <c r="G51" s="420"/>
      <c r="H51" s="420"/>
      <c r="I51" s="418"/>
      <c r="J51" s="420"/>
    </row>
    <row r="52" spans="4:10">
      <c r="D52" s="793">
        <f t="shared" si="0"/>
        <v>115</v>
      </c>
      <c r="E52" s="926">
        <v>2.9</v>
      </c>
      <c r="F52" s="927">
        <v>0.34489999999999998</v>
      </c>
      <c r="G52" s="420"/>
      <c r="H52" s="420"/>
      <c r="I52" s="418"/>
      <c r="J52" s="420"/>
    </row>
  </sheetData>
  <sheetProtection algorithmName="SHA-512" hashValue="vupqwPUWxlOXzqz1uFLqHeJVY/62NduA+9K6Vcjq7eQwW09+81J7Hn+g+HbiRfcGAmA1plyU232qOwN6RwMcGw==" saltValue="2BP6XlVEAinCDeYPV6iUxg=="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25" zoomScaleNormal="125" workbookViewId="0">
      <pane ySplit="9" topLeftCell="A10" activePane="bottomLeft" state="frozen"/>
      <selection pane="bottomLeft" activeCell="D20" sqref="D20"/>
    </sheetView>
  </sheetViews>
  <sheetFormatPr baseColWidth="10" defaultRowHeight="16"/>
  <cols>
    <col min="1" max="1" width="5.7109375" style="805" customWidth="1"/>
    <col min="2" max="3" width="1.7109375" style="805" customWidth="1"/>
    <col min="4" max="6" width="10.7109375" style="805"/>
    <col min="7" max="7" width="4.140625" style="805" customWidth="1"/>
    <col min="8" max="8" width="22.85546875" style="805" customWidth="1"/>
    <col min="9" max="11" width="10.7109375" style="805"/>
    <col min="12" max="12" width="4.42578125" style="805" customWidth="1"/>
    <col min="13" max="16384" width="10.7109375" style="805"/>
  </cols>
  <sheetData>
    <row r="1" spans="1:37" ht="8" customHeight="1">
      <c r="A1" s="893"/>
      <c r="B1" s="893"/>
      <c r="C1" s="893"/>
      <c r="D1" s="893"/>
      <c r="E1" s="893"/>
      <c r="F1" s="893"/>
      <c r="G1" s="893"/>
      <c r="H1" s="893"/>
      <c r="I1" s="893"/>
      <c r="J1" s="893"/>
      <c r="K1" s="893"/>
      <c r="L1" s="893"/>
      <c r="M1" s="893"/>
      <c r="N1" s="1748"/>
      <c r="O1" s="1748"/>
    </row>
    <row r="2" spans="1:37" ht="40" customHeight="1">
      <c r="B2" s="1349" t="s">
        <v>2179</v>
      </c>
    </row>
    <row r="3" spans="1:37">
      <c r="A3" s="895" t="s">
        <v>1310</v>
      </c>
    </row>
    <row r="4" spans="1:37" ht="8" customHeight="1"/>
    <row r="5" spans="1:37" ht="17" customHeight="1">
      <c r="I5" s="789" t="s">
        <v>459</v>
      </c>
    </row>
    <row r="6" spans="1:37" s="787" customFormat="1" ht="8" customHeight="1">
      <c r="D6" s="788"/>
      <c r="E6" s="788"/>
      <c r="J6" s="789"/>
      <c r="K6" s="789"/>
    </row>
    <row r="7" spans="1:37" s="787" customFormat="1" ht="20" customHeight="1">
      <c r="D7" s="2513" t="s">
        <v>41</v>
      </c>
      <c r="E7" s="2513"/>
      <c r="F7" s="2513"/>
      <c r="G7" s="2513"/>
      <c r="H7" s="2513"/>
      <c r="I7" s="2513" t="s">
        <v>68</v>
      </c>
      <c r="J7" s="2513"/>
      <c r="K7" s="2513"/>
      <c r="L7" s="2513"/>
      <c r="M7" s="2513"/>
    </row>
    <row r="8" spans="1:37" s="420" customFormat="1" ht="20" customHeight="1">
      <c r="D8" s="2514" t="s">
        <v>203</v>
      </c>
      <c r="E8" s="2514"/>
      <c r="F8" s="2514"/>
      <c r="G8" s="2514"/>
      <c r="H8" s="2514"/>
      <c r="I8" s="2514" t="s">
        <v>55</v>
      </c>
      <c r="J8" s="2514"/>
      <c r="K8" s="2514"/>
      <c r="L8" s="2514"/>
      <c r="M8" s="2514"/>
    </row>
    <row r="9" spans="1:37" s="530" customFormat="1" ht="27" customHeight="1">
      <c r="A9" s="1322" t="s">
        <v>2148</v>
      </c>
      <c r="D9" s="1025" t="s">
        <v>6</v>
      </c>
      <c r="E9" s="1026" t="s">
        <v>33</v>
      </c>
      <c r="F9" s="1027" t="s">
        <v>8</v>
      </c>
      <c r="I9" s="1025" t="s">
        <v>6</v>
      </c>
      <c r="J9" s="1026" t="s">
        <v>1394</v>
      </c>
      <c r="K9" s="1027" t="s">
        <v>8</v>
      </c>
      <c r="AH9" s="529"/>
      <c r="AJ9" s="541"/>
      <c r="AK9" s="541"/>
    </row>
    <row r="10" spans="1:37" s="420" customFormat="1" ht="17" customHeight="1">
      <c r="D10" s="898">
        <v>1990</v>
      </c>
      <c r="E10" s="899">
        <v>5.4</v>
      </c>
      <c r="F10" s="1016"/>
      <c r="G10" s="528">
        <f t="shared" ref="G10:G69" ca="1" si="0">IF(D10&lt;=YEAR(TODAY()),1,0)</f>
        <v>1</v>
      </c>
      <c r="H10" s="531"/>
      <c r="I10" s="898">
        <v>1990</v>
      </c>
      <c r="J10" s="904">
        <v>6.1</v>
      </c>
      <c r="K10" s="1016"/>
      <c r="L10" s="528">
        <f t="shared" ref="L10:L69" ca="1" si="1">IF(I10&lt;=YEAR(TODAY()),1,0)</f>
        <v>1</v>
      </c>
      <c r="M10" s="531"/>
      <c r="AI10" s="423"/>
      <c r="AJ10" s="532"/>
      <c r="AK10" s="532"/>
    </row>
    <row r="11" spans="1:37" s="420" customFormat="1" ht="20" customHeight="1">
      <c r="D11" s="900">
        <v>1991</v>
      </c>
      <c r="E11" s="790">
        <v>3.7</v>
      </c>
      <c r="F11" s="1017"/>
      <c r="G11" s="528">
        <f t="shared" ca="1" si="0"/>
        <v>1</v>
      </c>
      <c r="H11" s="531"/>
      <c r="I11" s="900">
        <v>1991</v>
      </c>
      <c r="J11" s="896">
        <v>3.1</v>
      </c>
      <c r="K11" s="1017"/>
      <c r="L11" s="528">
        <f t="shared" ca="1" si="1"/>
        <v>1</v>
      </c>
      <c r="M11" s="531"/>
      <c r="AI11" s="423"/>
      <c r="AJ11" s="532"/>
      <c r="AK11" s="532"/>
    </row>
    <row r="12" spans="1:37" s="420" customFormat="1" ht="20" customHeight="1">
      <c r="D12" s="901">
        <v>1992</v>
      </c>
      <c r="E12" s="550">
        <v>3</v>
      </c>
      <c r="F12" s="1017"/>
      <c r="G12" s="528">
        <f t="shared" ca="1" si="0"/>
        <v>1</v>
      </c>
      <c r="H12" s="531"/>
      <c r="I12" s="901">
        <v>1992</v>
      </c>
      <c r="J12" s="897">
        <v>2.9</v>
      </c>
      <c r="K12" s="1017"/>
      <c r="L12" s="528">
        <f t="shared" ca="1" si="1"/>
        <v>1</v>
      </c>
      <c r="M12" s="531"/>
      <c r="AI12" s="423"/>
      <c r="AJ12" s="422"/>
      <c r="AK12" s="422"/>
    </row>
    <row r="13" spans="1:37" s="420" customFormat="1" ht="20" customHeight="1">
      <c r="D13" s="900">
        <v>1993</v>
      </c>
      <c r="E13" s="790">
        <v>2.6</v>
      </c>
      <c r="F13" s="1017"/>
      <c r="G13" s="528">
        <f t="shared" ca="1" si="0"/>
        <v>1</v>
      </c>
      <c r="H13" s="531"/>
      <c r="I13" s="900">
        <v>1993</v>
      </c>
      <c r="J13" s="896">
        <v>2.7</v>
      </c>
      <c r="K13" s="1017"/>
      <c r="L13" s="528">
        <f t="shared" ca="1" si="1"/>
        <v>1</v>
      </c>
      <c r="M13" s="531"/>
      <c r="AI13" s="423"/>
      <c r="AJ13" s="422"/>
      <c r="AK13" s="422"/>
    </row>
    <row r="14" spans="1:37" s="420" customFormat="1" ht="20" customHeight="1">
      <c r="D14" s="901">
        <v>1994</v>
      </c>
      <c r="E14" s="550">
        <v>2.8</v>
      </c>
      <c r="F14" s="1017"/>
      <c r="G14" s="528">
        <f t="shared" ca="1" si="0"/>
        <v>1</v>
      </c>
      <c r="H14" s="531"/>
      <c r="I14" s="901">
        <v>1994</v>
      </c>
      <c r="J14" s="897">
        <v>2.7</v>
      </c>
      <c r="K14" s="1017"/>
      <c r="L14" s="528">
        <f t="shared" ca="1" si="1"/>
        <v>1</v>
      </c>
      <c r="M14" s="531"/>
      <c r="AI14" s="423"/>
      <c r="AJ14" s="422"/>
      <c r="AK14" s="422"/>
    </row>
    <row r="15" spans="1:37" s="420" customFormat="1" ht="20" customHeight="1">
      <c r="D15" s="900">
        <v>1995</v>
      </c>
      <c r="E15" s="790">
        <v>2.6</v>
      </c>
      <c r="F15" s="1017"/>
      <c r="G15" s="528">
        <f t="shared" ca="1" si="0"/>
        <v>1</v>
      </c>
      <c r="H15" s="531"/>
      <c r="I15" s="900">
        <v>1995</v>
      </c>
      <c r="J15" s="896">
        <v>2.5</v>
      </c>
      <c r="K15" s="1017"/>
      <c r="L15" s="528">
        <f t="shared" ca="1" si="1"/>
        <v>1</v>
      </c>
      <c r="M15" s="531"/>
      <c r="AI15" s="68"/>
      <c r="AJ15" s="533"/>
      <c r="AK15" s="533"/>
    </row>
    <row r="16" spans="1:37" s="420" customFormat="1" ht="20" customHeight="1">
      <c r="D16" s="901">
        <v>1996</v>
      </c>
      <c r="E16" s="550">
        <v>2.9</v>
      </c>
      <c r="F16" s="1017"/>
      <c r="G16" s="528">
        <f t="shared" ca="1" si="0"/>
        <v>1</v>
      </c>
      <c r="H16" s="531"/>
      <c r="I16" s="901">
        <v>1996</v>
      </c>
      <c r="J16" s="897">
        <v>3.3</v>
      </c>
      <c r="K16" s="1017"/>
      <c r="L16" s="528">
        <f t="shared" ca="1" si="1"/>
        <v>1</v>
      </c>
      <c r="M16" s="531"/>
    </row>
    <row r="17" spans="4:13" s="420" customFormat="1" ht="20" customHeight="1">
      <c r="D17" s="900">
        <v>1997</v>
      </c>
      <c r="E17" s="790">
        <v>2.1</v>
      </c>
      <c r="F17" s="1017"/>
      <c r="G17" s="528">
        <f t="shared" ca="1" si="0"/>
        <v>1</v>
      </c>
      <c r="H17" s="531"/>
      <c r="I17" s="900">
        <v>1997</v>
      </c>
      <c r="J17" s="896">
        <v>1.7</v>
      </c>
      <c r="K17" s="1017"/>
      <c r="L17" s="528">
        <f t="shared" ca="1" si="1"/>
        <v>1</v>
      </c>
      <c r="M17" s="531"/>
    </row>
    <row r="18" spans="4:13" s="420" customFormat="1" ht="20" customHeight="1">
      <c r="D18" s="901">
        <v>1998</v>
      </c>
      <c r="E18" s="550">
        <v>1.3</v>
      </c>
      <c r="F18" s="1017"/>
      <c r="G18" s="528">
        <f t="shared" ca="1" si="0"/>
        <v>1</v>
      </c>
      <c r="H18" s="531"/>
      <c r="I18" s="901">
        <v>1998</v>
      </c>
      <c r="J18" s="897">
        <v>1.6</v>
      </c>
      <c r="K18" s="1017"/>
      <c r="L18" s="528">
        <f t="shared" ca="1" si="1"/>
        <v>1</v>
      </c>
      <c r="M18" s="531"/>
    </row>
    <row r="19" spans="4:13" s="420" customFormat="1" ht="20" customHeight="1">
      <c r="D19" s="902">
        <v>1999</v>
      </c>
      <c r="E19" s="903">
        <v>2.5</v>
      </c>
      <c r="F19" s="1028">
        <f ca="1">IF(SUM(E10:E19)&gt;0,SUM(E10:E19)/SUM(G10:G19),0)</f>
        <v>2.89</v>
      </c>
      <c r="G19" s="528">
        <f t="shared" ca="1" si="0"/>
        <v>1</v>
      </c>
      <c r="H19" s="531"/>
      <c r="I19" s="902">
        <v>1999</v>
      </c>
      <c r="J19" s="905">
        <v>2.7</v>
      </c>
      <c r="K19" s="1028">
        <f ca="1">IF(SUM(J10:J19)&gt;0,SUM(J10:J19)/SUM(L10:L19),0)</f>
        <v>2.93</v>
      </c>
      <c r="L19" s="528">
        <f t="shared" ca="1" si="1"/>
        <v>1</v>
      </c>
      <c r="M19" s="531"/>
    </row>
    <row r="20" spans="4:13" s="420" customFormat="1" ht="20" customHeight="1">
      <c r="D20" s="901">
        <v>2000</v>
      </c>
      <c r="E20" s="550">
        <v>3.5</v>
      </c>
      <c r="F20" s="1017"/>
      <c r="G20" s="528">
        <f t="shared" ca="1" si="0"/>
        <v>1</v>
      </c>
      <c r="H20" s="531"/>
      <c r="I20" s="901">
        <v>2000</v>
      </c>
      <c r="J20" s="897">
        <v>3.4</v>
      </c>
      <c r="K20" s="1017"/>
      <c r="L20" s="528">
        <f t="shared" ca="1" si="1"/>
        <v>1</v>
      </c>
      <c r="M20" s="531"/>
    </row>
    <row r="21" spans="4:13" s="420" customFormat="1" ht="20" customHeight="1">
      <c r="D21" s="900">
        <v>2001</v>
      </c>
      <c r="E21" s="790">
        <v>2.6</v>
      </c>
      <c r="F21" s="1017"/>
      <c r="G21" s="528">
        <f t="shared" ca="1" si="0"/>
        <v>1</v>
      </c>
      <c r="H21" s="531"/>
      <c r="I21" s="900">
        <v>2001</v>
      </c>
      <c r="J21" s="896">
        <v>1.6</v>
      </c>
      <c r="K21" s="1017"/>
      <c r="L21" s="528">
        <f t="shared" ca="1" si="1"/>
        <v>1</v>
      </c>
      <c r="M21" s="531"/>
    </row>
    <row r="22" spans="4:13" s="420" customFormat="1" ht="20" customHeight="1">
      <c r="D22" s="901">
        <v>2002</v>
      </c>
      <c r="E22" s="550">
        <v>1.4</v>
      </c>
      <c r="F22" s="1017"/>
      <c r="G22" s="528">
        <f t="shared" ca="1" si="0"/>
        <v>1</v>
      </c>
      <c r="H22" s="531"/>
      <c r="I22" s="901">
        <v>2002</v>
      </c>
      <c r="J22" s="897">
        <v>2.4</v>
      </c>
      <c r="K22" s="1017"/>
      <c r="L22" s="528">
        <f t="shared" ca="1" si="1"/>
        <v>1</v>
      </c>
      <c r="M22" s="531"/>
    </row>
    <row r="23" spans="4:13" s="420" customFormat="1" ht="20" customHeight="1">
      <c r="D23" s="900">
        <v>2003</v>
      </c>
      <c r="E23" s="790">
        <v>2.1</v>
      </c>
      <c r="F23" s="1017"/>
      <c r="G23" s="528">
        <f t="shared" ca="1" si="0"/>
        <v>1</v>
      </c>
      <c r="H23" s="531"/>
      <c r="I23" s="900">
        <v>2003</v>
      </c>
      <c r="J23" s="896">
        <v>1.9</v>
      </c>
      <c r="K23" s="1017"/>
      <c r="L23" s="528">
        <f t="shared" ca="1" si="1"/>
        <v>1</v>
      </c>
      <c r="M23" s="531"/>
    </row>
    <row r="24" spans="4:13" s="420" customFormat="1" ht="20" customHeight="1">
      <c r="D24" s="901">
        <v>2004</v>
      </c>
      <c r="E24" s="550">
        <v>2.7</v>
      </c>
      <c r="F24" s="1017"/>
      <c r="G24" s="528">
        <f t="shared" ca="1" si="0"/>
        <v>1</v>
      </c>
      <c r="H24" s="531"/>
      <c r="I24" s="901">
        <v>2004</v>
      </c>
      <c r="J24" s="897">
        <v>3.3</v>
      </c>
      <c r="K24" s="1017"/>
      <c r="L24" s="528">
        <f t="shared" ca="1" si="1"/>
        <v>1</v>
      </c>
      <c r="M24" s="531"/>
    </row>
    <row r="25" spans="4:13" s="420" customFormat="1" ht="20" customHeight="1">
      <c r="D25" s="900">
        <v>2005</v>
      </c>
      <c r="E25" s="790">
        <v>4.0999999999999996</v>
      </c>
      <c r="F25" s="1017"/>
      <c r="G25" s="528">
        <f t="shared" ca="1" si="0"/>
        <v>1</v>
      </c>
      <c r="H25" s="531"/>
      <c r="I25" s="900">
        <v>2005</v>
      </c>
      <c r="J25" s="896">
        <v>3.4</v>
      </c>
      <c r="K25" s="1017"/>
      <c r="L25" s="528">
        <f t="shared" ca="1" si="1"/>
        <v>1</v>
      </c>
      <c r="M25" s="531"/>
    </row>
    <row r="26" spans="4:13" s="420" customFormat="1" ht="20" customHeight="1">
      <c r="D26" s="901">
        <v>2006</v>
      </c>
      <c r="E26" s="550">
        <v>3.3</v>
      </c>
      <c r="F26" s="1017"/>
      <c r="G26" s="528">
        <f t="shared" ca="1" si="0"/>
        <v>1</v>
      </c>
      <c r="H26" s="531"/>
      <c r="I26" s="901">
        <v>2006</v>
      </c>
      <c r="J26" s="897">
        <v>2.5</v>
      </c>
      <c r="K26" s="1017"/>
      <c r="L26" s="528">
        <f t="shared" ca="1" si="1"/>
        <v>1</v>
      </c>
      <c r="M26" s="531"/>
    </row>
    <row r="27" spans="4:13" s="420" customFormat="1" ht="20" customHeight="1">
      <c r="D27" s="900">
        <v>2007</v>
      </c>
      <c r="E27" s="790">
        <v>2.2999999999999998</v>
      </c>
      <c r="F27" s="1017"/>
      <c r="G27" s="528">
        <f t="shared" ca="1" si="0"/>
        <v>1</v>
      </c>
      <c r="H27" s="531"/>
      <c r="I27" s="900">
        <v>2007</v>
      </c>
      <c r="J27" s="896">
        <v>4.0999999999999996</v>
      </c>
      <c r="K27" s="1017"/>
      <c r="L27" s="528">
        <f t="shared" ca="1" si="1"/>
        <v>1</v>
      </c>
      <c r="M27" s="531"/>
    </row>
    <row r="28" spans="4:13" s="420" customFormat="1" ht="20" customHeight="1">
      <c r="D28" s="901">
        <v>2008</v>
      </c>
      <c r="E28" s="550">
        <v>5.8</v>
      </c>
      <c r="F28" s="1017"/>
      <c r="G28" s="528">
        <f t="shared" ca="1" si="0"/>
        <v>1</v>
      </c>
      <c r="H28" s="531"/>
      <c r="I28" s="901">
        <v>2008</v>
      </c>
      <c r="J28" s="897">
        <v>0.1</v>
      </c>
      <c r="K28" s="1017"/>
      <c r="L28" s="528">
        <f t="shared" ca="1" si="1"/>
        <v>1</v>
      </c>
      <c r="M28" s="531"/>
    </row>
    <row r="29" spans="4:13" s="420" customFormat="1" ht="20" customHeight="1">
      <c r="D29" s="900">
        <v>2009</v>
      </c>
      <c r="E29" s="790">
        <v>0</v>
      </c>
      <c r="F29" s="1029">
        <f ca="1">IF(SUM(E20:E29)&gt;0,SUM(E20:E29)/SUM(G20:G29),0)</f>
        <v>2.7800000000000002</v>
      </c>
      <c r="G29" s="528">
        <f t="shared" ca="1" si="0"/>
        <v>1</v>
      </c>
      <c r="H29" s="531"/>
      <c r="I29" s="900">
        <v>2009</v>
      </c>
      <c r="J29" s="896">
        <v>2.7</v>
      </c>
      <c r="K29" s="1029">
        <f ca="1">IF(SUM(J20:J29)&gt;0,SUM(J20:J29)/SUM(L20:L29),0)</f>
        <v>2.54</v>
      </c>
      <c r="L29" s="528">
        <f t="shared" ca="1" si="1"/>
        <v>1</v>
      </c>
      <c r="M29" s="531"/>
    </row>
    <row r="30" spans="4:13" s="420" customFormat="1" ht="20" customHeight="1">
      <c r="D30" s="898">
        <v>2010</v>
      </c>
      <c r="E30" s="899">
        <v>0</v>
      </c>
      <c r="F30" s="1016"/>
      <c r="G30" s="528">
        <f t="shared" ca="1" si="0"/>
        <v>1</v>
      </c>
      <c r="H30" s="531"/>
      <c r="I30" s="898">
        <v>2010</v>
      </c>
      <c r="J30" s="904">
        <v>1.5</v>
      </c>
      <c r="K30" s="1016"/>
      <c r="L30" s="528">
        <f t="shared" ca="1" si="1"/>
        <v>1</v>
      </c>
      <c r="M30" s="531"/>
    </row>
    <row r="31" spans="4:13" s="420" customFormat="1" ht="20" customHeight="1">
      <c r="D31" s="900">
        <v>2011</v>
      </c>
      <c r="E31" s="790">
        <v>3.6</v>
      </c>
      <c r="F31" s="1017"/>
      <c r="G31" s="528">
        <f t="shared" ca="1" si="0"/>
        <v>1</v>
      </c>
      <c r="H31" s="531"/>
      <c r="I31" s="900">
        <v>2011</v>
      </c>
      <c r="J31" s="896">
        <v>3</v>
      </c>
      <c r="K31" s="1017"/>
      <c r="L31" s="528">
        <f t="shared" ca="1" si="1"/>
        <v>1</v>
      </c>
      <c r="M31" s="531"/>
    </row>
    <row r="32" spans="4:13" s="420" customFormat="1" ht="20" customHeight="1">
      <c r="D32" s="901">
        <v>2012</v>
      </c>
      <c r="E32" s="550">
        <v>3.6</v>
      </c>
      <c r="F32" s="1030" t="s">
        <v>0</v>
      </c>
      <c r="G32" s="528">
        <f t="shared" ca="1" si="0"/>
        <v>1</v>
      </c>
      <c r="H32" s="531"/>
      <c r="I32" s="901">
        <v>2012</v>
      </c>
      <c r="J32" s="897">
        <v>1.7</v>
      </c>
      <c r="K32" s="1030" t="s">
        <v>0</v>
      </c>
      <c r="L32" s="528">
        <f t="shared" ca="1" si="1"/>
        <v>1</v>
      </c>
      <c r="M32" s="531"/>
    </row>
    <row r="33" spans="4:13" s="420" customFormat="1" ht="20" customHeight="1">
      <c r="D33" s="900">
        <v>2013</v>
      </c>
      <c r="E33" s="790">
        <v>1.5</v>
      </c>
      <c r="F33" s="1030"/>
      <c r="G33" s="528">
        <f t="shared" ca="1" si="0"/>
        <v>1</v>
      </c>
      <c r="H33" s="531"/>
      <c r="I33" s="900">
        <v>2013</v>
      </c>
      <c r="J33" s="896">
        <v>1.5</v>
      </c>
      <c r="K33" s="1030"/>
      <c r="L33" s="528">
        <f t="shared" ca="1" si="1"/>
        <v>1</v>
      </c>
      <c r="M33" s="531"/>
    </row>
    <row r="34" spans="4:13" s="420" customFormat="1" ht="20" customHeight="1">
      <c r="D34" s="901">
        <v>2014</v>
      </c>
      <c r="E34" s="550">
        <v>1.7</v>
      </c>
      <c r="F34" s="1030"/>
      <c r="G34" s="528">
        <f t="shared" ca="1" si="0"/>
        <v>1</v>
      </c>
      <c r="H34" s="531"/>
      <c r="I34" s="901">
        <v>2014</v>
      </c>
      <c r="J34" s="897">
        <v>0.8</v>
      </c>
      <c r="K34" s="1030"/>
      <c r="L34" s="528">
        <f t="shared" ca="1" si="1"/>
        <v>1</v>
      </c>
      <c r="M34" s="531"/>
    </row>
    <row r="35" spans="4:13" s="420" customFormat="1" ht="20" customHeight="1">
      <c r="D35" s="900">
        <v>2015</v>
      </c>
      <c r="E35" s="790">
        <v>0</v>
      </c>
      <c r="F35" s="1030"/>
      <c r="G35" s="528">
        <f t="shared" ca="1" si="0"/>
        <v>1</v>
      </c>
      <c r="H35" s="531"/>
      <c r="I35" s="900">
        <v>2015</v>
      </c>
      <c r="J35" s="896">
        <v>0.7</v>
      </c>
      <c r="K35" s="1030"/>
      <c r="L35" s="528">
        <f t="shared" ca="1" si="1"/>
        <v>1</v>
      </c>
      <c r="M35" s="531"/>
    </row>
    <row r="36" spans="4:13" s="420" customFormat="1" ht="20" customHeight="1">
      <c r="D36" s="901">
        <v>2016</v>
      </c>
      <c r="E36" s="550">
        <v>0.3</v>
      </c>
      <c r="F36" s="1030"/>
      <c r="G36" s="528">
        <f t="shared" ca="1" si="0"/>
        <v>1</v>
      </c>
      <c r="H36" s="531"/>
      <c r="I36" s="901">
        <v>2016</v>
      </c>
      <c r="J36" s="897">
        <v>2.1</v>
      </c>
      <c r="K36" s="1030"/>
      <c r="L36" s="528">
        <f t="shared" ca="1" si="1"/>
        <v>1</v>
      </c>
      <c r="M36" s="531"/>
    </row>
    <row r="37" spans="4:13" s="420" customFormat="1" ht="20" customHeight="1">
      <c r="D37" s="900">
        <v>2017</v>
      </c>
      <c r="E37" s="790">
        <v>2</v>
      </c>
      <c r="F37" s="1030"/>
      <c r="G37" s="528">
        <f t="shared" ca="1" si="0"/>
        <v>1</v>
      </c>
      <c r="H37" s="531"/>
      <c r="I37" s="900">
        <v>2017</v>
      </c>
      <c r="J37" s="896">
        <v>2.1</v>
      </c>
      <c r="K37" s="1030"/>
      <c r="L37" s="528">
        <f t="shared" ca="1" si="1"/>
        <v>1</v>
      </c>
      <c r="M37" s="531"/>
    </row>
    <row r="38" spans="4:13" s="420" customFormat="1" ht="20" customHeight="1">
      <c r="D38" s="901">
        <v>2018</v>
      </c>
      <c r="E38" s="550">
        <v>2.8</v>
      </c>
      <c r="F38" s="1030"/>
      <c r="G38" s="528">
        <f t="shared" ca="1" si="0"/>
        <v>1</v>
      </c>
      <c r="H38" s="531"/>
      <c r="I38" s="901">
        <v>2018</v>
      </c>
      <c r="J38" s="897">
        <v>1.9</v>
      </c>
      <c r="K38" s="1030"/>
      <c r="L38" s="528">
        <f t="shared" ca="1" si="1"/>
        <v>1</v>
      </c>
      <c r="M38" s="531"/>
    </row>
    <row r="39" spans="4:13" s="420" customFormat="1" ht="20" customHeight="1">
      <c r="D39" s="902">
        <v>2019</v>
      </c>
      <c r="E39" s="903">
        <v>1.6</v>
      </c>
      <c r="F39" s="1028">
        <f ca="1">IF(SUM(E30:E39)&gt;0,SUM(E30:E39)/SUM(G30:G39),0)</f>
        <v>1.7100000000000002</v>
      </c>
      <c r="G39" s="528">
        <f t="shared" ca="1" si="0"/>
        <v>1</v>
      </c>
      <c r="H39" s="531"/>
      <c r="I39" s="902">
        <v>2019</v>
      </c>
      <c r="J39" s="905">
        <v>2.2999999999999998</v>
      </c>
      <c r="K39" s="1028">
        <f ca="1">IF(SUM(J30:J39)&gt;0,SUM(J30:J39)/SUM(L30:L39),0)</f>
        <v>1.7599999999999998</v>
      </c>
      <c r="L39" s="528">
        <f t="shared" ca="1" si="1"/>
        <v>1</v>
      </c>
      <c r="M39" s="531"/>
    </row>
    <row r="40" spans="4:13" s="420" customFormat="1" ht="20" customHeight="1">
      <c r="D40" s="901">
        <v>2020</v>
      </c>
      <c r="E40" s="550">
        <v>1.3</v>
      </c>
      <c r="F40" s="1030"/>
      <c r="G40" s="528">
        <f t="shared" ca="1" si="0"/>
        <v>1</v>
      </c>
      <c r="H40" s="531"/>
      <c r="I40" s="901">
        <v>2020</v>
      </c>
      <c r="J40" s="897">
        <v>1.4</v>
      </c>
      <c r="K40" s="1030"/>
      <c r="L40" s="528">
        <f t="shared" ca="1" si="1"/>
        <v>1</v>
      </c>
      <c r="M40" s="531"/>
    </row>
    <row r="41" spans="4:13" s="420" customFormat="1" ht="20" customHeight="1">
      <c r="D41" s="900">
        <v>2021</v>
      </c>
      <c r="E41" s="790">
        <v>5.9</v>
      </c>
      <c r="F41" s="1030"/>
      <c r="G41" s="528">
        <f t="shared" ca="1" si="0"/>
        <v>1</v>
      </c>
      <c r="H41" s="531"/>
      <c r="I41" s="900">
        <v>2021</v>
      </c>
      <c r="J41" s="896">
        <v>7</v>
      </c>
      <c r="K41" s="1030"/>
      <c r="L41" s="528">
        <f t="shared" ca="1" si="1"/>
        <v>1</v>
      </c>
      <c r="M41" s="531"/>
    </row>
    <row r="42" spans="4:13" s="420" customFormat="1" ht="20" customHeight="1">
      <c r="D42" s="901">
        <v>2022</v>
      </c>
      <c r="E42" s="550">
        <v>0</v>
      </c>
      <c r="F42" s="1030"/>
      <c r="G42" s="528">
        <f t="shared" ca="1" si="0"/>
        <v>1</v>
      </c>
      <c r="H42" s="531"/>
      <c r="I42" s="901">
        <v>2022</v>
      </c>
      <c r="J42" s="897">
        <v>0</v>
      </c>
      <c r="K42" s="1030"/>
      <c r="L42" s="528">
        <f t="shared" ca="1" si="1"/>
        <v>1</v>
      </c>
      <c r="M42" s="531"/>
    </row>
    <row r="43" spans="4:13" s="420" customFormat="1" ht="20" customHeight="1">
      <c r="D43" s="900">
        <v>2023</v>
      </c>
      <c r="E43" s="790">
        <v>0</v>
      </c>
      <c r="F43" s="1030"/>
      <c r="G43" s="528">
        <f t="shared" ca="1" si="0"/>
        <v>0</v>
      </c>
      <c r="H43" s="531"/>
      <c r="I43" s="900">
        <v>2023</v>
      </c>
      <c r="J43" s="896">
        <v>0</v>
      </c>
      <c r="K43" s="1030"/>
      <c r="L43" s="528">
        <f t="shared" ca="1" si="1"/>
        <v>0</v>
      </c>
      <c r="M43" s="531"/>
    </row>
    <row r="44" spans="4:13" s="420" customFormat="1" ht="20" customHeight="1">
      <c r="D44" s="901">
        <v>2024</v>
      </c>
      <c r="E44" s="550">
        <v>0</v>
      </c>
      <c r="F44" s="1030"/>
      <c r="G44" s="528">
        <f t="shared" ca="1" si="0"/>
        <v>0</v>
      </c>
      <c r="H44" s="531"/>
      <c r="I44" s="901">
        <v>2024</v>
      </c>
      <c r="J44" s="897">
        <v>0</v>
      </c>
      <c r="K44" s="1030"/>
      <c r="L44" s="528">
        <f t="shared" ca="1" si="1"/>
        <v>0</v>
      </c>
      <c r="M44" s="531"/>
    </row>
    <row r="45" spans="4:13" s="420" customFormat="1" ht="20" customHeight="1">
      <c r="D45" s="900">
        <v>2025</v>
      </c>
      <c r="E45" s="790">
        <v>0</v>
      </c>
      <c r="F45" s="1030"/>
      <c r="G45" s="528">
        <f t="shared" ca="1" si="0"/>
        <v>0</v>
      </c>
      <c r="H45" s="531"/>
      <c r="I45" s="900">
        <v>2025</v>
      </c>
      <c r="J45" s="896">
        <v>0</v>
      </c>
      <c r="K45" s="1030"/>
      <c r="L45" s="528">
        <f t="shared" ca="1" si="1"/>
        <v>0</v>
      </c>
      <c r="M45" s="531"/>
    </row>
    <row r="46" spans="4:13" s="420" customFormat="1" ht="20" customHeight="1">
      <c r="D46" s="901">
        <v>2026</v>
      </c>
      <c r="E46" s="550">
        <v>0</v>
      </c>
      <c r="F46" s="1030"/>
      <c r="G46" s="528">
        <f t="shared" ca="1" si="0"/>
        <v>0</v>
      </c>
      <c r="H46" s="531"/>
      <c r="I46" s="901">
        <v>2026</v>
      </c>
      <c r="J46" s="897">
        <v>0</v>
      </c>
      <c r="K46" s="1030"/>
      <c r="L46" s="528">
        <f t="shared" ca="1" si="1"/>
        <v>0</v>
      </c>
      <c r="M46" s="531"/>
    </row>
    <row r="47" spans="4:13" s="420" customFormat="1" ht="20" customHeight="1">
      <c r="D47" s="900">
        <v>2027</v>
      </c>
      <c r="E47" s="790">
        <v>0</v>
      </c>
      <c r="F47" s="1030"/>
      <c r="G47" s="528">
        <f t="shared" ca="1" si="0"/>
        <v>0</v>
      </c>
      <c r="H47" s="531"/>
      <c r="I47" s="900">
        <v>2027</v>
      </c>
      <c r="J47" s="896">
        <v>0</v>
      </c>
      <c r="K47" s="1030"/>
      <c r="L47" s="528">
        <f t="shared" ca="1" si="1"/>
        <v>0</v>
      </c>
      <c r="M47" s="531"/>
    </row>
    <row r="48" spans="4:13" s="420" customFormat="1" ht="20" customHeight="1">
      <c r="D48" s="901">
        <v>2028</v>
      </c>
      <c r="E48" s="550">
        <v>0</v>
      </c>
      <c r="F48" s="1030"/>
      <c r="G48" s="528">
        <f t="shared" ca="1" si="0"/>
        <v>0</v>
      </c>
      <c r="H48" s="531"/>
      <c r="I48" s="901">
        <v>2028</v>
      </c>
      <c r="J48" s="897">
        <v>0</v>
      </c>
      <c r="K48" s="1030"/>
      <c r="L48" s="528">
        <f t="shared" ca="1" si="1"/>
        <v>0</v>
      </c>
      <c r="M48" s="531"/>
    </row>
    <row r="49" spans="4:13" s="420" customFormat="1" ht="20" customHeight="1">
      <c r="D49" s="900">
        <v>2029</v>
      </c>
      <c r="E49" s="790">
        <v>0</v>
      </c>
      <c r="F49" s="1029">
        <f ca="1">IF(SUM(E40:E49)&gt;0,SUM(E40:E49)/SUM(G40:G49),0)</f>
        <v>2.4</v>
      </c>
      <c r="G49" s="528">
        <f t="shared" ca="1" si="0"/>
        <v>0</v>
      </c>
      <c r="H49" s="531"/>
      <c r="I49" s="900">
        <v>2029</v>
      </c>
      <c r="J49" s="896">
        <v>0</v>
      </c>
      <c r="K49" s="1029">
        <f ca="1">IF(SUM(J40:J49)&gt;0,SUM(J40:J49)/SUM(L40:L49),0)</f>
        <v>2.8000000000000003</v>
      </c>
      <c r="L49" s="528">
        <f t="shared" ca="1" si="1"/>
        <v>0</v>
      </c>
      <c r="M49" s="531"/>
    </row>
    <row r="50" spans="4:13" s="420" customFormat="1" ht="20" customHeight="1">
      <c r="D50" s="898">
        <v>2030</v>
      </c>
      <c r="E50" s="899">
        <v>0</v>
      </c>
      <c r="F50" s="1031"/>
      <c r="G50" s="528">
        <f t="shared" ca="1" si="0"/>
        <v>0</v>
      </c>
      <c r="H50" s="531"/>
      <c r="I50" s="898">
        <v>2030</v>
      </c>
      <c r="J50" s="904">
        <v>0</v>
      </c>
      <c r="K50" s="1031"/>
      <c r="L50" s="528">
        <f t="shared" ca="1" si="1"/>
        <v>0</v>
      </c>
      <c r="M50" s="531"/>
    </row>
    <row r="51" spans="4:13" s="420" customFormat="1" ht="20" customHeight="1">
      <c r="D51" s="900">
        <v>2031</v>
      </c>
      <c r="E51" s="790">
        <v>0</v>
      </c>
      <c r="F51" s="1030"/>
      <c r="G51" s="528">
        <f t="shared" ca="1" si="0"/>
        <v>0</v>
      </c>
      <c r="H51" s="531"/>
      <c r="I51" s="900">
        <v>2031</v>
      </c>
      <c r="J51" s="896">
        <v>0</v>
      </c>
      <c r="K51" s="1030"/>
      <c r="L51" s="528">
        <f t="shared" ca="1" si="1"/>
        <v>0</v>
      </c>
      <c r="M51" s="531"/>
    </row>
    <row r="52" spans="4:13" s="420" customFormat="1" ht="20" customHeight="1">
      <c r="D52" s="901">
        <v>2032</v>
      </c>
      <c r="E52" s="550">
        <v>0</v>
      </c>
      <c r="F52" s="1030"/>
      <c r="G52" s="528">
        <f t="shared" ca="1" si="0"/>
        <v>0</v>
      </c>
      <c r="H52" s="531"/>
      <c r="I52" s="901">
        <v>2032</v>
      </c>
      <c r="J52" s="897">
        <v>0</v>
      </c>
      <c r="K52" s="1030"/>
      <c r="L52" s="528">
        <f t="shared" ca="1" si="1"/>
        <v>0</v>
      </c>
      <c r="M52" s="531"/>
    </row>
    <row r="53" spans="4:13" s="420" customFormat="1" ht="20" customHeight="1">
      <c r="D53" s="900">
        <v>2033</v>
      </c>
      <c r="E53" s="790">
        <v>0</v>
      </c>
      <c r="F53" s="1030"/>
      <c r="G53" s="528">
        <f t="shared" ca="1" si="0"/>
        <v>0</v>
      </c>
      <c r="H53" s="531"/>
      <c r="I53" s="900">
        <v>2033</v>
      </c>
      <c r="J53" s="896">
        <v>0</v>
      </c>
      <c r="K53" s="1030"/>
      <c r="L53" s="528">
        <f t="shared" ca="1" si="1"/>
        <v>0</v>
      </c>
      <c r="M53" s="531"/>
    </row>
    <row r="54" spans="4:13" s="420" customFormat="1" ht="20" customHeight="1">
      <c r="D54" s="901">
        <v>2034</v>
      </c>
      <c r="E54" s="550">
        <v>0</v>
      </c>
      <c r="F54" s="1030"/>
      <c r="G54" s="528">
        <f t="shared" ca="1" si="0"/>
        <v>0</v>
      </c>
      <c r="H54" s="531"/>
      <c r="I54" s="901">
        <v>2034</v>
      </c>
      <c r="J54" s="897">
        <v>0</v>
      </c>
      <c r="K54" s="1030"/>
      <c r="L54" s="528">
        <f t="shared" ca="1" si="1"/>
        <v>0</v>
      </c>
      <c r="M54" s="531"/>
    </row>
    <row r="55" spans="4:13" s="420" customFormat="1" ht="20" customHeight="1">
      <c r="D55" s="900">
        <v>2035</v>
      </c>
      <c r="E55" s="790">
        <v>0</v>
      </c>
      <c r="F55" s="1030"/>
      <c r="G55" s="528">
        <f t="shared" ca="1" si="0"/>
        <v>0</v>
      </c>
      <c r="H55" s="531"/>
      <c r="I55" s="900">
        <v>2035</v>
      </c>
      <c r="J55" s="896">
        <v>0</v>
      </c>
      <c r="K55" s="1030"/>
      <c r="L55" s="528">
        <f t="shared" ca="1" si="1"/>
        <v>0</v>
      </c>
      <c r="M55" s="531"/>
    </row>
    <row r="56" spans="4:13" s="420" customFormat="1" ht="20" customHeight="1">
      <c r="D56" s="901">
        <v>2036</v>
      </c>
      <c r="E56" s="550">
        <v>0</v>
      </c>
      <c r="F56" s="1030"/>
      <c r="G56" s="528">
        <f t="shared" ca="1" si="0"/>
        <v>0</v>
      </c>
      <c r="H56" s="531"/>
      <c r="I56" s="901">
        <v>2036</v>
      </c>
      <c r="J56" s="897">
        <v>0</v>
      </c>
      <c r="K56" s="1030"/>
      <c r="L56" s="528">
        <f t="shared" ca="1" si="1"/>
        <v>0</v>
      </c>
      <c r="M56" s="531"/>
    </row>
    <row r="57" spans="4:13" s="420" customFormat="1" ht="20" customHeight="1">
      <c r="D57" s="900">
        <v>2037</v>
      </c>
      <c r="E57" s="790">
        <v>0</v>
      </c>
      <c r="F57" s="1030"/>
      <c r="G57" s="528">
        <f t="shared" ca="1" si="0"/>
        <v>0</v>
      </c>
      <c r="H57" s="531"/>
      <c r="I57" s="900">
        <v>2037</v>
      </c>
      <c r="J57" s="896">
        <v>0</v>
      </c>
      <c r="K57" s="1030"/>
      <c r="L57" s="528">
        <f t="shared" ca="1" si="1"/>
        <v>0</v>
      </c>
      <c r="M57" s="531"/>
    </row>
    <row r="58" spans="4:13" s="420" customFormat="1" ht="20" customHeight="1">
      <c r="D58" s="901">
        <v>2038</v>
      </c>
      <c r="E58" s="550">
        <v>0</v>
      </c>
      <c r="F58" s="1030"/>
      <c r="G58" s="528">
        <f t="shared" ca="1" si="0"/>
        <v>0</v>
      </c>
      <c r="H58" s="531"/>
      <c r="I58" s="901">
        <v>2038</v>
      </c>
      <c r="J58" s="897">
        <v>0</v>
      </c>
      <c r="K58" s="1030"/>
      <c r="L58" s="528">
        <f t="shared" ca="1" si="1"/>
        <v>0</v>
      </c>
      <c r="M58" s="531"/>
    </row>
    <row r="59" spans="4:13" s="420" customFormat="1" ht="20" customHeight="1">
      <c r="D59" s="902">
        <v>2039</v>
      </c>
      <c r="E59" s="903">
        <v>0</v>
      </c>
      <c r="F59" s="1028">
        <f>IF(SUM(E50:E59)&gt;0,SUM(E50:E59)/SUM(G50:G59),0)</f>
        <v>0</v>
      </c>
      <c r="G59" s="528">
        <f t="shared" ca="1" si="0"/>
        <v>0</v>
      </c>
      <c r="H59" s="531"/>
      <c r="I59" s="902">
        <v>2039</v>
      </c>
      <c r="J59" s="905">
        <v>0</v>
      </c>
      <c r="K59" s="1028">
        <f>IF(SUM(J50:J59)&gt;0,SUM(J50:J59)/SUM(L50:L59),0)</f>
        <v>0</v>
      </c>
      <c r="L59" s="528">
        <f t="shared" ca="1" si="1"/>
        <v>0</v>
      </c>
      <c r="M59" s="531"/>
    </row>
    <row r="60" spans="4:13" s="420" customFormat="1" ht="20" customHeight="1">
      <c r="D60" s="901">
        <v>2040</v>
      </c>
      <c r="E60" s="550">
        <v>0</v>
      </c>
      <c r="F60" s="1030"/>
      <c r="G60" s="528">
        <f t="shared" ca="1" si="0"/>
        <v>0</v>
      </c>
      <c r="H60" s="531"/>
      <c r="I60" s="901">
        <v>2040</v>
      </c>
      <c r="J60" s="897">
        <v>0</v>
      </c>
      <c r="K60" s="1030"/>
      <c r="L60" s="528">
        <f t="shared" ca="1" si="1"/>
        <v>0</v>
      </c>
      <c r="M60" s="531"/>
    </row>
    <row r="61" spans="4:13" s="420" customFormat="1" ht="20" customHeight="1">
      <c r="D61" s="900">
        <v>2041</v>
      </c>
      <c r="E61" s="790">
        <v>0</v>
      </c>
      <c r="F61" s="1030"/>
      <c r="G61" s="528">
        <f t="shared" ca="1" si="0"/>
        <v>0</v>
      </c>
      <c r="H61" s="531"/>
      <c r="I61" s="900">
        <v>2041</v>
      </c>
      <c r="J61" s="896">
        <v>0</v>
      </c>
      <c r="K61" s="1030"/>
      <c r="L61" s="528">
        <f t="shared" ca="1" si="1"/>
        <v>0</v>
      </c>
      <c r="M61" s="531"/>
    </row>
    <row r="62" spans="4:13" s="420" customFormat="1" ht="20" customHeight="1">
      <c r="D62" s="901">
        <v>2042</v>
      </c>
      <c r="E62" s="550">
        <v>0</v>
      </c>
      <c r="F62" s="1030"/>
      <c r="G62" s="528">
        <f t="shared" ca="1" si="0"/>
        <v>0</v>
      </c>
      <c r="H62" s="531"/>
      <c r="I62" s="901">
        <v>2042</v>
      </c>
      <c r="J62" s="897">
        <v>0</v>
      </c>
      <c r="K62" s="1030"/>
      <c r="L62" s="528">
        <f t="shared" ca="1" si="1"/>
        <v>0</v>
      </c>
      <c r="M62" s="531"/>
    </row>
    <row r="63" spans="4:13" s="420" customFormat="1" ht="20" customHeight="1">
      <c r="D63" s="900">
        <v>2043</v>
      </c>
      <c r="E63" s="790">
        <v>0</v>
      </c>
      <c r="F63" s="1030"/>
      <c r="G63" s="528">
        <f t="shared" ca="1" si="0"/>
        <v>0</v>
      </c>
      <c r="H63" s="531"/>
      <c r="I63" s="900">
        <v>2043</v>
      </c>
      <c r="J63" s="896">
        <v>0</v>
      </c>
      <c r="K63" s="1030"/>
      <c r="L63" s="528">
        <f t="shared" ca="1" si="1"/>
        <v>0</v>
      </c>
      <c r="M63" s="531"/>
    </row>
    <row r="64" spans="4:13" s="420" customFormat="1" ht="20" customHeight="1">
      <c r="D64" s="901">
        <v>2044</v>
      </c>
      <c r="E64" s="550">
        <v>0</v>
      </c>
      <c r="F64" s="1030"/>
      <c r="G64" s="528">
        <f t="shared" ca="1" si="0"/>
        <v>0</v>
      </c>
      <c r="H64" s="531"/>
      <c r="I64" s="901">
        <v>2044</v>
      </c>
      <c r="J64" s="897">
        <v>0</v>
      </c>
      <c r="K64" s="1030"/>
      <c r="L64" s="528">
        <f t="shared" ca="1" si="1"/>
        <v>0</v>
      </c>
      <c r="M64" s="531"/>
    </row>
    <row r="65" spans="4:13" s="420" customFormat="1" ht="20" customHeight="1">
      <c r="D65" s="900">
        <v>2045</v>
      </c>
      <c r="E65" s="790">
        <v>0</v>
      </c>
      <c r="F65" s="1030"/>
      <c r="G65" s="528">
        <f t="shared" ca="1" si="0"/>
        <v>0</v>
      </c>
      <c r="H65" s="531"/>
      <c r="I65" s="900">
        <v>2045</v>
      </c>
      <c r="J65" s="896">
        <v>0</v>
      </c>
      <c r="K65" s="1030"/>
      <c r="L65" s="528">
        <f t="shared" ca="1" si="1"/>
        <v>0</v>
      </c>
      <c r="M65" s="531"/>
    </row>
    <row r="66" spans="4:13" s="420" customFormat="1" ht="20" customHeight="1">
      <c r="D66" s="901">
        <v>2046</v>
      </c>
      <c r="E66" s="550">
        <v>0</v>
      </c>
      <c r="F66" s="1030"/>
      <c r="G66" s="528">
        <f t="shared" ca="1" si="0"/>
        <v>0</v>
      </c>
      <c r="H66" s="531"/>
      <c r="I66" s="901">
        <v>2046</v>
      </c>
      <c r="J66" s="897">
        <v>0</v>
      </c>
      <c r="K66" s="1030"/>
      <c r="L66" s="528">
        <f t="shared" ca="1" si="1"/>
        <v>0</v>
      </c>
      <c r="M66" s="531"/>
    </row>
    <row r="67" spans="4:13" s="420" customFormat="1" ht="20" customHeight="1">
      <c r="D67" s="900">
        <v>2047</v>
      </c>
      <c r="E67" s="790">
        <v>0</v>
      </c>
      <c r="F67" s="1030"/>
      <c r="G67" s="528">
        <f t="shared" ca="1" si="0"/>
        <v>0</v>
      </c>
      <c r="H67" s="531"/>
      <c r="I67" s="900">
        <v>2047</v>
      </c>
      <c r="J67" s="896">
        <v>0</v>
      </c>
      <c r="K67" s="1030"/>
      <c r="L67" s="528">
        <f t="shared" ca="1" si="1"/>
        <v>0</v>
      </c>
      <c r="M67" s="531"/>
    </row>
    <row r="68" spans="4:13" s="420" customFormat="1" ht="20" customHeight="1">
      <c r="D68" s="901">
        <v>2048</v>
      </c>
      <c r="E68" s="550">
        <v>0</v>
      </c>
      <c r="F68" s="1030"/>
      <c r="G68" s="528">
        <f t="shared" ca="1" si="0"/>
        <v>0</v>
      </c>
      <c r="H68" s="531"/>
      <c r="I68" s="901">
        <v>2048</v>
      </c>
      <c r="J68" s="897">
        <v>0</v>
      </c>
      <c r="K68" s="1030"/>
      <c r="L68" s="528">
        <f t="shared" ca="1" si="1"/>
        <v>0</v>
      </c>
      <c r="M68" s="531"/>
    </row>
    <row r="69" spans="4:13" s="420" customFormat="1" ht="20" customHeight="1">
      <c r="D69" s="902">
        <v>2049</v>
      </c>
      <c r="E69" s="903">
        <v>0</v>
      </c>
      <c r="F69" s="1028">
        <f>IF(SUM(E60:E69)&gt;0,SUM(E60:E69)/SUM(G60:G69),0)</f>
        <v>0</v>
      </c>
      <c r="G69" s="528">
        <f t="shared" ca="1" si="0"/>
        <v>0</v>
      </c>
      <c r="H69" s="531"/>
      <c r="I69" s="902">
        <v>2049</v>
      </c>
      <c r="J69" s="905">
        <v>0</v>
      </c>
      <c r="K69" s="1028">
        <f>IF(SUM(J60:J69)&gt;0,SUM(J60:J69)/SUM(L60:L69),0)</f>
        <v>0</v>
      </c>
      <c r="L69" s="528">
        <f t="shared" ca="1" si="1"/>
        <v>0</v>
      </c>
      <c r="M69" s="531"/>
    </row>
    <row r="70" spans="4:13" s="420" customFormat="1" ht="20" customHeight="1">
      <c r="D70" s="862"/>
      <c r="E70" s="535"/>
      <c r="F70" s="536"/>
      <c r="I70" s="862"/>
      <c r="J70" s="537"/>
      <c r="K70" s="536"/>
    </row>
    <row r="71" spans="4:13" s="420" customFormat="1" ht="20" customHeight="1">
      <c r="I71" s="528">
        <f ca="1">IF(I10&gt;YEAR(TODAY()) - 10,  0,  (MATCH(YEAR(TODAY())-10, I10:I69, 0) + 6 )  )</f>
        <v>29</v>
      </c>
    </row>
    <row r="72" spans="4:13" s="420" customFormat="1" ht="20" customHeight="1">
      <c r="I72" s="528">
        <f ca="1">(MATCH(YEAR(TODAY()),I10:I69,0) + 5)</f>
        <v>38</v>
      </c>
    </row>
    <row r="73" spans="4:13" s="787" customFormat="1" ht="20" customHeight="1"/>
  </sheetData>
  <sheetProtection algorithmName="SHA-512" hashValue="pU1uTNYN9lzaVcZHLOfndgv56gIX4fBTj8ufIIhgLDq57810kw0rePKhYFTGTZz6/AUDp3ln/9q2PoIQCxquYg==" saltValue="jFBNB9kY+22fJg41dD8TOQ=="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25" zoomScaleNormal="125" workbookViewId="0">
      <pane ySplit="9" topLeftCell="A10" activePane="bottomLeft" state="frozen"/>
      <selection pane="bottomLeft" activeCell="R17" sqref="R17:X17"/>
    </sheetView>
  </sheetViews>
  <sheetFormatPr baseColWidth="10" defaultRowHeight="16"/>
  <cols>
    <col min="1" max="1" width="5.7109375" style="892" customWidth="1"/>
    <col min="2" max="2" width="1.7109375" style="892" customWidth="1"/>
    <col min="3" max="4" width="2.85546875" style="892" customWidth="1"/>
    <col min="5" max="5" width="11.42578125" style="982" customWidth="1"/>
    <col min="6" max="6" width="2.85546875" style="982" customWidth="1"/>
    <col min="7" max="8" width="5.7109375" style="892" customWidth="1"/>
    <col min="9" max="9" width="2.7109375" style="892" customWidth="1"/>
    <col min="10" max="11" width="5.7109375" style="892" customWidth="1"/>
    <col min="12" max="12" width="2.7109375" style="892" customWidth="1"/>
    <col min="13" max="14" width="5.7109375" style="892" customWidth="1"/>
    <col min="15" max="15" width="2.5703125" style="892" customWidth="1"/>
    <col min="16" max="16" width="7.140625" style="892" customWidth="1"/>
    <col min="17" max="17" width="13.5703125" style="892" customWidth="1"/>
    <col min="18" max="24" width="10.7109375" style="892"/>
    <col min="25" max="25" width="2.5703125" style="892" customWidth="1"/>
    <col min="26" max="16384" width="10.7109375" style="892"/>
  </cols>
  <sheetData>
    <row r="1" spans="1:30" s="528" customFormat="1" ht="8" customHeight="1">
      <c r="A1" s="891"/>
      <c r="B1" s="891"/>
      <c r="C1" s="891"/>
      <c r="D1" s="891"/>
      <c r="E1" s="981"/>
      <c r="F1" s="981"/>
      <c r="G1" s="891"/>
      <c r="H1" s="891"/>
      <c r="I1" s="891"/>
      <c r="J1" s="891"/>
      <c r="K1" s="891"/>
      <c r="L1" s="891"/>
      <c r="M1" s="891"/>
      <c r="N1" s="891"/>
      <c r="O1" s="891"/>
      <c r="P1" s="891"/>
      <c r="Q1" s="891"/>
      <c r="R1" s="891"/>
      <c r="S1" s="891"/>
      <c r="T1" s="891"/>
      <c r="U1" s="891"/>
      <c r="V1" s="891"/>
      <c r="W1" s="891"/>
      <c r="X1" s="891"/>
      <c r="Y1" s="891"/>
    </row>
    <row r="2" spans="1:30" s="429" customFormat="1" ht="40" customHeight="1">
      <c r="C2" s="549" t="s">
        <v>1360</v>
      </c>
      <c r="D2" s="549"/>
      <c r="E2" s="421"/>
      <c r="F2" s="421"/>
      <c r="G2" s="556"/>
      <c r="H2" s="556"/>
    </row>
    <row r="3" spans="1:30" s="429" customFormat="1" ht="20" customHeight="1">
      <c r="A3" s="615" t="s">
        <v>1348</v>
      </c>
      <c r="E3" s="2515"/>
      <c r="F3" s="2515"/>
      <c r="G3" s="2515"/>
      <c r="H3" s="2515"/>
      <c r="I3" s="2515"/>
      <c r="J3" s="2515"/>
      <c r="K3" s="2515"/>
      <c r="L3" s="2515"/>
      <c r="M3" s="2515"/>
    </row>
    <row r="4" spans="1:30" s="784" customFormat="1" ht="15" customHeight="1">
      <c r="E4" s="786"/>
      <c r="F4" s="786"/>
      <c r="G4" s="785" t="s">
        <v>1393</v>
      </c>
      <c r="J4" s="785"/>
      <c r="L4" s="786"/>
      <c r="M4" s="786"/>
    </row>
    <row r="5" spans="1:30" s="429" customFormat="1" ht="26" customHeight="1">
      <c r="E5" s="2518" t="s">
        <v>1486</v>
      </c>
      <c r="F5" s="2114"/>
      <c r="G5" s="2114"/>
      <c r="H5" s="2114"/>
      <c r="I5" s="2114"/>
      <c r="J5" s="2114"/>
      <c r="K5" s="2114"/>
      <c r="L5" s="2114"/>
      <c r="M5" s="2114"/>
      <c r="N5" s="2114"/>
      <c r="R5" s="557"/>
      <c r="U5" s="421"/>
      <c r="V5" s="421"/>
      <c r="W5" s="558"/>
    </row>
    <row r="6" spans="1:30" s="420" customFormat="1" ht="18" customHeight="1">
      <c r="E6" s="2519"/>
      <c r="F6" s="2519"/>
      <c r="G6" s="2520"/>
      <c r="H6" s="2520"/>
      <c r="I6" s="2520"/>
      <c r="J6" s="2520"/>
      <c r="K6" s="2520"/>
      <c r="L6" s="2520"/>
      <c r="M6" s="2520"/>
      <c r="N6" s="2520"/>
      <c r="O6" s="538"/>
      <c r="P6" s="538"/>
      <c r="Q6" s="538"/>
      <c r="R6" s="539"/>
      <c r="S6" s="538"/>
      <c r="T6" s="538"/>
      <c r="U6" s="538"/>
      <c r="V6" s="538"/>
      <c r="W6" s="540"/>
      <c r="X6" s="538"/>
      <c r="Y6" s="538"/>
    </row>
    <row r="7" spans="1:30" s="429" customFormat="1" ht="18" customHeight="1">
      <c r="D7" s="1019"/>
      <c r="E7" s="2522" t="s">
        <v>1330</v>
      </c>
      <c r="F7" s="986"/>
      <c r="G7" s="2521" t="s">
        <v>61</v>
      </c>
      <c r="H7" s="2521"/>
      <c r="I7" s="987"/>
      <c r="J7" s="2521" t="s">
        <v>62</v>
      </c>
      <c r="K7" s="2521"/>
      <c r="L7" s="988"/>
      <c r="M7" s="2521" t="s">
        <v>60</v>
      </c>
      <c r="N7" s="2521"/>
      <c r="O7" s="989"/>
      <c r="P7" s="863"/>
      <c r="Q7" s="861"/>
      <c r="R7" s="561"/>
      <c r="S7" s="861"/>
      <c r="T7" s="861"/>
      <c r="U7" s="861"/>
      <c r="V7" s="861"/>
      <c r="W7" s="562"/>
      <c r="X7" s="861"/>
      <c r="Y7" s="861"/>
    </row>
    <row r="8" spans="1:30" s="429" customFormat="1" ht="18" customHeight="1">
      <c r="D8" s="1020"/>
      <c r="E8" s="2523"/>
      <c r="F8" s="985"/>
      <c r="G8" s="868" t="s">
        <v>53</v>
      </c>
      <c r="H8" s="867" t="s">
        <v>54</v>
      </c>
      <c r="I8" s="983"/>
      <c r="J8" s="868" t="s">
        <v>53</v>
      </c>
      <c r="K8" s="867" t="s">
        <v>54</v>
      </c>
      <c r="L8" s="984"/>
      <c r="M8" s="868" t="s">
        <v>53</v>
      </c>
      <c r="N8" s="867" t="s">
        <v>54</v>
      </c>
      <c r="O8" s="990"/>
      <c r="U8" s="421"/>
      <c r="V8" s="421"/>
      <c r="W8" s="979"/>
      <c r="X8" s="980"/>
      <c r="Y8" s="861"/>
      <c r="Z8" s="980"/>
      <c r="AA8" s="980"/>
      <c r="AC8" s="980"/>
      <c r="AD8" s="980"/>
    </row>
    <row r="9" spans="1:30" s="429" customFormat="1" ht="18" customHeight="1">
      <c r="D9" s="1020"/>
      <c r="E9" s="2523"/>
      <c r="F9" s="985"/>
      <c r="G9" s="864" t="s">
        <v>59</v>
      </c>
      <c r="H9" s="864" t="s">
        <v>59</v>
      </c>
      <c r="I9" s="983"/>
      <c r="J9" s="864" t="s">
        <v>59</v>
      </c>
      <c r="K9" s="864" t="s">
        <v>59</v>
      </c>
      <c r="L9" s="984"/>
      <c r="M9" s="864" t="s">
        <v>59</v>
      </c>
      <c r="N9" s="864" t="s">
        <v>59</v>
      </c>
      <c r="O9" s="990"/>
      <c r="U9" s="421"/>
      <c r="V9" s="421"/>
      <c r="W9" s="421"/>
      <c r="Y9" s="861"/>
    </row>
    <row r="10" spans="1:30" s="420" customFormat="1" ht="20" customHeight="1">
      <c r="D10" s="1021"/>
      <c r="E10" s="991" t="s">
        <v>1412</v>
      </c>
      <c r="F10" s="1002"/>
      <c r="G10" s="992">
        <v>39.482620239257812</v>
      </c>
      <c r="H10" s="992">
        <v>44.846752166748047</v>
      </c>
      <c r="I10" s="1004"/>
      <c r="J10" s="992">
        <v>45.786121368408203</v>
      </c>
      <c r="K10" s="992">
        <v>50.340713500976562</v>
      </c>
      <c r="L10" s="1006"/>
      <c r="M10" s="993">
        <v>43.176639556884766</v>
      </c>
      <c r="N10" s="992">
        <v>47.255573272705078</v>
      </c>
      <c r="O10" s="1008"/>
      <c r="U10" s="418"/>
      <c r="Y10" s="538"/>
    </row>
    <row r="11" spans="1:30" s="420" customFormat="1" ht="20" customHeight="1">
      <c r="D11" s="1021"/>
      <c r="E11" s="994" t="s">
        <v>1413</v>
      </c>
      <c r="F11" s="1003"/>
      <c r="G11" s="995">
        <v>38.608695983886719</v>
      </c>
      <c r="H11" s="995">
        <v>43.919658660888672</v>
      </c>
      <c r="I11" s="1005"/>
      <c r="J11" s="995">
        <v>44.855766296386719</v>
      </c>
      <c r="K11" s="995">
        <v>49.374038696289062</v>
      </c>
      <c r="L11" s="1007"/>
      <c r="M11" s="996">
        <v>42.274402618408203</v>
      </c>
      <c r="N11" s="995">
        <v>46.312232971191406</v>
      </c>
      <c r="O11" s="1009"/>
      <c r="U11" s="418"/>
      <c r="Y11" s="538"/>
    </row>
    <row r="12" spans="1:30" s="420" customFormat="1" ht="20" customHeight="1">
      <c r="D12" s="1021"/>
      <c r="E12" s="991" t="s">
        <v>1414</v>
      </c>
      <c r="F12" s="1003"/>
      <c r="G12" s="992">
        <v>37.737739562988281</v>
      </c>
      <c r="H12" s="992">
        <v>42.995933532714844</v>
      </c>
      <c r="I12" s="1005"/>
      <c r="J12" s="992">
        <v>43.927669525146484</v>
      </c>
      <c r="K12" s="992">
        <v>48.408409118652344</v>
      </c>
      <c r="L12" s="1007"/>
      <c r="M12" s="993">
        <v>41.373767852783203</v>
      </c>
      <c r="N12" s="992">
        <v>45.370731353759766</v>
      </c>
      <c r="O12" s="1009"/>
      <c r="Q12" s="2524" t="s">
        <v>1487</v>
      </c>
      <c r="R12" s="2525"/>
      <c r="S12" s="2525"/>
      <c r="T12" s="2525"/>
      <c r="U12" s="2525"/>
      <c r="Y12" s="538"/>
    </row>
    <row r="13" spans="1:30" s="420" customFormat="1" ht="20" customHeight="1">
      <c r="D13" s="1021"/>
      <c r="E13" s="994" t="s">
        <v>1415</v>
      </c>
      <c r="F13" s="1003"/>
      <c r="G13" s="995">
        <v>36.869476318359375</v>
      </c>
      <c r="H13" s="995">
        <v>42.075336456298828</v>
      </c>
      <c r="I13" s="1005"/>
      <c r="J13" s="995">
        <v>43.001205444335938</v>
      </c>
      <c r="K13" s="995">
        <v>47.443622589111328</v>
      </c>
      <c r="L13" s="1007"/>
      <c r="M13" s="996">
        <v>40.473926544189453</v>
      </c>
      <c r="N13" s="995">
        <v>44.430667877197266</v>
      </c>
      <c r="O13" s="1009"/>
      <c r="Q13" s="2525"/>
      <c r="R13" s="2525"/>
      <c r="S13" s="2525"/>
      <c r="T13" s="2525"/>
      <c r="U13" s="2525"/>
      <c r="Y13" s="538"/>
    </row>
    <row r="14" spans="1:30" s="420" customFormat="1" ht="20" customHeight="1">
      <c r="D14" s="1021"/>
      <c r="E14" s="991" t="s">
        <v>1416</v>
      </c>
      <c r="F14" s="1003"/>
      <c r="G14" s="992">
        <v>36.003726959228516</v>
      </c>
      <c r="H14" s="992">
        <v>41.157764434814453</v>
      </c>
      <c r="I14" s="1005"/>
      <c r="J14" s="992">
        <v>42.075519561767578</v>
      </c>
      <c r="K14" s="992">
        <v>46.479442596435547</v>
      </c>
      <c r="L14" s="1007"/>
      <c r="M14" s="993">
        <v>39.573951721191406</v>
      </c>
      <c r="N14" s="992">
        <v>43.491641998291016</v>
      </c>
      <c r="O14" s="1009"/>
      <c r="Q14" s="2525"/>
      <c r="R14" s="2525"/>
      <c r="S14" s="2525"/>
      <c r="T14" s="2525"/>
      <c r="U14" s="2525"/>
      <c r="Y14" s="538"/>
    </row>
    <row r="15" spans="1:30" s="420" customFormat="1" ht="20" customHeight="1">
      <c r="D15" s="1021"/>
      <c r="E15" s="994" t="s">
        <v>1417</v>
      </c>
      <c r="F15" s="1003"/>
      <c r="G15" s="995">
        <v>35.140697479248047</v>
      </c>
      <c r="H15" s="995">
        <v>40.243412017822266</v>
      </c>
      <c r="I15" s="1005"/>
      <c r="J15" s="995">
        <v>41.150146484375</v>
      </c>
      <c r="K15" s="995">
        <v>45.515857696533203</v>
      </c>
      <c r="L15" s="1007"/>
      <c r="M15" s="996">
        <v>38.673484802246094</v>
      </c>
      <c r="N15" s="995">
        <v>42.553615570068359</v>
      </c>
      <c r="O15" s="1009"/>
      <c r="Q15" s="2525"/>
      <c r="R15" s="2525"/>
      <c r="S15" s="2525"/>
      <c r="T15" s="2525"/>
      <c r="U15" s="2525"/>
      <c r="Y15" s="538"/>
    </row>
    <row r="16" spans="1:30" s="420" customFormat="1" ht="20" customHeight="1">
      <c r="D16" s="1021"/>
      <c r="E16" s="991" t="s">
        <v>1418</v>
      </c>
      <c r="F16" s="1003"/>
      <c r="G16" s="992">
        <v>34.281223297119141</v>
      </c>
      <c r="H16" s="992">
        <v>39.332828521728516</v>
      </c>
      <c r="I16" s="1005"/>
      <c r="J16" s="992">
        <v>40.225196838378906</v>
      </c>
      <c r="K16" s="992">
        <v>44.552902221679688</v>
      </c>
      <c r="L16" s="1007"/>
      <c r="M16" s="993">
        <v>37.772922515869141</v>
      </c>
      <c r="N16" s="992">
        <v>41.616947174072266</v>
      </c>
      <c r="O16" s="1009"/>
      <c r="Q16" s="2526" t="s">
        <v>1490</v>
      </c>
      <c r="R16" s="2527"/>
      <c r="S16" s="2527"/>
      <c r="T16" s="2527"/>
      <c r="U16" s="2527"/>
      <c r="V16" s="2527"/>
      <c r="W16" s="2527"/>
      <c r="X16" s="2528"/>
      <c r="Y16" s="538"/>
    </row>
    <row r="17" spans="4:25" s="420" customFormat="1" ht="20" customHeight="1">
      <c r="D17" s="1021"/>
      <c r="E17" s="994" t="s">
        <v>1419</v>
      </c>
      <c r="F17" s="1003"/>
      <c r="G17" s="995">
        <v>33.426071166992188</v>
      </c>
      <c r="H17" s="995">
        <v>38.426593780517578</v>
      </c>
      <c r="I17" s="1005"/>
      <c r="J17" s="995">
        <v>39.301334381103516</v>
      </c>
      <c r="K17" s="995">
        <v>43.591007232666016</v>
      </c>
      <c r="L17" s="1007"/>
      <c r="M17" s="996">
        <v>36.873416900634766</v>
      </c>
      <c r="N17" s="995">
        <v>40.682415008544922</v>
      </c>
      <c r="O17" s="1009"/>
      <c r="Q17" s="1018" t="s">
        <v>1488</v>
      </c>
      <c r="R17" s="2535" t="s">
        <v>1405</v>
      </c>
      <c r="S17" s="2536"/>
      <c r="T17" s="2536"/>
      <c r="U17" s="2536"/>
      <c r="V17" s="2536"/>
      <c r="W17" s="2536"/>
      <c r="X17" s="2537"/>
      <c r="Y17" s="538"/>
    </row>
    <row r="18" spans="4:25" s="420" customFormat="1" ht="20" customHeight="1">
      <c r="D18" s="1021"/>
      <c r="E18" s="991" t="s">
        <v>1420</v>
      </c>
      <c r="F18" s="1003"/>
      <c r="G18" s="992">
        <v>32.575336456298828</v>
      </c>
      <c r="H18" s="992">
        <v>37.524986267089844</v>
      </c>
      <c r="I18" s="1005"/>
      <c r="J18" s="992">
        <v>38.379386901855469</v>
      </c>
      <c r="K18" s="992">
        <v>42.631008148193359</v>
      </c>
      <c r="L18" s="1007"/>
      <c r="M18" s="993">
        <v>35.976287841796875</v>
      </c>
      <c r="N18" s="992">
        <v>39.750846862792969</v>
      </c>
      <c r="O18" s="1009"/>
      <c r="R18" s="429"/>
      <c r="U18" s="418"/>
      <c r="Y18" s="538"/>
    </row>
    <row r="19" spans="4:25" s="420" customFormat="1" ht="20" customHeight="1">
      <c r="D19" s="1021"/>
      <c r="E19" s="994" t="s">
        <v>1421</v>
      </c>
      <c r="F19" s="1003"/>
      <c r="G19" s="995">
        <v>31.728591918945312</v>
      </c>
      <c r="H19" s="995">
        <v>36.627941131591797</v>
      </c>
      <c r="I19" s="1005"/>
      <c r="J19" s="995">
        <v>37.46038818359375</v>
      </c>
      <c r="K19" s="995">
        <v>41.6739501953125</v>
      </c>
      <c r="L19" s="1007"/>
      <c r="M19" s="996">
        <v>35.082855224609375</v>
      </c>
      <c r="N19" s="995">
        <v>38.822940826416016</v>
      </c>
      <c r="O19" s="1009"/>
      <c r="Q19" s="2526" t="s">
        <v>1489</v>
      </c>
      <c r="R19" s="2527"/>
      <c r="S19" s="2527"/>
      <c r="T19" s="2527"/>
      <c r="U19" s="2527"/>
      <c r="V19" s="2527"/>
      <c r="W19" s="2527"/>
      <c r="X19" s="2528"/>
      <c r="Y19" s="538"/>
    </row>
    <row r="20" spans="4:25" s="420" customFormat="1" ht="20" customHeight="1">
      <c r="D20" s="1021"/>
      <c r="E20" s="991" t="s">
        <v>1422</v>
      </c>
      <c r="F20" s="1003"/>
      <c r="G20" s="992">
        <v>30.885520935058594</v>
      </c>
      <c r="H20" s="992">
        <v>35.735321044921875</v>
      </c>
      <c r="I20" s="1005"/>
      <c r="J20" s="992">
        <v>36.545162200927734</v>
      </c>
      <c r="K20" s="992">
        <v>40.720615386962891</v>
      </c>
      <c r="L20" s="1007"/>
      <c r="M20" s="993">
        <v>34.19390869140625</v>
      </c>
      <c r="N20" s="992">
        <v>37.899017333984375</v>
      </c>
      <c r="O20" s="1009"/>
      <c r="Q20" s="1018" t="s">
        <v>1484</v>
      </c>
      <c r="R20" s="2538" t="s">
        <v>1485</v>
      </c>
      <c r="S20" s="2539"/>
      <c r="T20" s="2539"/>
      <c r="U20" s="2539"/>
      <c r="V20" s="2539"/>
      <c r="W20" s="2539"/>
      <c r="X20" s="2540"/>
      <c r="Y20" s="538"/>
    </row>
    <row r="21" spans="4:25" s="420" customFormat="1" ht="20" customHeight="1">
      <c r="D21" s="1021"/>
      <c r="E21" s="994" t="s">
        <v>1423</v>
      </c>
      <c r="F21" s="1003"/>
      <c r="G21" s="995">
        <v>30.04625129699707</v>
      </c>
      <c r="H21" s="995">
        <v>34.847198486328125</v>
      </c>
      <c r="I21" s="1005"/>
      <c r="J21" s="995">
        <v>35.634067535400391</v>
      </c>
      <c r="K21" s="995">
        <v>39.771274566650391</v>
      </c>
      <c r="L21" s="1007"/>
      <c r="M21" s="996">
        <v>33.309982299804688</v>
      </c>
      <c r="N21" s="995">
        <v>36.979282379150391</v>
      </c>
      <c r="O21" s="1009"/>
      <c r="Q21" s="1018" t="s">
        <v>1482</v>
      </c>
      <c r="R21" s="2529" t="s">
        <v>1483</v>
      </c>
      <c r="S21" s="2530"/>
      <c r="T21" s="2530"/>
      <c r="U21" s="2530"/>
      <c r="V21" s="2530"/>
      <c r="W21" s="2530"/>
      <c r="X21" s="2531"/>
      <c r="Y21" s="538"/>
    </row>
    <row r="22" spans="4:25" s="420" customFormat="1" ht="20" customHeight="1">
      <c r="D22" s="1021"/>
      <c r="E22" s="991" t="s">
        <v>1424</v>
      </c>
      <c r="F22" s="1003"/>
      <c r="G22" s="992">
        <v>29.211618423461914</v>
      </c>
      <c r="H22" s="992">
        <v>33.963996887207031</v>
      </c>
      <c r="I22" s="1005"/>
      <c r="J22" s="992">
        <v>34.727371215820312</v>
      </c>
      <c r="K22" s="992">
        <v>38.82598876953125</v>
      </c>
      <c r="L22" s="1007"/>
      <c r="M22" s="993">
        <v>32.431373596191406</v>
      </c>
      <c r="N22" s="992">
        <v>36.063880920410156</v>
      </c>
      <c r="O22" s="1009"/>
      <c r="Q22" s="1018" t="s">
        <v>1408</v>
      </c>
      <c r="R22" s="2529" t="s">
        <v>1481</v>
      </c>
      <c r="S22" s="2530"/>
      <c r="T22" s="2530"/>
      <c r="U22" s="2530"/>
      <c r="V22" s="2530"/>
      <c r="W22" s="2530"/>
      <c r="X22" s="2531"/>
      <c r="Y22" s="538"/>
    </row>
    <row r="23" spans="4:25" s="420" customFormat="1" ht="20" customHeight="1">
      <c r="D23" s="1021"/>
      <c r="E23" s="994" t="s">
        <v>1425</v>
      </c>
      <c r="F23" s="1003"/>
      <c r="G23" s="995">
        <v>28.382802963256836</v>
      </c>
      <c r="H23" s="995">
        <v>33.086284637451172</v>
      </c>
      <c r="I23" s="1005"/>
      <c r="J23" s="995">
        <v>33.825668334960938</v>
      </c>
      <c r="K23" s="995">
        <v>37.885028839111328</v>
      </c>
      <c r="L23" s="1007"/>
      <c r="M23" s="996">
        <v>31.558282852172852</v>
      </c>
      <c r="N23" s="995">
        <v>35.152896881103516</v>
      </c>
      <c r="O23" s="1009"/>
      <c r="Q23" s="1018" t="s">
        <v>1409</v>
      </c>
      <c r="R23" s="2529" t="s">
        <v>1480</v>
      </c>
      <c r="S23" s="2530"/>
      <c r="T23" s="2530"/>
      <c r="U23" s="2530"/>
      <c r="V23" s="2530"/>
      <c r="W23" s="2530"/>
      <c r="X23" s="2531"/>
      <c r="Y23" s="538"/>
    </row>
    <row r="24" spans="4:25" s="420" customFormat="1" ht="20" customHeight="1">
      <c r="D24" s="1021"/>
      <c r="E24" s="991" t="s">
        <v>1426</v>
      </c>
      <c r="F24" s="1003"/>
      <c r="G24" s="992">
        <v>27.561464309692383</v>
      </c>
      <c r="H24" s="992">
        <v>32.214950561523438</v>
      </c>
      <c r="I24" s="1005"/>
      <c r="J24" s="992">
        <v>32.929641723632812</v>
      </c>
      <c r="K24" s="992">
        <v>36.948692321777344</v>
      </c>
      <c r="L24" s="1007"/>
      <c r="M24" s="993">
        <v>30.691135406494141</v>
      </c>
      <c r="N24" s="992">
        <v>34.246601104736328</v>
      </c>
      <c r="O24" s="1009"/>
      <c r="Q24" s="1018" t="s">
        <v>1410</v>
      </c>
      <c r="R24" s="2529" t="s">
        <v>1479</v>
      </c>
      <c r="S24" s="2530"/>
      <c r="T24" s="2530"/>
      <c r="U24" s="2530"/>
      <c r="V24" s="2530"/>
      <c r="W24" s="2530"/>
      <c r="X24" s="2531"/>
      <c r="Y24" s="538"/>
    </row>
    <row r="25" spans="4:25" s="420" customFormat="1" ht="20" customHeight="1">
      <c r="D25" s="1021"/>
      <c r="E25" s="994" t="s">
        <v>1427</v>
      </c>
      <c r="F25" s="1003"/>
      <c r="G25" s="995">
        <v>26.749185562133789</v>
      </c>
      <c r="H25" s="995">
        <v>31.350927352905273</v>
      </c>
      <c r="I25" s="1005"/>
      <c r="J25" s="995">
        <v>32.039951324462891</v>
      </c>
      <c r="K25" s="995">
        <v>36.017280578613281</v>
      </c>
      <c r="L25" s="1007"/>
      <c r="M25" s="996">
        <v>29.830720901489258</v>
      </c>
      <c r="N25" s="995">
        <v>33.345481872558594</v>
      </c>
      <c r="O25" s="1009"/>
      <c r="Q25" s="1018" t="s">
        <v>1411</v>
      </c>
      <c r="R25" s="2532" t="s">
        <v>1478</v>
      </c>
      <c r="S25" s="2533"/>
      <c r="T25" s="2533"/>
      <c r="U25" s="2533"/>
      <c r="V25" s="2533"/>
      <c r="W25" s="2533"/>
      <c r="X25" s="2534"/>
      <c r="Y25" s="538"/>
    </row>
    <row r="26" spans="4:25" s="420" customFormat="1" ht="20" customHeight="1">
      <c r="D26" s="1021"/>
      <c r="E26" s="991" t="s">
        <v>1428</v>
      </c>
      <c r="F26" s="1003"/>
      <c r="G26" s="992">
        <v>25.946210861206055</v>
      </c>
      <c r="H26" s="992">
        <v>30.49437141418457</v>
      </c>
      <c r="I26" s="1005"/>
      <c r="J26" s="992">
        <v>31.156866073608398</v>
      </c>
      <c r="K26" s="992">
        <v>35.091156005859375</v>
      </c>
      <c r="L26" s="1007"/>
      <c r="M26" s="993">
        <v>28.977138519287109</v>
      </c>
      <c r="N26" s="992">
        <v>32.449581146240234</v>
      </c>
      <c r="O26" s="1009"/>
      <c r="U26" s="418"/>
      <c r="Y26" s="538"/>
    </row>
    <row r="27" spans="4:25" s="420" customFormat="1" ht="20" customHeight="1">
      <c r="D27" s="1021"/>
      <c r="E27" s="994" t="s">
        <v>1429</v>
      </c>
      <c r="F27" s="1003"/>
      <c r="G27" s="995">
        <v>25.153020858764648</v>
      </c>
      <c r="H27" s="995">
        <v>29.645645141601562</v>
      </c>
      <c r="I27" s="1005"/>
      <c r="J27" s="995">
        <v>30.280744552612305</v>
      </c>
      <c r="K27" s="995">
        <v>34.170524597167969</v>
      </c>
      <c r="L27" s="1007"/>
      <c r="M27" s="996">
        <v>28.131204605102539</v>
      </c>
      <c r="N27" s="995">
        <v>31.559293746948242</v>
      </c>
      <c r="O27" s="1009"/>
      <c r="U27" s="418"/>
      <c r="Y27" s="538"/>
    </row>
    <row r="28" spans="4:25" s="420" customFormat="1" ht="20" customHeight="1">
      <c r="D28" s="1021"/>
      <c r="E28" s="991" t="s">
        <v>1430</v>
      </c>
      <c r="F28" s="1003"/>
      <c r="G28" s="992">
        <v>24.37153434753418</v>
      </c>
      <c r="H28" s="992">
        <v>28.806055068969727</v>
      </c>
      <c r="I28" s="1005"/>
      <c r="J28" s="992">
        <v>29.412399291992188</v>
      </c>
      <c r="K28" s="992">
        <v>33.255348205566406</v>
      </c>
      <c r="L28" s="1007"/>
      <c r="M28" s="993">
        <v>27.295000076293945</v>
      </c>
      <c r="N28" s="992">
        <v>30.67570686340332</v>
      </c>
      <c r="O28" s="1009"/>
      <c r="U28" s="418"/>
      <c r="Y28" s="538"/>
    </row>
    <row r="29" spans="4:25" s="420" customFormat="1" ht="20" customHeight="1">
      <c r="D29" s="1021"/>
      <c r="E29" s="994" t="s">
        <v>1431</v>
      </c>
      <c r="F29" s="1003"/>
      <c r="G29" s="995">
        <v>23.603649139404297</v>
      </c>
      <c r="H29" s="995">
        <v>27.976821899414062</v>
      </c>
      <c r="I29" s="1005"/>
      <c r="J29" s="995">
        <v>28.552787780761719</v>
      </c>
      <c r="K29" s="995">
        <v>32.345382690429688</v>
      </c>
      <c r="L29" s="1007"/>
      <c r="M29" s="996">
        <v>26.470417022705078</v>
      </c>
      <c r="N29" s="995">
        <v>29.799705505371094</v>
      </c>
      <c r="O29" s="1009"/>
      <c r="U29" s="418"/>
      <c r="Y29" s="538"/>
    </row>
    <row r="30" spans="4:25" s="420" customFormat="1" ht="20" customHeight="1">
      <c r="D30" s="1021"/>
      <c r="E30" s="991" t="s">
        <v>1432</v>
      </c>
      <c r="F30" s="1003"/>
      <c r="G30" s="992">
        <v>22.850210189819336</v>
      </c>
      <c r="H30" s="992">
        <v>27.15838623046875</v>
      </c>
      <c r="I30" s="1005"/>
      <c r="J30" s="992">
        <v>27.702581405639648</v>
      </c>
      <c r="K30" s="992">
        <v>31.440401077270508</v>
      </c>
      <c r="L30" s="1007"/>
      <c r="M30" s="993">
        <v>25.657932281494141</v>
      </c>
      <c r="N30" s="992">
        <v>28.931364059448242</v>
      </c>
      <c r="O30" s="1009"/>
      <c r="U30" s="418"/>
      <c r="Y30" s="538"/>
    </row>
    <row r="31" spans="4:25" s="420" customFormat="1" ht="20" customHeight="1">
      <c r="D31" s="1021"/>
      <c r="E31" s="994" t="s">
        <v>1433</v>
      </c>
      <c r="F31" s="1003"/>
      <c r="G31" s="995">
        <v>22.110317230224609</v>
      </c>
      <c r="H31" s="995">
        <v>26.350053787231445</v>
      </c>
      <c r="I31" s="1005"/>
      <c r="J31" s="995">
        <v>26.862102508544922</v>
      </c>
      <c r="K31" s="995">
        <v>30.540277481079102</v>
      </c>
      <c r="L31" s="1007"/>
      <c r="M31" s="996">
        <v>24.856517791748047</v>
      </c>
      <c r="N31" s="995">
        <v>28.070123672485352</v>
      </c>
      <c r="O31" s="1009"/>
      <c r="U31" s="418"/>
      <c r="Y31" s="538"/>
    </row>
    <row r="32" spans="4:25" s="420" customFormat="1" ht="20" customHeight="1">
      <c r="D32" s="1021"/>
      <c r="E32" s="991" t="s">
        <v>1434</v>
      </c>
      <c r="F32" s="1003"/>
      <c r="G32" s="992">
        <v>21.383115768432617</v>
      </c>
      <c r="H32" s="992">
        <v>25.551111221313477</v>
      </c>
      <c r="I32" s="1005"/>
      <c r="J32" s="992">
        <v>26.031307220458984</v>
      </c>
      <c r="K32" s="992">
        <v>29.645156860351562</v>
      </c>
      <c r="L32" s="1007"/>
      <c r="M32" s="993">
        <v>24.064872741699219</v>
      </c>
      <c r="N32" s="992">
        <v>27.215183258056641</v>
      </c>
      <c r="O32" s="1009"/>
      <c r="U32" s="418"/>
      <c r="Y32" s="538"/>
    </row>
    <row r="33" spans="4:25" s="420" customFormat="1" ht="20" customHeight="1">
      <c r="D33" s="1021"/>
      <c r="E33" s="994" t="s">
        <v>1435</v>
      </c>
      <c r="F33" s="1003"/>
      <c r="G33" s="995">
        <v>20.669319152832031</v>
      </c>
      <c r="H33" s="995">
        <v>24.761764526367188</v>
      </c>
      <c r="I33" s="1005"/>
      <c r="J33" s="995">
        <v>25.210109710693359</v>
      </c>
      <c r="K33" s="995">
        <v>28.755376815795898</v>
      </c>
      <c r="L33" s="1007"/>
      <c r="M33" s="996">
        <v>23.282514572143555</v>
      </c>
      <c r="N33" s="995">
        <v>26.365966796875</v>
      </c>
      <c r="O33" s="1009"/>
      <c r="U33" s="418"/>
      <c r="Y33" s="538"/>
    </row>
    <row r="34" spans="4:25" s="420" customFormat="1" ht="20" customHeight="1">
      <c r="D34" s="1021"/>
      <c r="E34" s="991" t="s">
        <v>1436</v>
      </c>
      <c r="F34" s="1003"/>
      <c r="G34" s="992">
        <v>19.970447540283203</v>
      </c>
      <c r="H34" s="992">
        <v>23.982683181762695</v>
      </c>
      <c r="I34" s="1005"/>
      <c r="J34" s="992">
        <v>24.398374557495117</v>
      </c>
      <c r="K34" s="992">
        <v>27.871498107910156</v>
      </c>
      <c r="L34" s="1007"/>
      <c r="M34" s="993">
        <v>22.509452819824219</v>
      </c>
      <c r="N34" s="992">
        <v>25.522159576416016</v>
      </c>
      <c r="O34" s="1009"/>
      <c r="U34" s="418"/>
      <c r="Y34" s="538"/>
    </row>
    <row r="35" spans="4:25" s="420" customFormat="1" ht="20" customHeight="1">
      <c r="D35" s="1021"/>
      <c r="E35" s="994" t="s">
        <v>1437</v>
      </c>
      <c r="F35" s="1003"/>
      <c r="G35" s="995">
        <v>19.287830352783203</v>
      </c>
      <c r="H35" s="995">
        <v>23.214418411254883</v>
      </c>
      <c r="I35" s="1005"/>
      <c r="J35" s="995">
        <v>23.596067428588867</v>
      </c>
      <c r="K35" s="995">
        <v>26.99400520324707</v>
      </c>
      <c r="L35" s="1007"/>
      <c r="M35" s="996">
        <v>21.745830535888672</v>
      </c>
      <c r="N35" s="995">
        <v>24.683738708496094</v>
      </c>
      <c r="O35" s="1009"/>
      <c r="U35" s="418"/>
      <c r="Y35" s="538"/>
    </row>
    <row r="36" spans="4:25" s="420" customFormat="1" ht="20" customHeight="1">
      <c r="D36" s="1021"/>
      <c r="E36" s="991" t="s">
        <v>1438</v>
      </c>
      <c r="F36" s="1003"/>
      <c r="G36" s="992">
        <v>18.62190055847168</v>
      </c>
      <c r="H36" s="992">
        <v>22.457273483276367</v>
      </c>
      <c r="I36" s="1005"/>
      <c r="J36" s="992">
        <v>22.803865432739258</v>
      </c>
      <c r="K36" s="992">
        <v>26.123403549194336</v>
      </c>
      <c r="L36" s="1007"/>
      <c r="M36" s="993">
        <v>20.991954803466797</v>
      </c>
      <c r="N36" s="992">
        <v>23.851053237915039</v>
      </c>
      <c r="O36" s="1009"/>
      <c r="U36" s="418"/>
      <c r="Y36" s="538"/>
    </row>
    <row r="37" spans="4:25" s="420" customFormat="1" ht="20" customHeight="1">
      <c r="D37" s="1021"/>
      <c r="E37" s="994" t="s">
        <v>1439</v>
      </c>
      <c r="F37" s="1003"/>
      <c r="G37" s="995">
        <v>17.971958160400391</v>
      </c>
      <c r="H37" s="995">
        <v>21.710670471191406</v>
      </c>
      <c r="I37" s="1005"/>
      <c r="J37" s="995">
        <v>22.022014617919922</v>
      </c>
      <c r="K37" s="995">
        <v>25.259695053100586</v>
      </c>
      <c r="L37" s="1007"/>
      <c r="M37" s="996">
        <v>20.247310638427734</v>
      </c>
      <c r="N37" s="995">
        <v>23.024168014526367</v>
      </c>
      <c r="O37" s="1009"/>
      <c r="U37" s="418"/>
      <c r="Y37" s="538"/>
    </row>
    <row r="38" spans="4:25" s="420" customFormat="1" ht="20" customHeight="1">
      <c r="D38" s="1021"/>
      <c r="E38" s="991" t="s">
        <v>1440</v>
      </c>
      <c r="F38" s="1003"/>
      <c r="G38" s="992">
        <v>17.337335586547852</v>
      </c>
      <c r="H38" s="992">
        <v>20.973516464233398</v>
      </c>
      <c r="I38" s="1005"/>
      <c r="J38" s="992">
        <v>21.249469757080078</v>
      </c>
      <c r="K38" s="992">
        <v>24.402324676513672</v>
      </c>
      <c r="L38" s="1007"/>
      <c r="M38" s="993">
        <v>19.510702133178711</v>
      </c>
      <c r="N38" s="992">
        <v>22.202770233154297</v>
      </c>
      <c r="O38" s="1009"/>
      <c r="U38" s="418"/>
      <c r="Y38" s="538"/>
    </row>
    <row r="39" spans="4:25" s="420" customFormat="1" ht="20" customHeight="1">
      <c r="D39" s="1021"/>
      <c r="E39" s="994" t="s">
        <v>1441</v>
      </c>
      <c r="F39" s="1003"/>
      <c r="G39" s="995">
        <v>16.717071533203125</v>
      </c>
      <c r="H39" s="995">
        <v>20.244331359863281</v>
      </c>
      <c r="I39" s="1005"/>
      <c r="J39" s="995">
        <v>20.484487533569336</v>
      </c>
      <c r="K39" s="995">
        <v>23.55040168762207</v>
      </c>
      <c r="L39" s="1007"/>
      <c r="M39" s="996">
        <v>18.780603408813477</v>
      </c>
      <c r="N39" s="995">
        <v>21.386465072631836</v>
      </c>
      <c r="O39" s="1009"/>
      <c r="U39" s="418"/>
      <c r="Y39" s="538"/>
    </row>
    <row r="40" spans="4:25" s="420" customFormat="1" ht="20" customHeight="1">
      <c r="D40" s="1021"/>
      <c r="E40" s="991" t="s">
        <v>1442</v>
      </c>
      <c r="F40" s="1003"/>
      <c r="G40" s="992">
        <v>16.110433578491211</v>
      </c>
      <c r="H40" s="992">
        <v>19.522087097167969</v>
      </c>
      <c r="I40" s="1005"/>
      <c r="J40" s="992">
        <v>19.725748062133789</v>
      </c>
      <c r="K40" s="992">
        <v>22.703411102294922</v>
      </c>
      <c r="L40" s="1007"/>
      <c r="M40" s="993">
        <v>18.056079864501953</v>
      </c>
      <c r="N40" s="992">
        <v>20.575254440307617</v>
      </c>
      <c r="O40" s="1009"/>
      <c r="U40" s="418"/>
      <c r="Y40" s="538"/>
    </row>
    <row r="41" spans="4:25" s="420" customFormat="1" ht="20" customHeight="1">
      <c r="D41" s="1021"/>
      <c r="E41" s="994" t="s">
        <v>1443</v>
      </c>
      <c r="F41" s="1003"/>
      <c r="G41" s="995">
        <v>15.519028663635254</v>
      </c>
      <c r="H41" s="995">
        <v>18.806909561157227</v>
      </c>
      <c r="I41" s="1005"/>
      <c r="J41" s="995">
        <v>18.972805023193359</v>
      </c>
      <c r="K41" s="995">
        <v>21.861452102661133</v>
      </c>
      <c r="L41" s="1007"/>
      <c r="M41" s="996">
        <v>17.336957931518555</v>
      </c>
      <c r="N41" s="995">
        <v>19.769182205200195</v>
      </c>
      <c r="O41" s="1009"/>
      <c r="U41" s="418"/>
      <c r="Y41" s="538"/>
    </row>
    <row r="42" spans="4:25" s="420" customFormat="1" ht="20" customHeight="1">
      <c r="D42" s="1021"/>
      <c r="E42" s="991" t="s">
        <v>1444</v>
      </c>
      <c r="F42" s="1003"/>
      <c r="G42" s="992">
        <v>14.942704200744629</v>
      </c>
      <c r="H42" s="992">
        <v>18.099308013916016</v>
      </c>
      <c r="I42" s="1005"/>
      <c r="J42" s="992">
        <v>18.226390838623047</v>
      </c>
      <c r="K42" s="992">
        <v>21.02532958984375</v>
      </c>
      <c r="L42" s="1007"/>
      <c r="M42" s="993">
        <v>16.625419616699219</v>
      </c>
      <c r="N42" s="992">
        <v>18.969760894775391</v>
      </c>
      <c r="O42" s="1009"/>
      <c r="U42" s="418"/>
      <c r="Y42" s="538"/>
    </row>
    <row r="43" spans="4:25" s="420" customFormat="1" ht="20" customHeight="1">
      <c r="D43" s="1021"/>
      <c r="E43" s="994" t="s">
        <v>1445</v>
      </c>
      <c r="F43" s="1003"/>
      <c r="G43" s="995">
        <v>14.378125190734863</v>
      </c>
      <c r="H43" s="995">
        <v>17.39863395690918</v>
      </c>
      <c r="I43" s="1005"/>
      <c r="J43" s="995">
        <v>17.48762321472168</v>
      </c>
      <c r="K43" s="995">
        <v>20.196016311645508</v>
      </c>
      <c r="L43" s="1007"/>
      <c r="M43" s="996">
        <v>15.92128849029541</v>
      </c>
      <c r="N43" s="995">
        <v>18.178298950195312</v>
      </c>
      <c r="O43" s="1009"/>
      <c r="U43" s="418"/>
      <c r="Y43" s="538"/>
    </row>
    <row r="44" spans="4:25" s="420" customFormat="1" ht="20" customHeight="1">
      <c r="D44" s="1021"/>
      <c r="E44" s="991" t="s">
        <v>1446</v>
      </c>
      <c r="F44" s="1003"/>
      <c r="G44" s="992">
        <v>13.81920051574707</v>
      </c>
      <c r="H44" s="992">
        <v>16.704364776611328</v>
      </c>
      <c r="I44" s="1005"/>
      <c r="J44" s="992">
        <v>16.758085250854492</v>
      </c>
      <c r="K44" s="992">
        <v>19.374706268310547</v>
      </c>
      <c r="L44" s="1007"/>
      <c r="M44" s="993">
        <v>15.225373268127441</v>
      </c>
      <c r="N44" s="992">
        <v>17.396930694580078</v>
      </c>
      <c r="O44" s="1009"/>
      <c r="U44" s="418"/>
      <c r="Y44" s="538"/>
    </row>
    <row r="45" spans="4:25" s="420" customFormat="1" ht="20" customHeight="1">
      <c r="D45" s="1021"/>
      <c r="E45" s="994" t="s">
        <v>1447</v>
      </c>
      <c r="F45" s="1003"/>
      <c r="G45" s="995">
        <v>13.260668754577637</v>
      </c>
      <c r="H45" s="995">
        <v>16.017902374267578</v>
      </c>
      <c r="I45" s="1005"/>
      <c r="J45" s="995">
        <v>16.038902282714844</v>
      </c>
      <c r="K45" s="995">
        <v>18.562370300292969</v>
      </c>
      <c r="L45" s="1007"/>
      <c r="M45" s="996">
        <v>14.539262771606445</v>
      </c>
      <c r="N45" s="995">
        <v>16.626974105834961</v>
      </c>
      <c r="O45" s="1009"/>
      <c r="U45" s="418"/>
      <c r="Y45" s="538"/>
    </row>
    <row r="46" spans="4:25" s="420" customFormat="1" ht="20" customHeight="1">
      <c r="D46" s="1021"/>
      <c r="E46" s="991" t="s">
        <v>1448</v>
      </c>
      <c r="F46" s="1003"/>
      <c r="G46" s="992">
        <v>12.701950073242188</v>
      </c>
      <c r="H46" s="992">
        <v>15.341347694396973</v>
      </c>
      <c r="I46" s="1005"/>
      <c r="J46" s="992">
        <v>15.330766677856445</v>
      </c>
      <c r="K46" s="992">
        <v>17.759677886962891</v>
      </c>
      <c r="L46" s="1007"/>
      <c r="M46" s="993">
        <v>13.861345291137695</v>
      </c>
      <c r="N46" s="992">
        <v>15.869791030883789</v>
      </c>
      <c r="O46" s="1009"/>
      <c r="U46" s="418"/>
      <c r="Y46" s="538"/>
    </row>
    <row r="47" spans="4:25" s="420" customFormat="1" ht="20" customHeight="1">
      <c r="D47" s="1021"/>
      <c r="E47" s="994" t="s">
        <v>1449</v>
      </c>
      <c r="F47" s="1003"/>
      <c r="G47" s="995">
        <v>12.144542694091797</v>
      </c>
      <c r="H47" s="995">
        <v>14.673935890197754</v>
      </c>
      <c r="I47" s="1005"/>
      <c r="J47" s="995">
        <v>14.633515357971191</v>
      </c>
      <c r="K47" s="995">
        <v>16.967071533203125</v>
      </c>
      <c r="L47" s="1007"/>
      <c r="M47" s="996">
        <v>13.190159797668457</v>
      </c>
      <c r="N47" s="995">
        <v>15.123176574707031</v>
      </c>
      <c r="O47" s="1009"/>
      <c r="U47" s="418"/>
      <c r="Y47" s="538"/>
    </row>
    <row r="48" spans="4:25" s="420" customFormat="1" ht="20" customHeight="1">
      <c r="D48" s="1021"/>
      <c r="E48" s="991" t="s">
        <v>1450</v>
      </c>
      <c r="F48" s="1003"/>
      <c r="G48" s="992">
        <v>11.594487190246582</v>
      </c>
      <c r="H48" s="992">
        <v>14.022871017456055</v>
      </c>
      <c r="I48" s="1005"/>
      <c r="J48" s="992">
        <v>13.946426391601562</v>
      </c>
      <c r="K48" s="992">
        <v>16.185022354125977</v>
      </c>
      <c r="L48" s="1007"/>
      <c r="M48" s="993">
        <v>12.534964561462402</v>
      </c>
      <c r="N48" s="992">
        <v>14.393518447875977</v>
      </c>
      <c r="O48" s="1009"/>
      <c r="U48" s="418"/>
      <c r="Y48" s="538"/>
    </row>
    <row r="49" spans="4:25" s="420" customFormat="1" ht="20" customHeight="1">
      <c r="D49" s="1021"/>
      <c r="E49" s="994" t="s">
        <v>1451</v>
      </c>
      <c r="F49" s="1003"/>
      <c r="G49" s="995">
        <v>11.058954238891602</v>
      </c>
      <c r="H49" s="995">
        <v>13.376445770263672</v>
      </c>
      <c r="I49" s="1005"/>
      <c r="J49" s="995">
        <v>13.26853084564209</v>
      </c>
      <c r="K49" s="995">
        <v>15.414098739624023</v>
      </c>
      <c r="L49" s="1007"/>
      <c r="M49" s="996">
        <v>11.889216423034668</v>
      </c>
      <c r="N49" s="995">
        <v>13.675666809082031</v>
      </c>
      <c r="O49" s="1009"/>
      <c r="U49" s="418"/>
      <c r="Y49" s="538"/>
    </row>
    <row r="50" spans="4:25" s="420" customFormat="1" ht="20" customHeight="1">
      <c r="D50" s="1021"/>
      <c r="E50" s="991" t="s">
        <v>1452</v>
      </c>
      <c r="F50" s="1003"/>
      <c r="G50" s="992">
        <v>10.53132438659668</v>
      </c>
      <c r="H50" s="992">
        <v>12.744575500488281</v>
      </c>
      <c r="I50" s="1005"/>
      <c r="J50" s="992">
        <v>12.59954833984375</v>
      </c>
      <c r="K50" s="992">
        <v>14.655172348022461</v>
      </c>
      <c r="L50" s="1007"/>
      <c r="M50" s="993">
        <v>11.259521484375</v>
      </c>
      <c r="N50" s="992">
        <v>12.972759246826172</v>
      </c>
      <c r="O50" s="1009"/>
      <c r="U50" s="418"/>
      <c r="Y50" s="538"/>
    </row>
    <row r="51" spans="4:25" s="420" customFormat="1" ht="20" customHeight="1">
      <c r="D51" s="1021"/>
      <c r="E51" s="994" t="s">
        <v>1453</v>
      </c>
      <c r="F51" s="1003"/>
      <c r="G51" s="995">
        <v>10.023011207580566</v>
      </c>
      <c r="H51" s="995">
        <v>12.125468254089355</v>
      </c>
      <c r="I51" s="1005"/>
      <c r="J51" s="995">
        <v>11.939440727233887</v>
      </c>
      <c r="K51" s="995">
        <v>13.909052848815918</v>
      </c>
      <c r="L51" s="1007"/>
      <c r="M51" s="996">
        <v>10.64301872253418</v>
      </c>
      <c r="N51" s="995">
        <v>12.283380508422852</v>
      </c>
      <c r="O51" s="1009"/>
      <c r="U51" s="418"/>
      <c r="Y51" s="538"/>
    </row>
    <row r="52" spans="4:25" s="420" customFormat="1" ht="20" customHeight="1">
      <c r="D52" s="1021"/>
      <c r="E52" s="991" t="s">
        <v>1454</v>
      </c>
      <c r="F52" s="1003"/>
      <c r="G52" s="992">
        <v>9.5290870666503906</v>
      </c>
      <c r="H52" s="992">
        <v>11.52149486541748</v>
      </c>
      <c r="I52" s="1005"/>
      <c r="J52" s="992">
        <v>11.290664672851562</v>
      </c>
      <c r="K52" s="992">
        <v>13.177639007568359</v>
      </c>
      <c r="L52" s="1007"/>
      <c r="M52" s="993">
        <v>10.045616149902344</v>
      </c>
      <c r="N52" s="992">
        <v>11.611889839172363</v>
      </c>
      <c r="O52" s="1009"/>
      <c r="U52" s="418"/>
      <c r="Y52" s="538"/>
    </row>
    <row r="53" spans="4:25" s="420" customFormat="1" ht="20" customHeight="1">
      <c r="D53" s="1021"/>
      <c r="E53" s="994" t="s">
        <v>1455</v>
      </c>
      <c r="F53" s="1003"/>
      <c r="G53" s="995">
        <v>9.0485668182373047</v>
      </c>
      <c r="H53" s="995">
        <v>10.924850463867188</v>
      </c>
      <c r="I53" s="1005"/>
      <c r="J53" s="995">
        <v>10.657722473144531</v>
      </c>
      <c r="K53" s="995">
        <v>12.462750434875488</v>
      </c>
      <c r="L53" s="1007"/>
      <c r="M53" s="996">
        <v>9.467494010925293</v>
      </c>
      <c r="N53" s="995">
        <v>10.957626342773438</v>
      </c>
      <c r="O53" s="1009"/>
      <c r="U53" s="418"/>
      <c r="Y53" s="538"/>
    </row>
    <row r="54" spans="4:25" s="420" customFormat="1" ht="20" customHeight="1">
      <c r="D54" s="1021"/>
      <c r="E54" s="991" t="s">
        <v>1456</v>
      </c>
      <c r="F54" s="1003"/>
      <c r="G54" s="992">
        <v>8.5830612182617188</v>
      </c>
      <c r="H54" s="992">
        <v>10.345987319946289</v>
      </c>
      <c r="I54" s="1005"/>
      <c r="J54" s="992">
        <v>10.041109085083008</v>
      </c>
      <c r="K54" s="992">
        <v>11.765264511108398</v>
      </c>
      <c r="L54" s="1007"/>
      <c r="M54" s="993">
        <v>8.9023332595825195</v>
      </c>
      <c r="N54" s="992">
        <v>10.320405960083008</v>
      </c>
      <c r="O54" s="1009"/>
      <c r="U54" s="418"/>
      <c r="Y54" s="538"/>
    </row>
    <row r="55" spans="4:25" s="420" customFormat="1" ht="20" customHeight="1">
      <c r="D55" s="1021"/>
      <c r="E55" s="994" t="s">
        <v>1457</v>
      </c>
      <c r="F55" s="1003"/>
      <c r="G55" s="995">
        <v>8.1271266937255859</v>
      </c>
      <c r="H55" s="995">
        <v>9.7814455032348633</v>
      </c>
      <c r="I55" s="1005"/>
      <c r="J55" s="995">
        <v>9.4432001113891602</v>
      </c>
      <c r="K55" s="995">
        <v>11.084928512573242</v>
      </c>
      <c r="L55" s="1007"/>
      <c r="M55" s="996">
        <v>8.354827880859375</v>
      </c>
      <c r="N55" s="995">
        <v>9.6997823715209961</v>
      </c>
      <c r="O55" s="1009"/>
      <c r="U55" s="418"/>
      <c r="Y55" s="538"/>
    </row>
    <row r="56" spans="4:25" s="420" customFormat="1" ht="20" customHeight="1">
      <c r="D56" s="1021"/>
      <c r="E56" s="991" t="s">
        <v>1458</v>
      </c>
      <c r="F56" s="1003"/>
      <c r="G56" s="992">
        <v>7.6838827133178711</v>
      </c>
      <c r="H56" s="992">
        <v>9.2299518585205078</v>
      </c>
      <c r="I56" s="1005"/>
      <c r="J56" s="992">
        <v>8.8627557754516602</v>
      </c>
      <c r="K56" s="992">
        <v>10.421848297119141</v>
      </c>
      <c r="L56" s="1007"/>
      <c r="M56" s="993">
        <v>7.8233294486999512</v>
      </c>
      <c r="N56" s="992">
        <v>9.0967683792114258</v>
      </c>
      <c r="O56" s="1009"/>
      <c r="U56" s="418"/>
      <c r="Y56" s="538"/>
    </row>
    <row r="57" spans="4:25" s="420" customFormat="1" ht="20" customHeight="1">
      <c r="D57" s="1021"/>
      <c r="E57" s="994" t="s">
        <v>1459</v>
      </c>
      <c r="F57" s="1003"/>
      <c r="G57" s="995">
        <v>7.2576766014099121</v>
      </c>
      <c r="H57" s="995">
        <v>8.7019777297973633</v>
      </c>
      <c r="I57" s="1005"/>
      <c r="J57" s="995">
        <v>8.3031044006347656</v>
      </c>
      <c r="K57" s="995">
        <v>9.7803363800048828</v>
      </c>
      <c r="L57" s="1007"/>
      <c r="M57" s="996">
        <v>7.311366081237793</v>
      </c>
      <c r="N57" s="995">
        <v>8.5157690048217773</v>
      </c>
      <c r="O57" s="1009"/>
      <c r="U57" s="418"/>
      <c r="Y57" s="538"/>
    </row>
    <row r="58" spans="4:25" s="420" customFormat="1" ht="20" customHeight="1">
      <c r="D58" s="1021"/>
      <c r="E58" s="991" t="s">
        <v>1460</v>
      </c>
      <c r="F58" s="1003"/>
      <c r="G58" s="992">
        <v>6.8484907150268555</v>
      </c>
      <c r="H58" s="992">
        <v>8.2067861557006836</v>
      </c>
      <c r="I58" s="1005"/>
      <c r="J58" s="992">
        <v>7.7627439498901367</v>
      </c>
      <c r="K58" s="992">
        <v>9.1595602035522461</v>
      </c>
      <c r="L58" s="1007"/>
      <c r="M58" s="993">
        <v>6.8186454772949219</v>
      </c>
      <c r="N58" s="992">
        <v>7.9558906555175781</v>
      </c>
      <c r="O58" s="1009"/>
      <c r="U58" s="418"/>
      <c r="Y58" s="538"/>
    </row>
    <row r="59" spans="4:25" s="420" customFormat="1" ht="20" customHeight="1">
      <c r="D59" s="1021"/>
      <c r="E59" s="994" t="s">
        <v>1461</v>
      </c>
      <c r="F59" s="1003"/>
      <c r="G59" s="995">
        <v>6.4628629684448242</v>
      </c>
      <c r="H59" s="995">
        <v>7.721926212310791</v>
      </c>
      <c r="I59" s="1005"/>
      <c r="J59" s="995">
        <v>7.2405362129211426</v>
      </c>
      <c r="K59" s="995">
        <v>8.5611028671264648</v>
      </c>
      <c r="L59" s="1007"/>
      <c r="M59" s="996">
        <v>6.3436942100524902</v>
      </c>
      <c r="N59" s="995">
        <v>7.4185729026794434</v>
      </c>
      <c r="O59" s="1009"/>
      <c r="U59" s="418"/>
      <c r="Y59" s="538"/>
    </row>
    <row r="60" spans="4:25" s="420" customFormat="1" ht="20" customHeight="1">
      <c r="D60" s="1021"/>
      <c r="E60" s="991" t="s">
        <v>1462</v>
      </c>
      <c r="F60" s="1003"/>
      <c r="G60" s="992">
        <v>6.0845141410827637</v>
      </c>
      <c r="H60" s="992">
        <v>7.254704475402832</v>
      </c>
      <c r="I60" s="1005"/>
      <c r="J60" s="992">
        <v>6.747776985168457</v>
      </c>
      <c r="K60" s="992">
        <v>7.9904804229736328</v>
      </c>
      <c r="L60" s="1007"/>
      <c r="M60" s="993">
        <v>5.8984808921813965</v>
      </c>
      <c r="N60" s="992">
        <v>6.9095849990844727</v>
      </c>
      <c r="O60" s="1009"/>
      <c r="U60" s="418"/>
      <c r="Y60" s="538"/>
    </row>
    <row r="61" spans="4:25" s="420" customFormat="1" ht="20" customHeight="1">
      <c r="D61" s="1021"/>
      <c r="E61" s="994" t="s">
        <v>1463</v>
      </c>
      <c r="F61" s="1003"/>
      <c r="G61" s="995">
        <v>5.7256741523742676</v>
      </c>
      <c r="H61" s="995">
        <v>6.8005213737487793</v>
      </c>
      <c r="I61" s="1005"/>
      <c r="J61" s="995">
        <v>6.2752528190612793</v>
      </c>
      <c r="K61" s="995">
        <v>7.4442424774169922</v>
      </c>
      <c r="L61" s="1007"/>
      <c r="M61" s="996">
        <v>5.4728941917419434</v>
      </c>
      <c r="N61" s="995">
        <v>6.4248142242431641</v>
      </c>
      <c r="O61" s="1009"/>
      <c r="U61" s="418"/>
    </row>
    <row r="62" spans="4:25" s="420" customFormat="1" ht="20" customHeight="1">
      <c r="D62" s="1021"/>
      <c r="E62" s="991" t="s">
        <v>1464</v>
      </c>
      <c r="F62" s="1003"/>
      <c r="G62" s="992">
        <v>5.3860149383544922</v>
      </c>
      <c r="H62" s="992">
        <v>6.3755583763122559</v>
      </c>
      <c r="I62" s="1005"/>
      <c r="J62" s="992">
        <v>5.818486213684082</v>
      </c>
      <c r="K62" s="992">
        <v>6.9095664024353027</v>
      </c>
      <c r="L62" s="1007"/>
      <c r="M62" s="993">
        <v>5.0618500709533691</v>
      </c>
      <c r="N62" s="992">
        <v>5.9499382972717285</v>
      </c>
      <c r="O62" s="1009"/>
      <c r="U62" s="543"/>
    </row>
    <row r="63" spans="4:25" s="420" customFormat="1" ht="20" customHeight="1">
      <c r="D63" s="1021"/>
      <c r="E63" s="994" t="s">
        <v>1465</v>
      </c>
      <c r="F63" s="1003"/>
      <c r="G63" s="995">
        <v>5.0651516914367676</v>
      </c>
      <c r="H63" s="995">
        <v>5.9728827476501465</v>
      </c>
      <c r="I63" s="1005"/>
      <c r="J63" s="995">
        <v>5.3900895118713379</v>
      </c>
      <c r="K63" s="995">
        <v>6.4041409492492676</v>
      </c>
      <c r="L63" s="1007"/>
      <c r="M63" s="996">
        <v>4.6784334182739258</v>
      </c>
      <c r="N63" s="995">
        <v>5.5036711692810059</v>
      </c>
      <c r="O63" s="1010"/>
      <c r="P63" s="544"/>
      <c r="Q63" s="544"/>
      <c r="U63" s="543"/>
    </row>
    <row r="64" spans="4:25" s="420" customFormat="1" ht="20" customHeight="1">
      <c r="D64" s="1021"/>
      <c r="E64" s="991" t="s">
        <v>1466</v>
      </c>
      <c r="F64" s="1003"/>
      <c r="G64" s="992">
        <v>4.7626495361328125</v>
      </c>
      <c r="H64" s="992">
        <v>5.5922527313232422</v>
      </c>
      <c r="I64" s="1005"/>
      <c r="J64" s="992">
        <v>4.989832878112793</v>
      </c>
      <c r="K64" s="992">
        <v>5.9282064437866211</v>
      </c>
      <c r="L64" s="1007"/>
      <c r="M64" s="993">
        <v>4.3221535682678223</v>
      </c>
      <c r="N64" s="992">
        <v>5.0858912467956543</v>
      </c>
      <c r="O64" s="1011"/>
      <c r="P64" s="866"/>
      <c r="Q64" s="866"/>
      <c r="R64" s="2517"/>
      <c r="S64" s="2517"/>
      <c r="U64" s="543"/>
    </row>
    <row r="65" spans="4:24" s="420" customFormat="1" ht="20" customHeight="1">
      <c r="D65" s="1021"/>
      <c r="E65" s="994" t="s">
        <v>1467</v>
      </c>
      <c r="F65" s="1003"/>
      <c r="G65" s="995">
        <v>4.4780216217041016</v>
      </c>
      <c r="H65" s="995">
        <v>5.2333412170410156</v>
      </c>
      <c r="I65" s="1005"/>
      <c r="J65" s="995">
        <v>4.6173133850097656</v>
      </c>
      <c r="K65" s="995">
        <v>5.481818675994873</v>
      </c>
      <c r="L65" s="1007"/>
      <c r="M65" s="996">
        <v>3.9923615455627441</v>
      </c>
      <c r="N65" s="995">
        <v>4.6963024139404297</v>
      </c>
      <c r="O65" s="1012"/>
      <c r="P65" s="865"/>
      <c r="Q65" s="865"/>
      <c r="R65" s="2516"/>
      <c r="S65" s="2516"/>
      <c r="U65" s="418"/>
    </row>
    <row r="66" spans="4:24" s="420" customFormat="1" ht="20" customHeight="1">
      <c r="D66" s="1021"/>
      <c r="E66" s="991" t="s">
        <v>1468</v>
      </c>
      <c r="F66" s="1003"/>
      <c r="G66" s="992">
        <v>4.2107396125793457</v>
      </c>
      <c r="H66" s="992">
        <v>4.8957433700561523</v>
      </c>
      <c r="I66" s="1005"/>
      <c r="J66" s="992">
        <v>4.2719607353210449</v>
      </c>
      <c r="K66" s="992">
        <v>5.0648398399353027</v>
      </c>
      <c r="L66" s="1007"/>
      <c r="M66" s="993">
        <v>3.6882615089416504</v>
      </c>
      <c r="N66" s="992">
        <v>4.3344340324401855</v>
      </c>
      <c r="O66" s="1012"/>
      <c r="P66" s="865"/>
      <c r="Q66" s="865"/>
      <c r="R66" s="2516"/>
      <c r="S66" s="2516"/>
      <c r="U66" s="418"/>
    </row>
    <row r="67" spans="4:24" s="420" customFormat="1" ht="20" customHeight="1">
      <c r="D67" s="1021"/>
      <c r="E67" s="994" t="s">
        <v>1469</v>
      </c>
      <c r="F67" s="1003"/>
      <c r="G67" s="995">
        <v>3.960235595703125</v>
      </c>
      <c r="H67" s="995">
        <v>4.5789761543273926</v>
      </c>
      <c r="I67" s="1005"/>
      <c r="J67" s="995">
        <v>3.9530460834503174</v>
      </c>
      <c r="K67" s="995">
        <v>4.6769356727600098</v>
      </c>
      <c r="L67" s="1007"/>
      <c r="M67" s="996">
        <v>3.408923864364624</v>
      </c>
      <c r="N67" s="995">
        <v>3.9996476173400879</v>
      </c>
      <c r="O67" s="1012"/>
      <c r="P67" s="865"/>
      <c r="Q67" s="865"/>
      <c r="R67" s="2516"/>
      <c r="S67" s="2516"/>
      <c r="U67" s="418"/>
    </row>
    <row r="68" spans="4:24" s="420" customFormat="1" ht="20" customHeight="1">
      <c r="D68" s="1021"/>
      <c r="E68" s="991" t="s">
        <v>1470</v>
      </c>
      <c r="F68" s="1003"/>
      <c r="G68" s="992">
        <v>3.7259085178375244</v>
      </c>
      <c r="H68" s="992">
        <v>4.2824859619140625</v>
      </c>
      <c r="I68" s="1005"/>
      <c r="J68" s="992">
        <v>3.6596939563751221</v>
      </c>
      <c r="K68" s="992">
        <v>4.3175826072692871</v>
      </c>
      <c r="L68" s="1007"/>
      <c r="M68" s="993">
        <v>3.1533026695251465</v>
      </c>
      <c r="N68" s="992">
        <v>3.691148042678833</v>
      </c>
      <c r="O68" s="1012"/>
      <c r="P68" s="865"/>
      <c r="Q68" s="865"/>
      <c r="R68" s="2516"/>
      <c r="S68" s="2516"/>
      <c r="U68" s="418"/>
    </row>
    <row r="69" spans="4:24" s="420" customFormat="1" ht="20" customHeight="1">
      <c r="D69" s="1021"/>
      <c r="E69" s="994" t="s">
        <v>1471</v>
      </c>
      <c r="F69" s="1003"/>
      <c r="G69" s="995">
        <v>3.5071277618408203</v>
      </c>
      <c r="H69" s="995">
        <v>4.005652904510498</v>
      </c>
      <c r="I69" s="1005"/>
      <c r="J69" s="995">
        <v>3.3908991813659668</v>
      </c>
      <c r="K69" s="995">
        <v>3.9860711097717285</v>
      </c>
      <c r="L69" s="1007"/>
      <c r="M69" s="996">
        <v>2.9202537536621094</v>
      </c>
      <c r="N69" s="995">
        <v>3.4079973697662354</v>
      </c>
      <c r="O69" s="1012"/>
      <c r="P69" s="865"/>
      <c r="Q69" s="865"/>
      <c r="R69" s="2516"/>
      <c r="S69" s="2516"/>
      <c r="U69" s="418"/>
    </row>
    <row r="70" spans="4:24" s="420" customFormat="1" ht="20" customHeight="1">
      <c r="D70" s="1021"/>
      <c r="E70" s="991" t="s">
        <v>1472</v>
      </c>
      <c r="F70" s="1003"/>
      <c r="G70" s="992">
        <v>3.3032405376434326</v>
      </c>
      <c r="H70" s="992">
        <v>3.7478010654449463</v>
      </c>
      <c r="I70" s="1005"/>
      <c r="J70" s="992">
        <v>3.1455435752868652</v>
      </c>
      <c r="K70" s="992">
        <v>3.6815214157104492</v>
      </c>
      <c r="L70" s="1007"/>
      <c r="M70" s="993">
        <v>2.7085552215576172</v>
      </c>
      <c r="N70" s="992">
        <v>3.1491310596466064</v>
      </c>
      <c r="O70" s="1012"/>
      <c r="P70" s="865"/>
      <c r="Q70" s="865"/>
      <c r="R70" s="2516"/>
      <c r="S70" s="2516"/>
      <c r="U70" s="418"/>
    </row>
    <row r="71" spans="4:24" s="420" customFormat="1" ht="20" customHeight="1">
      <c r="D71" s="1021"/>
      <c r="E71" s="994" t="s">
        <v>1473</v>
      </c>
      <c r="F71" s="1003"/>
      <c r="G71" s="995">
        <v>3.1135778427124023</v>
      </c>
      <c r="H71" s="995">
        <v>3.5082032680511475</v>
      </c>
      <c r="I71" s="1005"/>
      <c r="J71" s="995">
        <v>2.9224178791046143</v>
      </c>
      <c r="K71" s="995">
        <v>3.4028992652893066</v>
      </c>
      <c r="L71" s="1007"/>
      <c r="M71" s="996">
        <v>2.5169284343719482</v>
      </c>
      <c r="N71" s="995">
        <v>2.9133782386779785</v>
      </c>
      <c r="O71" s="1009"/>
      <c r="R71" s="418"/>
      <c r="U71" s="418"/>
    </row>
    <row r="72" spans="4:24" s="420" customFormat="1" ht="20" customHeight="1">
      <c r="D72" s="1021"/>
      <c r="E72" s="991" t="s">
        <v>1474</v>
      </c>
      <c r="F72" s="1003"/>
      <c r="G72" s="992">
        <v>2.9374582767486572</v>
      </c>
      <c r="H72" s="992">
        <v>3.286090612411499</v>
      </c>
      <c r="I72" s="1005"/>
      <c r="J72" s="992">
        <v>2.7202422618865967</v>
      </c>
      <c r="K72" s="992">
        <v>3.1490364074707031</v>
      </c>
      <c r="L72" s="1007"/>
      <c r="M72" s="993">
        <v>2.3440594673156738</v>
      </c>
      <c r="N72" s="992">
        <v>2.6994836330413818</v>
      </c>
      <c r="O72" s="1009"/>
      <c r="U72" s="418"/>
    </row>
    <row r="73" spans="4:24" s="420" customFormat="1" ht="20" customHeight="1">
      <c r="D73" s="1021"/>
      <c r="E73" s="994" t="s">
        <v>1475</v>
      </c>
      <c r="F73" s="1003"/>
      <c r="G73" s="995">
        <v>2.7741951942443848</v>
      </c>
      <c r="H73" s="995">
        <v>3.0806605815887451</v>
      </c>
      <c r="I73" s="1005"/>
      <c r="J73" s="995">
        <v>2.5376906394958496</v>
      </c>
      <c r="K73" s="995">
        <v>2.9186549186706543</v>
      </c>
      <c r="L73" s="1007"/>
      <c r="M73" s="996">
        <v>2.1886196136474609</v>
      </c>
      <c r="N73" s="995">
        <v>2.5061299800872803</v>
      </c>
      <c r="O73" s="1013"/>
      <c r="P73" s="418"/>
      <c r="Q73" s="418"/>
      <c r="U73" s="418"/>
    </row>
    <row r="74" spans="4:24" s="420" customFormat="1" ht="20" customHeight="1">
      <c r="D74" s="1021"/>
      <c r="E74" s="991" t="s">
        <v>1476</v>
      </c>
      <c r="F74" s="1003"/>
      <c r="G74" s="992">
        <v>2.623100757598877</v>
      </c>
      <c r="H74" s="992">
        <v>2.8910870552062988</v>
      </c>
      <c r="I74" s="1005"/>
      <c r="J74" s="992">
        <v>2.3734104633331299</v>
      </c>
      <c r="K74" s="992">
        <v>2.7103915214538574</v>
      </c>
      <c r="L74" s="1007"/>
      <c r="M74" s="993">
        <v>2.0492842197418213</v>
      </c>
      <c r="N74" s="992">
        <v>2.3319604396820068</v>
      </c>
      <c r="O74" s="1009"/>
      <c r="U74" s="538"/>
    </row>
    <row r="75" spans="4:24" s="420" customFormat="1" ht="20" customHeight="1">
      <c r="D75" s="1021"/>
      <c r="E75" s="997" t="s">
        <v>1477</v>
      </c>
      <c r="F75" s="1023"/>
      <c r="G75" s="998">
        <v>2.4834909439086914</v>
      </c>
      <c r="H75" s="998">
        <v>2.7165265083312988</v>
      </c>
      <c r="I75" s="1009"/>
      <c r="J75" s="998">
        <v>2.2260453701019287</v>
      </c>
      <c r="K75" s="998">
        <v>2.5228240489959717</v>
      </c>
      <c r="L75" s="1009"/>
      <c r="M75" s="1000">
        <v>1.924750804901123</v>
      </c>
      <c r="N75" s="998">
        <v>2.1756014823913574</v>
      </c>
      <c r="O75" s="1009"/>
      <c r="U75" s="538"/>
    </row>
    <row r="76" spans="4:24" s="420" customFormat="1" ht="15" customHeight="1">
      <c r="D76" s="1022"/>
      <c r="E76" s="1015"/>
      <c r="F76" s="1024"/>
      <c r="G76" s="1014"/>
      <c r="H76" s="1014"/>
      <c r="I76" s="999"/>
      <c r="J76" s="1014"/>
      <c r="K76" s="1014"/>
      <c r="L76" s="999"/>
      <c r="M76" s="1014"/>
      <c r="N76" s="1014"/>
      <c r="O76" s="1001"/>
      <c r="U76" s="538"/>
      <c r="V76" s="538"/>
      <c r="W76" s="540"/>
      <c r="X76" s="538"/>
    </row>
  </sheetData>
  <sheetProtection algorithmName="SHA-512" hashValue="u0EJWDz2Xf+axqVbkrdDkJZwdoA9qArpxla/ryr1jnT6YqEcI/OQrbfEUVvl5H/e4RknBGzkrL62AwMPK3uEDg==" saltValue="j8UdyKUuVb/4k0W7JQPk/A==" spinCount="100000" sheet="1" objects="1" scenarios="1" formatCells="0" formatColumns="0" formatRows="0" selectLockedCells="1"/>
  <mergeCells count="24">
    <mergeCell ref="R23:X23"/>
    <mergeCell ref="R24:X24"/>
    <mergeCell ref="R25:X25"/>
    <mergeCell ref="Q19:X19"/>
    <mergeCell ref="R17:X17"/>
    <mergeCell ref="R20:X20"/>
    <mergeCell ref="R21:X21"/>
    <mergeCell ref="R22:X22"/>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25" zoomScaleNormal="125" workbookViewId="0">
      <pane ySplit="7" topLeftCell="A165" activePane="bottomLeft" state="frozen"/>
      <selection pane="bottomLeft" activeCell="N27" sqref="N27"/>
    </sheetView>
  </sheetViews>
  <sheetFormatPr baseColWidth="10" defaultRowHeight="12" customHeight="1"/>
  <cols>
    <col min="1" max="1" width="5.7109375" style="805" customWidth="1"/>
    <col min="2" max="2" width="3.7109375" style="806" customWidth="1"/>
    <col min="3" max="3" width="5.7109375" style="805" customWidth="1"/>
    <col min="4" max="4" width="14.42578125" style="804" customWidth="1"/>
    <col min="5" max="7" width="14.42578125" style="805" customWidth="1"/>
    <col min="8" max="8" width="14.42578125" style="804" customWidth="1"/>
    <col min="9" max="11" width="14.42578125" style="805" customWidth="1"/>
    <col min="12" max="12" width="3.85546875" style="805" customWidth="1"/>
    <col min="13" max="19" width="6.140625" style="805" customWidth="1"/>
    <col min="20" max="16384" width="10.7109375" style="805"/>
  </cols>
  <sheetData>
    <row r="1" spans="1:74" ht="8" customHeight="1">
      <c r="A1" s="893"/>
      <c r="B1" s="893"/>
      <c r="C1" s="893"/>
      <c r="D1" s="893"/>
      <c r="E1" s="893"/>
      <c r="F1" s="893"/>
      <c r="G1" s="893"/>
      <c r="H1" s="893"/>
      <c r="I1" s="893"/>
      <c r="J1" s="893"/>
      <c r="K1" s="893"/>
      <c r="L1" s="893"/>
    </row>
    <row r="2" spans="1:74" ht="33" customHeight="1">
      <c r="B2" s="858" t="s">
        <v>90</v>
      </c>
      <c r="D2" s="807"/>
      <c r="E2" s="1"/>
      <c r="F2" s="1"/>
      <c r="G2" s="1"/>
      <c r="H2" s="807"/>
      <c r="I2" s="1"/>
      <c r="J2" s="1"/>
      <c r="K2" s="1"/>
      <c r="AD2" s="806"/>
      <c r="AE2" s="806"/>
      <c r="AF2" s="806"/>
      <c r="BP2" s="1"/>
    </row>
    <row r="3" spans="1:74" ht="40" customHeight="1">
      <c r="A3" s="860" t="s">
        <v>1310</v>
      </c>
      <c r="B3" s="859"/>
      <c r="C3" s="808" t="s">
        <v>276</v>
      </c>
      <c r="D3" s="544" t="s">
        <v>242</v>
      </c>
      <c r="E3" s="553"/>
      <c r="F3" s="553"/>
      <c r="G3" s="553"/>
      <c r="H3" s="553"/>
      <c r="I3" s="553"/>
      <c r="J3" s="553"/>
      <c r="K3" s="553"/>
      <c r="L3" s="553"/>
      <c r="AD3" s="806"/>
      <c r="AE3" s="806"/>
      <c r="AF3" s="806"/>
      <c r="BP3" s="1"/>
    </row>
    <row r="4" spans="1:74" ht="18" customHeight="1">
      <c r="C4" s="809"/>
      <c r="D4" s="809"/>
      <c r="E4" s="809"/>
      <c r="F4" s="809"/>
      <c r="G4" s="809"/>
      <c r="H4" s="809"/>
      <c r="I4" s="809"/>
      <c r="J4" s="809"/>
      <c r="K4" s="809"/>
      <c r="AD4" s="806"/>
      <c r="AE4" s="806"/>
      <c r="AF4" s="806"/>
      <c r="BP4" s="1"/>
    </row>
    <row r="5" spans="1:74" ht="18" customHeight="1">
      <c r="B5" s="826"/>
      <c r="C5" s="823"/>
      <c r="D5" s="834" t="s">
        <v>75</v>
      </c>
      <c r="E5" s="835"/>
      <c r="F5" s="835"/>
      <c r="G5" s="836"/>
      <c r="H5" s="837" t="s">
        <v>91</v>
      </c>
      <c r="I5" s="835"/>
      <c r="J5" s="835"/>
      <c r="K5" s="836"/>
      <c r="AD5" s="806"/>
      <c r="AE5" s="806"/>
      <c r="AF5" s="806"/>
      <c r="BP5" s="1"/>
    </row>
    <row r="6" spans="1:74" ht="18" customHeight="1">
      <c r="B6" s="827" t="s">
        <v>393</v>
      </c>
      <c r="C6" s="824"/>
      <c r="D6" s="832" t="s">
        <v>390</v>
      </c>
      <c r="E6" s="833" t="s">
        <v>93</v>
      </c>
      <c r="F6" s="799" t="s">
        <v>391</v>
      </c>
      <c r="G6" s="800" t="s">
        <v>94</v>
      </c>
      <c r="H6" s="838" t="s">
        <v>390</v>
      </c>
      <c r="I6" s="839" t="s">
        <v>93</v>
      </c>
      <c r="J6" s="840" t="s">
        <v>391</v>
      </c>
      <c r="K6" s="841" t="s">
        <v>94</v>
      </c>
      <c r="AD6" s="806"/>
      <c r="AE6" s="806"/>
      <c r="AF6" s="806"/>
      <c r="BP6" s="1"/>
    </row>
    <row r="7" spans="1:74" ht="28" customHeight="1">
      <c r="A7" s="1323" t="s">
        <v>2148</v>
      </c>
      <c r="B7" s="801" t="s">
        <v>73</v>
      </c>
      <c r="C7" s="825" t="s">
        <v>92</v>
      </c>
      <c r="D7" s="828"/>
      <c r="E7" s="829"/>
      <c r="F7" s="830"/>
      <c r="G7" s="831"/>
      <c r="H7" s="842"/>
      <c r="I7" s="829"/>
      <c r="J7" s="830"/>
      <c r="K7" s="831"/>
      <c r="AD7" s="806"/>
      <c r="AE7" s="806"/>
      <c r="AF7" s="806"/>
      <c r="BP7" s="1"/>
    </row>
    <row r="8" spans="1:74" ht="18" customHeight="1">
      <c r="B8" s="844">
        <f>8</f>
        <v>8</v>
      </c>
      <c r="C8" s="845" t="s">
        <v>95</v>
      </c>
      <c r="D8" s="928">
        <v>0</v>
      </c>
      <c r="E8" s="929">
        <v>0</v>
      </c>
      <c r="F8" s="930">
        <f>E9</f>
        <v>10275</v>
      </c>
      <c r="G8" s="931">
        <v>12950</v>
      </c>
      <c r="H8" s="932">
        <v>0</v>
      </c>
      <c r="I8" s="933">
        <v>0</v>
      </c>
      <c r="J8" s="930">
        <f>I9</f>
        <v>20550</v>
      </c>
      <c r="K8" s="934">
        <v>25900</v>
      </c>
      <c r="AD8" s="806"/>
      <c r="AE8" s="806"/>
      <c r="AF8" s="806"/>
      <c r="BP8" s="1"/>
    </row>
    <row r="9" spans="1:74" ht="18" customHeight="1">
      <c r="B9" s="846">
        <f>B8+1</f>
        <v>9</v>
      </c>
      <c r="C9" s="843" t="s">
        <v>95</v>
      </c>
      <c r="D9" s="935">
        <v>0.12</v>
      </c>
      <c r="E9" s="936">
        <v>10275</v>
      </c>
      <c r="F9" s="937">
        <f t="shared" ref="F9:F18" si="0">E10</f>
        <v>41775</v>
      </c>
      <c r="G9" s="938"/>
      <c r="H9" s="939">
        <v>0.12</v>
      </c>
      <c r="I9" s="940">
        <v>20550</v>
      </c>
      <c r="J9" s="937">
        <f t="shared" ref="J9:J18" si="1">I10</f>
        <v>83550</v>
      </c>
      <c r="K9" s="941"/>
      <c r="M9" s="2541" t="s">
        <v>392</v>
      </c>
      <c r="N9" s="2542"/>
      <c r="O9" s="2542"/>
      <c r="P9" s="2542"/>
      <c r="Q9" s="2542"/>
      <c r="R9" s="2542"/>
      <c r="S9" s="2543"/>
      <c r="AD9" s="806"/>
      <c r="AE9" s="806"/>
      <c r="AF9" s="806"/>
      <c r="BP9" s="1"/>
    </row>
    <row r="10" spans="1:74" ht="18" customHeight="1">
      <c r="B10" s="846">
        <f t="shared" ref="B10:B73" si="2">B9+1</f>
        <v>10</v>
      </c>
      <c r="C10" s="843" t="s">
        <v>95</v>
      </c>
      <c r="D10" s="935">
        <v>0.22</v>
      </c>
      <c r="E10" s="936">
        <v>41775</v>
      </c>
      <c r="F10" s="937">
        <f t="shared" si="0"/>
        <v>89075</v>
      </c>
      <c r="G10" s="938"/>
      <c r="H10" s="939">
        <v>0.22</v>
      </c>
      <c r="I10" s="940">
        <v>83550</v>
      </c>
      <c r="J10" s="937">
        <f t="shared" si="1"/>
        <v>178150</v>
      </c>
      <c r="K10" s="941"/>
      <c r="M10" s="2544" t="s">
        <v>2466</v>
      </c>
      <c r="N10" s="2545"/>
      <c r="O10" s="2545"/>
      <c r="P10" s="2545"/>
      <c r="Q10" s="2545"/>
      <c r="R10" s="2545"/>
      <c r="S10" s="2546"/>
      <c r="AD10" s="806"/>
      <c r="AE10" s="806"/>
      <c r="AF10" s="806"/>
      <c r="BP10" s="1"/>
    </row>
    <row r="11" spans="1:74" ht="18" customHeight="1">
      <c r="B11" s="846">
        <f t="shared" si="2"/>
        <v>11</v>
      </c>
      <c r="C11" s="843" t="s">
        <v>95</v>
      </c>
      <c r="D11" s="935">
        <v>0.24</v>
      </c>
      <c r="E11" s="936">
        <v>89075</v>
      </c>
      <c r="F11" s="937">
        <f t="shared" si="0"/>
        <v>170050</v>
      </c>
      <c r="G11" s="938"/>
      <c r="H11" s="939">
        <v>0.24</v>
      </c>
      <c r="I11" s="942">
        <v>178150</v>
      </c>
      <c r="J11" s="937">
        <f t="shared" si="1"/>
        <v>340100</v>
      </c>
      <c r="K11" s="943"/>
      <c r="M11" s="2544"/>
      <c r="N11" s="2545"/>
      <c r="O11" s="2545"/>
      <c r="P11" s="2545"/>
      <c r="Q11" s="2545"/>
      <c r="R11" s="2545"/>
      <c r="S11" s="2546"/>
      <c r="AD11" s="806"/>
      <c r="AE11" s="806"/>
      <c r="AF11" s="806"/>
      <c r="BP11" s="1"/>
    </row>
    <row r="12" spans="1:74" ht="18" customHeight="1">
      <c r="B12" s="846">
        <f t="shared" si="2"/>
        <v>12</v>
      </c>
      <c r="C12" s="843" t="s">
        <v>95</v>
      </c>
      <c r="D12" s="935">
        <v>0.32</v>
      </c>
      <c r="E12" s="936">
        <v>170050</v>
      </c>
      <c r="F12" s="937">
        <f t="shared" si="0"/>
        <v>215950</v>
      </c>
      <c r="G12" s="938"/>
      <c r="H12" s="939">
        <v>0.32</v>
      </c>
      <c r="I12" s="942">
        <v>340100</v>
      </c>
      <c r="J12" s="937">
        <f t="shared" si="1"/>
        <v>431900</v>
      </c>
      <c r="K12" s="943"/>
      <c r="M12" s="2544"/>
      <c r="N12" s="2545"/>
      <c r="O12" s="2545"/>
      <c r="P12" s="2545"/>
      <c r="Q12" s="2545"/>
      <c r="R12" s="2545"/>
      <c r="S12" s="2546"/>
      <c r="AD12" s="806"/>
      <c r="AE12" s="806"/>
      <c r="AF12" s="806"/>
      <c r="BP12" s="1"/>
    </row>
    <row r="13" spans="1:74" ht="18" customHeight="1">
      <c r="B13" s="846">
        <f t="shared" si="2"/>
        <v>13</v>
      </c>
      <c r="C13" s="843" t="s">
        <v>95</v>
      </c>
      <c r="D13" s="935">
        <v>0.35</v>
      </c>
      <c r="E13" s="936">
        <v>215950</v>
      </c>
      <c r="F13" s="937">
        <f t="shared" si="0"/>
        <v>539900</v>
      </c>
      <c r="G13" s="938"/>
      <c r="H13" s="939">
        <v>0.35</v>
      </c>
      <c r="I13" s="942">
        <v>431900</v>
      </c>
      <c r="J13" s="937">
        <f t="shared" si="1"/>
        <v>647850</v>
      </c>
      <c r="K13" s="943"/>
      <c r="M13" s="2544"/>
      <c r="N13" s="2545"/>
      <c r="O13" s="2545"/>
      <c r="P13" s="2545"/>
      <c r="Q13" s="2545"/>
      <c r="R13" s="2545"/>
      <c r="S13" s="2546"/>
      <c r="AD13" s="806"/>
      <c r="AE13" s="806"/>
      <c r="AF13" s="806"/>
      <c r="BP13" s="1"/>
    </row>
    <row r="14" spans="1:74" ht="18" customHeight="1">
      <c r="B14" s="846">
        <f t="shared" si="2"/>
        <v>14</v>
      </c>
      <c r="C14" s="843" t="s">
        <v>95</v>
      </c>
      <c r="D14" s="935">
        <v>0.37</v>
      </c>
      <c r="E14" s="936">
        <v>539900</v>
      </c>
      <c r="F14" s="937">
        <f t="shared" si="0"/>
        <v>0</v>
      </c>
      <c r="G14" s="938"/>
      <c r="H14" s="939">
        <v>0.37</v>
      </c>
      <c r="I14" s="942">
        <v>647850</v>
      </c>
      <c r="J14" s="937">
        <f t="shared" si="1"/>
        <v>0</v>
      </c>
      <c r="K14" s="943"/>
      <c r="M14" s="2544"/>
      <c r="N14" s="2545"/>
      <c r="O14" s="2545"/>
      <c r="P14" s="2545"/>
      <c r="Q14" s="2545"/>
      <c r="R14" s="2545"/>
      <c r="S14" s="2546"/>
      <c r="AD14" s="806"/>
      <c r="AE14" s="806"/>
      <c r="AF14" s="806"/>
      <c r="BN14" s="1"/>
      <c r="BP14" s="1"/>
      <c r="BR14" s="1"/>
      <c r="BT14" s="1"/>
      <c r="BV14" s="1"/>
    </row>
    <row r="15" spans="1:74" ht="18" customHeight="1">
      <c r="B15" s="846">
        <f t="shared" si="2"/>
        <v>15</v>
      </c>
      <c r="C15" s="843" t="s">
        <v>95</v>
      </c>
      <c r="D15" s="935"/>
      <c r="E15" s="936"/>
      <c r="F15" s="937">
        <f t="shared" si="0"/>
        <v>0</v>
      </c>
      <c r="G15" s="938"/>
      <c r="H15" s="939"/>
      <c r="I15" s="942"/>
      <c r="J15" s="937">
        <f t="shared" si="1"/>
        <v>0</v>
      </c>
      <c r="K15" s="943"/>
      <c r="M15" s="2544"/>
      <c r="N15" s="2545"/>
      <c r="O15" s="2545"/>
      <c r="P15" s="2545"/>
      <c r="Q15" s="2545"/>
      <c r="R15" s="2545"/>
      <c r="S15" s="2546"/>
      <c r="AD15" s="806"/>
      <c r="AE15" s="806"/>
      <c r="AF15" s="806"/>
      <c r="BN15" s="1"/>
      <c r="BP15" s="1"/>
      <c r="BR15" s="1"/>
      <c r="BT15" s="1"/>
      <c r="BV15" s="1"/>
    </row>
    <row r="16" spans="1:74" ht="18" customHeight="1">
      <c r="B16" s="846">
        <f t="shared" si="2"/>
        <v>16</v>
      </c>
      <c r="C16" s="843" t="s">
        <v>95</v>
      </c>
      <c r="D16" s="935"/>
      <c r="E16" s="936"/>
      <c r="F16" s="937">
        <f t="shared" si="0"/>
        <v>0</v>
      </c>
      <c r="G16" s="938"/>
      <c r="H16" s="939"/>
      <c r="I16" s="942"/>
      <c r="J16" s="937">
        <f t="shared" si="1"/>
        <v>0</v>
      </c>
      <c r="K16" s="943"/>
      <c r="M16" s="2544"/>
      <c r="N16" s="2545"/>
      <c r="O16" s="2545"/>
      <c r="P16" s="2545"/>
      <c r="Q16" s="2545"/>
      <c r="R16" s="2545"/>
      <c r="S16" s="2546"/>
      <c r="AD16" s="806"/>
      <c r="AE16" s="806"/>
      <c r="AF16" s="806"/>
      <c r="BN16" s="1"/>
      <c r="BP16" s="1"/>
      <c r="BR16" s="1"/>
      <c r="BT16" s="1"/>
      <c r="BV16" s="1"/>
    </row>
    <row r="17" spans="2:74" ht="18" customHeight="1">
      <c r="B17" s="846">
        <f t="shared" si="2"/>
        <v>17</v>
      </c>
      <c r="C17" s="843" t="s">
        <v>95</v>
      </c>
      <c r="D17" s="935"/>
      <c r="E17" s="936"/>
      <c r="F17" s="937">
        <f t="shared" si="0"/>
        <v>0</v>
      </c>
      <c r="G17" s="938"/>
      <c r="H17" s="939"/>
      <c r="I17" s="942"/>
      <c r="J17" s="937">
        <f t="shared" si="1"/>
        <v>0</v>
      </c>
      <c r="K17" s="943"/>
      <c r="M17" s="2544"/>
      <c r="N17" s="2545"/>
      <c r="O17" s="2545"/>
      <c r="P17" s="2545"/>
      <c r="Q17" s="2545"/>
      <c r="R17" s="2545"/>
      <c r="S17" s="2546"/>
      <c r="AD17" s="806"/>
      <c r="AE17" s="806"/>
      <c r="AF17" s="806"/>
      <c r="BN17" s="1"/>
      <c r="BP17" s="1"/>
      <c r="BR17" s="1"/>
      <c r="BT17" s="1"/>
      <c r="BV17" s="1"/>
    </row>
    <row r="18" spans="2:74" ht="18" customHeight="1">
      <c r="B18" s="846">
        <f t="shared" si="2"/>
        <v>18</v>
      </c>
      <c r="C18" s="843" t="s">
        <v>95</v>
      </c>
      <c r="D18" s="935"/>
      <c r="E18" s="936"/>
      <c r="F18" s="937">
        <f t="shared" si="0"/>
        <v>0</v>
      </c>
      <c r="G18" s="938"/>
      <c r="H18" s="939"/>
      <c r="I18" s="942"/>
      <c r="J18" s="937">
        <f t="shared" si="1"/>
        <v>0</v>
      </c>
      <c r="K18" s="943"/>
      <c r="M18" s="2544"/>
      <c r="N18" s="2545"/>
      <c r="O18" s="2545"/>
      <c r="P18" s="2545"/>
      <c r="Q18" s="2545"/>
      <c r="R18" s="2545"/>
      <c r="S18" s="2546"/>
      <c r="AD18" s="806"/>
      <c r="AE18" s="806"/>
      <c r="AF18" s="806"/>
      <c r="BN18" s="1"/>
      <c r="BP18" s="1"/>
      <c r="BR18" s="1"/>
      <c r="BT18" s="1"/>
      <c r="BV18" s="1"/>
    </row>
    <row r="19" spans="2:74" ht="18" customHeight="1">
      <c r="B19" s="847">
        <f t="shared" si="2"/>
        <v>19</v>
      </c>
      <c r="C19" s="848" t="s">
        <v>95</v>
      </c>
      <c r="D19" s="944"/>
      <c r="E19" s="945"/>
      <c r="F19" s="946"/>
      <c r="G19" s="947"/>
      <c r="H19" s="948"/>
      <c r="I19" s="949"/>
      <c r="J19" s="946"/>
      <c r="K19" s="950"/>
      <c r="M19" s="2544"/>
      <c r="N19" s="2545"/>
      <c r="O19" s="2545"/>
      <c r="P19" s="2545"/>
      <c r="Q19" s="2545"/>
      <c r="R19" s="2545"/>
      <c r="S19" s="2546"/>
      <c r="AD19" s="806"/>
      <c r="AE19" s="806"/>
      <c r="AF19" s="806"/>
      <c r="BN19" s="1"/>
      <c r="BP19" s="1"/>
      <c r="BR19" s="1"/>
      <c r="BT19" s="1"/>
      <c r="BV19" s="1"/>
    </row>
    <row r="20" spans="2:74" s="451" customFormat="1" ht="18" customHeight="1">
      <c r="B20" s="849">
        <f t="shared" si="2"/>
        <v>20</v>
      </c>
      <c r="C20" s="849"/>
      <c r="D20" s="951"/>
      <c r="E20" s="952"/>
      <c r="F20" s="953"/>
      <c r="G20" s="953"/>
      <c r="H20" s="954"/>
      <c r="I20" s="955"/>
      <c r="J20" s="953"/>
      <c r="K20" s="953"/>
      <c r="M20" s="2544"/>
      <c r="N20" s="2545"/>
      <c r="O20" s="2545"/>
      <c r="P20" s="2545"/>
      <c r="Q20" s="2545"/>
      <c r="R20" s="2545"/>
      <c r="S20" s="2546"/>
      <c r="AD20" s="849"/>
      <c r="AE20" s="849"/>
      <c r="AF20" s="849"/>
    </row>
    <row r="21" spans="2:74" ht="18" customHeight="1">
      <c r="B21" s="844">
        <f t="shared" si="2"/>
        <v>21</v>
      </c>
      <c r="C21" s="845" t="s">
        <v>96</v>
      </c>
      <c r="D21" s="928">
        <v>0.02</v>
      </c>
      <c r="E21" s="933">
        <v>0</v>
      </c>
      <c r="F21" s="930">
        <f>E22</f>
        <v>500</v>
      </c>
      <c r="G21" s="931">
        <v>2500</v>
      </c>
      <c r="H21" s="932">
        <v>0.02</v>
      </c>
      <c r="I21" s="956">
        <v>0</v>
      </c>
      <c r="J21" s="930">
        <f>I22</f>
        <v>1000</v>
      </c>
      <c r="K21" s="934">
        <v>7500</v>
      </c>
      <c r="M21" s="2544"/>
      <c r="N21" s="2545"/>
      <c r="O21" s="2545"/>
      <c r="P21" s="2545"/>
      <c r="Q21" s="2545"/>
      <c r="R21" s="2545"/>
      <c r="S21" s="2546"/>
      <c r="AD21" s="806"/>
      <c r="AE21" s="806"/>
      <c r="AF21" s="806"/>
      <c r="BP21" s="810"/>
      <c r="BR21" s="810"/>
    </row>
    <row r="22" spans="2:74" ht="18" customHeight="1">
      <c r="B22" s="846">
        <f t="shared" si="2"/>
        <v>22</v>
      </c>
      <c r="C22" s="843" t="s">
        <v>96</v>
      </c>
      <c r="D22" s="935">
        <v>0.04</v>
      </c>
      <c r="E22" s="940">
        <v>500</v>
      </c>
      <c r="F22" s="937">
        <f t="shared" ref="F22:F31" si="3">E23</f>
        <v>3000</v>
      </c>
      <c r="G22" s="938"/>
      <c r="H22" s="939">
        <v>0.04</v>
      </c>
      <c r="I22" s="942">
        <v>1000</v>
      </c>
      <c r="J22" s="937">
        <f t="shared" ref="J22:J31" si="4">I23</f>
        <v>6000</v>
      </c>
      <c r="K22" s="941"/>
      <c r="M22" s="2544"/>
      <c r="N22" s="2545"/>
      <c r="O22" s="2545"/>
      <c r="P22" s="2545"/>
      <c r="Q22" s="2545"/>
      <c r="R22" s="2545"/>
      <c r="S22" s="2546"/>
      <c r="AD22" s="806"/>
      <c r="AE22" s="806"/>
      <c r="AF22" s="806"/>
      <c r="BP22" s="1"/>
      <c r="BR22" s="1"/>
    </row>
    <row r="23" spans="2:74" ht="18" customHeight="1">
      <c r="B23" s="846">
        <f t="shared" si="2"/>
        <v>23</v>
      </c>
      <c r="C23" s="843" t="s">
        <v>96</v>
      </c>
      <c r="D23" s="935">
        <v>0.05</v>
      </c>
      <c r="E23" s="940">
        <v>3000</v>
      </c>
      <c r="F23" s="937">
        <f t="shared" si="3"/>
        <v>0</v>
      </c>
      <c r="G23" s="938"/>
      <c r="H23" s="939">
        <v>0.05</v>
      </c>
      <c r="I23" s="940">
        <v>6000</v>
      </c>
      <c r="J23" s="937">
        <f t="shared" si="4"/>
        <v>0</v>
      </c>
      <c r="K23" s="941"/>
      <c r="M23" s="2544"/>
      <c r="N23" s="2545"/>
      <c r="O23" s="2545"/>
      <c r="P23" s="2545"/>
      <c r="Q23" s="2545"/>
      <c r="R23" s="2545"/>
      <c r="S23" s="2546"/>
      <c r="AD23" s="806"/>
      <c r="AE23" s="806"/>
      <c r="AF23" s="806"/>
      <c r="BP23" s="810"/>
      <c r="BR23" s="810"/>
    </row>
    <row r="24" spans="2:74" ht="18" customHeight="1">
      <c r="B24" s="846">
        <f t="shared" si="2"/>
        <v>24</v>
      </c>
      <c r="C24" s="843" t="s">
        <v>96</v>
      </c>
      <c r="D24" s="935"/>
      <c r="E24" s="940"/>
      <c r="F24" s="937">
        <f t="shared" si="3"/>
        <v>0</v>
      </c>
      <c r="G24" s="938"/>
      <c r="H24" s="939"/>
      <c r="I24" s="940"/>
      <c r="J24" s="937">
        <f t="shared" si="4"/>
        <v>0</v>
      </c>
      <c r="K24" s="941"/>
      <c r="M24" s="2547"/>
      <c r="N24" s="2548"/>
      <c r="O24" s="2548"/>
      <c r="P24" s="2548"/>
      <c r="Q24" s="2548"/>
      <c r="R24" s="2548"/>
      <c r="S24" s="2549"/>
      <c r="AD24" s="806"/>
      <c r="AE24" s="806"/>
      <c r="AF24" s="806"/>
      <c r="BP24" s="810"/>
      <c r="BR24" s="810"/>
    </row>
    <row r="25" spans="2:74" ht="18" customHeight="1">
      <c r="B25" s="846">
        <f t="shared" si="2"/>
        <v>25</v>
      </c>
      <c r="C25" s="843" t="s">
        <v>96</v>
      </c>
      <c r="D25" s="935"/>
      <c r="E25" s="940"/>
      <c r="F25" s="937">
        <f t="shared" si="3"/>
        <v>0</v>
      </c>
      <c r="G25" s="938"/>
      <c r="H25" s="939"/>
      <c r="I25" s="940"/>
      <c r="J25" s="937">
        <f t="shared" si="4"/>
        <v>0</v>
      </c>
      <c r="K25" s="941"/>
      <c r="M25" s="1749"/>
      <c r="N25" s="1749"/>
      <c r="O25" s="1749"/>
      <c r="P25" s="1749"/>
      <c r="Q25" s="1749"/>
      <c r="R25" s="1749"/>
      <c r="S25" s="1749"/>
      <c r="AD25" s="806"/>
      <c r="AE25" s="806"/>
      <c r="AF25" s="806"/>
      <c r="BP25" s="810"/>
      <c r="BR25" s="810"/>
    </row>
    <row r="26" spans="2:74" ht="18" customHeight="1">
      <c r="B26" s="846">
        <f t="shared" si="2"/>
        <v>26</v>
      </c>
      <c r="C26" s="843" t="s">
        <v>96</v>
      </c>
      <c r="D26" s="935"/>
      <c r="E26" s="940"/>
      <c r="F26" s="937">
        <f t="shared" si="3"/>
        <v>0</v>
      </c>
      <c r="G26" s="938"/>
      <c r="H26" s="939"/>
      <c r="I26" s="940"/>
      <c r="J26" s="937">
        <f t="shared" si="4"/>
        <v>0</v>
      </c>
      <c r="K26" s="941"/>
      <c r="M26" s="1749"/>
      <c r="N26" s="1749"/>
      <c r="O26" s="1749"/>
      <c r="P26" s="1749"/>
      <c r="Q26" s="1749"/>
      <c r="R26" s="1749"/>
      <c r="S26" s="1749"/>
      <c r="AD26" s="806"/>
      <c r="AE26" s="806"/>
      <c r="AF26" s="806"/>
      <c r="BP26" s="810"/>
      <c r="BR26" s="810"/>
    </row>
    <row r="27" spans="2:74" ht="18" customHeight="1">
      <c r="B27" s="846">
        <f t="shared" si="2"/>
        <v>27</v>
      </c>
      <c r="C27" s="843" t="s">
        <v>96</v>
      </c>
      <c r="D27" s="935"/>
      <c r="E27" s="940"/>
      <c r="F27" s="937">
        <f t="shared" si="3"/>
        <v>0</v>
      </c>
      <c r="G27" s="938"/>
      <c r="H27" s="939"/>
      <c r="I27" s="940"/>
      <c r="J27" s="937">
        <f t="shared" si="4"/>
        <v>0</v>
      </c>
      <c r="K27" s="941"/>
      <c r="M27" s="1749"/>
      <c r="N27" s="1749"/>
      <c r="O27" s="1749"/>
      <c r="P27" s="1749"/>
      <c r="Q27" s="1749"/>
      <c r="R27" s="1749"/>
      <c r="S27" s="1749"/>
      <c r="AD27" s="806"/>
      <c r="AE27" s="806"/>
      <c r="AF27" s="806"/>
      <c r="BP27" s="810"/>
      <c r="BR27" s="810"/>
    </row>
    <row r="28" spans="2:74" ht="18" customHeight="1">
      <c r="B28" s="846">
        <f t="shared" si="2"/>
        <v>28</v>
      </c>
      <c r="C28" s="843" t="s">
        <v>96</v>
      </c>
      <c r="D28" s="935"/>
      <c r="E28" s="940"/>
      <c r="F28" s="937">
        <f t="shared" si="3"/>
        <v>0</v>
      </c>
      <c r="G28" s="938"/>
      <c r="H28" s="939"/>
      <c r="I28" s="940"/>
      <c r="J28" s="937">
        <f t="shared" si="4"/>
        <v>0</v>
      </c>
      <c r="K28" s="941"/>
      <c r="M28" s="1749"/>
      <c r="N28" s="1749"/>
      <c r="O28" s="1749"/>
      <c r="P28" s="1749"/>
      <c r="Q28" s="1749"/>
      <c r="R28" s="1749"/>
      <c r="S28" s="1749"/>
      <c r="AD28" s="806"/>
      <c r="AE28" s="806"/>
      <c r="AF28" s="806"/>
      <c r="BP28" s="810"/>
      <c r="BR28" s="810"/>
    </row>
    <row r="29" spans="2:74" ht="18" customHeight="1">
      <c r="B29" s="846">
        <f t="shared" si="2"/>
        <v>29</v>
      </c>
      <c r="C29" s="843" t="s">
        <v>96</v>
      </c>
      <c r="D29" s="935"/>
      <c r="E29" s="940"/>
      <c r="F29" s="937">
        <f t="shared" si="3"/>
        <v>0</v>
      </c>
      <c r="G29" s="938"/>
      <c r="H29" s="939"/>
      <c r="I29" s="940"/>
      <c r="J29" s="937">
        <f t="shared" si="4"/>
        <v>0</v>
      </c>
      <c r="K29" s="941"/>
      <c r="M29" s="1749"/>
      <c r="N29" s="1749"/>
      <c r="O29" s="1749"/>
      <c r="P29" s="1749"/>
      <c r="Q29" s="1749"/>
      <c r="R29" s="1749"/>
      <c r="S29" s="1749"/>
      <c r="AD29" s="806"/>
      <c r="AE29" s="806"/>
      <c r="AF29" s="806"/>
      <c r="BP29" s="810"/>
      <c r="BR29" s="810"/>
    </row>
    <row r="30" spans="2:74" ht="18" customHeight="1">
      <c r="B30" s="846">
        <f t="shared" si="2"/>
        <v>30</v>
      </c>
      <c r="C30" s="843" t="s">
        <v>96</v>
      </c>
      <c r="D30" s="935"/>
      <c r="E30" s="940"/>
      <c r="F30" s="937">
        <f t="shared" si="3"/>
        <v>0</v>
      </c>
      <c r="G30" s="938"/>
      <c r="H30" s="939"/>
      <c r="I30" s="940"/>
      <c r="J30" s="937">
        <f t="shared" si="4"/>
        <v>0</v>
      </c>
      <c r="K30" s="941"/>
      <c r="M30" s="1749"/>
      <c r="N30" s="1749"/>
      <c r="O30" s="1749"/>
      <c r="P30" s="1749"/>
      <c r="Q30" s="1749"/>
      <c r="R30" s="1749"/>
      <c r="S30" s="1749"/>
      <c r="AD30" s="806"/>
      <c r="AE30" s="806"/>
      <c r="AF30" s="806"/>
      <c r="BP30" s="810"/>
      <c r="BR30" s="810"/>
    </row>
    <row r="31" spans="2:74" ht="18" customHeight="1">
      <c r="B31" s="846">
        <f t="shared" si="2"/>
        <v>31</v>
      </c>
      <c r="C31" s="843" t="s">
        <v>96</v>
      </c>
      <c r="D31" s="935"/>
      <c r="E31" s="940"/>
      <c r="F31" s="937">
        <f t="shared" si="3"/>
        <v>0</v>
      </c>
      <c r="G31" s="938"/>
      <c r="H31" s="939"/>
      <c r="I31" s="940"/>
      <c r="J31" s="937">
        <f t="shared" si="4"/>
        <v>0</v>
      </c>
      <c r="K31" s="941"/>
      <c r="AD31" s="806"/>
      <c r="AE31" s="806"/>
      <c r="AF31" s="806"/>
      <c r="BP31" s="810"/>
      <c r="BR31" s="810"/>
    </row>
    <row r="32" spans="2:74" ht="19" customHeight="1">
      <c r="B32" s="847">
        <f t="shared" si="2"/>
        <v>32</v>
      </c>
      <c r="C32" s="848" t="s">
        <v>96</v>
      </c>
      <c r="D32" s="944"/>
      <c r="E32" s="957"/>
      <c r="F32" s="946"/>
      <c r="G32" s="947"/>
      <c r="H32" s="948"/>
      <c r="I32" s="957"/>
      <c r="J32" s="946"/>
      <c r="K32" s="958"/>
      <c r="AD32" s="806"/>
      <c r="AE32" s="806"/>
      <c r="AF32" s="806"/>
      <c r="BP32" s="810"/>
      <c r="BR32" s="810"/>
    </row>
    <row r="33" spans="2:68" s="451" customFormat="1" ht="18" customHeight="1">
      <c r="B33" s="849">
        <f t="shared" si="2"/>
        <v>33</v>
      </c>
      <c r="C33" s="849"/>
      <c r="D33" s="292"/>
      <c r="E33" s="777"/>
      <c r="F33" s="448"/>
      <c r="G33" s="849"/>
      <c r="H33" s="449"/>
      <c r="I33" s="777"/>
      <c r="J33" s="448"/>
      <c r="K33" s="448"/>
      <c r="AD33" s="849"/>
      <c r="AE33" s="849"/>
      <c r="AF33" s="849"/>
    </row>
    <row r="34" spans="2:68" ht="18" customHeight="1">
      <c r="B34" s="844">
        <f t="shared" si="2"/>
        <v>34</v>
      </c>
      <c r="C34" s="845" t="s">
        <v>97</v>
      </c>
      <c r="D34" s="928">
        <v>0</v>
      </c>
      <c r="E34" s="959"/>
      <c r="F34" s="930">
        <f t="shared" ref="F34:F44" si="5">E35</f>
        <v>0</v>
      </c>
      <c r="G34" s="931">
        <v>0</v>
      </c>
      <c r="H34" s="932">
        <v>0</v>
      </c>
      <c r="I34" s="959"/>
      <c r="J34" s="930">
        <f t="shared" ref="J34:J44" si="6">I35</f>
        <v>0</v>
      </c>
      <c r="K34" s="934">
        <v>0</v>
      </c>
      <c r="AD34" s="806"/>
      <c r="AE34" s="806"/>
      <c r="AF34" s="806"/>
      <c r="BP34" s="1"/>
    </row>
    <row r="35" spans="2:68" ht="18" customHeight="1">
      <c r="B35" s="846">
        <f t="shared" si="2"/>
        <v>35</v>
      </c>
      <c r="C35" s="843" t="s">
        <v>97</v>
      </c>
      <c r="D35" s="935"/>
      <c r="E35" s="960"/>
      <c r="F35" s="937">
        <f t="shared" si="5"/>
        <v>0</v>
      </c>
      <c r="G35" s="961"/>
      <c r="H35" s="939"/>
      <c r="I35" s="960"/>
      <c r="J35" s="937">
        <f t="shared" si="6"/>
        <v>0</v>
      </c>
      <c r="K35" s="941"/>
      <c r="AD35" s="806"/>
      <c r="AE35" s="806"/>
      <c r="AF35" s="806"/>
      <c r="BP35" s="1"/>
    </row>
    <row r="36" spans="2:68" ht="18" customHeight="1">
      <c r="B36" s="846">
        <f t="shared" si="2"/>
        <v>36</v>
      </c>
      <c r="C36" s="843" t="s">
        <v>97</v>
      </c>
      <c r="D36" s="935"/>
      <c r="E36" s="960"/>
      <c r="F36" s="937">
        <f t="shared" si="5"/>
        <v>0</v>
      </c>
      <c r="G36" s="961"/>
      <c r="H36" s="939"/>
      <c r="I36" s="960"/>
      <c r="J36" s="937">
        <f t="shared" si="6"/>
        <v>0</v>
      </c>
      <c r="K36" s="941"/>
      <c r="AD36" s="806"/>
      <c r="AE36" s="806"/>
      <c r="AF36" s="806"/>
      <c r="BP36" s="1"/>
    </row>
    <row r="37" spans="2:68" ht="18" customHeight="1">
      <c r="B37" s="846">
        <f t="shared" si="2"/>
        <v>37</v>
      </c>
      <c r="C37" s="843" t="s">
        <v>97</v>
      </c>
      <c r="D37" s="935"/>
      <c r="E37" s="960"/>
      <c r="F37" s="937">
        <f t="shared" si="5"/>
        <v>0</v>
      </c>
      <c r="G37" s="961"/>
      <c r="H37" s="939"/>
      <c r="I37" s="960"/>
      <c r="J37" s="937">
        <f t="shared" si="6"/>
        <v>0</v>
      </c>
      <c r="K37" s="941"/>
      <c r="AD37" s="806"/>
      <c r="AE37" s="806"/>
      <c r="AF37" s="806"/>
      <c r="BP37" s="1"/>
    </row>
    <row r="38" spans="2:68" ht="18" customHeight="1">
      <c r="B38" s="846">
        <f t="shared" si="2"/>
        <v>38</v>
      </c>
      <c r="C38" s="843" t="s">
        <v>97</v>
      </c>
      <c r="D38" s="935"/>
      <c r="E38" s="960"/>
      <c r="F38" s="937">
        <f t="shared" si="5"/>
        <v>0</v>
      </c>
      <c r="G38" s="961"/>
      <c r="H38" s="939"/>
      <c r="I38" s="960"/>
      <c r="J38" s="937">
        <f t="shared" si="6"/>
        <v>0</v>
      </c>
      <c r="K38" s="941"/>
      <c r="AD38" s="806"/>
      <c r="AE38" s="806"/>
      <c r="AF38" s="806"/>
      <c r="BP38" s="1"/>
    </row>
    <row r="39" spans="2:68" ht="18" customHeight="1">
      <c r="B39" s="846">
        <f t="shared" si="2"/>
        <v>39</v>
      </c>
      <c r="C39" s="843" t="s">
        <v>97</v>
      </c>
      <c r="D39" s="935"/>
      <c r="E39" s="960"/>
      <c r="F39" s="937">
        <f t="shared" si="5"/>
        <v>0</v>
      </c>
      <c r="G39" s="961"/>
      <c r="H39" s="939"/>
      <c r="I39" s="960"/>
      <c r="J39" s="937">
        <f t="shared" si="6"/>
        <v>0</v>
      </c>
      <c r="K39" s="941"/>
      <c r="AD39" s="806"/>
      <c r="AE39" s="806"/>
      <c r="AF39" s="806"/>
      <c r="BP39" s="1"/>
    </row>
    <row r="40" spans="2:68" ht="18" customHeight="1">
      <c r="B40" s="846">
        <f t="shared" si="2"/>
        <v>40</v>
      </c>
      <c r="C40" s="843" t="s">
        <v>97</v>
      </c>
      <c r="D40" s="935"/>
      <c r="E40" s="960"/>
      <c r="F40" s="937">
        <f t="shared" si="5"/>
        <v>0</v>
      </c>
      <c r="G40" s="961"/>
      <c r="H40" s="939"/>
      <c r="I40" s="960"/>
      <c r="J40" s="937">
        <f t="shared" si="6"/>
        <v>0</v>
      </c>
      <c r="K40" s="941"/>
      <c r="AD40" s="806"/>
      <c r="AE40" s="806"/>
      <c r="AF40" s="806"/>
      <c r="BP40" s="1"/>
    </row>
    <row r="41" spans="2:68" ht="18" customHeight="1">
      <c r="B41" s="846">
        <f t="shared" si="2"/>
        <v>41</v>
      </c>
      <c r="C41" s="843" t="s">
        <v>97</v>
      </c>
      <c r="D41" s="935"/>
      <c r="E41" s="960"/>
      <c r="F41" s="937">
        <f t="shared" si="5"/>
        <v>0</v>
      </c>
      <c r="G41" s="961"/>
      <c r="H41" s="939"/>
      <c r="I41" s="960"/>
      <c r="J41" s="937">
        <f t="shared" si="6"/>
        <v>0</v>
      </c>
      <c r="K41" s="941"/>
      <c r="AD41" s="806"/>
      <c r="AE41" s="806"/>
      <c r="AF41" s="806"/>
      <c r="BP41" s="1"/>
    </row>
    <row r="42" spans="2:68" ht="18" customHeight="1">
      <c r="B42" s="846">
        <f t="shared" si="2"/>
        <v>42</v>
      </c>
      <c r="C42" s="843" t="s">
        <v>97</v>
      </c>
      <c r="D42" s="935"/>
      <c r="E42" s="960"/>
      <c r="F42" s="937">
        <f t="shared" si="5"/>
        <v>0</v>
      </c>
      <c r="G42" s="961"/>
      <c r="H42" s="939"/>
      <c r="I42" s="960"/>
      <c r="J42" s="937">
        <f t="shared" si="6"/>
        <v>0</v>
      </c>
      <c r="K42" s="941"/>
      <c r="AD42" s="806"/>
      <c r="AE42" s="806"/>
      <c r="AF42" s="806"/>
      <c r="BP42" s="1"/>
    </row>
    <row r="43" spans="2:68" ht="18" customHeight="1">
      <c r="B43" s="846">
        <f t="shared" si="2"/>
        <v>43</v>
      </c>
      <c r="C43" s="843" t="s">
        <v>97</v>
      </c>
      <c r="D43" s="935"/>
      <c r="E43" s="960"/>
      <c r="F43" s="937">
        <f t="shared" si="5"/>
        <v>0</v>
      </c>
      <c r="G43" s="961"/>
      <c r="H43" s="939"/>
      <c r="I43" s="960"/>
      <c r="J43" s="937">
        <f t="shared" si="6"/>
        <v>0</v>
      </c>
      <c r="K43" s="941"/>
      <c r="AD43" s="806"/>
      <c r="AE43" s="806"/>
      <c r="AF43" s="806"/>
      <c r="BP43" s="1"/>
    </row>
    <row r="44" spans="2:68" ht="18" customHeight="1">
      <c r="B44" s="846">
        <f t="shared" si="2"/>
        <v>44</v>
      </c>
      <c r="C44" s="843" t="s">
        <v>97</v>
      </c>
      <c r="D44" s="935"/>
      <c r="E44" s="960"/>
      <c r="F44" s="937">
        <f t="shared" si="5"/>
        <v>0</v>
      </c>
      <c r="G44" s="961"/>
      <c r="H44" s="939"/>
      <c r="I44" s="960"/>
      <c r="J44" s="937">
        <f t="shared" si="6"/>
        <v>0</v>
      </c>
      <c r="K44" s="941"/>
      <c r="AD44" s="806"/>
      <c r="AE44" s="806"/>
      <c r="AF44" s="806"/>
      <c r="BP44" s="1"/>
    </row>
    <row r="45" spans="2:68" ht="18" customHeight="1">
      <c r="B45" s="847">
        <f t="shared" si="2"/>
        <v>45</v>
      </c>
      <c r="C45" s="848" t="s">
        <v>97</v>
      </c>
      <c r="D45" s="944"/>
      <c r="E45" s="962"/>
      <c r="F45" s="946"/>
      <c r="G45" s="963"/>
      <c r="H45" s="948"/>
      <c r="I45" s="962"/>
      <c r="J45" s="946"/>
      <c r="K45" s="958"/>
      <c r="AD45" s="806"/>
      <c r="AE45" s="806"/>
      <c r="AF45" s="806"/>
      <c r="BP45" s="1"/>
    </row>
    <row r="46" spans="2:68" s="451" customFormat="1" ht="18" customHeight="1">
      <c r="B46" s="849">
        <f t="shared" si="2"/>
        <v>46</v>
      </c>
      <c r="C46" s="849"/>
      <c r="D46" s="292"/>
      <c r="E46" s="777"/>
      <c r="F46" s="448"/>
      <c r="G46" s="849"/>
      <c r="H46" s="449"/>
      <c r="I46" s="777"/>
      <c r="J46" s="448"/>
      <c r="K46" s="448"/>
      <c r="AD46" s="849"/>
      <c r="AE46" s="849"/>
      <c r="AF46" s="849"/>
    </row>
    <row r="47" spans="2:68" ht="18" customHeight="1">
      <c r="B47" s="844">
        <f t="shared" si="2"/>
        <v>47</v>
      </c>
      <c r="C47" s="845" t="s">
        <v>98</v>
      </c>
      <c r="D47" s="928">
        <v>2.5899999999999999E-2</v>
      </c>
      <c r="E47" s="933">
        <v>0</v>
      </c>
      <c r="F47" s="930">
        <f>E48</f>
        <v>27272</v>
      </c>
      <c r="G47" s="931">
        <v>12550</v>
      </c>
      <c r="H47" s="932">
        <v>2.5899999999999999E-2</v>
      </c>
      <c r="I47" s="933">
        <v>0</v>
      </c>
      <c r="J47" s="930">
        <f>I48</f>
        <v>54544</v>
      </c>
      <c r="K47" s="934">
        <v>25100</v>
      </c>
      <c r="AD47" s="806"/>
      <c r="AE47" s="806"/>
      <c r="AF47" s="806"/>
      <c r="BP47" s="1"/>
    </row>
    <row r="48" spans="2:68" ht="18" customHeight="1">
      <c r="B48" s="846">
        <f t="shared" si="2"/>
        <v>48</v>
      </c>
      <c r="C48" s="843" t="s">
        <v>98</v>
      </c>
      <c r="D48" s="935">
        <v>3.3399999999999999E-2</v>
      </c>
      <c r="E48" s="940">
        <v>27272</v>
      </c>
      <c r="F48" s="937">
        <f t="shared" ref="F48:F57" si="7">E49</f>
        <v>54544</v>
      </c>
      <c r="G48" s="938"/>
      <c r="H48" s="939">
        <v>3.3399999999999999E-2</v>
      </c>
      <c r="I48" s="940">
        <v>54544</v>
      </c>
      <c r="J48" s="937">
        <f t="shared" ref="J48:J57" si="8">I49</f>
        <v>108088</v>
      </c>
      <c r="K48" s="941"/>
      <c r="AD48" s="806"/>
      <c r="AE48" s="806"/>
      <c r="AF48" s="806"/>
      <c r="BP48" s="1"/>
    </row>
    <row r="49" spans="2:68" ht="18" customHeight="1">
      <c r="B49" s="846">
        <f t="shared" si="2"/>
        <v>49</v>
      </c>
      <c r="C49" s="843" t="s">
        <v>98</v>
      </c>
      <c r="D49" s="935">
        <v>4.1700000000000001E-2</v>
      </c>
      <c r="E49" s="940">
        <v>54544</v>
      </c>
      <c r="F49" s="937">
        <f t="shared" si="7"/>
        <v>163632</v>
      </c>
      <c r="G49" s="938"/>
      <c r="H49" s="939">
        <v>4.1700000000000001E-2</v>
      </c>
      <c r="I49" s="940">
        <v>108088</v>
      </c>
      <c r="J49" s="937">
        <f t="shared" si="8"/>
        <v>327263</v>
      </c>
      <c r="K49" s="941"/>
      <c r="AD49" s="806"/>
      <c r="AE49" s="806"/>
      <c r="AF49" s="806"/>
      <c r="BP49" s="1"/>
    </row>
    <row r="50" spans="2:68" ht="18" customHeight="1">
      <c r="B50" s="846">
        <f t="shared" si="2"/>
        <v>50</v>
      </c>
      <c r="C50" s="843" t="s">
        <v>98</v>
      </c>
      <c r="D50" s="935">
        <v>4.4999999999999998E-2</v>
      </c>
      <c r="E50" s="940">
        <v>163632</v>
      </c>
      <c r="F50" s="937">
        <f t="shared" si="7"/>
        <v>250000</v>
      </c>
      <c r="G50" s="938"/>
      <c r="H50" s="939">
        <v>4.4999999999999998E-2</v>
      </c>
      <c r="I50" s="940">
        <v>327263</v>
      </c>
      <c r="J50" s="937">
        <f t="shared" si="8"/>
        <v>500000</v>
      </c>
      <c r="K50" s="943"/>
      <c r="AD50" s="806"/>
      <c r="AE50" s="806"/>
      <c r="BP50" s="1"/>
    </row>
    <row r="51" spans="2:68" ht="18" customHeight="1">
      <c r="B51" s="846">
        <f t="shared" si="2"/>
        <v>51</v>
      </c>
      <c r="C51" s="843" t="s">
        <v>98</v>
      </c>
      <c r="D51" s="935">
        <v>0.08</v>
      </c>
      <c r="E51" s="940">
        <v>250000</v>
      </c>
      <c r="F51" s="937">
        <f t="shared" si="7"/>
        <v>0</v>
      </c>
      <c r="G51" s="938"/>
      <c r="H51" s="939">
        <v>0.08</v>
      </c>
      <c r="I51" s="940">
        <v>500000</v>
      </c>
      <c r="J51" s="937">
        <f t="shared" si="8"/>
        <v>0</v>
      </c>
      <c r="K51" s="943"/>
      <c r="AD51" s="806"/>
      <c r="AE51" s="806"/>
      <c r="BP51" s="1"/>
    </row>
    <row r="52" spans="2:68" ht="18" customHeight="1">
      <c r="B52" s="846">
        <f t="shared" si="2"/>
        <v>52</v>
      </c>
      <c r="C52" s="843" t="s">
        <v>98</v>
      </c>
      <c r="D52" s="935"/>
      <c r="E52" s="940"/>
      <c r="F52" s="937">
        <f t="shared" si="7"/>
        <v>0</v>
      </c>
      <c r="G52" s="938"/>
      <c r="H52" s="939"/>
      <c r="I52" s="940"/>
      <c r="J52" s="937">
        <f t="shared" si="8"/>
        <v>0</v>
      </c>
      <c r="K52" s="943"/>
      <c r="AD52" s="806"/>
      <c r="AE52" s="806"/>
      <c r="BP52" s="1"/>
    </row>
    <row r="53" spans="2:68" ht="18" customHeight="1">
      <c r="B53" s="846">
        <f t="shared" si="2"/>
        <v>53</v>
      </c>
      <c r="C53" s="843" t="s">
        <v>98</v>
      </c>
      <c r="D53" s="935"/>
      <c r="E53" s="940"/>
      <c r="F53" s="937">
        <f t="shared" si="7"/>
        <v>0</v>
      </c>
      <c r="G53" s="938"/>
      <c r="H53" s="939"/>
      <c r="I53" s="940"/>
      <c r="J53" s="937">
        <f t="shared" si="8"/>
        <v>0</v>
      </c>
      <c r="K53" s="943"/>
      <c r="AD53" s="806"/>
      <c r="AE53" s="806"/>
      <c r="BP53" s="1"/>
    </row>
    <row r="54" spans="2:68" ht="18" customHeight="1">
      <c r="B54" s="846">
        <f t="shared" si="2"/>
        <v>54</v>
      </c>
      <c r="C54" s="843" t="s">
        <v>98</v>
      </c>
      <c r="D54" s="935"/>
      <c r="E54" s="940"/>
      <c r="F54" s="937">
        <f t="shared" si="7"/>
        <v>0</v>
      </c>
      <c r="G54" s="938"/>
      <c r="H54" s="939"/>
      <c r="I54" s="940"/>
      <c r="J54" s="937">
        <f t="shared" si="8"/>
        <v>0</v>
      </c>
      <c r="K54" s="943"/>
      <c r="AD54" s="806"/>
      <c r="AE54" s="806"/>
      <c r="BP54" s="1"/>
    </row>
    <row r="55" spans="2:68" ht="18" customHeight="1">
      <c r="B55" s="846">
        <f t="shared" si="2"/>
        <v>55</v>
      </c>
      <c r="C55" s="843" t="s">
        <v>98</v>
      </c>
      <c r="D55" s="935"/>
      <c r="E55" s="940"/>
      <c r="F55" s="937">
        <f t="shared" si="7"/>
        <v>0</v>
      </c>
      <c r="G55" s="938"/>
      <c r="H55" s="939"/>
      <c r="I55" s="940"/>
      <c r="J55" s="937">
        <f t="shared" si="8"/>
        <v>0</v>
      </c>
      <c r="K55" s="943"/>
      <c r="AD55" s="806"/>
      <c r="AE55" s="806"/>
      <c r="BP55" s="1"/>
    </row>
    <row r="56" spans="2:68" ht="18" customHeight="1">
      <c r="B56" s="846">
        <f t="shared" si="2"/>
        <v>56</v>
      </c>
      <c r="C56" s="843" t="s">
        <v>98</v>
      </c>
      <c r="D56" s="935"/>
      <c r="E56" s="940"/>
      <c r="F56" s="937">
        <f t="shared" si="7"/>
        <v>0</v>
      </c>
      <c r="G56" s="938"/>
      <c r="H56" s="939"/>
      <c r="I56" s="940"/>
      <c r="J56" s="937">
        <f t="shared" si="8"/>
        <v>0</v>
      </c>
      <c r="K56" s="943"/>
      <c r="AD56" s="806"/>
      <c r="AE56" s="806"/>
      <c r="BP56" s="1"/>
    </row>
    <row r="57" spans="2:68" ht="18" customHeight="1">
      <c r="B57" s="846">
        <f t="shared" si="2"/>
        <v>57</v>
      </c>
      <c r="C57" s="843" t="s">
        <v>98</v>
      </c>
      <c r="D57" s="935"/>
      <c r="E57" s="940"/>
      <c r="F57" s="937">
        <f t="shared" si="7"/>
        <v>0</v>
      </c>
      <c r="G57" s="938"/>
      <c r="H57" s="939"/>
      <c r="I57" s="940"/>
      <c r="J57" s="937">
        <f t="shared" si="8"/>
        <v>0</v>
      </c>
      <c r="K57" s="943"/>
      <c r="AD57" s="806"/>
      <c r="AE57" s="806"/>
      <c r="BP57" s="1"/>
    </row>
    <row r="58" spans="2:68" ht="18" customHeight="1">
      <c r="B58" s="847">
        <f t="shared" si="2"/>
        <v>58</v>
      </c>
      <c r="C58" s="848" t="s">
        <v>98</v>
      </c>
      <c r="D58" s="944"/>
      <c r="E58" s="957"/>
      <c r="F58" s="946"/>
      <c r="G58" s="947"/>
      <c r="H58" s="948"/>
      <c r="I58" s="957"/>
      <c r="J58" s="946"/>
      <c r="K58" s="950"/>
      <c r="AD58" s="806"/>
      <c r="AE58" s="806"/>
      <c r="BP58" s="1"/>
    </row>
    <row r="59" spans="2:68" s="451" customFormat="1" ht="18" customHeight="1">
      <c r="B59" s="849">
        <f t="shared" si="2"/>
        <v>59</v>
      </c>
      <c r="C59" s="849"/>
      <c r="D59" s="292"/>
      <c r="E59" s="777"/>
      <c r="F59" s="448"/>
      <c r="G59" s="849"/>
      <c r="H59" s="449"/>
      <c r="I59" s="777"/>
      <c r="J59" s="448"/>
      <c r="K59" s="448"/>
      <c r="AD59" s="849"/>
      <c r="AE59" s="849"/>
    </row>
    <row r="60" spans="2:68" ht="18" customHeight="1">
      <c r="B60" s="844">
        <f t="shared" si="2"/>
        <v>60</v>
      </c>
      <c r="C60" s="845" t="s">
        <v>99</v>
      </c>
      <c r="D60" s="928">
        <v>0.02</v>
      </c>
      <c r="E60" s="933">
        <v>0</v>
      </c>
      <c r="F60" s="930">
        <f>E61</f>
        <v>4000</v>
      </c>
      <c r="G60" s="931">
        <v>2200</v>
      </c>
      <c r="H60" s="932">
        <v>0.02</v>
      </c>
      <c r="I60" s="933">
        <v>0</v>
      </c>
      <c r="J60" s="930">
        <f>I61</f>
        <v>4000</v>
      </c>
      <c r="K60" s="934">
        <v>4400</v>
      </c>
      <c r="AD60" s="806"/>
      <c r="AE60" s="806"/>
      <c r="BP60" s="1"/>
    </row>
    <row r="61" spans="2:68" ht="18" customHeight="1">
      <c r="B61" s="846">
        <f t="shared" si="2"/>
        <v>61</v>
      </c>
      <c r="C61" s="843" t="s">
        <v>99</v>
      </c>
      <c r="D61" s="935">
        <v>0.04</v>
      </c>
      <c r="E61" s="940">
        <v>4000</v>
      </c>
      <c r="F61" s="937">
        <f t="shared" ref="F61:F71" si="9">E62</f>
        <v>8000</v>
      </c>
      <c r="G61" s="938"/>
      <c r="H61" s="939">
        <v>0.04</v>
      </c>
      <c r="I61" s="940">
        <v>4000</v>
      </c>
      <c r="J61" s="937">
        <f t="shared" ref="J61:J71" si="10">I62</f>
        <v>8000</v>
      </c>
      <c r="K61" s="941"/>
      <c r="AD61" s="806"/>
      <c r="AE61" s="806"/>
      <c r="BP61" s="1"/>
    </row>
    <row r="62" spans="2:68" ht="18" customHeight="1">
      <c r="B62" s="846">
        <f t="shared" si="2"/>
        <v>62</v>
      </c>
      <c r="C62" s="843" t="s">
        <v>99</v>
      </c>
      <c r="D62" s="935">
        <v>5.8999999999999997E-2</v>
      </c>
      <c r="E62" s="940">
        <v>8000</v>
      </c>
      <c r="F62" s="937">
        <f t="shared" si="9"/>
        <v>0</v>
      </c>
      <c r="G62" s="938"/>
      <c r="H62" s="939">
        <v>5.8999999999999997E-2</v>
      </c>
      <c r="I62" s="940">
        <v>8000</v>
      </c>
      <c r="J62" s="937">
        <f t="shared" si="10"/>
        <v>0</v>
      </c>
      <c r="K62" s="941"/>
      <c r="AD62" s="806"/>
      <c r="AE62" s="806"/>
      <c r="BP62" s="1"/>
    </row>
    <row r="63" spans="2:68" ht="18" customHeight="1">
      <c r="B63" s="846">
        <f t="shared" si="2"/>
        <v>63</v>
      </c>
      <c r="C63" s="843" t="s">
        <v>99</v>
      </c>
      <c r="D63" s="935"/>
      <c r="E63" s="940"/>
      <c r="F63" s="937">
        <f t="shared" si="9"/>
        <v>0</v>
      </c>
      <c r="G63" s="938"/>
      <c r="H63" s="939"/>
      <c r="I63" s="940"/>
      <c r="J63" s="937">
        <f t="shared" si="10"/>
        <v>0</v>
      </c>
      <c r="K63" s="943"/>
      <c r="AD63" s="806"/>
      <c r="AE63" s="806"/>
      <c r="BP63" s="1"/>
    </row>
    <row r="64" spans="2:68" ht="18" customHeight="1">
      <c r="B64" s="846">
        <f t="shared" si="2"/>
        <v>64</v>
      </c>
      <c r="C64" s="843" t="s">
        <v>99</v>
      </c>
      <c r="D64" s="935"/>
      <c r="E64" s="940"/>
      <c r="F64" s="937">
        <f t="shared" si="9"/>
        <v>0</v>
      </c>
      <c r="G64" s="938"/>
      <c r="H64" s="939"/>
      <c r="I64" s="940"/>
      <c r="J64" s="937">
        <f t="shared" si="10"/>
        <v>0</v>
      </c>
      <c r="K64" s="943"/>
      <c r="AD64" s="806"/>
      <c r="AE64" s="806"/>
      <c r="BP64" s="1"/>
    </row>
    <row r="65" spans="2:73" ht="18" customHeight="1">
      <c r="B65" s="846">
        <f t="shared" si="2"/>
        <v>65</v>
      </c>
      <c r="C65" s="843" t="s">
        <v>99</v>
      </c>
      <c r="D65" s="935"/>
      <c r="E65" s="940"/>
      <c r="F65" s="937">
        <f t="shared" si="9"/>
        <v>0</v>
      </c>
      <c r="G65" s="938"/>
      <c r="H65" s="939"/>
      <c r="I65" s="940"/>
      <c r="J65" s="937">
        <f t="shared" si="10"/>
        <v>0</v>
      </c>
      <c r="K65" s="943"/>
      <c r="Y65" s="423"/>
      <c r="AD65" s="806"/>
      <c r="AE65" s="806"/>
      <c r="BP65" s="1"/>
    </row>
    <row r="66" spans="2:73" ht="18" customHeight="1">
      <c r="B66" s="846">
        <f t="shared" si="2"/>
        <v>66</v>
      </c>
      <c r="C66" s="843" t="s">
        <v>99</v>
      </c>
      <c r="D66" s="935"/>
      <c r="E66" s="940"/>
      <c r="F66" s="937">
        <f t="shared" si="9"/>
        <v>0</v>
      </c>
      <c r="G66" s="938"/>
      <c r="H66" s="939"/>
      <c r="I66" s="940"/>
      <c r="J66" s="937">
        <f t="shared" si="10"/>
        <v>0</v>
      </c>
      <c r="K66" s="943"/>
      <c r="Y66" s="423"/>
      <c r="AD66" s="806"/>
      <c r="AE66" s="806"/>
      <c r="BP66" s="1"/>
    </row>
    <row r="67" spans="2:73" ht="18" customHeight="1">
      <c r="B67" s="846">
        <f t="shared" si="2"/>
        <v>67</v>
      </c>
      <c r="C67" s="843" t="s">
        <v>99</v>
      </c>
      <c r="D67" s="935"/>
      <c r="E67" s="940"/>
      <c r="F67" s="937">
        <f t="shared" si="9"/>
        <v>0</v>
      </c>
      <c r="G67" s="938"/>
      <c r="H67" s="939"/>
      <c r="I67" s="940"/>
      <c r="J67" s="937">
        <f t="shared" si="10"/>
        <v>0</v>
      </c>
      <c r="K67" s="943"/>
      <c r="Y67" s="423"/>
      <c r="AD67" s="806"/>
      <c r="AE67" s="806"/>
      <c r="BP67" s="1"/>
    </row>
    <row r="68" spans="2:73" ht="18" customHeight="1">
      <c r="B68" s="846">
        <f t="shared" si="2"/>
        <v>68</v>
      </c>
      <c r="C68" s="843" t="s">
        <v>99</v>
      </c>
      <c r="D68" s="935"/>
      <c r="E68" s="940"/>
      <c r="F68" s="937">
        <f t="shared" si="9"/>
        <v>0</v>
      </c>
      <c r="G68" s="938"/>
      <c r="H68" s="939"/>
      <c r="I68" s="940"/>
      <c r="J68" s="937">
        <f t="shared" si="10"/>
        <v>0</v>
      </c>
      <c r="K68" s="943"/>
      <c r="Y68" s="423"/>
      <c r="AD68" s="806"/>
      <c r="AE68" s="806"/>
      <c r="BP68" s="1"/>
    </row>
    <row r="69" spans="2:73" ht="18" customHeight="1">
      <c r="B69" s="846">
        <f t="shared" si="2"/>
        <v>69</v>
      </c>
      <c r="C69" s="843" t="s">
        <v>99</v>
      </c>
      <c r="D69" s="935"/>
      <c r="E69" s="940"/>
      <c r="F69" s="937">
        <f t="shared" si="9"/>
        <v>0</v>
      </c>
      <c r="G69" s="938"/>
      <c r="H69" s="939"/>
      <c r="I69" s="940"/>
      <c r="J69" s="937">
        <f t="shared" si="10"/>
        <v>0</v>
      </c>
      <c r="K69" s="943"/>
      <c r="Y69" s="423"/>
      <c r="AD69" s="806"/>
      <c r="AE69" s="806"/>
      <c r="BP69" s="1"/>
    </row>
    <row r="70" spans="2:73" ht="18" customHeight="1">
      <c r="B70" s="846">
        <f t="shared" si="2"/>
        <v>70</v>
      </c>
      <c r="C70" s="843" t="s">
        <v>99</v>
      </c>
      <c r="D70" s="935"/>
      <c r="E70" s="940"/>
      <c r="F70" s="937">
        <f t="shared" si="9"/>
        <v>0</v>
      </c>
      <c r="G70" s="938"/>
      <c r="H70" s="939"/>
      <c r="I70" s="940"/>
      <c r="J70" s="937">
        <f t="shared" si="10"/>
        <v>0</v>
      </c>
      <c r="K70" s="943"/>
      <c r="Y70" s="423"/>
      <c r="AD70" s="806"/>
      <c r="AE70" s="806"/>
      <c r="BP70" s="1"/>
    </row>
    <row r="71" spans="2:73" ht="18" customHeight="1">
      <c r="B71" s="847">
        <f t="shared" si="2"/>
        <v>71</v>
      </c>
      <c r="C71" s="848" t="s">
        <v>99</v>
      </c>
      <c r="D71" s="944"/>
      <c r="E71" s="957"/>
      <c r="F71" s="946">
        <f t="shared" si="9"/>
        <v>0</v>
      </c>
      <c r="G71" s="947"/>
      <c r="H71" s="948"/>
      <c r="I71" s="957"/>
      <c r="J71" s="946">
        <f t="shared" si="10"/>
        <v>0</v>
      </c>
      <c r="K71" s="950"/>
      <c r="Y71" s="423"/>
      <c r="AD71" s="806"/>
      <c r="AE71" s="806"/>
      <c r="BP71" s="1"/>
    </row>
    <row r="72" spans="2:73" s="451" customFormat="1" ht="18" customHeight="1">
      <c r="B72" s="849">
        <f t="shared" si="2"/>
        <v>72</v>
      </c>
      <c r="C72" s="849"/>
      <c r="D72" s="292"/>
      <c r="E72" s="777"/>
      <c r="F72" s="448"/>
      <c r="G72" s="849"/>
      <c r="H72" s="449"/>
      <c r="I72" s="777"/>
      <c r="J72" s="448"/>
      <c r="K72" s="448"/>
      <c r="AD72" s="849"/>
      <c r="AE72" s="849"/>
    </row>
    <row r="73" spans="2:73" ht="18" customHeight="1">
      <c r="B73" s="844">
        <f t="shared" si="2"/>
        <v>73</v>
      </c>
      <c r="C73" s="845" t="s">
        <v>100</v>
      </c>
      <c r="D73" s="928">
        <v>0.01</v>
      </c>
      <c r="E73" s="933">
        <v>0</v>
      </c>
      <c r="F73" s="930">
        <f>E74</f>
        <v>8932</v>
      </c>
      <c r="G73" s="931">
        <v>4601</v>
      </c>
      <c r="H73" s="932">
        <v>0.01</v>
      </c>
      <c r="I73" s="933">
        <v>0</v>
      </c>
      <c r="J73" s="964">
        <f>I74</f>
        <v>17864</v>
      </c>
      <c r="K73" s="934">
        <v>9202</v>
      </c>
      <c r="AD73" s="806"/>
      <c r="AE73" s="806"/>
      <c r="BP73" s="1"/>
    </row>
    <row r="74" spans="2:73" ht="18" customHeight="1">
      <c r="B74" s="846">
        <f t="shared" ref="B74:B137" si="11">B73+1</f>
        <v>74</v>
      </c>
      <c r="C74" s="843" t="s">
        <v>100</v>
      </c>
      <c r="D74" s="935">
        <v>0.02</v>
      </c>
      <c r="E74" s="940">
        <v>8932</v>
      </c>
      <c r="F74" s="937">
        <f t="shared" ref="F74:F83" si="12">E75</f>
        <v>21175</v>
      </c>
      <c r="G74" s="938"/>
      <c r="H74" s="939">
        <v>0.02</v>
      </c>
      <c r="I74" s="937">
        <v>17864</v>
      </c>
      <c r="J74" s="965">
        <f t="shared" ref="J74:J83" si="13">I75</f>
        <v>42350</v>
      </c>
      <c r="K74" s="941"/>
      <c r="AD74" s="806"/>
      <c r="AE74" s="806"/>
      <c r="BP74" s="1"/>
    </row>
    <row r="75" spans="2:73" ht="18" customHeight="1">
      <c r="B75" s="846">
        <f t="shared" si="11"/>
        <v>75</v>
      </c>
      <c r="C75" s="843" t="s">
        <v>100</v>
      </c>
      <c r="D75" s="935">
        <v>0.04</v>
      </c>
      <c r="E75" s="937">
        <v>21175</v>
      </c>
      <c r="F75" s="937">
        <f t="shared" si="12"/>
        <v>33421</v>
      </c>
      <c r="G75" s="938"/>
      <c r="H75" s="939">
        <v>0.04</v>
      </c>
      <c r="I75" s="937">
        <v>42350</v>
      </c>
      <c r="J75" s="965">
        <f t="shared" si="13"/>
        <v>66842</v>
      </c>
      <c r="K75" s="941"/>
      <c r="AD75" s="806"/>
      <c r="AE75" s="806"/>
      <c r="BP75" s="1"/>
    </row>
    <row r="76" spans="2:73" ht="18" customHeight="1">
      <c r="B76" s="846">
        <f t="shared" si="11"/>
        <v>76</v>
      </c>
      <c r="C76" s="843" t="s">
        <v>100</v>
      </c>
      <c r="D76" s="935">
        <v>0.06</v>
      </c>
      <c r="E76" s="937">
        <v>33421</v>
      </c>
      <c r="F76" s="937">
        <f t="shared" si="12"/>
        <v>46394</v>
      </c>
      <c r="G76" s="938"/>
      <c r="H76" s="939">
        <v>0.06</v>
      </c>
      <c r="I76" s="937">
        <v>66842</v>
      </c>
      <c r="J76" s="965">
        <f t="shared" si="13"/>
        <v>92788</v>
      </c>
      <c r="K76" s="943"/>
      <c r="AD76" s="806"/>
      <c r="AE76" s="806"/>
      <c r="BP76" s="1"/>
      <c r="BU76" s="811"/>
    </row>
    <row r="77" spans="2:73" ht="18" customHeight="1">
      <c r="B77" s="846">
        <f t="shared" si="11"/>
        <v>77</v>
      </c>
      <c r="C77" s="843" t="s">
        <v>100</v>
      </c>
      <c r="D77" s="935">
        <v>0.08</v>
      </c>
      <c r="E77" s="937">
        <v>46394</v>
      </c>
      <c r="F77" s="937">
        <f t="shared" si="12"/>
        <v>58634</v>
      </c>
      <c r="G77" s="938"/>
      <c r="H77" s="939">
        <v>0.08</v>
      </c>
      <c r="I77" s="937">
        <v>92788</v>
      </c>
      <c r="J77" s="965">
        <f t="shared" si="13"/>
        <v>117268</v>
      </c>
      <c r="K77" s="943"/>
      <c r="P77" s="811"/>
      <c r="Q77" s="811"/>
      <c r="S77" s="811"/>
      <c r="AD77" s="806"/>
      <c r="AE77" s="806"/>
      <c r="BP77" s="1"/>
      <c r="BT77" s="811"/>
      <c r="BU77" s="811"/>
    </row>
    <row r="78" spans="2:73" ht="18" customHeight="1">
      <c r="B78" s="846">
        <f t="shared" si="11"/>
        <v>78</v>
      </c>
      <c r="C78" s="843" t="s">
        <v>100</v>
      </c>
      <c r="D78" s="935">
        <v>9.2999999999999999E-2</v>
      </c>
      <c r="E78" s="937">
        <v>58634</v>
      </c>
      <c r="F78" s="937">
        <f t="shared" si="12"/>
        <v>299508</v>
      </c>
      <c r="G78" s="938"/>
      <c r="H78" s="939">
        <v>9.2999999999999999E-2</v>
      </c>
      <c r="I78" s="937">
        <v>117268</v>
      </c>
      <c r="J78" s="965">
        <f t="shared" si="13"/>
        <v>599016</v>
      </c>
      <c r="K78" s="943"/>
      <c r="P78" s="812"/>
      <c r="Q78" s="812"/>
      <c r="S78" s="811"/>
      <c r="AD78" s="806"/>
      <c r="AE78" s="806"/>
      <c r="BP78" s="1"/>
      <c r="BS78" s="806"/>
      <c r="BT78" s="812"/>
      <c r="BU78" s="812"/>
    </row>
    <row r="79" spans="2:73" ht="18" customHeight="1">
      <c r="B79" s="846">
        <f t="shared" si="11"/>
        <v>79</v>
      </c>
      <c r="C79" s="843" t="s">
        <v>100</v>
      </c>
      <c r="D79" s="935">
        <v>0.10299999999999999</v>
      </c>
      <c r="E79" s="937">
        <v>299508</v>
      </c>
      <c r="F79" s="937">
        <f t="shared" si="12"/>
        <v>359407</v>
      </c>
      <c r="G79" s="938"/>
      <c r="H79" s="939">
        <v>0.10299999999999999</v>
      </c>
      <c r="I79" s="937">
        <v>599016</v>
      </c>
      <c r="J79" s="965">
        <f t="shared" si="13"/>
        <v>718814</v>
      </c>
      <c r="K79" s="943"/>
      <c r="P79" s="812"/>
      <c r="Q79" s="812"/>
      <c r="S79" s="811"/>
      <c r="AD79" s="806"/>
      <c r="AE79" s="806"/>
      <c r="BP79" s="1"/>
      <c r="BS79" s="806"/>
      <c r="BT79" s="812"/>
      <c r="BU79" s="812"/>
    </row>
    <row r="80" spans="2:73" ht="18" customHeight="1">
      <c r="B80" s="846">
        <f t="shared" si="11"/>
        <v>80</v>
      </c>
      <c r="C80" s="843" t="s">
        <v>100</v>
      </c>
      <c r="D80" s="935">
        <v>0.113</v>
      </c>
      <c r="E80" s="937">
        <v>359407</v>
      </c>
      <c r="F80" s="937">
        <f t="shared" si="12"/>
        <v>599012</v>
      </c>
      <c r="G80" s="938"/>
      <c r="H80" s="939">
        <v>0.113</v>
      </c>
      <c r="I80" s="937">
        <v>718814</v>
      </c>
      <c r="J80" s="965">
        <f t="shared" si="13"/>
        <v>1000000</v>
      </c>
      <c r="K80" s="943"/>
    </row>
    <row r="81" spans="2:73" ht="18" customHeight="1">
      <c r="B81" s="846">
        <f t="shared" si="11"/>
        <v>81</v>
      </c>
      <c r="C81" s="843" t="s">
        <v>100</v>
      </c>
      <c r="D81" s="935">
        <v>0.123</v>
      </c>
      <c r="E81" s="937">
        <v>599012</v>
      </c>
      <c r="F81" s="937">
        <f t="shared" si="12"/>
        <v>1000000</v>
      </c>
      <c r="G81" s="938"/>
      <c r="H81" s="939">
        <v>0.123</v>
      </c>
      <c r="I81" s="937">
        <v>1000000</v>
      </c>
      <c r="J81" s="965">
        <f t="shared" si="13"/>
        <v>1198024</v>
      </c>
      <c r="K81" s="943"/>
      <c r="P81" s="812"/>
      <c r="Q81" s="812"/>
      <c r="S81" s="811"/>
      <c r="AD81" s="806"/>
      <c r="AE81" s="806"/>
      <c r="BP81" s="1"/>
      <c r="BS81" s="806"/>
      <c r="BT81" s="812"/>
      <c r="BU81" s="812"/>
    </row>
    <row r="82" spans="2:73" ht="18" customHeight="1">
      <c r="B82" s="846">
        <f t="shared" si="11"/>
        <v>82</v>
      </c>
      <c r="C82" s="843" t="s">
        <v>100</v>
      </c>
      <c r="D82" s="935">
        <v>0.13300000000000001</v>
      </c>
      <c r="E82" s="937">
        <v>1000000</v>
      </c>
      <c r="F82" s="937">
        <f t="shared" si="12"/>
        <v>0</v>
      </c>
      <c r="G82" s="938"/>
      <c r="H82" s="939">
        <v>0.13300000000000001</v>
      </c>
      <c r="I82" s="937">
        <v>1198024</v>
      </c>
      <c r="J82" s="965">
        <f t="shared" si="13"/>
        <v>0</v>
      </c>
      <c r="K82" s="943"/>
      <c r="P82" s="812"/>
      <c r="Q82" s="812"/>
      <c r="S82" s="811"/>
      <c r="AD82" s="806"/>
      <c r="AE82" s="806"/>
      <c r="BP82" s="1"/>
      <c r="BS82" s="806"/>
      <c r="BT82" s="812"/>
      <c r="BU82" s="812"/>
    </row>
    <row r="83" spans="2:73" ht="18" customHeight="1">
      <c r="B83" s="846">
        <f t="shared" si="11"/>
        <v>83</v>
      </c>
      <c r="C83" s="843" t="s">
        <v>100</v>
      </c>
      <c r="D83" s="935"/>
      <c r="E83" s="940"/>
      <c r="F83" s="937">
        <f t="shared" si="12"/>
        <v>0</v>
      </c>
      <c r="G83" s="938"/>
      <c r="H83" s="939"/>
      <c r="I83" s="940"/>
      <c r="J83" s="965">
        <f t="shared" si="13"/>
        <v>0</v>
      </c>
      <c r="K83" s="943"/>
      <c r="P83" s="812"/>
      <c r="Q83" s="812"/>
      <c r="S83" s="811"/>
      <c r="AD83" s="806"/>
      <c r="AE83" s="806"/>
      <c r="BP83" s="1"/>
      <c r="BS83" s="806"/>
      <c r="BT83" s="812"/>
      <c r="BU83" s="812"/>
    </row>
    <row r="84" spans="2:73" ht="18" customHeight="1">
      <c r="B84" s="847">
        <f t="shared" si="11"/>
        <v>84</v>
      </c>
      <c r="C84" s="848" t="s">
        <v>100</v>
      </c>
      <c r="D84" s="944"/>
      <c r="E84" s="957"/>
      <c r="F84" s="946"/>
      <c r="G84" s="947"/>
      <c r="H84" s="948"/>
      <c r="I84" s="957"/>
      <c r="J84" s="946"/>
      <c r="K84" s="950"/>
      <c r="P84" s="812"/>
      <c r="Q84" s="812"/>
      <c r="S84" s="811"/>
      <c r="AD84" s="806"/>
      <c r="AE84" s="806"/>
      <c r="BP84" s="1"/>
      <c r="BS84" s="806"/>
      <c r="BT84" s="812"/>
      <c r="BU84" s="812"/>
    </row>
    <row r="85" spans="2:73" s="451" customFormat="1" ht="18" customHeight="1">
      <c r="B85" s="849">
        <f t="shared" si="11"/>
        <v>85</v>
      </c>
      <c r="C85" s="849"/>
      <c r="D85" s="292"/>
      <c r="E85" s="777"/>
      <c r="F85" s="849"/>
      <c r="G85" s="849"/>
      <c r="H85" s="449"/>
      <c r="I85" s="777"/>
      <c r="J85" s="849"/>
      <c r="K85" s="448"/>
      <c r="P85" s="850"/>
      <c r="S85" s="851"/>
      <c r="AD85" s="849"/>
      <c r="AE85" s="849"/>
      <c r="BR85" s="849"/>
      <c r="BS85" s="849"/>
      <c r="BT85" s="850"/>
      <c r="BU85" s="850"/>
    </row>
    <row r="86" spans="2:73" ht="18" customHeight="1">
      <c r="B86" s="844">
        <f t="shared" si="11"/>
        <v>86</v>
      </c>
      <c r="C86" s="845" t="s">
        <v>101</v>
      </c>
      <c r="D86" s="928">
        <v>4.5499999999999999E-2</v>
      </c>
      <c r="E86" s="959">
        <v>0</v>
      </c>
      <c r="F86" s="930">
        <f t="shared" ref="F86:F96" si="14">E87</f>
        <v>0</v>
      </c>
      <c r="G86" s="931">
        <v>12550</v>
      </c>
      <c r="H86" s="932">
        <v>4.5499999999999999E-2</v>
      </c>
      <c r="I86" s="959">
        <v>0</v>
      </c>
      <c r="J86" s="930">
        <f t="shared" ref="J86:J96" si="15">I87</f>
        <v>0</v>
      </c>
      <c r="K86" s="934">
        <v>25100</v>
      </c>
      <c r="P86" s="812"/>
      <c r="S86" s="811"/>
      <c r="AD86" s="806"/>
      <c r="AE86" s="806"/>
      <c r="AF86" s="423"/>
      <c r="BP86" s="1"/>
      <c r="BR86" s="806"/>
      <c r="BS86" s="806"/>
      <c r="BT86" s="812"/>
      <c r="BU86" s="812"/>
    </row>
    <row r="87" spans="2:73" ht="18" customHeight="1">
      <c r="B87" s="846">
        <f t="shared" si="11"/>
        <v>87</v>
      </c>
      <c r="C87" s="843" t="s">
        <v>101</v>
      </c>
      <c r="D87" s="935"/>
      <c r="E87" s="960"/>
      <c r="F87" s="937">
        <f t="shared" si="14"/>
        <v>0</v>
      </c>
      <c r="G87" s="961"/>
      <c r="H87" s="939"/>
      <c r="I87" s="960"/>
      <c r="J87" s="937">
        <f t="shared" si="15"/>
        <v>0</v>
      </c>
      <c r="K87" s="941"/>
      <c r="P87" s="812"/>
      <c r="S87" s="811"/>
      <c r="AD87" s="806"/>
      <c r="AE87" s="806"/>
      <c r="AF87" s="423"/>
      <c r="BP87" s="1"/>
      <c r="BR87" s="806"/>
      <c r="BS87" s="806"/>
      <c r="BT87" s="812"/>
      <c r="BU87" s="812"/>
    </row>
    <row r="88" spans="2:73" ht="18" customHeight="1">
      <c r="B88" s="846">
        <f t="shared" si="11"/>
        <v>88</v>
      </c>
      <c r="C88" s="843" t="s">
        <v>101</v>
      </c>
      <c r="D88" s="935"/>
      <c r="E88" s="960"/>
      <c r="F88" s="937">
        <f t="shared" si="14"/>
        <v>0</v>
      </c>
      <c r="G88" s="961"/>
      <c r="H88" s="939"/>
      <c r="I88" s="960"/>
      <c r="J88" s="937">
        <f t="shared" si="15"/>
        <v>0</v>
      </c>
      <c r="K88" s="941"/>
      <c r="P88" s="812"/>
      <c r="S88" s="811"/>
      <c r="AD88" s="806"/>
      <c r="AE88" s="806"/>
      <c r="AF88" s="423"/>
      <c r="BP88" s="1"/>
      <c r="BR88" s="806"/>
      <c r="BS88" s="806"/>
      <c r="BT88" s="812"/>
      <c r="BU88" s="812"/>
    </row>
    <row r="89" spans="2:73" ht="18" customHeight="1">
      <c r="B89" s="846">
        <f t="shared" si="11"/>
        <v>89</v>
      </c>
      <c r="C89" s="843" t="s">
        <v>101</v>
      </c>
      <c r="D89" s="935"/>
      <c r="E89" s="960"/>
      <c r="F89" s="937">
        <f t="shared" si="14"/>
        <v>0</v>
      </c>
      <c r="G89" s="961"/>
      <c r="H89" s="939"/>
      <c r="I89" s="960"/>
      <c r="J89" s="937">
        <f t="shared" si="15"/>
        <v>0</v>
      </c>
      <c r="K89" s="941"/>
      <c r="P89" s="812"/>
      <c r="S89" s="811"/>
      <c r="AD89" s="806"/>
      <c r="AE89" s="806"/>
      <c r="AF89" s="423"/>
      <c r="BP89" s="1"/>
      <c r="BR89" s="806"/>
      <c r="BS89" s="806"/>
      <c r="BT89" s="812"/>
      <c r="BU89" s="812"/>
    </row>
    <row r="90" spans="2:73" ht="18" customHeight="1">
      <c r="B90" s="846">
        <f t="shared" si="11"/>
        <v>90</v>
      </c>
      <c r="C90" s="843" t="s">
        <v>101</v>
      </c>
      <c r="D90" s="935"/>
      <c r="E90" s="960"/>
      <c r="F90" s="937">
        <f t="shared" si="14"/>
        <v>0</v>
      </c>
      <c r="G90" s="961"/>
      <c r="H90" s="939"/>
      <c r="I90" s="960"/>
      <c r="J90" s="937">
        <f t="shared" si="15"/>
        <v>0</v>
      </c>
      <c r="K90" s="941"/>
      <c r="P90" s="812"/>
      <c r="S90" s="811"/>
      <c r="AD90" s="806"/>
      <c r="AE90" s="806"/>
      <c r="AF90" s="423"/>
      <c r="BP90" s="1"/>
      <c r="BR90" s="806"/>
      <c r="BS90" s="806"/>
      <c r="BT90" s="812"/>
      <c r="BU90" s="812"/>
    </row>
    <row r="91" spans="2:73" ht="18" customHeight="1">
      <c r="B91" s="846">
        <f t="shared" si="11"/>
        <v>91</v>
      </c>
      <c r="C91" s="843" t="s">
        <v>101</v>
      </c>
      <c r="D91" s="935"/>
      <c r="E91" s="960"/>
      <c r="F91" s="937">
        <f t="shared" si="14"/>
        <v>0</v>
      </c>
      <c r="G91" s="961"/>
      <c r="H91" s="939"/>
      <c r="I91" s="960"/>
      <c r="J91" s="937">
        <f t="shared" si="15"/>
        <v>0</v>
      </c>
      <c r="K91" s="941"/>
      <c r="P91" s="812"/>
      <c r="S91" s="811"/>
      <c r="AD91" s="806"/>
      <c r="AE91" s="806"/>
      <c r="AF91" s="423"/>
      <c r="BP91" s="1"/>
      <c r="BR91" s="806"/>
      <c r="BS91" s="806"/>
      <c r="BT91" s="812"/>
      <c r="BU91" s="812"/>
    </row>
    <row r="92" spans="2:73" ht="18" customHeight="1">
      <c r="B92" s="846">
        <f t="shared" si="11"/>
        <v>92</v>
      </c>
      <c r="C92" s="843" t="s">
        <v>101</v>
      </c>
      <c r="D92" s="935"/>
      <c r="E92" s="960"/>
      <c r="F92" s="937">
        <f t="shared" si="14"/>
        <v>0</v>
      </c>
      <c r="G92" s="961"/>
      <c r="H92" s="939"/>
      <c r="I92" s="960"/>
      <c r="J92" s="937">
        <f t="shared" si="15"/>
        <v>0</v>
      </c>
      <c r="K92" s="941"/>
      <c r="P92" s="812"/>
      <c r="S92" s="811"/>
      <c r="AD92" s="806"/>
      <c r="AE92" s="806"/>
      <c r="AF92" s="423"/>
      <c r="BP92" s="1"/>
      <c r="BR92" s="806"/>
      <c r="BS92" s="806"/>
      <c r="BT92" s="812"/>
      <c r="BU92" s="812"/>
    </row>
    <row r="93" spans="2:73" ht="18" customHeight="1">
      <c r="B93" s="846">
        <f t="shared" si="11"/>
        <v>93</v>
      </c>
      <c r="C93" s="843" t="s">
        <v>101</v>
      </c>
      <c r="D93" s="935"/>
      <c r="E93" s="960"/>
      <c r="F93" s="937">
        <f t="shared" si="14"/>
        <v>0</v>
      </c>
      <c r="G93" s="961"/>
      <c r="H93" s="939"/>
      <c r="I93" s="960"/>
      <c r="J93" s="937">
        <f t="shared" si="15"/>
        <v>0</v>
      </c>
      <c r="K93" s="941"/>
      <c r="P93" s="812"/>
      <c r="S93" s="811"/>
      <c r="AD93" s="806"/>
      <c r="AE93" s="806"/>
      <c r="AF93" s="423"/>
      <c r="BP93" s="1"/>
      <c r="BR93" s="806"/>
      <c r="BS93" s="806"/>
      <c r="BT93" s="812"/>
      <c r="BU93" s="812"/>
    </row>
    <row r="94" spans="2:73" ht="18" customHeight="1">
      <c r="B94" s="846">
        <f t="shared" si="11"/>
        <v>94</v>
      </c>
      <c r="C94" s="843" t="s">
        <v>101</v>
      </c>
      <c r="D94" s="935"/>
      <c r="E94" s="960"/>
      <c r="F94" s="937">
        <f t="shared" si="14"/>
        <v>0</v>
      </c>
      <c r="G94" s="961"/>
      <c r="H94" s="939"/>
      <c r="I94" s="960"/>
      <c r="J94" s="937">
        <f t="shared" si="15"/>
        <v>0</v>
      </c>
      <c r="K94" s="941"/>
      <c r="P94" s="812"/>
      <c r="S94" s="811"/>
      <c r="AD94" s="806"/>
      <c r="AE94" s="806"/>
      <c r="AF94" s="423"/>
      <c r="BP94" s="1"/>
      <c r="BR94" s="806"/>
      <c r="BS94" s="806"/>
      <c r="BT94" s="812"/>
      <c r="BU94" s="812"/>
    </row>
    <row r="95" spans="2:73" ht="18" customHeight="1">
      <c r="B95" s="846">
        <f t="shared" si="11"/>
        <v>95</v>
      </c>
      <c r="C95" s="843" t="s">
        <v>101</v>
      </c>
      <c r="D95" s="935"/>
      <c r="E95" s="960"/>
      <c r="F95" s="937">
        <f t="shared" si="14"/>
        <v>0</v>
      </c>
      <c r="G95" s="961"/>
      <c r="H95" s="939"/>
      <c r="I95" s="960"/>
      <c r="J95" s="937">
        <f t="shared" si="15"/>
        <v>0</v>
      </c>
      <c r="K95" s="941"/>
      <c r="P95" s="812"/>
      <c r="S95" s="811"/>
      <c r="AD95" s="806"/>
      <c r="AE95" s="806"/>
      <c r="AF95" s="423"/>
      <c r="BP95" s="1"/>
      <c r="BR95" s="806"/>
      <c r="BS95" s="806"/>
      <c r="BT95" s="812"/>
      <c r="BU95" s="812"/>
    </row>
    <row r="96" spans="2:73" ht="18" customHeight="1">
      <c r="B96" s="846">
        <f t="shared" si="11"/>
        <v>96</v>
      </c>
      <c r="C96" s="843" t="s">
        <v>101</v>
      </c>
      <c r="D96" s="935"/>
      <c r="E96" s="960"/>
      <c r="F96" s="937">
        <f t="shared" si="14"/>
        <v>0</v>
      </c>
      <c r="G96" s="961"/>
      <c r="H96" s="939"/>
      <c r="I96" s="960"/>
      <c r="J96" s="937">
        <f t="shared" si="15"/>
        <v>0</v>
      </c>
      <c r="K96" s="941"/>
      <c r="P96" s="812"/>
      <c r="S96" s="811"/>
      <c r="AD96" s="806"/>
      <c r="AE96" s="806"/>
      <c r="AF96" s="423"/>
      <c r="BP96" s="1"/>
      <c r="BR96" s="806"/>
      <c r="BS96" s="806"/>
      <c r="BT96" s="812"/>
      <c r="BU96" s="812"/>
    </row>
    <row r="97" spans="2:76" ht="18" customHeight="1">
      <c r="B97" s="847">
        <f t="shared" si="11"/>
        <v>97</v>
      </c>
      <c r="C97" s="848" t="s">
        <v>101</v>
      </c>
      <c r="D97" s="944"/>
      <c r="E97" s="962"/>
      <c r="F97" s="946"/>
      <c r="G97" s="963"/>
      <c r="H97" s="948"/>
      <c r="I97" s="962"/>
      <c r="J97" s="946"/>
      <c r="K97" s="958"/>
      <c r="P97" s="812"/>
      <c r="S97" s="811"/>
      <c r="AD97" s="806"/>
      <c r="AE97" s="806"/>
      <c r="AF97" s="423"/>
      <c r="BP97" s="1"/>
      <c r="BR97" s="806"/>
      <c r="BS97" s="806"/>
      <c r="BT97" s="812"/>
      <c r="BU97" s="812"/>
    </row>
    <row r="98" spans="2:76" s="451" customFormat="1" ht="18" customHeight="1">
      <c r="B98" s="849">
        <f t="shared" si="11"/>
        <v>98</v>
      </c>
      <c r="C98" s="849"/>
      <c r="D98" s="292"/>
      <c r="E98" s="777"/>
      <c r="F98" s="849"/>
      <c r="G98" s="849"/>
      <c r="H98" s="449"/>
      <c r="I98" s="777"/>
      <c r="J98" s="849"/>
      <c r="K98" s="448"/>
      <c r="P98" s="850"/>
      <c r="S98" s="851"/>
      <c r="AD98" s="849"/>
      <c r="AE98" s="849"/>
      <c r="BP98" s="851"/>
      <c r="BR98" s="852"/>
      <c r="BS98" s="852"/>
      <c r="BT98" s="850"/>
      <c r="BU98" s="850"/>
      <c r="BV98" s="851"/>
      <c r="BX98" s="851"/>
    </row>
    <row r="99" spans="2:76" ht="18" customHeight="1">
      <c r="B99" s="844">
        <f t="shared" si="11"/>
        <v>99</v>
      </c>
      <c r="C99" s="845" t="s">
        <v>102</v>
      </c>
      <c r="D99" s="928">
        <v>0.03</v>
      </c>
      <c r="E99" s="933">
        <v>0</v>
      </c>
      <c r="F99" s="930">
        <f t="shared" ref="F99:F109" si="16">E100</f>
        <v>10000</v>
      </c>
      <c r="G99" s="931">
        <v>15000</v>
      </c>
      <c r="H99" s="932">
        <v>0.03</v>
      </c>
      <c r="I99" s="933">
        <v>0</v>
      </c>
      <c r="J99" s="930">
        <f t="shared" ref="J99:J109" si="17">I100</f>
        <v>20000</v>
      </c>
      <c r="K99" s="934">
        <v>24000</v>
      </c>
      <c r="P99" s="812"/>
      <c r="S99" s="811"/>
      <c r="AD99" s="806"/>
      <c r="AE99" s="806"/>
      <c r="BP99" s="813"/>
      <c r="BR99" s="814"/>
      <c r="BS99" s="814"/>
      <c r="BT99" s="812"/>
      <c r="BU99" s="812"/>
      <c r="BV99" s="811"/>
      <c r="BX99" s="811"/>
    </row>
    <row r="100" spans="2:76" ht="18" customHeight="1">
      <c r="B100" s="846">
        <f t="shared" si="11"/>
        <v>100</v>
      </c>
      <c r="C100" s="843" t="s">
        <v>102</v>
      </c>
      <c r="D100" s="935">
        <v>0.05</v>
      </c>
      <c r="E100" s="940">
        <v>10000</v>
      </c>
      <c r="F100" s="937">
        <f t="shared" si="16"/>
        <v>50000</v>
      </c>
      <c r="G100" s="938"/>
      <c r="H100" s="939">
        <v>0.05</v>
      </c>
      <c r="I100" s="940">
        <v>20000</v>
      </c>
      <c r="J100" s="937">
        <f t="shared" si="17"/>
        <v>100000</v>
      </c>
      <c r="K100" s="943"/>
      <c r="P100" s="812"/>
      <c r="S100" s="811"/>
      <c r="AD100" s="806"/>
      <c r="AE100" s="806"/>
      <c r="AF100" s="1"/>
      <c r="BP100" s="1"/>
      <c r="BR100" s="806"/>
      <c r="BS100" s="806"/>
      <c r="BT100" s="812"/>
      <c r="BU100" s="812"/>
    </row>
    <row r="101" spans="2:76" ht="18" customHeight="1">
      <c r="B101" s="846">
        <f t="shared" si="11"/>
        <v>101</v>
      </c>
      <c r="C101" s="843" t="s">
        <v>102</v>
      </c>
      <c r="D101" s="935">
        <v>5.5E-2</v>
      </c>
      <c r="E101" s="940">
        <v>50000</v>
      </c>
      <c r="F101" s="937">
        <f t="shared" si="16"/>
        <v>100000</v>
      </c>
      <c r="G101" s="938"/>
      <c r="H101" s="939">
        <v>5.5E-2</v>
      </c>
      <c r="I101" s="940">
        <v>100000</v>
      </c>
      <c r="J101" s="937">
        <f t="shared" si="17"/>
        <v>200000</v>
      </c>
      <c r="K101" s="943"/>
      <c r="P101" s="812"/>
      <c r="S101" s="811"/>
      <c r="AD101" s="806"/>
      <c r="AE101" s="806"/>
      <c r="AF101" s="423"/>
      <c r="BP101" s="1"/>
      <c r="BR101" s="806"/>
      <c r="BS101" s="806"/>
      <c r="BT101" s="812"/>
      <c r="BU101" s="812"/>
      <c r="BV101" s="811"/>
    </row>
    <row r="102" spans="2:76" ht="18" customHeight="1">
      <c r="B102" s="846">
        <f t="shared" si="11"/>
        <v>102</v>
      </c>
      <c r="C102" s="843" t="s">
        <v>102</v>
      </c>
      <c r="D102" s="935">
        <v>0.06</v>
      </c>
      <c r="E102" s="940">
        <v>100000</v>
      </c>
      <c r="F102" s="937">
        <f t="shared" si="16"/>
        <v>200000</v>
      </c>
      <c r="G102" s="938"/>
      <c r="H102" s="939">
        <v>0.06</v>
      </c>
      <c r="I102" s="940">
        <v>200000</v>
      </c>
      <c r="J102" s="937">
        <f t="shared" si="17"/>
        <v>400000</v>
      </c>
      <c r="K102" s="943"/>
      <c r="P102" s="812"/>
      <c r="S102" s="811"/>
      <c r="AD102" s="806"/>
      <c r="AE102" s="806"/>
      <c r="AF102" s="423"/>
      <c r="BP102" s="1"/>
      <c r="BR102" s="806"/>
      <c r="BS102" s="806"/>
      <c r="BT102" s="812"/>
      <c r="BU102" s="812"/>
    </row>
    <row r="103" spans="2:76" ht="18" customHeight="1">
      <c r="B103" s="846">
        <f t="shared" si="11"/>
        <v>103</v>
      </c>
      <c r="C103" s="843" t="s">
        <v>102</v>
      </c>
      <c r="D103" s="935">
        <v>6.5000000000000002E-2</v>
      </c>
      <c r="E103" s="940">
        <v>200000</v>
      </c>
      <c r="F103" s="937">
        <f t="shared" si="16"/>
        <v>250000</v>
      </c>
      <c r="G103" s="938"/>
      <c r="H103" s="939">
        <v>6.5000000000000002E-2</v>
      </c>
      <c r="I103" s="940">
        <v>400000</v>
      </c>
      <c r="J103" s="937">
        <f t="shared" si="17"/>
        <v>500000</v>
      </c>
      <c r="K103" s="943"/>
      <c r="P103" s="812"/>
      <c r="S103" s="811"/>
      <c r="AD103" s="806"/>
      <c r="AE103" s="806"/>
      <c r="BP103" s="1"/>
      <c r="BR103" s="806"/>
      <c r="BS103" s="806"/>
      <c r="BT103" s="812"/>
      <c r="BU103" s="812"/>
    </row>
    <row r="104" spans="2:76" ht="18" customHeight="1">
      <c r="B104" s="846">
        <f t="shared" si="11"/>
        <v>104</v>
      </c>
      <c r="C104" s="843" t="s">
        <v>102</v>
      </c>
      <c r="D104" s="935">
        <v>6.9000000000000006E-2</v>
      </c>
      <c r="E104" s="940">
        <v>250000</v>
      </c>
      <c r="F104" s="937">
        <f t="shared" si="16"/>
        <v>500000</v>
      </c>
      <c r="G104" s="938"/>
      <c r="H104" s="939">
        <v>6.9000000000000006E-2</v>
      </c>
      <c r="I104" s="940">
        <v>500000</v>
      </c>
      <c r="J104" s="937">
        <f t="shared" si="17"/>
        <v>1000000</v>
      </c>
      <c r="K104" s="943"/>
      <c r="P104" s="812"/>
      <c r="S104" s="811"/>
      <c r="AD104" s="806"/>
      <c r="AE104" s="806"/>
      <c r="BP104" s="1"/>
      <c r="BR104" s="806"/>
      <c r="BS104" s="806"/>
      <c r="BT104" s="812"/>
      <c r="BU104" s="812"/>
    </row>
    <row r="105" spans="2:76" ht="18" customHeight="1">
      <c r="B105" s="846">
        <f t="shared" si="11"/>
        <v>105</v>
      </c>
      <c r="C105" s="843" t="s">
        <v>102</v>
      </c>
      <c r="D105" s="935">
        <v>6.9900000000000004E-2</v>
      </c>
      <c r="E105" s="940">
        <v>500000</v>
      </c>
      <c r="F105" s="937">
        <f t="shared" si="16"/>
        <v>0</v>
      </c>
      <c r="G105" s="938"/>
      <c r="H105" s="939">
        <v>6.9900000000000004E-2</v>
      </c>
      <c r="I105" s="940">
        <v>1000000</v>
      </c>
      <c r="J105" s="937">
        <f t="shared" si="17"/>
        <v>0</v>
      </c>
      <c r="K105" s="943"/>
      <c r="P105" s="812"/>
      <c r="S105" s="811"/>
      <c r="AD105" s="806"/>
      <c r="AE105" s="806"/>
      <c r="BP105" s="1"/>
      <c r="BR105" s="806"/>
      <c r="BS105" s="806"/>
      <c r="BT105" s="812"/>
      <c r="BU105" s="812"/>
    </row>
    <row r="106" spans="2:76" ht="18" customHeight="1">
      <c r="B106" s="846">
        <f t="shared" si="11"/>
        <v>106</v>
      </c>
      <c r="C106" s="843" t="s">
        <v>102</v>
      </c>
      <c r="D106" s="935"/>
      <c r="E106" s="940"/>
      <c r="F106" s="937">
        <f t="shared" si="16"/>
        <v>0</v>
      </c>
      <c r="G106" s="938"/>
      <c r="H106" s="939"/>
      <c r="I106" s="940"/>
      <c r="J106" s="937">
        <f t="shared" si="17"/>
        <v>0</v>
      </c>
      <c r="K106" s="943"/>
      <c r="P106" s="812"/>
      <c r="S106" s="811"/>
      <c r="AD106" s="806"/>
      <c r="AE106" s="806"/>
      <c r="BP106" s="1"/>
      <c r="BR106" s="806"/>
      <c r="BS106" s="806"/>
      <c r="BT106" s="812"/>
      <c r="BU106" s="812"/>
    </row>
    <row r="107" spans="2:76" ht="18" customHeight="1">
      <c r="B107" s="846">
        <f t="shared" si="11"/>
        <v>107</v>
      </c>
      <c r="C107" s="843" t="s">
        <v>102</v>
      </c>
      <c r="D107" s="935"/>
      <c r="E107" s="940"/>
      <c r="F107" s="937">
        <f t="shared" si="16"/>
        <v>0</v>
      </c>
      <c r="G107" s="938"/>
      <c r="H107" s="939"/>
      <c r="I107" s="940"/>
      <c r="J107" s="937">
        <f t="shared" si="17"/>
        <v>0</v>
      </c>
      <c r="K107" s="943"/>
      <c r="P107" s="812"/>
      <c r="S107" s="811"/>
      <c r="AD107" s="806"/>
      <c r="AE107" s="806"/>
      <c r="BP107" s="1"/>
      <c r="BR107" s="806"/>
      <c r="BS107" s="806"/>
      <c r="BT107" s="812"/>
      <c r="BU107" s="812"/>
    </row>
    <row r="108" spans="2:76" ht="18" customHeight="1">
      <c r="B108" s="846">
        <f t="shared" si="11"/>
        <v>108</v>
      </c>
      <c r="C108" s="843" t="s">
        <v>102</v>
      </c>
      <c r="D108" s="935"/>
      <c r="E108" s="940"/>
      <c r="F108" s="937">
        <f t="shared" si="16"/>
        <v>0</v>
      </c>
      <c r="G108" s="938"/>
      <c r="H108" s="939"/>
      <c r="I108" s="940"/>
      <c r="J108" s="937">
        <f t="shared" si="17"/>
        <v>0</v>
      </c>
      <c r="K108" s="943"/>
      <c r="P108" s="812"/>
      <c r="S108" s="811"/>
      <c r="AD108" s="806"/>
      <c r="AE108" s="806"/>
      <c r="BP108" s="1"/>
      <c r="BR108" s="806"/>
      <c r="BS108" s="806"/>
      <c r="BT108" s="812"/>
      <c r="BU108" s="812"/>
    </row>
    <row r="109" spans="2:76" ht="18" customHeight="1">
      <c r="B109" s="846">
        <f t="shared" si="11"/>
        <v>109</v>
      </c>
      <c r="C109" s="843" t="s">
        <v>102</v>
      </c>
      <c r="D109" s="935"/>
      <c r="E109" s="940"/>
      <c r="F109" s="937">
        <f t="shared" si="16"/>
        <v>0</v>
      </c>
      <c r="G109" s="938"/>
      <c r="H109" s="939"/>
      <c r="I109" s="940"/>
      <c r="J109" s="937">
        <f t="shared" si="17"/>
        <v>0</v>
      </c>
      <c r="K109" s="943"/>
      <c r="P109" s="812"/>
      <c r="S109" s="811"/>
      <c r="AD109" s="806"/>
      <c r="AE109" s="806"/>
      <c r="BP109" s="1"/>
      <c r="BR109" s="806"/>
      <c r="BS109" s="806"/>
      <c r="BT109" s="812"/>
      <c r="BU109" s="812"/>
    </row>
    <row r="110" spans="2:76" ht="18" customHeight="1">
      <c r="B110" s="847">
        <f t="shared" si="11"/>
        <v>110</v>
      </c>
      <c r="C110" s="848" t="s">
        <v>102</v>
      </c>
      <c r="D110" s="944"/>
      <c r="E110" s="957"/>
      <c r="F110" s="946"/>
      <c r="G110" s="947"/>
      <c r="H110" s="948"/>
      <c r="I110" s="957"/>
      <c r="J110" s="946"/>
      <c r="K110" s="950"/>
      <c r="P110" s="812"/>
      <c r="S110" s="811"/>
      <c r="AD110" s="806"/>
      <c r="AE110" s="806"/>
      <c r="BP110" s="1"/>
      <c r="BR110" s="806"/>
      <c r="BS110" s="806"/>
      <c r="BT110" s="812"/>
      <c r="BU110" s="812"/>
    </row>
    <row r="111" spans="2:76" s="451" customFormat="1" ht="18" customHeight="1">
      <c r="B111" s="849">
        <f t="shared" si="11"/>
        <v>111</v>
      </c>
      <c r="C111" s="849"/>
      <c r="D111" s="292"/>
      <c r="E111" s="777"/>
      <c r="F111" s="849"/>
      <c r="G111" s="849"/>
      <c r="H111" s="449"/>
      <c r="I111" s="777"/>
      <c r="J111" s="849"/>
      <c r="K111" s="448"/>
      <c r="P111" s="850"/>
      <c r="S111" s="851"/>
      <c r="AD111" s="849"/>
      <c r="AE111" s="849"/>
      <c r="BR111" s="849"/>
      <c r="BS111" s="849"/>
      <c r="BT111" s="850"/>
      <c r="BU111" s="850"/>
    </row>
    <row r="112" spans="2:76" ht="18" customHeight="1">
      <c r="B112" s="844">
        <f t="shared" si="11"/>
        <v>112</v>
      </c>
      <c r="C112" s="845" t="s">
        <v>153</v>
      </c>
      <c r="D112" s="928">
        <v>0</v>
      </c>
      <c r="E112" s="933">
        <v>0</v>
      </c>
      <c r="F112" s="930">
        <f>E113</f>
        <v>2000</v>
      </c>
      <c r="G112" s="931">
        <v>3250</v>
      </c>
      <c r="H112" s="932">
        <v>0</v>
      </c>
      <c r="I112" s="933">
        <v>0</v>
      </c>
      <c r="J112" s="930">
        <f>I113</f>
        <v>2000</v>
      </c>
      <c r="K112" s="934">
        <v>6500</v>
      </c>
      <c r="P112" s="812"/>
      <c r="S112" s="811"/>
      <c r="AD112" s="806"/>
      <c r="AE112" s="806"/>
      <c r="BP112" s="1"/>
      <c r="BR112" s="806"/>
      <c r="BS112" s="806"/>
      <c r="BT112" s="812"/>
      <c r="BU112" s="812"/>
    </row>
    <row r="113" spans="2:73" ht="18" customHeight="1">
      <c r="B113" s="846">
        <f t="shared" si="11"/>
        <v>113</v>
      </c>
      <c r="C113" s="843" t="s">
        <v>153</v>
      </c>
      <c r="D113" s="935">
        <v>2.1999999999999999E-2</v>
      </c>
      <c r="E113" s="940">
        <v>2000</v>
      </c>
      <c r="F113" s="937">
        <f t="shared" ref="F113:F122" si="18">E114</f>
        <v>5000</v>
      </c>
      <c r="G113" s="938"/>
      <c r="H113" s="939">
        <v>2.1999999999999999E-2</v>
      </c>
      <c r="I113" s="940">
        <v>2000</v>
      </c>
      <c r="J113" s="937">
        <f t="shared" ref="J113:J122" si="19">I114</f>
        <v>5000</v>
      </c>
      <c r="K113" s="943"/>
      <c r="P113" s="812"/>
      <c r="S113" s="811"/>
      <c r="AD113" s="806"/>
      <c r="AE113" s="806"/>
      <c r="AF113" s="806"/>
      <c r="BP113" s="1"/>
      <c r="BR113" s="806"/>
      <c r="BS113" s="806"/>
      <c r="BT113" s="812"/>
      <c r="BU113" s="812"/>
    </row>
    <row r="114" spans="2:73" ht="18" customHeight="1">
      <c r="B114" s="846">
        <f t="shared" si="11"/>
        <v>114</v>
      </c>
      <c r="C114" s="843" t="s">
        <v>153</v>
      </c>
      <c r="D114" s="935">
        <v>3.9E-2</v>
      </c>
      <c r="E114" s="940">
        <v>5000</v>
      </c>
      <c r="F114" s="937">
        <f t="shared" si="18"/>
        <v>10000</v>
      </c>
      <c r="G114" s="938"/>
      <c r="H114" s="939">
        <v>3.9E-2</v>
      </c>
      <c r="I114" s="940">
        <v>5000</v>
      </c>
      <c r="J114" s="937">
        <f t="shared" si="19"/>
        <v>10000</v>
      </c>
      <c r="K114" s="943"/>
      <c r="P114" s="812"/>
      <c r="S114" s="811"/>
      <c r="AD114" s="806"/>
      <c r="AE114" s="806"/>
      <c r="AF114" s="806"/>
      <c r="BP114" s="1"/>
      <c r="BR114" s="806"/>
      <c r="BS114" s="806"/>
      <c r="BT114" s="812"/>
      <c r="BU114" s="812"/>
    </row>
    <row r="115" spans="2:73" ht="18" customHeight="1">
      <c r="B115" s="846">
        <f t="shared" si="11"/>
        <v>115</v>
      </c>
      <c r="C115" s="843" t="s">
        <v>153</v>
      </c>
      <c r="D115" s="935">
        <v>4.8000000000000001E-2</v>
      </c>
      <c r="E115" s="940">
        <v>10000</v>
      </c>
      <c r="F115" s="937">
        <f t="shared" si="18"/>
        <v>20000</v>
      </c>
      <c r="G115" s="938"/>
      <c r="H115" s="939">
        <v>4.8000000000000001E-2</v>
      </c>
      <c r="I115" s="940">
        <v>10000</v>
      </c>
      <c r="J115" s="937">
        <f t="shared" si="19"/>
        <v>20000</v>
      </c>
      <c r="K115" s="943"/>
      <c r="P115" s="812"/>
      <c r="S115" s="811"/>
      <c r="AD115" s="806"/>
      <c r="AE115" s="806"/>
      <c r="AF115" s="806"/>
      <c r="BP115" s="1"/>
      <c r="BR115" s="806"/>
      <c r="BS115" s="806"/>
      <c r="BT115" s="812"/>
      <c r="BU115" s="812"/>
    </row>
    <row r="116" spans="2:73" ht="18" customHeight="1">
      <c r="B116" s="846">
        <f t="shared" si="11"/>
        <v>116</v>
      </c>
      <c r="C116" s="843" t="s">
        <v>153</v>
      </c>
      <c r="D116" s="935">
        <v>5.1999999999999998E-2</v>
      </c>
      <c r="E116" s="940">
        <v>20000</v>
      </c>
      <c r="F116" s="937">
        <f t="shared" si="18"/>
        <v>25000</v>
      </c>
      <c r="G116" s="938"/>
      <c r="H116" s="939">
        <v>5.1999999999999998E-2</v>
      </c>
      <c r="I116" s="940">
        <v>20000</v>
      </c>
      <c r="J116" s="937">
        <f t="shared" si="19"/>
        <v>25000</v>
      </c>
      <c r="K116" s="943"/>
      <c r="P116" s="812"/>
      <c r="S116" s="811"/>
      <c r="AD116" s="806"/>
      <c r="AE116" s="806"/>
      <c r="AF116" s="806"/>
      <c r="BP116" s="1"/>
      <c r="BR116" s="806"/>
      <c r="BS116" s="806"/>
      <c r="BT116" s="812"/>
      <c r="BU116" s="812"/>
    </row>
    <row r="117" spans="2:73" ht="18" customHeight="1">
      <c r="B117" s="846">
        <f t="shared" si="11"/>
        <v>117</v>
      </c>
      <c r="C117" s="843" t="s">
        <v>153</v>
      </c>
      <c r="D117" s="935">
        <v>5.5500000000000001E-2</v>
      </c>
      <c r="E117" s="940">
        <v>25000</v>
      </c>
      <c r="F117" s="937">
        <f t="shared" si="18"/>
        <v>60000</v>
      </c>
      <c r="G117" s="938"/>
      <c r="H117" s="939">
        <v>5.5500000000000001E-2</v>
      </c>
      <c r="I117" s="940">
        <v>25000</v>
      </c>
      <c r="J117" s="937">
        <f t="shared" si="19"/>
        <v>60000</v>
      </c>
      <c r="K117" s="943"/>
      <c r="P117" s="812"/>
      <c r="S117" s="811"/>
      <c r="AD117" s="806"/>
      <c r="AE117" s="806"/>
      <c r="AF117" s="806"/>
      <c r="BP117" s="1"/>
      <c r="BR117" s="806"/>
      <c r="BS117" s="806"/>
      <c r="BT117" s="812"/>
      <c r="BU117" s="812"/>
    </row>
    <row r="118" spans="2:73" ht="18" customHeight="1">
      <c r="B118" s="846">
        <f t="shared" si="11"/>
        <v>118</v>
      </c>
      <c r="C118" s="843" t="s">
        <v>153</v>
      </c>
      <c r="D118" s="935">
        <v>6.6000000000000003E-2</v>
      </c>
      <c r="E118" s="940">
        <v>60000</v>
      </c>
      <c r="F118" s="937">
        <f t="shared" si="18"/>
        <v>0</v>
      </c>
      <c r="G118" s="938"/>
      <c r="H118" s="939">
        <v>6.6000000000000003E-2</v>
      </c>
      <c r="I118" s="940">
        <v>60000</v>
      </c>
      <c r="J118" s="937">
        <f t="shared" si="19"/>
        <v>0</v>
      </c>
      <c r="K118" s="943"/>
      <c r="P118" s="812"/>
      <c r="S118" s="811"/>
      <c r="AD118" s="806"/>
      <c r="AE118" s="806"/>
      <c r="AF118" s="806"/>
      <c r="BP118" s="1"/>
      <c r="BR118" s="806"/>
      <c r="BS118" s="806"/>
      <c r="BT118" s="812"/>
      <c r="BU118" s="812"/>
    </row>
    <row r="119" spans="2:73" ht="18" customHeight="1">
      <c r="B119" s="846">
        <f t="shared" si="11"/>
        <v>119</v>
      </c>
      <c r="C119" s="843" t="s">
        <v>153</v>
      </c>
      <c r="D119" s="935"/>
      <c r="E119" s="940"/>
      <c r="F119" s="937">
        <f t="shared" si="18"/>
        <v>0</v>
      </c>
      <c r="G119" s="938"/>
      <c r="H119" s="939"/>
      <c r="I119" s="940"/>
      <c r="J119" s="937">
        <f t="shared" si="19"/>
        <v>0</v>
      </c>
      <c r="K119" s="943"/>
      <c r="P119" s="812"/>
      <c r="S119" s="811"/>
      <c r="AD119" s="806"/>
      <c r="AE119" s="806"/>
      <c r="AF119" s="806"/>
      <c r="BP119" s="1"/>
      <c r="BR119" s="806"/>
      <c r="BS119" s="806"/>
      <c r="BT119" s="812"/>
      <c r="BU119" s="812"/>
    </row>
    <row r="120" spans="2:73" ht="18" customHeight="1">
      <c r="B120" s="846">
        <f t="shared" si="11"/>
        <v>120</v>
      </c>
      <c r="C120" s="843" t="s">
        <v>153</v>
      </c>
      <c r="D120" s="935"/>
      <c r="E120" s="940"/>
      <c r="F120" s="937">
        <f t="shared" si="18"/>
        <v>0</v>
      </c>
      <c r="G120" s="938"/>
      <c r="H120" s="939"/>
      <c r="I120" s="940"/>
      <c r="J120" s="937">
        <f t="shared" si="19"/>
        <v>0</v>
      </c>
      <c r="K120" s="943"/>
      <c r="P120" s="812"/>
      <c r="S120" s="811"/>
      <c r="AD120" s="806"/>
      <c r="AE120" s="806"/>
      <c r="AF120" s="806"/>
      <c r="BP120" s="1"/>
      <c r="BR120" s="806"/>
      <c r="BS120" s="806"/>
      <c r="BT120" s="812"/>
      <c r="BU120" s="812"/>
    </row>
    <row r="121" spans="2:73" ht="18" customHeight="1">
      <c r="B121" s="846">
        <f t="shared" si="11"/>
        <v>121</v>
      </c>
      <c r="C121" s="843" t="s">
        <v>153</v>
      </c>
      <c r="D121" s="935"/>
      <c r="E121" s="940"/>
      <c r="F121" s="937">
        <f t="shared" si="18"/>
        <v>0</v>
      </c>
      <c r="G121" s="938"/>
      <c r="H121" s="939"/>
      <c r="I121" s="940"/>
      <c r="J121" s="937">
        <f t="shared" si="19"/>
        <v>0</v>
      </c>
      <c r="K121" s="943"/>
      <c r="P121" s="812"/>
      <c r="S121" s="811"/>
      <c r="AD121" s="806"/>
      <c r="AE121" s="806"/>
      <c r="AF121" s="806"/>
      <c r="BP121" s="1"/>
      <c r="BR121" s="806"/>
      <c r="BS121" s="806"/>
      <c r="BT121" s="812"/>
      <c r="BU121" s="812"/>
    </row>
    <row r="122" spans="2:73" ht="18" customHeight="1">
      <c r="B122" s="846">
        <f t="shared" si="11"/>
        <v>122</v>
      </c>
      <c r="C122" s="843" t="s">
        <v>153</v>
      </c>
      <c r="D122" s="935"/>
      <c r="E122" s="940"/>
      <c r="F122" s="937">
        <f t="shared" si="18"/>
        <v>0</v>
      </c>
      <c r="G122" s="938"/>
      <c r="H122" s="939"/>
      <c r="I122" s="940"/>
      <c r="J122" s="937">
        <f t="shared" si="19"/>
        <v>0</v>
      </c>
      <c r="K122" s="943"/>
      <c r="P122" s="812"/>
      <c r="S122" s="811"/>
      <c r="AD122" s="806"/>
      <c r="AE122" s="806"/>
      <c r="AF122" s="806"/>
      <c r="BP122" s="1"/>
      <c r="BR122" s="806"/>
      <c r="BS122" s="806"/>
      <c r="BT122" s="812"/>
      <c r="BU122" s="812"/>
    </row>
    <row r="123" spans="2:73" ht="18" customHeight="1">
      <c r="B123" s="847">
        <f t="shared" si="11"/>
        <v>123</v>
      </c>
      <c r="C123" s="848" t="s">
        <v>153</v>
      </c>
      <c r="D123" s="944"/>
      <c r="E123" s="957"/>
      <c r="F123" s="946"/>
      <c r="G123" s="947"/>
      <c r="H123" s="948"/>
      <c r="I123" s="957"/>
      <c r="J123" s="946"/>
      <c r="K123" s="950"/>
      <c r="P123" s="812"/>
      <c r="S123" s="811"/>
      <c r="AD123" s="806"/>
      <c r="AE123" s="806"/>
      <c r="AF123" s="806"/>
      <c r="BP123" s="1"/>
      <c r="BR123" s="806"/>
      <c r="BS123" s="806"/>
      <c r="BT123" s="812"/>
      <c r="BU123" s="812"/>
    </row>
    <row r="124" spans="2:73" s="451" customFormat="1" ht="18" customHeight="1">
      <c r="B124" s="849">
        <f t="shared" si="11"/>
        <v>124</v>
      </c>
      <c r="C124" s="849"/>
      <c r="D124" s="292"/>
      <c r="E124" s="777"/>
      <c r="F124" s="849"/>
      <c r="G124" s="849"/>
      <c r="H124" s="449"/>
      <c r="I124" s="777"/>
      <c r="J124" s="849"/>
      <c r="K124" s="448"/>
      <c r="P124" s="850"/>
      <c r="S124" s="851"/>
      <c r="AD124" s="849"/>
      <c r="AE124" s="849"/>
      <c r="AF124" s="849"/>
      <c r="BR124" s="849"/>
      <c r="BS124" s="849"/>
      <c r="BT124" s="850"/>
      <c r="BU124" s="850"/>
    </row>
    <row r="125" spans="2:73" ht="18" customHeight="1">
      <c r="B125" s="844">
        <f t="shared" si="11"/>
        <v>125</v>
      </c>
      <c r="C125" s="845" t="s">
        <v>103</v>
      </c>
      <c r="D125" s="928">
        <v>0</v>
      </c>
      <c r="E125" s="959"/>
      <c r="F125" s="930">
        <f t="shared" ref="F125:F135" si="20">E126</f>
        <v>0</v>
      </c>
      <c r="G125" s="931">
        <v>0</v>
      </c>
      <c r="H125" s="932">
        <v>0</v>
      </c>
      <c r="I125" s="959"/>
      <c r="J125" s="930">
        <f t="shared" ref="J125:J135" si="21">I126</f>
        <v>0</v>
      </c>
      <c r="K125" s="934">
        <v>0</v>
      </c>
      <c r="P125" s="812"/>
      <c r="S125" s="811"/>
      <c r="AD125" s="806"/>
      <c r="AE125" s="806"/>
      <c r="AF125" s="806"/>
      <c r="BP125" s="1"/>
      <c r="BR125" s="806"/>
      <c r="BS125" s="806"/>
      <c r="BT125" s="812"/>
      <c r="BU125" s="812"/>
    </row>
    <row r="126" spans="2:73" ht="18" customHeight="1">
      <c r="B126" s="846">
        <f t="shared" si="11"/>
        <v>126</v>
      </c>
      <c r="C126" s="843" t="s">
        <v>103</v>
      </c>
      <c r="D126" s="935"/>
      <c r="E126" s="960"/>
      <c r="F126" s="937">
        <f t="shared" si="20"/>
        <v>0</v>
      </c>
      <c r="G126" s="961"/>
      <c r="H126" s="939"/>
      <c r="I126" s="960"/>
      <c r="J126" s="937">
        <f t="shared" si="21"/>
        <v>0</v>
      </c>
      <c r="K126" s="941"/>
      <c r="P126" s="812"/>
      <c r="S126" s="811"/>
      <c r="AD126" s="806"/>
      <c r="AE126" s="806"/>
      <c r="AF126" s="806"/>
      <c r="BP126" s="1"/>
      <c r="BR126" s="806"/>
      <c r="BS126" s="806"/>
      <c r="BT126" s="812"/>
      <c r="BU126" s="812"/>
    </row>
    <row r="127" spans="2:73" ht="18" customHeight="1">
      <c r="B127" s="846">
        <f t="shared" si="11"/>
        <v>127</v>
      </c>
      <c r="C127" s="843" t="s">
        <v>103</v>
      </c>
      <c r="D127" s="935"/>
      <c r="E127" s="960"/>
      <c r="F127" s="937">
        <f t="shared" si="20"/>
        <v>0</v>
      </c>
      <c r="G127" s="961"/>
      <c r="H127" s="939"/>
      <c r="I127" s="960"/>
      <c r="J127" s="937">
        <f t="shared" si="21"/>
        <v>0</v>
      </c>
      <c r="K127" s="941"/>
      <c r="P127" s="812"/>
      <c r="S127" s="811"/>
      <c r="AD127" s="806"/>
      <c r="AE127" s="806"/>
      <c r="AF127" s="806"/>
      <c r="BP127" s="1"/>
      <c r="BR127" s="806"/>
      <c r="BS127" s="806"/>
      <c r="BT127" s="812"/>
      <c r="BU127" s="812"/>
    </row>
    <row r="128" spans="2:73" ht="18" customHeight="1">
      <c r="B128" s="846">
        <f t="shared" si="11"/>
        <v>128</v>
      </c>
      <c r="C128" s="843" t="s">
        <v>103</v>
      </c>
      <c r="D128" s="935"/>
      <c r="E128" s="960"/>
      <c r="F128" s="937">
        <f t="shared" si="20"/>
        <v>0</v>
      </c>
      <c r="G128" s="961"/>
      <c r="H128" s="939"/>
      <c r="I128" s="960"/>
      <c r="J128" s="937">
        <f t="shared" si="21"/>
        <v>0</v>
      </c>
      <c r="K128" s="941"/>
      <c r="P128" s="812"/>
      <c r="S128" s="811"/>
      <c r="AD128" s="806"/>
      <c r="AE128" s="806"/>
      <c r="AF128" s="806"/>
      <c r="BP128" s="1"/>
      <c r="BR128" s="806"/>
      <c r="BS128" s="806"/>
      <c r="BT128" s="812"/>
      <c r="BU128" s="812"/>
    </row>
    <row r="129" spans="2:73" ht="18" customHeight="1">
      <c r="B129" s="846">
        <f t="shared" si="11"/>
        <v>129</v>
      </c>
      <c r="C129" s="843" t="s">
        <v>103</v>
      </c>
      <c r="D129" s="935"/>
      <c r="E129" s="960"/>
      <c r="F129" s="937">
        <f t="shared" si="20"/>
        <v>0</v>
      </c>
      <c r="G129" s="961"/>
      <c r="H129" s="939"/>
      <c r="I129" s="960"/>
      <c r="J129" s="937">
        <f t="shared" si="21"/>
        <v>0</v>
      </c>
      <c r="K129" s="941"/>
      <c r="P129" s="812"/>
      <c r="S129" s="811"/>
      <c r="AD129" s="806"/>
      <c r="AE129" s="806"/>
      <c r="AF129" s="806"/>
      <c r="BP129" s="1"/>
      <c r="BR129" s="806"/>
      <c r="BS129" s="806"/>
      <c r="BT129" s="812"/>
      <c r="BU129" s="812"/>
    </row>
    <row r="130" spans="2:73" ht="18" customHeight="1">
      <c r="B130" s="846">
        <f t="shared" si="11"/>
        <v>130</v>
      </c>
      <c r="C130" s="843" t="s">
        <v>103</v>
      </c>
      <c r="D130" s="935"/>
      <c r="E130" s="960"/>
      <c r="F130" s="937">
        <f t="shared" si="20"/>
        <v>0</v>
      </c>
      <c r="G130" s="961"/>
      <c r="H130" s="939"/>
      <c r="I130" s="960"/>
      <c r="J130" s="937">
        <f t="shared" si="21"/>
        <v>0</v>
      </c>
      <c r="K130" s="941"/>
      <c r="P130" s="812"/>
      <c r="S130" s="811"/>
      <c r="AD130" s="806"/>
      <c r="AE130" s="806"/>
      <c r="AF130" s="806"/>
      <c r="BP130" s="1"/>
      <c r="BR130" s="806"/>
      <c r="BS130" s="806"/>
      <c r="BT130" s="812"/>
      <c r="BU130" s="812"/>
    </row>
    <row r="131" spans="2:73" ht="18" customHeight="1">
      <c r="B131" s="846">
        <f t="shared" si="11"/>
        <v>131</v>
      </c>
      <c r="C131" s="843" t="s">
        <v>103</v>
      </c>
      <c r="D131" s="935"/>
      <c r="E131" s="960"/>
      <c r="F131" s="937">
        <f t="shared" si="20"/>
        <v>0</v>
      </c>
      <c r="G131" s="961"/>
      <c r="H131" s="939"/>
      <c r="I131" s="960"/>
      <c r="J131" s="937">
        <f t="shared" si="21"/>
        <v>0</v>
      </c>
      <c r="K131" s="941"/>
      <c r="P131" s="812"/>
      <c r="S131" s="811"/>
      <c r="AD131" s="806"/>
      <c r="AE131" s="806"/>
      <c r="AF131" s="806"/>
      <c r="BP131" s="1"/>
      <c r="BR131" s="806"/>
      <c r="BS131" s="806"/>
      <c r="BT131" s="812"/>
      <c r="BU131" s="812"/>
    </row>
    <row r="132" spans="2:73" ht="18" customHeight="1">
      <c r="B132" s="846">
        <f t="shared" si="11"/>
        <v>132</v>
      </c>
      <c r="C132" s="843" t="s">
        <v>103</v>
      </c>
      <c r="D132" s="935"/>
      <c r="E132" s="960"/>
      <c r="F132" s="937">
        <f t="shared" si="20"/>
        <v>0</v>
      </c>
      <c r="G132" s="961"/>
      <c r="H132" s="939"/>
      <c r="I132" s="960"/>
      <c r="J132" s="937">
        <f t="shared" si="21"/>
        <v>0</v>
      </c>
      <c r="K132" s="941"/>
      <c r="P132" s="812"/>
      <c r="S132" s="811"/>
      <c r="AD132" s="806"/>
      <c r="AE132" s="806"/>
      <c r="AF132" s="806"/>
      <c r="BP132" s="1"/>
      <c r="BR132" s="806"/>
      <c r="BS132" s="806"/>
      <c r="BT132" s="812"/>
      <c r="BU132" s="812"/>
    </row>
    <row r="133" spans="2:73" ht="18" customHeight="1">
      <c r="B133" s="846">
        <f t="shared" si="11"/>
        <v>133</v>
      </c>
      <c r="C133" s="843" t="s">
        <v>103</v>
      </c>
      <c r="D133" s="935"/>
      <c r="E133" s="960"/>
      <c r="F133" s="937">
        <f t="shared" si="20"/>
        <v>0</v>
      </c>
      <c r="G133" s="961"/>
      <c r="H133" s="939"/>
      <c r="I133" s="960"/>
      <c r="J133" s="937">
        <f t="shared" si="21"/>
        <v>0</v>
      </c>
      <c r="K133" s="941"/>
      <c r="P133" s="812"/>
      <c r="S133" s="811"/>
      <c r="AD133" s="806"/>
      <c r="AE133" s="806"/>
      <c r="AF133" s="806"/>
      <c r="BP133" s="1"/>
      <c r="BR133" s="806"/>
      <c r="BS133" s="806"/>
      <c r="BT133" s="812"/>
      <c r="BU133" s="812"/>
    </row>
    <row r="134" spans="2:73" ht="18" customHeight="1">
      <c r="B134" s="846">
        <f t="shared" si="11"/>
        <v>134</v>
      </c>
      <c r="C134" s="843" t="s">
        <v>103</v>
      </c>
      <c r="D134" s="935"/>
      <c r="E134" s="960"/>
      <c r="F134" s="937">
        <f t="shared" si="20"/>
        <v>0</v>
      </c>
      <c r="G134" s="961"/>
      <c r="H134" s="939"/>
      <c r="I134" s="960"/>
      <c r="J134" s="937">
        <f t="shared" si="21"/>
        <v>0</v>
      </c>
      <c r="K134" s="941"/>
      <c r="P134" s="812"/>
      <c r="S134" s="811"/>
      <c r="AD134" s="806"/>
      <c r="AE134" s="806"/>
      <c r="AF134" s="806"/>
      <c r="BP134" s="1"/>
      <c r="BR134" s="806"/>
      <c r="BS134" s="806"/>
      <c r="BT134" s="812"/>
      <c r="BU134" s="812"/>
    </row>
    <row r="135" spans="2:73" ht="18" customHeight="1">
      <c r="B135" s="846">
        <f t="shared" si="11"/>
        <v>135</v>
      </c>
      <c r="C135" s="843" t="s">
        <v>103</v>
      </c>
      <c r="D135" s="935"/>
      <c r="E135" s="960"/>
      <c r="F135" s="937">
        <f t="shared" si="20"/>
        <v>0</v>
      </c>
      <c r="G135" s="961"/>
      <c r="H135" s="939"/>
      <c r="I135" s="960"/>
      <c r="J135" s="937">
        <f t="shared" si="21"/>
        <v>0</v>
      </c>
      <c r="K135" s="941"/>
      <c r="P135" s="812"/>
      <c r="S135" s="811"/>
      <c r="AD135" s="806"/>
      <c r="AE135" s="806"/>
      <c r="AF135" s="806"/>
      <c r="BP135" s="1"/>
      <c r="BR135" s="806"/>
      <c r="BS135" s="806"/>
      <c r="BT135" s="812"/>
      <c r="BU135" s="812"/>
    </row>
    <row r="136" spans="2:73" ht="18" customHeight="1">
      <c r="B136" s="847">
        <f t="shared" si="11"/>
        <v>136</v>
      </c>
      <c r="C136" s="848" t="s">
        <v>103</v>
      </c>
      <c r="D136" s="944"/>
      <c r="E136" s="962"/>
      <c r="F136" s="946"/>
      <c r="G136" s="963"/>
      <c r="H136" s="948"/>
      <c r="I136" s="962"/>
      <c r="J136" s="946"/>
      <c r="K136" s="958"/>
      <c r="P136" s="812"/>
      <c r="S136" s="811"/>
      <c r="AD136" s="806"/>
      <c r="AE136" s="806"/>
      <c r="AF136" s="806"/>
      <c r="BP136" s="1"/>
      <c r="BR136" s="806"/>
      <c r="BS136" s="806"/>
      <c r="BT136" s="812"/>
      <c r="BU136" s="812"/>
    </row>
    <row r="137" spans="2:73" s="451" customFormat="1" ht="18" customHeight="1">
      <c r="B137" s="849">
        <f t="shared" si="11"/>
        <v>137</v>
      </c>
      <c r="C137" s="849"/>
      <c r="D137" s="292"/>
      <c r="E137" s="777"/>
      <c r="F137" s="849"/>
      <c r="G137" s="849"/>
      <c r="H137" s="449"/>
      <c r="I137" s="777"/>
      <c r="J137" s="849"/>
      <c r="K137" s="448"/>
      <c r="P137" s="850"/>
      <c r="S137" s="851"/>
      <c r="AD137" s="849"/>
      <c r="AE137" s="849"/>
      <c r="AF137" s="849"/>
      <c r="BR137" s="849"/>
      <c r="BS137" s="849"/>
      <c r="BT137" s="850"/>
      <c r="BU137" s="850"/>
    </row>
    <row r="138" spans="2:73" ht="18" customHeight="1">
      <c r="B138" s="844">
        <f t="shared" ref="B138:B201" si="22">B137+1</f>
        <v>138</v>
      </c>
      <c r="C138" s="845" t="s">
        <v>104</v>
      </c>
      <c r="D138" s="928">
        <v>0.01</v>
      </c>
      <c r="E138" s="933">
        <v>0</v>
      </c>
      <c r="F138" s="930">
        <f t="shared" ref="F138:F148" si="23">E139</f>
        <v>750</v>
      </c>
      <c r="G138" s="931">
        <v>4600</v>
      </c>
      <c r="H138" s="932">
        <v>0.01</v>
      </c>
      <c r="I138" s="933">
        <v>0</v>
      </c>
      <c r="J138" s="930">
        <f t="shared" ref="J138:J148" si="24">I139</f>
        <v>1000</v>
      </c>
      <c r="K138" s="934">
        <v>6000</v>
      </c>
      <c r="P138" s="812"/>
      <c r="S138" s="811"/>
      <c r="AD138" s="806"/>
      <c r="AE138" s="806"/>
      <c r="AF138" s="806"/>
      <c r="BP138" s="1"/>
      <c r="BR138" s="806"/>
      <c r="BS138" s="806"/>
      <c r="BT138" s="812"/>
      <c r="BU138" s="812"/>
    </row>
    <row r="139" spans="2:73" ht="18" customHeight="1">
      <c r="B139" s="846">
        <f t="shared" si="22"/>
        <v>139</v>
      </c>
      <c r="C139" s="843" t="s">
        <v>104</v>
      </c>
      <c r="D139" s="935">
        <v>0.02</v>
      </c>
      <c r="E139" s="940">
        <v>750</v>
      </c>
      <c r="F139" s="937">
        <f t="shared" si="23"/>
        <v>2250</v>
      </c>
      <c r="G139" s="938"/>
      <c r="H139" s="939">
        <v>0.02</v>
      </c>
      <c r="I139" s="940">
        <v>1000</v>
      </c>
      <c r="J139" s="937">
        <f t="shared" si="24"/>
        <v>3000</v>
      </c>
      <c r="K139" s="943"/>
      <c r="P139" s="812"/>
      <c r="S139" s="811"/>
      <c r="AD139" s="806"/>
      <c r="AE139" s="806"/>
      <c r="AF139" s="806"/>
      <c r="BP139" s="1"/>
      <c r="BR139" s="806"/>
      <c r="BS139" s="806"/>
      <c r="BT139" s="812"/>
      <c r="BU139" s="812"/>
    </row>
    <row r="140" spans="2:73" ht="18" customHeight="1">
      <c r="B140" s="846">
        <f t="shared" si="22"/>
        <v>140</v>
      </c>
      <c r="C140" s="843" t="s">
        <v>104</v>
      </c>
      <c r="D140" s="935">
        <v>0.03</v>
      </c>
      <c r="E140" s="940">
        <v>2250</v>
      </c>
      <c r="F140" s="937">
        <f t="shared" si="23"/>
        <v>3750</v>
      </c>
      <c r="G140" s="938"/>
      <c r="H140" s="939">
        <v>0.03</v>
      </c>
      <c r="I140" s="940">
        <v>3000</v>
      </c>
      <c r="J140" s="937">
        <f t="shared" si="24"/>
        <v>5000</v>
      </c>
      <c r="K140" s="943"/>
      <c r="P140" s="812"/>
      <c r="S140" s="811"/>
      <c r="AD140" s="806"/>
      <c r="AE140" s="806"/>
      <c r="AF140" s="806"/>
      <c r="BP140" s="1"/>
      <c r="BR140" s="806"/>
      <c r="BS140" s="806"/>
      <c r="BT140" s="812"/>
      <c r="BU140" s="812"/>
    </row>
    <row r="141" spans="2:73" ht="18" customHeight="1">
      <c r="B141" s="846">
        <f t="shared" si="22"/>
        <v>141</v>
      </c>
      <c r="C141" s="843" t="s">
        <v>104</v>
      </c>
      <c r="D141" s="935">
        <v>0.04</v>
      </c>
      <c r="E141" s="940">
        <v>3750</v>
      </c>
      <c r="F141" s="937">
        <f t="shared" si="23"/>
        <v>5250</v>
      </c>
      <c r="G141" s="938"/>
      <c r="H141" s="939">
        <v>0.04</v>
      </c>
      <c r="I141" s="940">
        <v>5000</v>
      </c>
      <c r="J141" s="937">
        <f t="shared" si="24"/>
        <v>7000</v>
      </c>
      <c r="K141" s="943"/>
      <c r="P141" s="812"/>
      <c r="S141" s="811"/>
      <c r="AD141" s="806"/>
      <c r="AE141" s="806"/>
      <c r="AF141" s="806"/>
      <c r="BP141" s="1"/>
      <c r="BR141" s="806"/>
      <c r="BS141" s="806"/>
      <c r="BT141" s="812"/>
      <c r="BU141" s="812"/>
    </row>
    <row r="142" spans="2:73" ht="18" customHeight="1">
      <c r="B142" s="846">
        <f t="shared" si="22"/>
        <v>142</v>
      </c>
      <c r="C142" s="843" t="s">
        <v>104</v>
      </c>
      <c r="D142" s="935">
        <v>0.05</v>
      </c>
      <c r="E142" s="940">
        <v>5250</v>
      </c>
      <c r="F142" s="937">
        <f t="shared" si="23"/>
        <v>7000</v>
      </c>
      <c r="G142" s="938"/>
      <c r="H142" s="939">
        <v>0.05</v>
      </c>
      <c r="I142" s="940">
        <v>7000</v>
      </c>
      <c r="J142" s="937">
        <f t="shared" si="24"/>
        <v>10000</v>
      </c>
      <c r="K142" s="943"/>
      <c r="P142" s="812"/>
      <c r="S142" s="811"/>
      <c r="AD142" s="806"/>
      <c r="AE142" s="806"/>
      <c r="AF142" s="806"/>
      <c r="BP142" s="1"/>
      <c r="BR142" s="806"/>
      <c r="BS142" s="806"/>
      <c r="BT142" s="812"/>
      <c r="BU142" s="812"/>
    </row>
    <row r="143" spans="2:73" ht="18" customHeight="1">
      <c r="B143" s="846">
        <f t="shared" si="22"/>
        <v>143</v>
      </c>
      <c r="C143" s="843" t="s">
        <v>104</v>
      </c>
      <c r="D143" s="935">
        <v>5.7500000000000002E-2</v>
      </c>
      <c r="E143" s="940">
        <v>7000</v>
      </c>
      <c r="F143" s="937">
        <f t="shared" si="23"/>
        <v>0</v>
      </c>
      <c r="G143" s="938"/>
      <c r="H143" s="939">
        <v>5.7500000000000002E-2</v>
      </c>
      <c r="I143" s="940">
        <v>10000</v>
      </c>
      <c r="J143" s="937">
        <f t="shared" si="24"/>
        <v>0</v>
      </c>
      <c r="K143" s="943"/>
      <c r="P143" s="812"/>
      <c r="S143" s="811"/>
      <c r="AD143" s="806"/>
      <c r="AE143" s="806"/>
      <c r="AF143" s="806"/>
      <c r="BP143" s="1"/>
      <c r="BR143" s="806"/>
      <c r="BS143" s="806"/>
      <c r="BT143" s="812"/>
      <c r="BU143" s="812"/>
    </row>
    <row r="144" spans="2:73" ht="18" customHeight="1">
      <c r="B144" s="846">
        <f t="shared" si="22"/>
        <v>144</v>
      </c>
      <c r="C144" s="843" t="s">
        <v>104</v>
      </c>
      <c r="D144" s="935"/>
      <c r="E144" s="940"/>
      <c r="F144" s="937">
        <f t="shared" si="23"/>
        <v>0</v>
      </c>
      <c r="G144" s="938"/>
      <c r="H144" s="939"/>
      <c r="I144" s="940"/>
      <c r="J144" s="937">
        <f t="shared" si="24"/>
        <v>0</v>
      </c>
      <c r="K144" s="943"/>
      <c r="P144" s="812"/>
      <c r="S144" s="811"/>
      <c r="AD144" s="806"/>
      <c r="AE144" s="806"/>
      <c r="AF144" s="806"/>
      <c r="BP144" s="1"/>
      <c r="BR144" s="806"/>
      <c r="BS144" s="806"/>
      <c r="BT144" s="812"/>
      <c r="BU144" s="812"/>
    </row>
    <row r="145" spans="2:73" ht="18" customHeight="1">
      <c r="B145" s="846">
        <f t="shared" si="22"/>
        <v>145</v>
      </c>
      <c r="C145" s="843" t="s">
        <v>104</v>
      </c>
      <c r="D145" s="935"/>
      <c r="E145" s="940"/>
      <c r="F145" s="937">
        <f t="shared" si="23"/>
        <v>0</v>
      </c>
      <c r="G145" s="938"/>
      <c r="H145" s="939"/>
      <c r="I145" s="940"/>
      <c r="J145" s="937">
        <f t="shared" si="24"/>
        <v>0</v>
      </c>
      <c r="K145" s="943"/>
      <c r="P145" s="812"/>
      <c r="S145" s="811"/>
      <c r="AD145" s="806"/>
      <c r="AE145" s="806"/>
      <c r="AF145" s="806"/>
      <c r="BP145" s="1"/>
      <c r="BR145" s="806"/>
      <c r="BS145" s="806"/>
      <c r="BT145" s="812"/>
      <c r="BU145" s="812"/>
    </row>
    <row r="146" spans="2:73" ht="18" customHeight="1">
      <c r="B146" s="846">
        <f t="shared" si="22"/>
        <v>146</v>
      </c>
      <c r="C146" s="843" t="s">
        <v>104</v>
      </c>
      <c r="D146" s="935"/>
      <c r="E146" s="940"/>
      <c r="F146" s="937">
        <f t="shared" si="23"/>
        <v>0</v>
      </c>
      <c r="G146" s="938"/>
      <c r="H146" s="939"/>
      <c r="I146" s="940"/>
      <c r="J146" s="937">
        <f t="shared" si="24"/>
        <v>0</v>
      </c>
      <c r="K146" s="943"/>
      <c r="P146" s="812"/>
      <c r="S146" s="811"/>
      <c r="AD146" s="806"/>
      <c r="AE146" s="806"/>
      <c r="AF146" s="806"/>
      <c r="BP146" s="1"/>
      <c r="BR146" s="806"/>
      <c r="BS146" s="806"/>
      <c r="BT146" s="812"/>
      <c r="BU146" s="812"/>
    </row>
    <row r="147" spans="2:73" ht="18" customHeight="1">
      <c r="B147" s="846">
        <f t="shared" si="22"/>
        <v>147</v>
      </c>
      <c r="C147" s="843" t="s">
        <v>104</v>
      </c>
      <c r="D147" s="935"/>
      <c r="E147" s="940"/>
      <c r="F147" s="937">
        <f t="shared" si="23"/>
        <v>0</v>
      </c>
      <c r="G147" s="938"/>
      <c r="H147" s="939"/>
      <c r="I147" s="940"/>
      <c r="J147" s="937">
        <f t="shared" si="24"/>
        <v>0</v>
      </c>
      <c r="K147" s="943"/>
      <c r="P147" s="812"/>
      <c r="S147" s="811"/>
      <c r="AD147" s="806"/>
      <c r="AE147" s="806"/>
      <c r="AF147" s="806"/>
      <c r="BP147" s="1"/>
      <c r="BR147" s="806"/>
      <c r="BS147" s="806"/>
      <c r="BT147" s="812"/>
      <c r="BU147" s="812"/>
    </row>
    <row r="148" spans="2:73" ht="18" customHeight="1">
      <c r="B148" s="846">
        <f t="shared" si="22"/>
        <v>148</v>
      </c>
      <c r="C148" s="843" t="s">
        <v>104</v>
      </c>
      <c r="D148" s="935"/>
      <c r="E148" s="940"/>
      <c r="F148" s="937">
        <f t="shared" si="23"/>
        <v>0</v>
      </c>
      <c r="G148" s="938"/>
      <c r="H148" s="939"/>
      <c r="I148" s="940"/>
      <c r="J148" s="937">
        <f t="shared" si="24"/>
        <v>0</v>
      </c>
      <c r="K148" s="943"/>
      <c r="P148" s="812"/>
      <c r="S148" s="811"/>
      <c r="AD148" s="806"/>
      <c r="AE148" s="806"/>
      <c r="AF148" s="806"/>
      <c r="BP148" s="1"/>
      <c r="BR148" s="806"/>
      <c r="BS148" s="806"/>
      <c r="BT148" s="812"/>
      <c r="BU148" s="812"/>
    </row>
    <row r="149" spans="2:73" ht="18" customHeight="1">
      <c r="B149" s="847">
        <f t="shared" si="22"/>
        <v>149</v>
      </c>
      <c r="C149" s="848" t="s">
        <v>104</v>
      </c>
      <c r="D149" s="944"/>
      <c r="E149" s="957"/>
      <c r="F149" s="946"/>
      <c r="G149" s="947"/>
      <c r="H149" s="948"/>
      <c r="I149" s="957"/>
      <c r="J149" s="946"/>
      <c r="K149" s="950"/>
      <c r="P149" s="812"/>
      <c r="S149" s="811"/>
      <c r="AD149" s="806"/>
      <c r="AE149" s="806"/>
      <c r="AF149" s="806"/>
      <c r="BP149" s="1"/>
      <c r="BR149" s="806"/>
      <c r="BS149" s="806"/>
      <c r="BT149" s="812"/>
      <c r="BU149" s="812"/>
    </row>
    <row r="150" spans="2:73" s="451" customFormat="1" ht="18" customHeight="1">
      <c r="B150" s="849">
        <f t="shared" si="22"/>
        <v>150</v>
      </c>
      <c r="C150" s="849"/>
      <c r="D150" s="292"/>
      <c r="E150" s="777"/>
      <c r="F150" s="849"/>
      <c r="G150" s="849"/>
      <c r="H150" s="449"/>
      <c r="I150" s="777"/>
      <c r="J150" s="849"/>
      <c r="K150" s="448"/>
      <c r="P150" s="850"/>
      <c r="S150" s="851"/>
      <c r="AD150" s="849"/>
      <c r="AE150" s="849"/>
      <c r="AF150" s="849"/>
      <c r="BR150" s="849"/>
      <c r="BS150" s="849"/>
      <c r="BT150" s="850"/>
      <c r="BU150" s="850"/>
    </row>
    <row r="151" spans="2:73" ht="18" customHeight="1">
      <c r="B151" s="844">
        <f t="shared" si="22"/>
        <v>151</v>
      </c>
      <c r="C151" s="845" t="s">
        <v>105</v>
      </c>
      <c r="D151" s="928">
        <v>1.4E-2</v>
      </c>
      <c r="E151" s="933">
        <v>0</v>
      </c>
      <c r="F151" s="930">
        <f t="shared" ref="F151:F161" si="25">E152</f>
        <v>2400</v>
      </c>
      <c r="G151" s="931">
        <v>2200</v>
      </c>
      <c r="H151" s="932">
        <v>1.4E-2</v>
      </c>
      <c r="I151" s="933">
        <v>0</v>
      </c>
      <c r="J151" s="930">
        <f t="shared" ref="J151:J161" si="26">I152</f>
        <v>4800</v>
      </c>
      <c r="K151" s="934">
        <v>4400</v>
      </c>
      <c r="P151" s="812"/>
      <c r="S151" s="811"/>
      <c r="AD151" s="806"/>
      <c r="AE151" s="806"/>
      <c r="AF151" s="806"/>
      <c r="BP151" s="1"/>
      <c r="BR151" s="806"/>
      <c r="BS151" s="806"/>
      <c r="BT151" s="812"/>
      <c r="BU151" s="812"/>
    </row>
    <row r="152" spans="2:73" ht="18" customHeight="1">
      <c r="B152" s="846">
        <f t="shared" si="22"/>
        <v>152</v>
      </c>
      <c r="C152" s="843" t="s">
        <v>105</v>
      </c>
      <c r="D152" s="935">
        <v>3.2000000000000001E-2</v>
      </c>
      <c r="E152" s="940">
        <v>2400</v>
      </c>
      <c r="F152" s="937">
        <f t="shared" si="25"/>
        <v>4800</v>
      </c>
      <c r="G152" s="938"/>
      <c r="H152" s="939">
        <v>3.2000000000000001E-2</v>
      </c>
      <c r="I152" s="940">
        <v>4800</v>
      </c>
      <c r="J152" s="937">
        <f t="shared" si="26"/>
        <v>9600</v>
      </c>
      <c r="K152" s="943"/>
      <c r="P152" s="812"/>
      <c r="S152" s="811"/>
      <c r="AD152" s="806"/>
      <c r="AE152" s="806"/>
      <c r="AF152" s="806"/>
      <c r="BP152" s="1"/>
      <c r="BR152" s="806"/>
      <c r="BS152" s="806"/>
      <c r="BT152" s="812"/>
      <c r="BU152" s="812"/>
    </row>
    <row r="153" spans="2:73" ht="18" customHeight="1">
      <c r="B153" s="846">
        <f t="shared" si="22"/>
        <v>153</v>
      </c>
      <c r="C153" s="843" t="s">
        <v>105</v>
      </c>
      <c r="D153" s="935">
        <v>5.5E-2</v>
      </c>
      <c r="E153" s="940">
        <v>4800</v>
      </c>
      <c r="F153" s="937">
        <f t="shared" si="25"/>
        <v>9600</v>
      </c>
      <c r="G153" s="938"/>
      <c r="H153" s="939">
        <v>5.5E-2</v>
      </c>
      <c r="I153" s="940">
        <v>9600</v>
      </c>
      <c r="J153" s="937">
        <f t="shared" si="26"/>
        <v>19200</v>
      </c>
      <c r="K153" s="943"/>
      <c r="P153" s="812"/>
      <c r="S153" s="811"/>
      <c r="AD153" s="806"/>
      <c r="AE153" s="806"/>
      <c r="AF153" s="806"/>
      <c r="BP153" s="1"/>
      <c r="BR153" s="806"/>
      <c r="BS153" s="806"/>
      <c r="BT153" s="812"/>
      <c r="BU153" s="812"/>
    </row>
    <row r="154" spans="2:73" ht="18" customHeight="1">
      <c r="B154" s="846">
        <f t="shared" si="22"/>
        <v>154</v>
      </c>
      <c r="C154" s="843" t="s">
        <v>105</v>
      </c>
      <c r="D154" s="935">
        <v>6.4000000000000001E-2</v>
      </c>
      <c r="E154" s="940">
        <v>9600</v>
      </c>
      <c r="F154" s="937">
        <f t="shared" si="25"/>
        <v>14400</v>
      </c>
      <c r="G154" s="938"/>
      <c r="H154" s="939">
        <v>6.4000000000000001E-2</v>
      </c>
      <c r="I154" s="940">
        <v>19200</v>
      </c>
      <c r="J154" s="937">
        <f t="shared" si="26"/>
        <v>28800</v>
      </c>
      <c r="K154" s="943"/>
      <c r="P154" s="812"/>
      <c r="S154" s="811"/>
      <c r="AD154" s="806"/>
      <c r="AE154" s="806"/>
      <c r="AF154" s="806"/>
      <c r="BP154" s="1"/>
      <c r="BR154" s="806"/>
      <c r="BS154" s="806"/>
      <c r="BT154" s="812"/>
      <c r="BU154" s="812"/>
    </row>
    <row r="155" spans="2:73" ht="18" customHeight="1">
      <c r="B155" s="846">
        <f t="shared" si="22"/>
        <v>155</v>
      </c>
      <c r="C155" s="843" t="s">
        <v>105</v>
      </c>
      <c r="D155" s="935">
        <v>6.8000000000000005E-2</v>
      </c>
      <c r="E155" s="940">
        <v>14400</v>
      </c>
      <c r="F155" s="937">
        <f t="shared" si="25"/>
        <v>19200</v>
      </c>
      <c r="G155" s="938"/>
      <c r="H155" s="939">
        <v>6.8000000000000005E-2</v>
      </c>
      <c r="I155" s="940">
        <v>28800</v>
      </c>
      <c r="J155" s="937">
        <f t="shared" si="26"/>
        <v>38400</v>
      </c>
      <c r="K155" s="943"/>
      <c r="P155" s="812"/>
      <c r="S155" s="811"/>
      <c r="AD155" s="806"/>
      <c r="AE155" s="806"/>
      <c r="AF155" s="806"/>
      <c r="BP155" s="1"/>
      <c r="BR155" s="806"/>
      <c r="BS155" s="806"/>
      <c r="BT155" s="812"/>
      <c r="BU155" s="812"/>
    </row>
    <row r="156" spans="2:73" ht="18" customHeight="1">
      <c r="B156" s="846">
        <f t="shared" si="22"/>
        <v>156</v>
      </c>
      <c r="C156" s="843" t="s">
        <v>105</v>
      </c>
      <c r="D156" s="935">
        <v>7.1999999999999995E-2</v>
      </c>
      <c r="E156" s="940">
        <v>19200</v>
      </c>
      <c r="F156" s="937">
        <f t="shared" si="25"/>
        <v>24000</v>
      </c>
      <c r="G156" s="938"/>
      <c r="H156" s="939">
        <v>7.1999999999999995E-2</v>
      </c>
      <c r="I156" s="940">
        <v>38400</v>
      </c>
      <c r="J156" s="937">
        <f t="shared" si="26"/>
        <v>48000</v>
      </c>
      <c r="K156" s="943"/>
      <c r="P156" s="812"/>
      <c r="S156" s="811"/>
      <c r="AD156" s="806"/>
      <c r="AE156" s="806"/>
      <c r="AF156" s="806"/>
      <c r="BP156" s="1"/>
      <c r="BR156" s="806"/>
      <c r="BS156" s="806"/>
      <c r="BT156" s="812"/>
      <c r="BU156" s="812"/>
    </row>
    <row r="157" spans="2:73" ht="18" customHeight="1">
      <c r="B157" s="846">
        <f t="shared" si="22"/>
        <v>157</v>
      </c>
      <c r="C157" s="843" t="s">
        <v>105</v>
      </c>
      <c r="D157" s="935">
        <v>7.5999999999999998E-2</v>
      </c>
      <c r="E157" s="940">
        <v>24000</v>
      </c>
      <c r="F157" s="937">
        <f t="shared" si="25"/>
        <v>36000</v>
      </c>
      <c r="G157" s="938"/>
      <c r="H157" s="939">
        <v>7.5999999999999998E-2</v>
      </c>
      <c r="I157" s="940">
        <v>48000</v>
      </c>
      <c r="J157" s="937">
        <f t="shared" si="26"/>
        <v>72000</v>
      </c>
      <c r="K157" s="943"/>
      <c r="P157" s="812"/>
      <c r="AD157" s="806"/>
      <c r="AE157" s="806"/>
      <c r="AF157" s="806"/>
      <c r="BP157" s="1"/>
      <c r="BR157" s="806"/>
      <c r="BS157" s="806"/>
      <c r="BT157" s="812"/>
      <c r="BU157" s="812"/>
    </row>
    <row r="158" spans="2:73" ht="18" customHeight="1">
      <c r="B158" s="846">
        <f t="shared" si="22"/>
        <v>158</v>
      </c>
      <c r="C158" s="843" t="s">
        <v>105</v>
      </c>
      <c r="D158" s="935">
        <v>7.9000000000000001E-2</v>
      </c>
      <c r="E158" s="940">
        <v>36000</v>
      </c>
      <c r="F158" s="937">
        <f t="shared" si="25"/>
        <v>48000</v>
      </c>
      <c r="G158" s="938"/>
      <c r="H158" s="939">
        <v>7.9000000000000001E-2</v>
      </c>
      <c r="I158" s="940">
        <v>72000</v>
      </c>
      <c r="J158" s="937">
        <f t="shared" si="26"/>
        <v>96000</v>
      </c>
      <c r="K158" s="943"/>
      <c r="AD158" s="806"/>
      <c r="AE158" s="806"/>
      <c r="AF158" s="806"/>
      <c r="BP158" s="1"/>
      <c r="BR158" s="806"/>
      <c r="BS158" s="806"/>
      <c r="BU158" s="812"/>
    </row>
    <row r="159" spans="2:73" ht="18" customHeight="1">
      <c r="B159" s="846">
        <f t="shared" si="22"/>
        <v>159</v>
      </c>
      <c r="C159" s="843" t="s">
        <v>105</v>
      </c>
      <c r="D159" s="935">
        <v>8.2500000000000004E-2</v>
      </c>
      <c r="E159" s="940">
        <v>48000</v>
      </c>
      <c r="F159" s="937">
        <f t="shared" si="25"/>
        <v>150000</v>
      </c>
      <c r="G159" s="938"/>
      <c r="H159" s="939">
        <v>8.2500000000000004E-2</v>
      </c>
      <c r="I159" s="940">
        <v>96000</v>
      </c>
      <c r="J159" s="937">
        <f t="shared" si="26"/>
        <v>300000</v>
      </c>
      <c r="K159" s="943"/>
      <c r="P159" s="812"/>
      <c r="S159" s="811"/>
      <c r="AD159" s="806"/>
      <c r="AE159" s="806"/>
      <c r="AF159" s="806"/>
      <c r="BP159" s="1"/>
      <c r="BR159" s="806"/>
      <c r="BS159" s="806"/>
      <c r="BT159" s="812"/>
      <c r="BU159" s="812"/>
    </row>
    <row r="160" spans="2:73" ht="18" customHeight="1">
      <c r="B160" s="846">
        <f t="shared" si="22"/>
        <v>160</v>
      </c>
      <c r="C160" s="843" t="s">
        <v>105</v>
      </c>
      <c r="D160" s="935">
        <v>0.09</v>
      </c>
      <c r="E160" s="940">
        <v>150000</v>
      </c>
      <c r="F160" s="937">
        <f t="shared" si="25"/>
        <v>175000</v>
      </c>
      <c r="G160" s="938"/>
      <c r="H160" s="939">
        <v>0.09</v>
      </c>
      <c r="I160" s="940">
        <v>300000</v>
      </c>
      <c r="J160" s="937">
        <f t="shared" si="26"/>
        <v>350000</v>
      </c>
      <c r="K160" s="943"/>
      <c r="P160" s="812"/>
      <c r="S160" s="811"/>
      <c r="AD160" s="806"/>
      <c r="AE160" s="806"/>
      <c r="AF160" s="806"/>
      <c r="BP160" s="1"/>
      <c r="BR160" s="806"/>
      <c r="BS160" s="806"/>
      <c r="BT160" s="812"/>
      <c r="BU160" s="812"/>
    </row>
    <row r="161" spans="2:76" ht="18" customHeight="1">
      <c r="B161" s="846">
        <f t="shared" si="22"/>
        <v>161</v>
      </c>
      <c r="C161" s="843" t="s">
        <v>105</v>
      </c>
      <c r="D161" s="935">
        <v>0.1</v>
      </c>
      <c r="E161" s="940">
        <v>175000</v>
      </c>
      <c r="F161" s="937">
        <f t="shared" si="25"/>
        <v>200000</v>
      </c>
      <c r="G161" s="938"/>
      <c r="H161" s="939">
        <v>0.1</v>
      </c>
      <c r="I161" s="940">
        <v>350000</v>
      </c>
      <c r="J161" s="937">
        <f t="shared" si="26"/>
        <v>400000</v>
      </c>
      <c r="K161" s="943"/>
      <c r="P161" s="812"/>
      <c r="S161" s="811"/>
      <c r="AD161" s="806"/>
      <c r="AE161" s="806"/>
      <c r="AF161" s="806"/>
      <c r="BP161" s="1"/>
      <c r="BR161" s="806"/>
      <c r="BS161" s="806"/>
      <c r="BT161" s="812"/>
      <c r="BU161" s="812"/>
    </row>
    <row r="162" spans="2:76" ht="18" customHeight="1">
      <c r="B162" s="847">
        <f t="shared" si="22"/>
        <v>162</v>
      </c>
      <c r="C162" s="848" t="s">
        <v>105</v>
      </c>
      <c r="D162" s="944">
        <v>0.11</v>
      </c>
      <c r="E162" s="957">
        <v>200000</v>
      </c>
      <c r="F162" s="946"/>
      <c r="G162" s="947"/>
      <c r="H162" s="948">
        <v>0.11</v>
      </c>
      <c r="I162" s="957">
        <v>400000</v>
      </c>
      <c r="J162" s="946"/>
      <c r="K162" s="950"/>
      <c r="P162" s="812"/>
      <c r="S162" s="811"/>
      <c r="AD162" s="806"/>
      <c r="AE162" s="806"/>
      <c r="AF162" s="806"/>
      <c r="BP162" s="1"/>
      <c r="BR162" s="806"/>
      <c r="BS162" s="806"/>
      <c r="BT162" s="812"/>
      <c r="BU162" s="812"/>
    </row>
    <row r="163" spans="2:76" s="451" customFormat="1" ht="18" customHeight="1">
      <c r="B163" s="849">
        <f t="shared" si="22"/>
        <v>163</v>
      </c>
      <c r="C163" s="849"/>
      <c r="D163" s="292"/>
      <c r="E163" s="777"/>
      <c r="F163" s="849"/>
      <c r="G163" s="849"/>
      <c r="H163" s="449"/>
      <c r="I163" s="777"/>
      <c r="J163" s="849"/>
      <c r="K163" s="448"/>
      <c r="P163" s="850"/>
      <c r="S163" s="851"/>
      <c r="AD163" s="849"/>
      <c r="AE163" s="849"/>
      <c r="AF163" s="849"/>
      <c r="BR163" s="849"/>
      <c r="BS163" s="849"/>
      <c r="BT163" s="850"/>
      <c r="BU163" s="850"/>
    </row>
    <row r="164" spans="2:76" ht="18" customHeight="1">
      <c r="B164" s="844">
        <f t="shared" si="22"/>
        <v>164</v>
      </c>
      <c r="C164" s="845" t="s">
        <v>106</v>
      </c>
      <c r="D164" s="928">
        <v>1.125E-2</v>
      </c>
      <c r="E164" s="933">
        <v>0</v>
      </c>
      <c r="F164" s="930">
        <f>E165</f>
        <v>1568</v>
      </c>
      <c r="G164" s="931">
        <v>12550</v>
      </c>
      <c r="H164" s="932">
        <v>1.125E-2</v>
      </c>
      <c r="I164" s="933">
        <v>0</v>
      </c>
      <c r="J164" s="930">
        <f>I165</f>
        <v>3136</v>
      </c>
      <c r="K164" s="934">
        <v>25100</v>
      </c>
      <c r="P164" s="812"/>
      <c r="S164" s="811"/>
      <c r="AD164" s="806"/>
      <c r="AE164" s="806"/>
      <c r="AF164" s="806"/>
      <c r="BP164" s="1"/>
      <c r="BR164" s="806"/>
      <c r="BS164" s="806"/>
      <c r="BT164" s="812"/>
      <c r="BU164" s="812"/>
    </row>
    <row r="165" spans="2:76" ht="18" customHeight="1">
      <c r="B165" s="846">
        <f t="shared" si="22"/>
        <v>165</v>
      </c>
      <c r="C165" s="843" t="s">
        <v>106</v>
      </c>
      <c r="D165" s="935">
        <v>3.125E-2</v>
      </c>
      <c r="E165" s="937">
        <v>1568</v>
      </c>
      <c r="F165" s="937">
        <f t="shared" ref="F165:F174" si="27">E166</f>
        <v>3136</v>
      </c>
      <c r="G165" s="938"/>
      <c r="H165" s="939">
        <v>3.125E-2</v>
      </c>
      <c r="I165" s="937">
        <v>3136</v>
      </c>
      <c r="J165" s="937">
        <f t="shared" ref="J165:J174" si="28">I166</f>
        <v>6272</v>
      </c>
      <c r="K165" s="943"/>
      <c r="P165" s="812"/>
      <c r="S165" s="811"/>
      <c r="AD165" s="806"/>
      <c r="AE165" s="806"/>
      <c r="AF165" s="806"/>
      <c r="BP165" s="1"/>
      <c r="BR165" s="806"/>
      <c r="BS165" s="806"/>
      <c r="BT165" s="812"/>
      <c r="BU165" s="812"/>
    </row>
    <row r="166" spans="2:76" ht="18" customHeight="1">
      <c r="B166" s="846">
        <f t="shared" si="22"/>
        <v>166</v>
      </c>
      <c r="C166" s="843" t="s">
        <v>106</v>
      </c>
      <c r="D166" s="935">
        <v>3.6249999999999998E-2</v>
      </c>
      <c r="E166" s="937">
        <v>3136</v>
      </c>
      <c r="F166" s="937">
        <f t="shared" si="27"/>
        <v>4704</v>
      </c>
      <c r="G166" s="938"/>
      <c r="H166" s="939">
        <v>3.6249999999999998E-2</v>
      </c>
      <c r="I166" s="937">
        <v>6272</v>
      </c>
      <c r="J166" s="937">
        <f t="shared" si="28"/>
        <v>9408</v>
      </c>
      <c r="K166" s="943"/>
      <c r="P166" s="812"/>
      <c r="S166" s="811"/>
      <c r="AD166" s="806"/>
      <c r="AE166" s="806"/>
      <c r="AF166" s="806"/>
      <c r="BP166" s="1"/>
      <c r="BR166" s="806"/>
      <c r="BS166" s="806"/>
      <c r="BT166" s="812"/>
      <c r="BU166" s="812"/>
    </row>
    <row r="167" spans="2:76" ht="18" customHeight="1">
      <c r="B167" s="846">
        <f t="shared" si="22"/>
        <v>167</v>
      </c>
      <c r="C167" s="843" t="s">
        <v>106</v>
      </c>
      <c r="D167" s="935">
        <v>4.6249999999999999E-2</v>
      </c>
      <c r="E167" s="937">
        <v>4704</v>
      </c>
      <c r="F167" s="937">
        <f t="shared" si="27"/>
        <v>6272</v>
      </c>
      <c r="G167" s="938"/>
      <c r="H167" s="939">
        <v>4.6249999999999999E-2</v>
      </c>
      <c r="I167" s="937">
        <v>9408</v>
      </c>
      <c r="J167" s="937">
        <f t="shared" si="28"/>
        <v>12544</v>
      </c>
      <c r="K167" s="943"/>
      <c r="P167" s="812"/>
      <c r="S167" s="811"/>
      <c r="AD167" s="806"/>
      <c r="AE167" s="806"/>
      <c r="AF167" s="806"/>
      <c r="BN167" s="811"/>
      <c r="BP167" s="813"/>
      <c r="BR167" s="814"/>
      <c r="BS167" s="814"/>
      <c r="BT167" s="812"/>
      <c r="BU167" s="812"/>
      <c r="BV167" s="811"/>
      <c r="BX167" s="811"/>
    </row>
    <row r="168" spans="2:76" ht="18" customHeight="1">
      <c r="B168" s="846">
        <f t="shared" si="22"/>
        <v>168</v>
      </c>
      <c r="C168" s="843" t="s">
        <v>106</v>
      </c>
      <c r="D168" s="935">
        <v>5.6250000000000001E-2</v>
      </c>
      <c r="E168" s="937">
        <v>6272</v>
      </c>
      <c r="F168" s="937">
        <f t="shared" si="27"/>
        <v>7840</v>
      </c>
      <c r="G168" s="938"/>
      <c r="H168" s="939">
        <v>5.6250000000000001E-2</v>
      </c>
      <c r="I168" s="937">
        <v>12544</v>
      </c>
      <c r="J168" s="937">
        <f t="shared" si="28"/>
        <v>15680</v>
      </c>
      <c r="K168" s="943"/>
      <c r="P168" s="812"/>
      <c r="S168" s="811"/>
      <c r="AD168" s="806"/>
      <c r="AE168" s="806"/>
      <c r="AF168" s="806"/>
      <c r="BN168" s="811"/>
      <c r="BP168" s="813"/>
      <c r="BR168" s="814"/>
      <c r="BS168" s="814"/>
      <c r="BT168" s="812"/>
      <c r="BU168" s="812"/>
      <c r="BV168" s="811"/>
      <c r="BX168" s="811"/>
    </row>
    <row r="169" spans="2:76" ht="18" customHeight="1">
      <c r="B169" s="846">
        <f t="shared" si="22"/>
        <v>169</v>
      </c>
      <c r="C169" s="843" t="s">
        <v>106</v>
      </c>
      <c r="D169" s="935">
        <v>6.6250000000000003E-2</v>
      </c>
      <c r="E169" s="937">
        <v>7840</v>
      </c>
      <c r="F169" s="937">
        <f t="shared" si="27"/>
        <v>11760</v>
      </c>
      <c r="G169" s="938"/>
      <c r="H169" s="939">
        <v>6.6250000000000003E-2</v>
      </c>
      <c r="I169" s="937">
        <v>15680</v>
      </c>
      <c r="J169" s="937">
        <f t="shared" si="28"/>
        <v>23520</v>
      </c>
      <c r="K169" s="943"/>
      <c r="P169" s="812"/>
      <c r="S169" s="811"/>
      <c r="AD169" s="806"/>
      <c r="AE169" s="806"/>
      <c r="AF169" s="806"/>
      <c r="BN169" s="811"/>
      <c r="BP169" s="813"/>
      <c r="BR169" s="814"/>
      <c r="BS169" s="806"/>
      <c r="BT169" s="812"/>
      <c r="BU169" s="812"/>
      <c r="BV169" s="811"/>
      <c r="BX169" s="811"/>
    </row>
    <row r="170" spans="2:76" ht="18" customHeight="1">
      <c r="B170" s="846">
        <f t="shared" si="22"/>
        <v>170</v>
      </c>
      <c r="C170" s="843" t="s">
        <v>106</v>
      </c>
      <c r="D170" s="935">
        <v>6.9250000000000006E-2</v>
      </c>
      <c r="E170" s="937">
        <v>11760</v>
      </c>
      <c r="F170" s="937">
        <f t="shared" si="27"/>
        <v>11760</v>
      </c>
      <c r="G170" s="938"/>
      <c r="H170" s="939">
        <v>6.9250000000000006E-2</v>
      </c>
      <c r="I170" s="937">
        <v>23520</v>
      </c>
      <c r="J170" s="937">
        <f t="shared" si="28"/>
        <v>0</v>
      </c>
      <c r="K170" s="943"/>
      <c r="P170" s="812"/>
      <c r="S170" s="811"/>
      <c r="AD170" s="806"/>
      <c r="AE170" s="806"/>
      <c r="AF170" s="806"/>
      <c r="BN170" s="811"/>
      <c r="BP170" s="813"/>
      <c r="BR170" s="814"/>
      <c r="BS170" s="806"/>
      <c r="BT170" s="812"/>
      <c r="BU170" s="812"/>
      <c r="BV170" s="811"/>
      <c r="BX170" s="811"/>
    </row>
    <row r="171" spans="2:76" ht="18" customHeight="1">
      <c r="B171" s="846">
        <f t="shared" si="22"/>
        <v>171</v>
      </c>
      <c r="C171" s="843" t="s">
        <v>106</v>
      </c>
      <c r="D171" s="935"/>
      <c r="E171" s="937">
        <v>11760</v>
      </c>
      <c r="F171" s="937">
        <f t="shared" si="27"/>
        <v>0</v>
      </c>
      <c r="G171" s="938"/>
      <c r="H171" s="939"/>
      <c r="I171" s="940"/>
      <c r="J171" s="937">
        <f t="shared" si="28"/>
        <v>0</v>
      </c>
      <c r="K171" s="943"/>
      <c r="P171" s="812"/>
      <c r="S171" s="811"/>
      <c r="AD171" s="806"/>
      <c r="AE171" s="806"/>
      <c r="AF171" s="806"/>
      <c r="BN171" s="811"/>
      <c r="BP171" s="813"/>
      <c r="BR171" s="814"/>
      <c r="BS171" s="806"/>
      <c r="BT171" s="812"/>
      <c r="BU171" s="812"/>
      <c r="BV171" s="811"/>
      <c r="BX171" s="811"/>
    </row>
    <row r="172" spans="2:76" ht="18" customHeight="1">
      <c r="B172" s="846">
        <f t="shared" si="22"/>
        <v>172</v>
      </c>
      <c r="C172" s="843" t="s">
        <v>106</v>
      </c>
      <c r="D172" s="935"/>
      <c r="E172" s="940"/>
      <c r="F172" s="937">
        <f t="shared" si="27"/>
        <v>0</v>
      </c>
      <c r="G172" s="938"/>
      <c r="H172" s="939"/>
      <c r="I172" s="940"/>
      <c r="J172" s="937">
        <f t="shared" si="28"/>
        <v>0</v>
      </c>
      <c r="K172" s="943"/>
      <c r="P172" s="812"/>
      <c r="S172" s="811"/>
      <c r="AD172" s="806"/>
      <c r="AE172" s="806"/>
      <c r="AF172" s="806"/>
      <c r="BN172" s="811"/>
      <c r="BP172" s="813"/>
      <c r="BR172" s="814"/>
      <c r="BS172" s="806"/>
      <c r="BT172" s="812"/>
      <c r="BU172" s="812"/>
      <c r="BV172" s="811"/>
      <c r="BX172" s="811"/>
    </row>
    <row r="173" spans="2:76" ht="18" customHeight="1">
      <c r="B173" s="846">
        <f t="shared" si="22"/>
        <v>173</v>
      </c>
      <c r="C173" s="843" t="s">
        <v>106</v>
      </c>
      <c r="D173" s="935"/>
      <c r="E173" s="940"/>
      <c r="F173" s="937">
        <f t="shared" si="27"/>
        <v>0</v>
      </c>
      <c r="G173" s="938"/>
      <c r="H173" s="939"/>
      <c r="I173" s="940"/>
      <c r="J173" s="937">
        <f t="shared" si="28"/>
        <v>0</v>
      </c>
      <c r="K173" s="943"/>
      <c r="P173" s="812"/>
      <c r="S173" s="811"/>
      <c r="AD173" s="806"/>
      <c r="AE173" s="806"/>
      <c r="AF173" s="806"/>
      <c r="BN173" s="811"/>
      <c r="BP173" s="813"/>
      <c r="BR173" s="814"/>
      <c r="BS173" s="806"/>
      <c r="BT173" s="812"/>
      <c r="BU173" s="812"/>
      <c r="BV173" s="811"/>
      <c r="BX173" s="811"/>
    </row>
    <row r="174" spans="2:76" ht="18" customHeight="1">
      <c r="B174" s="846">
        <f t="shared" si="22"/>
        <v>174</v>
      </c>
      <c r="C174" s="843" t="s">
        <v>106</v>
      </c>
      <c r="D174" s="935"/>
      <c r="E174" s="940"/>
      <c r="F174" s="937">
        <f t="shared" si="27"/>
        <v>0</v>
      </c>
      <c r="G174" s="938"/>
      <c r="H174" s="939"/>
      <c r="I174" s="940"/>
      <c r="J174" s="937">
        <f t="shared" si="28"/>
        <v>0</v>
      </c>
      <c r="K174" s="943"/>
      <c r="P174" s="812"/>
      <c r="S174" s="811"/>
      <c r="AD174" s="806"/>
      <c r="AE174" s="806"/>
      <c r="AF174" s="806"/>
      <c r="BN174" s="811"/>
      <c r="BP174" s="813"/>
      <c r="BR174" s="814"/>
      <c r="BS174" s="806"/>
      <c r="BT174" s="812"/>
      <c r="BU174" s="812"/>
      <c r="BV174" s="811"/>
      <c r="BX174" s="811"/>
    </row>
    <row r="175" spans="2:76" ht="18" customHeight="1">
      <c r="B175" s="847">
        <f t="shared" si="22"/>
        <v>175</v>
      </c>
      <c r="C175" s="848" t="s">
        <v>106</v>
      </c>
      <c r="D175" s="944"/>
      <c r="E175" s="957"/>
      <c r="F175" s="946"/>
      <c r="G175" s="947"/>
      <c r="H175" s="948"/>
      <c r="I175" s="957"/>
      <c r="J175" s="946"/>
      <c r="K175" s="950"/>
      <c r="P175" s="812"/>
      <c r="S175" s="811"/>
      <c r="AD175" s="806"/>
      <c r="AE175" s="806"/>
      <c r="AF175" s="806"/>
      <c r="BN175" s="811"/>
      <c r="BP175" s="813"/>
      <c r="BR175" s="814"/>
      <c r="BS175" s="806"/>
      <c r="BT175" s="812"/>
      <c r="BU175" s="812"/>
      <c r="BV175" s="811"/>
      <c r="BX175" s="811"/>
    </row>
    <row r="176" spans="2:76" s="451" customFormat="1" ht="18" customHeight="1">
      <c r="B176" s="849">
        <f t="shared" si="22"/>
        <v>176</v>
      </c>
      <c r="C176" s="849"/>
      <c r="D176" s="292"/>
      <c r="E176" s="777"/>
      <c r="F176" s="849"/>
      <c r="G176" s="849"/>
      <c r="H176" s="449"/>
      <c r="I176" s="777"/>
      <c r="J176" s="849"/>
      <c r="K176" s="448"/>
      <c r="P176" s="850"/>
      <c r="S176" s="851"/>
      <c r="AD176" s="849"/>
      <c r="AE176" s="849"/>
      <c r="AF176" s="849"/>
      <c r="BN176" s="851"/>
      <c r="BP176" s="851"/>
      <c r="BR176" s="852"/>
      <c r="BS176" s="849"/>
      <c r="BT176" s="850"/>
      <c r="BU176" s="850"/>
      <c r="BV176" s="851"/>
      <c r="BX176" s="851"/>
    </row>
    <row r="177" spans="2:76" ht="18" customHeight="1">
      <c r="B177" s="844">
        <f t="shared" si="22"/>
        <v>177</v>
      </c>
      <c r="C177" s="845" t="s">
        <v>107</v>
      </c>
      <c r="D177" s="928">
        <v>4.9500000000000002E-2</v>
      </c>
      <c r="E177" s="959">
        <v>0</v>
      </c>
      <c r="F177" s="930">
        <f t="shared" ref="F177:F187" si="29">E178</f>
        <v>0</v>
      </c>
      <c r="G177" s="931">
        <v>2325</v>
      </c>
      <c r="H177" s="932">
        <v>4.9500000000000002E-2</v>
      </c>
      <c r="I177" s="959">
        <v>0</v>
      </c>
      <c r="J177" s="930">
        <f t="shared" ref="J177:J187" si="30">I178</f>
        <v>0</v>
      </c>
      <c r="K177" s="934">
        <v>4650</v>
      </c>
      <c r="P177" s="812"/>
      <c r="AD177" s="806"/>
      <c r="AE177" s="806"/>
      <c r="AF177" s="806"/>
      <c r="BN177" s="811"/>
      <c r="BP177" s="813"/>
      <c r="BR177" s="814"/>
      <c r="BS177" s="806"/>
      <c r="BT177" s="812"/>
      <c r="BU177" s="812"/>
      <c r="BV177" s="811"/>
      <c r="BX177" s="811"/>
    </row>
    <row r="178" spans="2:76" ht="18" customHeight="1">
      <c r="B178" s="846">
        <f t="shared" si="22"/>
        <v>178</v>
      </c>
      <c r="C178" s="843" t="s">
        <v>107</v>
      </c>
      <c r="D178" s="935"/>
      <c r="E178" s="960"/>
      <c r="F178" s="937">
        <f t="shared" si="29"/>
        <v>0</v>
      </c>
      <c r="G178" s="961"/>
      <c r="H178" s="939"/>
      <c r="I178" s="960"/>
      <c r="J178" s="937">
        <f t="shared" si="30"/>
        <v>0</v>
      </c>
      <c r="K178" s="941"/>
      <c r="P178" s="812"/>
      <c r="AD178" s="806"/>
      <c r="AE178" s="806"/>
      <c r="AF178" s="806"/>
      <c r="BN178" s="811"/>
      <c r="BP178" s="813"/>
      <c r="BR178" s="814"/>
      <c r="BS178" s="806"/>
      <c r="BT178" s="812"/>
      <c r="BU178" s="812"/>
      <c r="BV178" s="811"/>
      <c r="BX178" s="811"/>
    </row>
    <row r="179" spans="2:76" ht="18" customHeight="1">
      <c r="B179" s="846">
        <f t="shared" si="22"/>
        <v>179</v>
      </c>
      <c r="C179" s="843" t="s">
        <v>107</v>
      </c>
      <c r="D179" s="935"/>
      <c r="E179" s="960"/>
      <c r="F179" s="937">
        <f t="shared" si="29"/>
        <v>0</v>
      </c>
      <c r="G179" s="961"/>
      <c r="H179" s="939"/>
      <c r="I179" s="960"/>
      <c r="J179" s="937">
        <f t="shared" si="30"/>
        <v>0</v>
      </c>
      <c r="K179" s="941"/>
      <c r="P179" s="812"/>
      <c r="AD179" s="806"/>
      <c r="AE179" s="806"/>
      <c r="AF179" s="806"/>
      <c r="BN179" s="811"/>
      <c r="BP179" s="813"/>
      <c r="BR179" s="814"/>
      <c r="BS179" s="806"/>
      <c r="BT179" s="812"/>
      <c r="BU179" s="812"/>
      <c r="BV179" s="811"/>
      <c r="BX179" s="811"/>
    </row>
    <row r="180" spans="2:76" ht="18" customHeight="1">
      <c r="B180" s="846">
        <f t="shared" si="22"/>
        <v>180</v>
      </c>
      <c r="C180" s="843" t="s">
        <v>107</v>
      </c>
      <c r="D180" s="935"/>
      <c r="E180" s="960"/>
      <c r="F180" s="937">
        <f t="shared" si="29"/>
        <v>0</v>
      </c>
      <c r="G180" s="961"/>
      <c r="H180" s="939"/>
      <c r="I180" s="960"/>
      <c r="J180" s="937">
        <f t="shared" si="30"/>
        <v>0</v>
      </c>
      <c r="K180" s="941"/>
      <c r="P180" s="812"/>
      <c r="AD180" s="806"/>
      <c r="AE180" s="806"/>
      <c r="AF180" s="806"/>
      <c r="BN180" s="811"/>
      <c r="BP180" s="813"/>
      <c r="BR180" s="814"/>
      <c r="BS180" s="806"/>
      <c r="BT180" s="812"/>
      <c r="BU180" s="812"/>
      <c r="BV180" s="811"/>
      <c r="BX180" s="811"/>
    </row>
    <row r="181" spans="2:76" ht="18" customHeight="1">
      <c r="B181" s="846">
        <f t="shared" si="22"/>
        <v>181</v>
      </c>
      <c r="C181" s="843" t="s">
        <v>107</v>
      </c>
      <c r="D181" s="935"/>
      <c r="E181" s="960"/>
      <c r="F181" s="937">
        <f t="shared" si="29"/>
        <v>0</v>
      </c>
      <c r="G181" s="961"/>
      <c r="H181" s="939"/>
      <c r="I181" s="960"/>
      <c r="J181" s="937">
        <f t="shared" si="30"/>
        <v>0</v>
      </c>
      <c r="K181" s="941"/>
      <c r="P181" s="812"/>
      <c r="AD181" s="806"/>
      <c r="AE181" s="806"/>
      <c r="AF181" s="806"/>
      <c r="BN181" s="811"/>
      <c r="BP181" s="813"/>
      <c r="BR181" s="814"/>
      <c r="BS181" s="806"/>
      <c r="BT181" s="812"/>
      <c r="BU181" s="812"/>
      <c r="BV181" s="811"/>
      <c r="BX181" s="811"/>
    </row>
    <row r="182" spans="2:76" ht="18" customHeight="1">
      <c r="B182" s="846">
        <f t="shared" si="22"/>
        <v>182</v>
      </c>
      <c r="C182" s="843" t="s">
        <v>107</v>
      </c>
      <c r="D182" s="935"/>
      <c r="E182" s="960"/>
      <c r="F182" s="937">
        <f t="shared" si="29"/>
        <v>0</v>
      </c>
      <c r="G182" s="961"/>
      <c r="H182" s="939"/>
      <c r="I182" s="960"/>
      <c r="J182" s="937">
        <f t="shared" si="30"/>
        <v>0</v>
      </c>
      <c r="K182" s="941"/>
      <c r="P182" s="812"/>
      <c r="AD182" s="806"/>
      <c r="AE182" s="806"/>
      <c r="AF182" s="806"/>
      <c r="BN182" s="811"/>
      <c r="BP182" s="813"/>
      <c r="BR182" s="814"/>
      <c r="BS182" s="806"/>
      <c r="BT182" s="812"/>
      <c r="BU182" s="812"/>
      <c r="BV182" s="811"/>
      <c r="BX182" s="811"/>
    </row>
    <row r="183" spans="2:76" ht="18" customHeight="1">
      <c r="B183" s="846">
        <f t="shared" si="22"/>
        <v>183</v>
      </c>
      <c r="C183" s="843" t="s">
        <v>107</v>
      </c>
      <c r="D183" s="935"/>
      <c r="E183" s="960"/>
      <c r="F183" s="937">
        <f t="shared" si="29"/>
        <v>0</v>
      </c>
      <c r="G183" s="961"/>
      <c r="H183" s="939"/>
      <c r="I183" s="960"/>
      <c r="J183" s="937">
        <f t="shared" si="30"/>
        <v>0</v>
      </c>
      <c r="K183" s="941"/>
      <c r="P183" s="812"/>
      <c r="AD183" s="806"/>
      <c r="AE183" s="806"/>
      <c r="AF183" s="806"/>
      <c r="BN183" s="811"/>
      <c r="BP183" s="813"/>
      <c r="BR183" s="814"/>
      <c r="BS183" s="806"/>
      <c r="BT183" s="812"/>
      <c r="BU183" s="812"/>
      <c r="BV183" s="811"/>
      <c r="BX183" s="811"/>
    </row>
    <row r="184" spans="2:76" ht="18" customHeight="1">
      <c r="B184" s="846">
        <f t="shared" si="22"/>
        <v>184</v>
      </c>
      <c r="C184" s="843" t="s">
        <v>107</v>
      </c>
      <c r="D184" s="935"/>
      <c r="E184" s="960"/>
      <c r="F184" s="937">
        <f t="shared" si="29"/>
        <v>0</v>
      </c>
      <c r="G184" s="961"/>
      <c r="H184" s="939"/>
      <c r="I184" s="960"/>
      <c r="J184" s="937">
        <f t="shared" si="30"/>
        <v>0</v>
      </c>
      <c r="K184" s="941"/>
      <c r="P184" s="812"/>
      <c r="AD184" s="806"/>
      <c r="AE184" s="806"/>
      <c r="AF184" s="806"/>
      <c r="BN184" s="811"/>
      <c r="BP184" s="813"/>
      <c r="BR184" s="814"/>
      <c r="BS184" s="806"/>
      <c r="BT184" s="812"/>
      <c r="BU184" s="812"/>
      <c r="BV184" s="811"/>
      <c r="BX184" s="811"/>
    </row>
    <row r="185" spans="2:76" ht="18" customHeight="1">
      <c r="B185" s="846">
        <f t="shared" si="22"/>
        <v>185</v>
      </c>
      <c r="C185" s="843" t="s">
        <v>107</v>
      </c>
      <c r="D185" s="935"/>
      <c r="E185" s="960"/>
      <c r="F185" s="937">
        <f t="shared" si="29"/>
        <v>0</v>
      </c>
      <c r="G185" s="961"/>
      <c r="H185" s="939"/>
      <c r="I185" s="960"/>
      <c r="J185" s="937">
        <f t="shared" si="30"/>
        <v>0</v>
      </c>
      <c r="K185" s="941"/>
      <c r="P185" s="812"/>
      <c r="AD185" s="806"/>
      <c r="AE185" s="806"/>
      <c r="AF185" s="806"/>
      <c r="BN185" s="811"/>
      <c r="BP185" s="813"/>
      <c r="BR185" s="814"/>
      <c r="BS185" s="806"/>
      <c r="BT185" s="812"/>
      <c r="BU185" s="812"/>
      <c r="BV185" s="811"/>
      <c r="BX185" s="811"/>
    </row>
    <row r="186" spans="2:76" ht="18" customHeight="1">
      <c r="B186" s="846">
        <f t="shared" si="22"/>
        <v>186</v>
      </c>
      <c r="C186" s="843" t="s">
        <v>107</v>
      </c>
      <c r="D186" s="935"/>
      <c r="E186" s="960"/>
      <c r="F186" s="937">
        <f t="shared" si="29"/>
        <v>0</v>
      </c>
      <c r="G186" s="961"/>
      <c r="H186" s="939"/>
      <c r="I186" s="960"/>
      <c r="J186" s="937">
        <f t="shared" si="30"/>
        <v>0</v>
      </c>
      <c r="K186" s="941"/>
      <c r="P186" s="812"/>
      <c r="AD186" s="806"/>
      <c r="AE186" s="806"/>
      <c r="AF186" s="806"/>
      <c r="BN186" s="811"/>
      <c r="BP186" s="813"/>
      <c r="BR186" s="814"/>
      <c r="BS186" s="806"/>
      <c r="BT186" s="812"/>
      <c r="BU186" s="812"/>
      <c r="BV186" s="811"/>
      <c r="BX186" s="811"/>
    </row>
    <row r="187" spans="2:76" ht="18" customHeight="1">
      <c r="B187" s="846">
        <f t="shared" si="22"/>
        <v>187</v>
      </c>
      <c r="C187" s="843" t="s">
        <v>107</v>
      </c>
      <c r="D187" s="935"/>
      <c r="E187" s="960"/>
      <c r="F187" s="937">
        <f t="shared" si="29"/>
        <v>0</v>
      </c>
      <c r="G187" s="961"/>
      <c r="H187" s="939"/>
      <c r="I187" s="960"/>
      <c r="J187" s="937">
        <f t="shared" si="30"/>
        <v>0</v>
      </c>
      <c r="K187" s="941"/>
      <c r="P187" s="812"/>
      <c r="AD187" s="806"/>
      <c r="AE187" s="806"/>
      <c r="AF187" s="806"/>
      <c r="BN187" s="811"/>
      <c r="BP187" s="813"/>
      <c r="BR187" s="814"/>
      <c r="BS187" s="806"/>
      <c r="BT187" s="812"/>
      <c r="BU187" s="812"/>
      <c r="BV187" s="811"/>
      <c r="BX187" s="811"/>
    </row>
    <row r="188" spans="2:76" ht="18" customHeight="1">
      <c r="B188" s="847">
        <f t="shared" si="22"/>
        <v>188</v>
      </c>
      <c r="C188" s="848" t="s">
        <v>107</v>
      </c>
      <c r="D188" s="944"/>
      <c r="E188" s="962"/>
      <c r="F188" s="946"/>
      <c r="G188" s="963"/>
      <c r="H188" s="948"/>
      <c r="I188" s="962"/>
      <c r="J188" s="946"/>
      <c r="K188" s="958"/>
      <c r="P188" s="812"/>
      <c r="AD188" s="806"/>
      <c r="AE188" s="806"/>
      <c r="AF188" s="806"/>
      <c r="BN188" s="811"/>
      <c r="BP188" s="813"/>
      <c r="BR188" s="814"/>
      <c r="BS188" s="806"/>
      <c r="BT188" s="812"/>
      <c r="BU188" s="812"/>
      <c r="BV188" s="811"/>
      <c r="BX188" s="811"/>
    </row>
    <row r="189" spans="2:76" s="451" customFormat="1" ht="18" customHeight="1">
      <c r="B189" s="849">
        <f t="shared" si="22"/>
        <v>189</v>
      </c>
      <c r="C189" s="849"/>
      <c r="D189" s="292"/>
      <c r="E189" s="777"/>
      <c r="F189" s="849"/>
      <c r="G189" s="849"/>
      <c r="H189" s="449"/>
      <c r="I189" s="777"/>
      <c r="J189" s="849"/>
      <c r="K189" s="448"/>
      <c r="P189" s="850"/>
      <c r="AD189" s="849"/>
      <c r="AE189" s="849"/>
      <c r="AF189" s="849"/>
      <c r="BN189" s="851"/>
      <c r="BP189" s="851"/>
      <c r="BR189" s="852"/>
      <c r="BS189" s="849"/>
      <c r="BT189" s="850"/>
      <c r="BU189" s="850"/>
      <c r="BV189" s="851"/>
      <c r="BX189" s="851"/>
    </row>
    <row r="190" spans="2:76" ht="18" customHeight="1">
      <c r="B190" s="844">
        <f t="shared" si="22"/>
        <v>190</v>
      </c>
      <c r="C190" s="845" t="s">
        <v>108</v>
      </c>
      <c r="D190" s="928">
        <v>3.2300000000000002E-2</v>
      </c>
      <c r="E190" s="959">
        <v>0</v>
      </c>
      <c r="F190" s="930">
        <f t="shared" ref="F190:F200" si="31">E191</f>
        <v>0</v>
      </c>
      <c r="G190" s="931">
        <v>1000</v>
      </c>
      <c r="H190" s="932">
        <v>3.2300000000000002E-2</v>
      </c>
      <c r="I190" s="959">
        <v>0</v>
      </c>
      <c r="J190" s="930">
        <f t="shared" ref="J190:J200" si="32">I191</f>
        <v>0</v>
      </c>
      <c r="K190" s="934">
        <v>2000</v>
      </c>
      <c r="P190" s="812"/>
      <c r="AD190" s="806"/>
      <c r="AE190" s="806"/>
      <c r="AF190" s="806"/>
      <c r="BN190" s="811"/>
      <c r="BP190" s="813"/>
      <c r="BR190" s="814"/>
      <c r="BS190" s="806"/>
      <c r="BT190" s="812"/>
      <c r="BU190" s="812"/>
      <c r="BV190" s="811"/>
      <c r="BX190" s="811"/>
    </row>
    <row r="191" spans="2:76" ht="18" customHeight="1">
      <c r="B191" s="846">
        <f t="shared" si="22"/>
        <v>191</v>
      </c>
      <c r="C191" s="843" t="s">
        <v>108</v>
      </c>
      <c r="D191" s="935"/>
      <c r="E191" s="960"/>
      <c r="F191" s="937">
        <f t="shared" si="31"/>
        <v>0</v>
      </c>
      <c r="G191" s="961"/>
      <c r="H191" s="939"/>
      <c r="I191" s="960"/>
      <c r="J191" s="937">
        <f t="shared" si="32"/>
        <v>0</v>
      </c>
      <c r="K191" s="941"/>
      <c r="P191" s="812"/>
      <c r="AD191" s="806"/>
      <c r="AE191" s="806"/>
      <c r="AF191" s="806"/>
      <c r="BN191" s="811"/>
      <c r="BP191" s="813"/>
      <c r="BR191" s="814"/>
      <c r="BS191" s="806"/>
      <c r="BT191" s="812"/>
      <c r="BU191" s="812"/>
      <c r="BV191" s="811"/>
      <c r="BX191" s="811"/>
    </row>
    <row r="192" spans="2:76" ht="18" customHeight="1">
      <c r="B192" s="846">
        <f t="shared" si="22"/>
        <v>192</v>
      </c>
      <c r="C192" s="843" t="s">
        <v>108</v>
      </c>
      <c r="D192" s="935"/>
      <c r="E192" s="960"/>
      <c r="F192" s="937">
        <f t="shared" si="31"/>
        <v>0</v>
      </c>
      <c r="G192" s="961"/>
      <c r="H192" s="939"/>
      <c r="I192" s="960"/>
      <c r="J192" s="937">
        <f t="shared" si="32"/>
        <v>0</v>
      </c>
      <c r="K192" s="941"/>
      <c r="P192" s="812"/>
      <c r="AD192" s="806"/>
      <c r="AE192" s="806"/>
      <c r="AF192" s="806"/>
      <c r="BN192" s="811"/>
      <c r="BP192" s="813"/>
      <c r="BR192" s="814"/>
      <c r="BS192" s="806"/>
      <c r="BT192" s="812"/>
      <c r="BU192" s="812"/>
      <c r="BV192" s="811"/>
      <c r="BX192" s="811"/>
    </row>
    <row r="193" spans="2:76" ht="18" customHeight="1">
      <c r="B193" s="846">
        <f t="shared" si="22"/>
        <v>193</v>
      </c>
      <c r="C193" s="843" t="s">
        <v>108</v>
      </c>
      <c r="D193" s="935"/>
      <c r="E193" s="960"/>
      <c r="F193" s="937">
        <f t="shared" si="31"/>
        <v>0</v>
      </c>
      <c r="G193" s="961"/>
      <c r="H193" s="939"/>
      <c r="I193" s="960"/>
      <c r="J193" s="937">
        <f t="shared" si="32"/>
        <v>0</v>
      </c>
      <c r="K193" s="941"/>
      <c r="P193" s="812"/>
      <c r="AD193" s="806"/>
      <c r="AE193" s="806"/>
      <c r="AF193" s="806"/>
      <c r="BN193" s="811"/>
      <c r="BP193" s="813"/>
      <c r="BR193" s="814"/>
      <c r="BS193" s="806"/>
      <c r="BT193" s="812"/>
      <c r="BU193" s="812"/>
      <c r="BV193" s="811"/>
      <c r="BX193" s="811"/>
    </row>
    <row r="194" spans="2:76" ht="18" customHeight="1">
      <c r="B194" s="846">
        <f t="shared" si="22"/>
        <v>194</v>
      </c>
      <c r="C194" s="843" t="s">
        <v>108</v>
      </c>
      <c r="D194" s="935"/>
      <c r="E194" s="960"/>
      <c r="F194" s="937">
        <f t="shared" si="31"/>
        <v>0</v>
      </c>
      <c r="G194" s="961"/>
      <c r="H194" s="939"/>
      <c r="I194" s="960"/>
      <c r="J194" s="937">
        <f t="shared" si="32"/>
        <v>0</v>
      </c>
      <c r="K194" s="941"/>
      <c r="P194" s="812"/>
      <c r="AD194" s="806"/>
      <c r="AE194" s="806"/>
      <c r="AF194" s="806"/>
      <c r="BN194" s="811"/>
      <c r="BP194" s="813"/>
      <c r="BR194" s="814"/>
      <c r="BS194" s="806"/>
      <c r="BT194" s="812"/>
      <c r="BU194" s="812"/>
      <c r="BV194" s="811"/>
      <c r="BX194" s="811"/>
    </row>
    <row r="195" spans="2:76" ht="18" customHeight="1">
      <c r="B195" s="846">
        <f t="shared" si="22"/>
        <v>195</v>
      </c>
      <c r="C195" s="843" t="s">
        <v>108</v>
      </c>
      <c r="D195" s="935"/>
      <c r="E195" s="960"/>
      <c r="F195" s="937">
        <f t="shared" si="31"/>
        <v>0</v>
      </c>
      <c r="G195" s="961"/>
      <c r="H195" s="939"/>
      <c r="I195" s="960"/>
      <c r="J195" s="937">
        <f t="shared" si="32"/>
        <v>0</v>
      </c>
      <c r="K195" s="941"/>
      <c r="P195" s="812"/>
      <c r="AD195" s="806"/>
      <c r="AE195" s="806"/>
      <c r="AF195" s="806"/>
      <c r="BN195" s="811"/>
      <c r="BP195" s="813"/>
      <c r="BR195" s="814"/>
      <c r="BS195" s="806"/>
      <c r="BT195" s="812"/>
      <c r="BU195" s="812"/>
      <c r="BV195" s="811"/>
      <c r="BX195" s="811"/>
    </row>
    <row r="196" spans="2:76" ht="18" customHeight="1">
      <c r="B196" s="846">
        <f t="shared" si="22"/>
        <v>196</v>
      </c>
      <c r="C196" s="843" t="s">
        <v>108</v>
      </c>
      <c r="D196" s="935"/>
      <c r="E196" s="960"/>
      <c r="F196" s="937">
        <f t="shared" si="31"/>
        <v>0</v>
      </c>
      <c r="G196" s="961"/>
      <c r="H196" s="939"/>
      <c r="I196" s="960"/>
      <c r="J196" s="937">
        <f t="shared" si="32"/>
        <v>0</v>
      </c>
      <c r="K196" s="941"/>
      <c r="P196" s="812"/>
      <c r="AD196" s="806"/>
      <c r="AE196" s="806"/>
      <c r="AF196" s="806"/>
      <c r="BN196" s="811"/>
      <c r="BP196" s="813"/>
      <c r="BR196" s="814"/>
      <c r="BS196" s="806"/>
      <c r="BT196" s="812"/>
      <c r="BU196" s="812"/>
      <c r="BV196" s="811"/>
      <c r="BX196" s="811"/>
    </row>
    <row r="197" spans="2:76" ht="18" customHeight="1">
      <c r="B197" s="846">
        <f t="shared" si="22"/>
        <v>197</v>
      </c>
      <c r="C197" s="843" t="s">
        <v>108</v>
      </c>
      <c r="D197" s="935"/>
      <c r="E197" s="960"/>
      <c r="F197" s="937">
        <f t="shared" si="31"/>
        <v>0</v>
      </c>
      <c r="G197" s="961"/>
      <c r="H197" s="939"/>
      <c r="I197" s="960"/>
      <c r="J197" s="937">
        <f t="shared" si="32"/>
        <v>0</v>
      </c>
      <c r="K197" s="941"/>
      <c r="P197" s="812"/>
      <c r="AD197" s="806"/>
      <c r="AE197" s="806"/>
      <c r="AF197" s="806"/>
      <c r="BN197" s="811"/>
      <c r="BP197" s="813"/>
      <c r="BR197" s="814"/>
      <c r="BS197" s="806"/>
      <c r="BT197" s="812"/>
      <c r="BU197" s="812"/>
      <c r="BV197" s="811"/>
      <c r="BX197" s="811"/>
    </row>
    <row r="198" spans="2:76" ht="18" customHeight="1">
      <c r="B198" s="846">
        <f t="shared" si="22"/>
        <v>198</v>
      </c>
      <c r="C198" s="843" t="s">
        <v>108</v>
      </c>
      <c r="D198" s="935"/>
      <c r="E198" s="960"/>
      <c r="F198" s="937">
        <f t="shared" si="31"/>
        <v>0</v>
      </c>
      <c r="G198" s="961"/>
      <c r="H198" s="939"/>
      <c r="I198" s="960"/>
      <c r="J198" s="937">
        <f t="shared" si="32"/>
        <v>0</v>
      </c>
      <c r="K198" s="941"/>
      <c r="P198" s="812"/>
      <c r="AD198" s="806"/>
      <c r="AE198" s="806"/>
      <c r="AF198" s="806"/>
      <c r="BN198" s="811"/>
      <c r="BP198" s="813"/>
      <c r="BR198" s="814"/>
      <c r="BS198" s="806"/>
      <c r="BT198" s="812"/>
      <c r="BU198" s="812"/>
      <c r="BV198" s="811"/>
      <c r="BX198" s="811"/>
    </row>
    <row r="199" spans="2:76" ht="18" customHeight="1">
      <c r="B199" s="846">
        <f t="shared" si="22"/>
        <v>199</v>
      </c>
      <c r="C199" s="843" t="s">
        <v>108</v>
      </c>
      <c r="D199" s="935"/>
      <c r="E199" s="960"/>
      <c r="F199" s="937">
        <f t="shared" si="31"/>
        <v>0</v>
      </c>
      <c r="G199" s="961"/>
      <c r="H199" s="939"/>
      <c r="I199" s="960"/>
      <c r="J199" s="937">
        <f t="shared" si="32"/>
        <v>0</v>
      </c>
      <c r="K199" s="941"/>
      <c r="P199" s="812"/>
      <c r="AD199" s="806"/>
      <c r="AE199" s="806"/>
      <c r="AF199" s="806"/>
      <c r="BN199" s="811"/>
      <c r="BP199" s="813"/>
      <c r="BR199" s="814"/>
      <c r="BS199" s="806"/>
      <c r="BT199" s="812"/>
      <c r="BU199" s="812"/>
      <c r="BV199" s="811"/>
      <c r="BX199" s="811"/>
    </row>
    <row r="200" spans="2:76" ht="18" customHeight="1">
      <c r="B200" s="846">
        <f t="shared" si="22"/>
        <v>200</v>
      </c>
      <c r="C200" s="843" t="s">
        <v>108</v>
      </c>
      <c r="D200" s="935"/>
      <c r="E200" s="960"/>
      <c r="F200" s="937">
        <f t="shared" si="31"/>
        <v>0</v>
      </c>
      <c r="G200" s="961"/>
      <c r="H200" s="939"/>
      <c r="I200" s="960"/>
      <c r="J200" s="937">
        <f t="shared" si="32"/>
        <v>0</v>
      </c>
      <c r="K200" s="941"/>
      <c r="P200" s="812"/>
      <c r="AD200" s="806"/>
      <c r="AE200" s="806"/>
      <c r="AF200" s="806"/>
      <c r="BN200" s="811"/>
      <c r="BP200" s="813"/>
      <c r="BR200" s="814"/>
      <c r="BS200" s="806"/>
      <c r="BT200" s="812"/>
      <c r="BU200" s="812"/>
      <c r="BV200" s="811"/>
      <c r="BX200" s="811"/>
    </row>
    <row r="201" spans="2:76" ht="18" customHeight="1">
      <c r="B201" s="847">
        <f t="shared" si="22"/>
        <v>201</v>
      </c>
      <c r="C201" s="848" t="s">
        <v>108</v>
      </c>
      <c r="D201" s="944"/>
      <c r="E201" s="962"/>
      <c r="F201" s="946"/>
      <c r="G201" s="963"/>
      <c r="H201" s="948"/>
      <c r="I201" s="962"/>
      <c r="J201" s="946"/>
      <c r="K201" s="958"/>
      <c r="P201" s="812"/>
      <c r="AD201" s="806"/>
      <c r="AE201" s="806"/>
      <c r="AF201" s="806"/>
      <c r="BN201" s="811"/>
      <c r="BP201" s="813"/>
      <c r="BR201" s="814"/>
      <c r="BS201" s="806"/>
      <c r="BT201" s="812"/>
      <c r="BU201" s="812"/>
      <c r="BV201" s="811"/>
      <c r="BX201" s="811"/>
    </row>
    <row r="202" spans="2:76" s="451" customFormat="1" ht="18" customHeight="1">
      <c r="B202" s="849">
        <f t="shared" ref="B202:B265" si="33">B201+1</f>
        <v>202</v>
      </c>
      <c r="C202" s="849"/>
      <c r="D202" s="292"/>
      <c r="E202" s="777"/>
      <c r="F202" s="849"/>
      <c r="G202" s="849"/>
      <c r="H202" s="449"/>
      <c r="I202" s="777"/>
      <c r="J202" s="849"/>
      <c r="K202" s="448"/>
      <c r="P202" s="850"/>
      <c r="AD202" s="849"/>
      <c r="AE202" s="849"/>
      <c r="AF202" s="849"/>
      <c r="BN202" s="851"/>
      <c r="BP202" s="851"/>
      <c r="BR202" s="852"/>
      <c r="BS202" s="849"/>
      <c r="BT202" s="850"/>
      <c r="BU202" s="850"/>
      <c r="BV202" s="851"/>
      <c r="BX202" s="851"/>
    </row>
    <row r="203" spans="2:76" ht="18" customHeight="1">
      <c r="B203" s="844">
        <f t="shared" si="33"/>
        <v>203</v>
      </c>
      <c r="C203" s="845" t="s">
        <v>109</v>
      </c>
      <c r="D203" s="928">
        <v>3.3E-3</v>
      </c>
      <c r="E203" s="933">
        <v>0</v>
      </c>
      <c r="F203" s="930">
        <f t="shared" ref="F203:F213" si="34">E204</f>
        <v>1676</v>
      </c>
      <c r="G203" s="931">
        <v>2080</v>
      </c>
      <c r="H203" s="932">
        <v>3.3E-3</v>
      </c>
      <c r="I203" s="933">
        <v>0</v>
      </c>
      <c r="J203" s="930">
        <f t="shared" ref="J203:J213" si="35">I204</f>
        <v>1676</v>
      </c>
      <c r="K203" s="934">
        <v>5120</v>
      </c>
      <c r="P203" s="812"/>
      <c r="AD203" s="806"/>
      <c r="AE203" s="806"/>
      <c r="AF203" s="806"/>
      <c r="BN203" s="811"/>
      <c r="BP203" s="813"/>
      <c r="BR203" s="814"/>
      <c r="BS203" s="806"/>
      <c r="BT203" s="812"/>
      <c r="BU203" s="812"/>
      <c r="BV203" s="811"/>
      <c r="BX203" s="811"/>
    </row>
    <row r="204" spans="2:76" ht="18" customHeight="1">
      <c r="B204" s="846">
        <f t="shared" si="33"/>
        <v>204</v>
      </c>
      <c r="C204" s="843" t="s">
        <v>109</v>
      </c>
      <c r="D204" s="935">
        <v>6.7000000000000002E-3</v>
      </c>
      <c r="E204" s="940">
        <v>1676</v>
      </c>
      <c r="F204" s="937">
        <f t="shared" si="34"/>
        <v>3352</v>
      </c>
      <c r="G204" s="938"/>
      <c r="H204" s="939">
        <v>6.7000000000000002E-3</v>
      </c>
      <c r="I204" s="940">
        <v>1676</v>
      </c>
      <c r="J204" s="937">
        <f t="shared" si="35"/>
        <v>3352</v>
      </c>
      <c r="K204" s="943"/>
      <c r="P204" s="812"/>
      <c r="AD204" s="806"/>
      <c r="AE204" s="806"/>
      <c r="AF204" s="806"/>
      <c r="BP204" s="1"/>
      <c r="BR204" s="806"/>
      <c r="BS204" s="806"/>
      <c r="BT204" s="812"/>
      <c r="BU204" s="812"/>
    </row>
    <row r="205" spans="2:76" ht="18" customHeight="1">
      <c r="B205" s="846">
        <f t="shared" si="33"/>
        <v>205</v>
      </c>
      <c r="C205" s="843" t="s">
        <v>109</v>
      </c>
      <c r="D205" s="935">
        <v>2.2499999999999999E-2</v>
      </c>
      <c r="E205" s="940">
        <v>3352</v>
      </c>
      <c r="F205" s="937">
        <f t="shared" si="34"/>
        <v>6704</v>
      </c>
      <c r="G205" s="938"/>
      <c r="H205" s="939">
        <v>2.2499999999999999E-2</v>
      </c>
      <c r="I205" s="940">
        <v>3352</v>
      </c>
      <c r="J205" s="937">
        <f t="shared" si="35"/>
        <v>6704</v>
      </c>
      <c r="K205" s="943"/>
      <c r="P205" s="812"/>
      <c r="AD205" s="806"/>
      <c r="AE205" s="806"/>
      <c r="AF205" s="806"/>
      <c r="BP205" s="1"/>
      <c r="BR205" s="806"/>
      <c r="BS205" s="806"/>
      <c r="BT205" s="812"/>
      <c r="BU205" s="812"/>
    </row>
    <row r="206" spans="2:76" ht="18" customHeight="1">
      <c r="B206" s="846">
        <f t="shared" si="33"/>
        <v>206</v>
      </c>
      <c r="C206" s="843" t="s">
        <v>109</v>
      </c>
      <c r="D206" s="935">
        <v>4.1399999999999999E-2</v>
      </c>
      <c r="E206" s="940">
        <v>6704</v>
      </c>
      <c r="F206" s="937">
        <f t="shared" si="34"/>
        <v>15084</v>
      </c>
      <c r="G206" s="938"/>
      <c r="H206" s="939">
        <v>4.1399999999999999E-2</v>
      </c>
      <c r="I206" s="940">
        <v>6704</v>
      </c>
      <c r="J206" s="937">
        <f t="shared" si="35"/>
        <v>15084</v>
      </c>
      <c r="K206" s="943"/>
      <c r="P206" s="812"/>
      <c r="AD206" s="806"/>
      <c r="AE206" s="806"/>
      <c r="AF206" s="806"/>
      <c r="BP206" s="1"/>
      <c r="BR206" s="806"/>
      <c r="BS206" s="806"/>
      <c r="BT206" s="812"/>
      <c r="BU206" s="812"/>
    </row>
    <row r="207" spans="2:76" ht="18" customHeight="1">
      <c r="B207" s="846">
        <f t="shared" si="33"/>
        <v>207</v>
      </c>
      <c r="C207" s="843" t="s">
        <v>109</v>
      </c>
      <c r="D207" s="935">
        <v>5.6300000000000003E-2</v>
      </c>
      <c r="E207" s="940">
        <v>15084</v>
      </c>
      <c r="F207" s="937">
        <f t="shared" si="34"/>
        <v>25140</v>
      </c>
      <c r="G207" s="938"/>
      <c r="H207" s="939">
        <v>5.6300000000000003E-2</v>
      </c>
      <c r="I207" s="940">
        <v>15084</v>
      </c>
      <c r="J207" s="937">
        <f t="shared" si="35"/>
        <v>25140</v>
      </c>
      <c r="K207" s="943"/>
      <c r="P207" s="812"/>
      <c r="AD207" s="806"/>
      <c r="AE207" s="806"/>
      <c r="AF207" s="806"/>
      <c r="BP207" s="1"/>
      <c r="BR207" s="806"/>
      <c r="BS207" s="806"/>
      <c r="BT207" s="812"/>
      <c r="BU207" s="812"/>
    </row>
    <row r="208" spans="2:76" ht="18" customHeight="1">
      <c r="B208" s="846">
        <f t="shared" si="33"/>
        <v>208</v>
      </c>
      <c r="C208" s="843" t="s">
        <v>109</v>
      </c>
      <c r="D208" s="935">
        <v>5.96E-2</v>
      </c>
      <c r="E208" s="940">
        <v>25140</v>
      </c>
      <c r="F208" s="937">
        <f t="shared" si="34"/>
        <v>33520</v>
      </c>
      <c r="G208" s="938"/>
      <c r="H208" s="939">
        <v>5.96E-2</v>
      </c>
      <c r="I208" s="940">
        <v>25140</v>
      </c>
      <c r="J208" s="937">
        <f t="shared" si="35"/>
        <v>33520</v>
      </c>
      <c r="K208" s="943"/>
      <c r="P208" s="812"/>
      <c r="AD208" s="806"/>
      <c r="AE208" s="806"/>
      <c r="AF208" s="806"/>
      <c r="BP208" s="1"/>
      <c r="BR208" s="806"/>
      <c r="BS208" s="806"/>
      <c r="BT208" s="812"/>
      <c r="BU208" s="812"/>
    </row>
    <row r="209" spans="2:73" ht="18" customHeight="1">
      <c r="B209" s="846">
        <f t="shared" si="33"/>
        <v>209</v>
      </c>
      <c r="C209" s="843" t="s">
        <v>109</v>
      </c>
      <c r="D209" s="935">
        <v>6.25E-2</v>
      </c>
      <c r="E209" s="940">
        <v>33520</v>
      </c>
      <c r="F209" s="937">
        <f t="shared" si="34"/>
        <v>50280</v>
      </c>
      <c r="G209" s="938"/>
      <c r="H209" s="939">
        <v>6.25E-2</v>
      </c>
      <c r="I209" s="940">
        <v>33520</v>
      </c>
      <c r="J209" s="937">
        <f t="shared" si="35"/>
        <v>50280</v>
      </c>
      <c r="K209" s="943"/>
      <c r="P209" s="812"/>
      <c r="AD209" s="806"/>
      <c r="AE209" s="806"/>
      <c r="AF209" s="806"/>
      <c r="BP209" s="1"/>
      <c r="BR209" s="806"/>
      <c r="BS209" s="806"/>
      <c r="BT209" s="812"/>
      <c r="BU209" s="812"/>
    </row>
    <row r="210" spans="2:73" ht="18" customHeight="1">
      <c r="B210" s="846">
        <f t="shared" si="33"/>
        <v>210</v>
      </c>
      <c r="C210" s="843" t="s">
        <v>109</v>
      </c>
      <c r="D210" s="935">
        <v>7.4399999999999994E-2</v>
      </c>
      <c r="E210" s="940">
        <v>50280</v>
      </c>
      <c r="F210" s="937">
        <f t="shared" si="34"/>
        <v>75420</v>
      </c>
      <c r="G210" s="938"/>
      <c r="H210" s="939">
        <v>7.4399999999999994E-2</v>
      </c>
      <c r="I210" s="940">
        <v>50280</v>
      </c>
      <c r="J210" s="937">
        <f t="shared" si="35"/>
        <v>75420</v>
      </c>
      <c r="K210" s="943"/>
      <c r="P210" s="812"/>
      <c r="AD210" s="806"/>
      <c r="AE210" s="806"/>
      <c r="AF210" s="806"/>
      <c r="BP210" s="1"/>
      <c r="BR210" s="806"/>
      <c r="BS210" s="806"/>
      <c r="BT210" s="812"/>
      <c r="BU210" s="812"/>
    </row>
    <row r="211" spans="2:73" ht="18" customHeight="1">
      <c r="B211" s="846">
        <f t="shared" si="33"/>
        <v>211</v>
      </c>
      <c r="C211" s="843" t="s">
        <v>109</v>
      </c>
      <c r="D211" s="935">
        <v>8.5300000000000001E-2</v>
      </c>
      <c r="E211" s="940">
        <v>75420</v>
      </c>
      <c r="F211" s="937">
        <f t="shared" si="34"/>
        <v>0</v>
      </c>
      <c r="G211" s="938"/>
      <c r="H211" s="939">
        <v>8.5300000000000001E-2</v>
      </c>
      <c r="I211" s="940">
        <v>75420</v>
      </c>
      <c r="J211" s="937">
        <f t="shared" si="35"/>
        <v>0</v>
      </c>
      <c r="K211" s="943"/>
      <c r="P211" s="812"/>
      <c r="AD211" s="806"/>
      <c r="AE211" s="806"/>
      <c r="AF211" s="806"/>
      <c r="BP211" s="1"/>
      <c r="BR211" s="806"/>
      <c r="BS211" s="806"/>
      <c r="BT211" s="812"/>
      <c r="BU211" s="812"/>
    </row>
    <row r="212" spans="2:73" ht="18" customHeight="1">
      <c r="B212" s="846">
        <f t="shared" si="33"/>
        <v>212</v>
      </c>
      <c r="C212" s="843" t="s">
        <v>109</v>
      </c>
      <c r="D212" s="935"/>
      <c r="E212" s="940"/>
      <c r="F212" s="937">
        <f t="shared" si="34"/>
        <v>0</v>
      </c>
      <c r="G212" s="938"/>
      <c r="H212" s="939"/>
      <c r="I212" s="940"/>
      <c r="J212" s="937">
        <f t="shared" si="35"/>
        <v>0</v>
      </c>
      <c r="K212" s="943"/>
      <c r="P212" s="812"/>
      <c r="AD212" s="806"/>
      <c r="AE212" s="806"/>
      <c r="AF212" s="806"/>
      <c r="BP212" s="1"/>
      <c r="BR212" s="806"/>
      <c r="BS212" s="806"/>
      <c r="BT212" s="812"/>
      <c r="BU212" s="812"/>
    </row>
    <row r="213" spans="2:73" ht="18" customHeight="1">
      <c r="B213" s="846">
        <f t="shared" si="33"/>
        <v>213</v>
      </c>
      <c r="C213" s="843" t="s">
        <v>109</v>
      </c>
      <c r="D213" s="935"/>
      <c r="E213" s="940"/>
      <c r="F213" s="937">
        <f t="shared" si="34"/>
        <v>0</v>
      </c>
      <c r="G213" s="938"/>
      <c r="H213" s="939"/>
      <c r="I213" s="940"/>
      <c r="J213" s="937">
        <f t="shared" si="35"/>
        <v>0</v>
      </c>
      <c r="K213" s="943"/>
      <c r="P213" s="812"/>
      <c r="AD213" s="806"/>
      <c r="AE213" s="806"/>
      <c r="AF213" s="806"/>
      <c r="BP213" s="1"/>
      <c r="BR213" s="806"/>
      <c r="BS213" s="806"/>
      <c r="BT213" s="812"/>
      <c r="BU213" s="812"/>
    </row>
    <row r="214" spans="2:73" ht="18" customHeight="1">
      <c r="B214" s="847">
        <f t="shared" si="33"/>
        <v>214</v>
      </c>
      <c r="C214" s="848" t="s">
        <v>109</v>
      </c>
      <c r="D214" s="944"/>
      <c r="E214" s="957"/>
      <c r="F214" s="946"/>
      <c r="G214" s="947"/>
      <c r="H214" s="948"/>
      <c r="I214" s="957"/>
      <c r="J214" s="946"/>
      <c r="K214" s="950"/>
      <c r="P214" s="812"/>
      <c r="AD214" s="806"/>
      <c r="AE214" s="806"/>
      <c r="AF214" s="806"/>
      <c r="BP214" s="1"/>
      <c r="BR214" s="806"/>
      <c r="BS214" s="806"/>
      <c r="BT214" s="812"/>
      <c r="BU214" s="812"/>
    </row>
    <row r="215" spans="2:73" s="451" customFormat="1" ht="18" customHeight="1">
      <c r="B215" s="849">
        <f t="shared" si="33"/>
        <v>215</v>
      </c>
      <c r="C215" s="849"/>
      <c r="D215" s="292"/>
      <c r="E215" s="777"/>
      <c r="F215" s="849"/>
      <c r="G215" s="849"/>
      <c r="H215" s="449"/>
      <c r="I215" s="777"/>
      <c r="J215" s="849"/>
      <c r="K215" s="448"/>
      <c r="P215" s="850"/>
      <c r="AD215" s="849"/>
      <c r="AE215" s="849"/>
      <c r="AF215" s="849"/>
      <c r="BR215" s="849"/>
      <c r="BS215" s="849"/>
      <c r="BT215" s="850"/>
      <c r="BU215" s="850"/>
    </row>
    <row r="216" spans="2:73" ht="18" customHeight="1">
      <c r="B216" s="844">
        <f t="shared" si="33"/>
        <v>216</v>
      </c>
      <c r="C216" s="845" t="s">
        <v>110</v>
      </c>
      <c r="D216" s="928">
        <v>3.1E-2</v>
      </c>
      <c r="E216" s="933">
        <v>0</v>
      </c>
      <c r="F216" s="930">
        <f t="shared" ref="F216:F226" si="36">E217</f>
        <v>15000</v>
      </c>
      <c r="G216" s="931">
        <v>3000</v>
      </c>
      <c r="H216" s="932">
        <v>3.1E-2</v>
      </c>
      <c r="I216" s="933">
        <v>0</v>
      </c>
      <c r="J216" s="930">
        <f t="shared" ref="J216:J226" si="37">I217</f>
        <v>30000</v>
      </c>
      <c r="K216" s="934">
        <v>7500</v>
      </c>
      <c r="P216" s="812"/>
      <c r="AD216" s="806"/>
      <c r="AE216" s="806"/>
      <c r="AF216" s="806"/>
      <c r="BP216" s="1"/>
      <c r="BR216" s="806"/>
      <c r="BS216" s="806"/>
      <c r="BT216" s="812"/>
      <c r="BU216" s="812"/>
    </row>
    <row r="217" spans="2:73" ht="18" customHeight="1">
      <c r="B217" s="846">
        <f t="shared" si="33"/>
        <v>217</v>
      </c>
      <c r="C217" s="843" t="s">
        <v>110</v>
      </c>
      <c r="D217" s="935">
        <v>5.2499999999999998E-2</v>
      </c>
      <c r="E217" s="940">
        <v>15000</v>
      </c>
      <c r="F217" s="937">
        <f t="shared" si="36"/>
        <v>30000</v>
      </c>
      <c r="G217" s="938"/>
      <c r="H217" s="939">
        <v>5.2499999999999998E-2</v>
      </c>
      <c r="I217" s="940">
        <v>30000</v>
      </c>
      <c r="J217" s="937">
        <f t="shared" si="37"/>
        <v>60000</v>
      </c>
      <c r="K217" s="943"/>
      <c r="P217" s="812"/>
      <c r="AD217" s="806"/>
      <c r="AE217" s="806"/>
      <c r="AF217" s="806"/>
      <c r="BP217" s="1"/>
      <c r="BR217" s="806"/>
      <c r="BS217" s="806"/>
      <c r="BT217" s="812"/>
      <c r="BU217" s="812"/>
    </row>
    <row r="218" spans="2:73" ht="18" customHeight="1">
      <c r="B218" s="846">
        <f t="shared" si="33"/>
        <v>218</v>
      </c>
      <c r="C218" s="843" t="s">
        <v>110</v>
      </c>
      <c r="D218" s="935">
        <v>5.7000000000000002E-2</v>
      </c>
      <c r="E218" s="940">
        <v>30000</v>
      </c>
      <c r="F218" s="937">
        <f t="shared" si="36"/>
        <v>0</v>
      </c>
      <c r="G218" s="938"/>
      <c r="H218" s="939">
        <v>5.7000000000000002E-2</v>
      </c>
      <c r="I218" s="940">
        <v>60000</v>
      </c>
      <c r="J218" s="937">
        <f t="shared" si="37"/>
        <v>0</v>
      </c>
      <c r="K218" s="943"/>
      <c r="P218" s="812"/>
      <c r="AD218" s="806"/>
      <c r="AE218" s="806"/>
      <c r="AF218" s="806"/>
      <c r="BP218" s="1"/>
      <c r="BR218" s="806"/>
      <c r="BS218" s="806"/>
      <c r="BT218" s="812"/>
      <c r="BU218" s="812"/>
    </row>
    <row r="219" spans="2:73" ht="18" customHeight="1">
      <c r="B219" s="846">
        <f t="shared" si="33"/>
        <v>219</v>
      </c>
      <c r="C219" s="843" t="s">
        <v>110</v>
      </c>
      <c r="D219" s="935"/>
      <c r="E219" s="940"/>
      <c r="F219" s="937">
        <f t="shared" si="36"/>
        <v>0</v>
      </c>
      <c r="G219" s="938"/>
      <c r="H219" s="939"/>
      <c r="I219" s="940"/>
      <c r="J219" s="937">
        <f t="shared" si="37"/>
        <v>0</v>
      </c>
      <c r="K219" s="943"/>
      <c r="P219" s="812"/>
      <c r="AD219" s="806"/>
      <c r="AE219" s="806"/>
      <c r="AF219" s="806"/>
      <c r="BP219" s="1"/>
      <c r="BR219" s="806"/>
      <c r="BS219" s="806"/>
      <c r="BT219" s="812"/>
      <c r="BU219" s="812"/>
    </row>
    <row r="220" spans="2:73" ht="18" customHeight="1">
      <c r="B220" s="846">
        <f t="shared" si="33"/>
        <v>220</v>
      </c>
      <c r="C220" s="843" t="s">
        <v>110</v>
      </c>
      <c r="D220" s="935"/>
      <c r="E220" s="940"/>
      <c r="F220" s="937">
        <f t="shared" si="36"/>
        <v>0</v>
      </c>
      <c r="G220" s="938"/>
      <c r="H220" s="939"/>
      <c r="I220" s="940"/>
      <c r="J220" s="937">
        <f t="shared" si="37"/>
        <v>0</v>
      </c>
      <c r="K220" s="943"/>
      <c r="P220" s="812"/>
      <c r="AD220" s="806"/>
      <c r="AE220" s="806"/>
      <c r="AF220" s="806"/>
      <c r="BP220" s="1"/>
      <c r="BR220" s="806"/>
      <c r="BS220" s="806"/>
      <c r="BT220" s="812"/>
      <c r="BU220" s="812"/>
    </row>
    <row r="221" spans="2:73" ht="18" customHeight="1">
      <c r="B221" s="846">
        <f t="shared" si="33"/>
        <v>221</v>
      </c>
      <c r="C221" s="843" t="s">
        <v>110</v>
      </c>
      <c r="D221" s="935"/>
      <c r="E221" s="940"/>
      <c r="F221" s="937">
        <f t="shared" si="36"/>
        <v>0</v>
      </c>
      <c r="G221" s="938"/>
      <c r="H221" s="939"/>
      <c r="I221" s="940"/>
      <c r="J221" s="937">
        <f t="shared" si="37"/>
        <v>0</v>
      </c>
      <c r="K221" s="943"/>
      <c r="P221" s="812"/>
      <c r="AD221" s="806"/>
      <c r="AE221" s="806"/>
      <c r="AF221" s="806"/>
      <c r="BP221" s="1"/>
      <c r="BR221" s="806"/>
      <c r="BS221" s="806"/>
      <c r="BT221" s="812"/>
      <c r="BU221" s="812"/>
    </row>
    <row r="222" spans="2:73" ht="18" customHeight="1">
      <c r="B222" s="846">
        <f t="shared" si="33"/>
        <v>222</v>
      </c>
      <c r="C222" s="843" t="s">
        <v>110</v>
      </c>
      <c r="D222" s="935"/>
      <c r="E222" s="940"/>
      <c r="F222" s="937">
        <f t="shared" si="36"/>
        <v>0</v>
      </c>
      <c r="G222" s="938"/>
      <c r="H222" s="939"/>
      <c r="I222" s="940"/>
      <c r="J222" s="937">
        <f t="shared" si="37"/>
        <v>0</v>
      </c>
      <c r="K222" s="943"/>
      <c r="P222" s="812"/>
      <c r="AD222" s="806"/>
      <c r="AE222" s="806"/>
      <c r="AF222" s="806"/>
      <c r="BP222" s="1"/>
      <c r="BR222" s="806"/>
      <c r="BS222" s="806"/>
      <c r="BT222" s="812"/>
      <c r="BU222" s="812"/>
    </row>
    <row r="223" spans="2:73" ht="18" customHeight="1">
      <c r="B223" s="846">
        <f t="shared" si="33"/>
        <v>223</v>
      </c>
      <c r="C223" s="843" t="s">
        <v>110</v>
      </c>
      <c r="D223" s="935"/>
      <c r="E223" s="940"/>
      <c r="F223" s="937">
        <f t="shared" si="36"/>
        <v>0</v>
      </c>
      <c r="G223" s="938"/>
      <c r="H223" s="939"/>
      <c r="I223" s="940"/>
      <c r="J223" s="937">
        <f t="shared" si="37"/>
        <v>0</v>
      </c>
      <c r="K223" s="943"/>
      <c r="P223" s="812"/>
      <c r="AD223" s="806"/>
      <c r="AE223" s="806"/>
      <c r="AF223" s="806"/>
      <c r="BP223" s="1"/>
      <c r="BR223" s="806"/>
      <c r="BS223" s="806"/>
      <c r="BT223" s="812"/>
      <c r="BU223" s="812"/>
    </row>
    <row r="224" spans="2:73" ht="18" customHeight="1">
      <c r="B224" s="846">
        <f t="shared" si="33"/>
        <v>224</v>
      </c>
      <c r="C224" s="843" t="s">
        <v>110</v>
      </c>
      <c r="D224" s="935"/>
      <c r="E224" s="940"/>
      <c r="F224" s="937">
        <f t="shared" si="36"/>
        <v>0</v>
      </c>
      <c r="G224" s="938"/>
      <c r="H224" s="939"/>
      <c r="I224" s="940"/>
      <c r="J224" s="937">
        <f t="shared" si="37"/>
        <v>0</v>
      </c>
      <c r="K224" s="943"/>
      <c r="P224" s="812"/>
      <c r="AD224" s="806"/>
      <c r="AE224" s="806"/>
      <c r="AF224" s="806"/>
      <c r="BP224" s="1"/>
      <c r="BR224" s="806"/>
      <c r="BS224" s="806"/>
      <c r="BT224" s="812"/>
      <c r="BU224" s="812"/>
    </row>
    <row r="225" spans="2:73" ht="18" customHeight="1">
      <c r="B225" s="846">
        <f t="shared" si="33"/>
        <v>225</v>
      </c>
      <c r="C225" s="843" t="s">
        <v>110</v>
      </c>
      <c r="D225" s="935"/>
      <c r="E225" s="940"/>
      <c r="F225" s="937">
        <f t="shared" si="36"/>
        <v>0</v>
      </c>
      <c r="G225" s="938"/>
      <c r="H225" s="939"/>
      <c r="I225" s="940"/>
      <c r="J225" s="937">
        <f t="shared" si="37"/>
        <v>0</v>
      </c>
      <c r="K225" s="943"/>
      <c r="P225" s="812"/>
      <c r="AD225" s="806"/>
      <c r="AE225" s="806"/>
      <c r="AF225" s="806"/>
      <c r="BP225" s="1"/>
      <c r="BR225" s="806"/>
      <c r="BS225" s="806"/>
      <c r="BT225" s="812"/>
      <c r="BU225" s="812"/>
    </row>
    <row r="226" spans="2:73" ht="18" customHeight="1">
      <c r="B226" s="846">
        <f t="shared" si="33"/>
        <v>226</v>
      </c>
      <c r="C226" s="843" t="s">
        <v>110</v>
      </c>
      <c r="D226" s="935"/>
      <c r="E226" s="940"/>
      <c r="F226" s="937">
        <f t="shared" si="36"/>
        <v>0</v>
      </c>
      <c r="G226" s="938"/>
      <c r="H226" s="939"/>
      <c r="I226" s="940"/>
      <c r="J226" s="937">
        <f t="shared" si="37"/>
        <v>0</v>
      </c>
      <c r="K226" s="943"/>
      <c r="P226" s="812"/>
      <c r="AD226" s="806"/>
      <c r="AE226" s="806"/>
      <c r="AF226" s="806"/>
      <c r="BP226" s="1"/>
      <c r="BR226" s="806"/>
      <c r="BS226" s="806"/>
      <c r="BT226" s="812"/>
      <c r="BU226" s="812"/>
    </row>
    <row r="227" spans="2:73" ht="18" customHeight="1">
      <c r="B227" s="847">
        <f t="shared" si="33"/>
        <v>227</v>
      </c>
      <c r="C227" s="848" t="s">
        <v>110</v>
      </c>
      <c r="D227" s="944"/>
      <c r="E227" s="957"/>
      <c r="F227" s="946"/>
      <c r="G227" s="947"/>
      <c r="H227" s="948"/>
      <c r="I227" s="957"/>
      <c r="J227" s="946"/>
      <c r="K227" s="950"/>
      <c r="P227" s="812"/>
      <c r="AD227" s="806"/>
      <c r="AE227" s="806"/>
      <c r="AF227" s="806"/>
      <c r="BP227" s="1"/>
      <c r="BR227" s="806"/>
      <c r="BS227" s="806"/>
      <c r="BT227" s="812"/>
      <c r="BU227" s="812"/>
    </row>
    <row r="228" spans="2:73" s="451" customFormat="1" ht="18" customHeight="1">
      <c r="B228" s="849">
        <f t="shared" si="33"/>
        <v>228</v>
      </c>
      <c r="C228" s="849"/>
      <c r="D228" s="292"/>
      <c r="E228" s="777"/>
      <c r="F228" s="849"/>
      <c r="G228" s="849"/>
      <c r="H228" s="449"/>
      <c r="I228" s="777"/>
      <c r="J228" s="849"/>
      <c r="K228" s="448"/>
      <c r="P228" s="850"/>
      <c r="AD228" s="849"/>
      <c r="AE228" s="849"/>
      <c r="AF228" s="849"/>
      <c r="BR228" s="849"/>
      <c r="BS228" s="849"/>
      <c r="BT228" s="850"/>
      <c r="BU228" s="850"/>
    </row>
    <row r="229" spans="2:73" ht="18" customHeight="1">
      <c r="B229" s="844">
        <f t="shared" si="33"/>
        <v>229</v>
      </c>
      <c r="C229" s="845" t="s">
        <v>111</v>
      </c>
      <c r="D229" s="928">
        <v>0.05</v>
      </c>
      <c r="E229" s="933">
        <v>0</v>
      </c>
      <c r="F229" s="930">
        <f t="shared" ref="F229:F239" si="38">E230</f>
        <v>0</v>
      </c>
      <c r="G229" s="931">
        <v>2690</v>
      </c>
      <c r="H229" s="932">
        <v>0.05</v>
      </c>
      <c r="I229" s="933">
        <v>0</v>
      </c>
      <c r="J229" s="930">
        <f t="shared" ref="J229:J239" si="39">I230</f>
        <v>0</v>
      </c>
      <c r="K229" s="934">
        <v>5380</v>
      </c>
      <c r="P229" s="812"/>
      <c r="AD229" s="806"/>
      <c r="AE229" s="806"/>
      <c r="AF229" s="806"/>
      <c r="BP229" s="1"/>
      <c r="BR229" s="806"/>
      <c r="BS229" s="806"/>
      <c r="BT229" s="812"/>
      <c r="BU229" s="812"/>
    </row>
    <row r="230" spans="2:73" ht="18" customHeight="1">
      <c r="B230" s="846">
        <f t="shared" si="33"/>
        <v>230</v>
      </c>
      <c r="C230" s="843" t="s">
        <v>111</v>
      </c>
      <c r="D230" s="935"/>
      <c r="E230" s="940"/>
      <c r="F230" s="937">
        <f t="shared" si="38"/>
        <v>0</v>
      </c>
      <c r="G230" s="938"/>
      <c r="H230" s="939"/>
      <c r="I230" s="940"/>
      <c r="J230" s="937">
        <f t="shared" si="39"/>
        <v>0</v>
      </c>
      <c r="K230" s="943"/>
      <c r="P230" s="812"/>
      <c r="AD230" s="806"/>
      <c r="AE230" s="806"/>
      <c r="AF230" s="806"/>
      <c r="BP230" s="1"/>
      <c r="BR230" s="806"/>
      <c r="BS230" s="806"/>
      <c r="BT230" s="812"/>
      <c r="BU230" s="812"/>
    </row>
    <row r="231" spans="2:73" ht="18" customHeight="1">
      <c r="B231" s="846">
        <f t="shared" si="33"/>
        <v>231</v>
      </c>
      <c r="C231" s="843" t="s">
        <v>111</v>
      </c>
      <c r="D231" s="935"/>
      <c r="E231" s="940"/>
      <c r="F231" s="937">
        <f t="shared" si="38"/>
        <v>0</v>
      </c>
      <c r="G231" s="938"/>
      <c r="H231" s="939"/>
      <c r="I231" s="940"/>
      <c r="J231" s="937">
        <f t="shared" si="39"/>
        <v>0</v>
      </c>
      <c r="K231" s="943"/>
      <c r="P231" s="812"/>
      <c r="AD231" s="806"/>
      <c r="AE231" s="806"/>
      <c r="AF231" s="806"/>
      <c r="BP231" s="1"/>
      <c r="BR231" s="806"/>
      <c r="BS231" s="806"/>
      <c r="BT231" s="812"/>
      <c r="BU231" s="812"/>
    </row>
    <row r="232" spans="2:73" ht="18" customHeight="1">
      <c r="B232" s="846">
        <f t="shared" si="33"/>
        <v>232</v>
      </c>
      <c r="C232" s="843" t="s">
        <v>111</v>
      </c>
      <c r="D232" s="935"/>
      <c r="E232" s="940"/>
      <c r="F232" s="937">
        <f t="shared" si="38"/>
        <v>0</v>
      </c>
      <c r="G232" s="938"/>
      <c r="H232" s="939"/>
      <c r="I232" s="940"/>
      <c r="J232" s="937">
        <f t="shared" si="39"/>
        <v>0</v>
      </c>
      <c r="K232" s="943"/>
      <c r="P232" s="812"/>
      <c r="AD232" s="806"/>
      <c r="AE232" s="806"/>
      <c r="AF232" s="806"/>
      <c r="BP232" s="1"/>
      <c r="BR232" s="806"/>
      <c r="BS232" s="806"/>
      <c r="BT232" s="812"/>
      <c r="BU232" s="812"/>
    </row>
    <row r="233" spans="2:73" ht="18" customHeight="1">
      <c r="B233" s="846">
        <f t="shared" si="33"/>
        <v>233</v>
      </c>
      <c r="C233" s="843" t="s">
        <v>111</v>
      </c>
      <c r="D233" s="935"/>
      <c r="E233" s="940"/>
      <c r="F233" s="937">
        <f t="shared" si="38"/>
        <v>0</v>
      </c>
      <c r="G233" s="938"/>
      <c r="H233" s="939"/>
      <c r="I233" s="940"/>
      <c r="J233" s="937">
        <f t="shared" si="39"/>
        <v>0</v>
      </c>
      <c r="K233" s="943"/>
      <c r="P233" s="812"/>
      <c r="AD233" s="806"/>
      <c r="AE233" s="806"/>
      <c r="AF233" s="806"/>
      <c r="BP233" s="1"/>
      <c r="BR233" s="806"/>
      <c r="BS233" s="806"/>
      <c r="BT233" s="812"/>
      <c r="BU233" s="812"/>
    </row>
    <row r="234" spans="2:73" ht="18" customHeight="1">
      <c r="B234" s="846">
        <f t="shared" si="33"/>
        <v>234</v>
      </c>
      <c r="C234" s="843" t="s">
        <v>111</v>
      </c>
      <c r="D234" s="935"/>
      <c r="E234" s="940"/>
      <c r="F234" s="937">
        <f t="shared" si="38"/>
        <v>0</v>
      </c>
      <c r="G234" s="938"/>
      <c r="H234" s="939"/>
      <c r="I234" s="940"/>
      <c r="J234" s="937">
        <f t="shared" si="39"/>
        <v>0</v>
      </c>
      <c r="K234" s="943"/>
      <c r="P234" s="812"/>
      <c r="AD234" s="806"/>
      <c r="AE234" s="806"/>
      <c r="AF234" s="806"/>
      <c r="BP234" s="1"/>
      <c r="BR234" s="806"/>
      <c r="BS234" s="806"/>
      <c r="BT234" s="812"/>
      <c r="BU234" s="812"/>
    </row>
    <row r="235" spans="2:73" ht="18" customHeight="1">
      <c r="B235" s="846">
        <f t="shared" si="33"/>
        <v>235</v>
      </c>
      <c r="C235" s="843" t="s">
        <v>111</v>
      </c>
      <c r="D235" s="935"/>
      <c r="E235" s="940"/>
      <c r="F235" s="937">
        <f t="shared" si="38"/>
        <v>0</v>
      </c>
      <c r="G235" s="938"/>
      <c r="H235" s="939"/>
      <c r="I235" s="940"/>
      <c r="J235" s="937">
        <f t="shared" si="39"/>
        <v>0</v>
      </c>
      <c r="K235" s="943"/>
      <c r="P235" s="812"/>
      <c r="AD235" s="806"/>
      <c r="AE235" s="806"/>
      <c r="AF235" s="806"/>
      <c r="BP235" s="1"/>
      <c r="BR235" s="806"/>
      <c r="BS235" s="806"/>
      <c r="BT235" s="812"/>
      <c r="BU235" s="812"/>
    </row>
    <row r="236" spans="2:73" ht="18" customHeight="1">
      <c r="B236" s="846">
        <f t="shared" si="33"/>
        <v>236</v>
      </c>
      <c r="C236" s="843" t="s">
        <v>111</v>
      </c>
      <c r="D236" s="935"/>
      <c r="E236" s="940"/>
      <c r="F236" s="937">
        <f t="shared" si="38"/>
        <v>0</v>
      </c>
      <c r="G236" s="938"/>
      <c r="H236" s="939"/>
      <c r="I236" s="940"/>
      <c r="J236" s="937">
        <f t="shared" si="39"/>
        <v>0</v>
      </c>
      <c r="K236" s="943"/>
      <c r="P236" s="812"/>
      <c r="AD236" s="806"/>
      <c r="AE236" s="806"/>
      <c r="AF236" s="806"/>
      <c r="BP236" s="1"/>
      <c r="BR236" s="806"/>
      <c r="BS236" s="806"/>
      <c r="BT236" s="812"/>
      <c r="BU236" s="812"/>
    </row>
    <row r="237" spans="2:73" ht="18" customHeight="1">
      <c r="B237" s="846">
        <f t="shared" si="33"/>
        <v>237</v>
      </c>
      <c r="C237" s="843" t="s">
        <v>111</v>
      </c>
      <c r="D237" s="935"/>
      <c r="E237" s="940"/>
      <c r="F237" s="937">
        <f t="shared" si="38"/>
        <v>0</v>
      </c>
      <c r="G237" s="938"/>
      <c r="H237" s="939"/>
      <c r="I237" s="940"/>
      <c r="J237" s="937">
        <f t="shared" si="39"/>
        <v>0</v>
      </c>
      <c r="K237" s="943"/>
      <c r="P237" s="812"/>
      <c r="AD237" s="806"/>
      <c r="AE237" s="806"/>
      <c r="AF237" s="806"/>
      <c r="BP237" s="1"/>
      <c r="BR237" s="806"/>
      <c r="BS237" s="806"/>
      <c r="BT237" s="812"/>
      <c r="BU237" s="812"/>
    </row>
    <row r="238" spans="2:73" ht="18" customHeight="1">
      <c r="B238" s="846">
        <f t="shared" si="33"/>
        <v>238</v>
      </c>
      <c r="C238" s="843" t="s">
        <v>111</v>
      </c>
      <c r="D238" s="935"/>
      <c r="E238" s="940"/>
      <c r="F238" s="937">
        <f t="shared" si="38"/>
        <v>0</v>
      </c>
      <c r="G238" s="938"/>
      <c r="H238" s="939"/>
      <c r="I238" s="940"/>
      <c r="J238" s="937">
        <f t="shared" si="39"/>
        <v>0</v>
      </c>
      <c r="K238" s="943"/>
      <c r="P238" s="812"/>
      <c r="AD238" s="806"/>
      <c r="AE238" s="806"/>
      <c r="AF238" s="806"/>
      <c r="BP238" s="1"/>
      <c r="BR238" s="806"/>
      <c r="BS238" s="806"/>
      <c r="BT238" s="812"/>
      <c r="BU238" s="812"/>
    </row>
    <row r="239" spans="2:73" ht="18" customHeight="1">
      <c r="B239" s="846">
        <f t="shared" si="33"/>
        <v>239</v>
      </c>
      <c r="C239" s="843" t="s">
        <v>111</v>
      </c>
      <c r="D239" s="935"/>
      <c r="E239" s="940"/>
      <c r="F239" s="937">
        <f t="shared" si="38"/>
        <v>0</v>
      </c>
      <c r="G239" s="938"/>
      <c r="H239" s="939"/>
      <c r="I239" s="940"/>
      <c r="J239" s="937">
        <f t="shared" si="39"/>
        <v>0</v>
      </c>
      <c r="K239" s="943"/>
      <c r="P239" s="812"/>
      <c r="AD239" s="806"/>
      <c r="AE239" s="806"/>
      <c r="AF239" s="806"/>
      <c r="BP239" s="1"/>
      <c r="BR239" s="806"/>
      <c r="BS239" s="806"/>
      <c r="BT239" s="812"/>
      <c r="BU239" s="812"/>
    </row>
    <row r="240" spans="2:73" ht="18" customHeight="1">
      <c r="B240" s="847">
        <f t="shared" si="33"/>
        <v>240</v>
      </c>
      <c r="C240" s="848" t="s">
        <v>111</v>
      </c>
      <c r="D240" s="944"/>
      <c r="E240" s="957"/>
      <c r="F240" s="946"/>
      <c r="G240" s="947"/>
      <c r="H240" s="948"/>
      <c r="I240" s="957"/>
      <c r="J240" s="946"/>
      <c r="K240" s="950"/>
      <c r="P240" s="812"/>
      <c r="AD240" s="806"/>
      <c r="AE240" s="806"/>
      <c r="AF240" s="806"/>
      <c r="BP240" s="1"/>
      <c r="BR240" s="806"/>
      <c r="BS240" s="806"/>
      <c r="BT240" s="812"/>
      <c r="BU240" s="812"/>
    </row>
    <row r="241" spans="2:73" s="451" customFormat="1" ht="18" customHeight="1">
      <c r="B241" s="849">
        <f t="shared" si="33"/>
        <v>241</v>
      </c>
      <c r="C241" s="849"/>
      <c r="D241" s="292"/>
      <c r="E241" s="777"/>
      <c r="F241" s="849"/>
      <c r="G241" s="849"/>
      <c r="H241" s="449"/>
      <c r="I241" s="777"/>
      <c r="J241" s="849"/>
      <c r="K241" s="448"/>
      <c r="P241" s="850"/>
      <c r="AD241" s="849"/>
      <c r="AE241" s="849"/>
      <c r="AF241" s="849"/>
      <c r="BR241" s="849"/>
      <c r="BS241" s="849"/>
      <c r="BT241" s="850"/>
      <c r="BU241" s="850"/>
    </row>
    <row r="242" spans="2:73" ht="18" customHeight="1">
      <c r="B242" s="844">
        <f t="shared" si="33"/>
        <v>242</v>
      </c>
      <c r="C242" s="845" t="s">
        <v>112</v>
      </c>
      <c r="D242" s="928">
        <v>0.02</v>
      </c>
      <c r="E242" s="933">
        <v>0</v>
      </c>
      <c r="F242" s="930">
        <f t="shared" ref="F242:F252" si="40">E243</f>
        <v>12500</v>
      </c>
      <c r="G242" s="931">
        <v>4500</v>
      </c>
      <c r="H242" s="932">
        <v>0.02</v>
      </c>
      <c r="I242" s="933">
        <v>0</v>
      </c>
      <c r="J242" s="930">
        <f t="shared" ref="J242:J252" si="41">I243</f>
        <v>25000</v>
      </c>
      <c r="K242" s="934">
        <v>9000</v>
      </c>
      <c r="P242" s="812"/>
      <c r="AD242" s="806"/>
      <c r="AE242" s="806"/>
      <c r="AF242" s="806"/>
      <c r="BP242" s="1"/>
      <c r="BR242" s="806"/>
      <c r="BS242" s="806"/>
      <c r="BT242" s="812"/>
      <c r="BU242" s="812"/>
    </row>
    <row r="243" spans="2:73" ht="18" customHeight="1">
      <c r="B243" s="846">
        <f t="shared" si="33"/>
        <v>243</v>
      </c>
      <c r="C243" s="843" t="s">
        <v>112</v>
      </c>
      <c r="D243" s="935">
        <v>0.04</v>
      </c>
      <c r="E243" s="940">
        <v>12500</v>
      </c>
      <c r="F243" s="937">
        <f t="shared" si="40"/>
        <v>50000</v>
      </c>
      <c r="G243" s="938"/>
      <c r="H243" s="939">
        <v>0.04</v>
      </c>
      <c r="I243" s="940">
        <v>25000</v>
      </c>
      <c r="J243" s="937">
        <f t="shared" si="41"/>
        <v>100000</v>
      </c>
      <c r="K243" s="943"/>
      <c r="P243" s="812"/>
      <c r="AD243" s="806"/>
      <c r="AE243" s="806"/>
      <c r="AF243" s="806"/>
      <c r="BP243" s="1"/>
      <c r="BR243" s="806"/>
      <c r="BS243" s="806"/>
      <c r="BT243" s="812"/>
      <c r="BU243" s="812"/>
    </row>
    <row r="244" spans="2:73" ht="18" customHeight="1">
      <c r="B244" s="846">
        <f t="shared" si="33"/>
        <v>244</v>
      </c>
      <c r="C244" s="843" t="s">
        <v>112</v>
      </c>
      <c r="D244" s="935">
        <v>0.06</v>
      </c>
      <c r="E244" s="940">
        <v>50000</v>
      </c>
      <c r="F244" s="937">
        <f t="shared" si="40"/>
        <v>0</v>
      </c>
      <c r="G244" s="938"/>
      <c r="H244" s="939">
        <v>0.06</v>
      </c>
      <c r="I244" s="940">
        <v>100000</v>
      </c>
      <c r="J244" s="937">
        <f t="shared" si="41"/>
        <v>0</v>
      </c>
      <c r="K244" s="943"/>
      <c r="P244" s="812"/>
      <c r="AD244" s="806"/>
      <c r="AE244" s="806"/>
      <c r="AF244" s="806"/>
      <c r="BP244" s="1"/>
      <c r="BR244" s="806"/>
      <c r="BS244" s="806"/>
      <c r="BT244" s="812"/>
      <c r="BU244" s="812"/>
    </row>
    <row r="245" spans="2:73" ht="18" customHeight="1">
      <c r="B245" s="846">
        <f t="shared" si="33"/>
        <v>245</v>
      </c>
      <c r="C245" s="843" t="s">
        <v>112</v>
      </c>
      <c r="D245" s="935"/>
      <c r="E245" s="940"/>
      <c r="F245" s="937">
        <f t="shared" si="40"/>
        <v>0</v>
      </c>
      <c r="G245" s="938"/>
      <c r="H245" s="939"/>
      <c r="I245" s="940"/>
      <c r="J245" s="937">
        <f t="shared" si="41"/>
        <v>0</v>
      </c>
      <c r="K245" s="943"/>
      <c r="P245" s="812"/>
      <c r="AD245" s="806"/>
      <c r="AE245" s="806"/>
      <c r="AF245" s="806"/>
      <c r="BP245" s="1"/>
      <c r="BR245" s="806"/>
      <c r="BS245" s="806"/>
      <c r="BT245" s="812"/>
      <c r="BU245" s="812"/>
    </row>
    <row r="246" spans="2:73" ht="18" customHeight="1">
      <c r="B246" s="846">
        <f t="shared" si="33"/>
        <v>246</v>
      </c>
      <c r="C246" s="843" t="s">
        <v>112</v>
      </c>
      <c r="D246" s="935"/>
      <c r="E246" s="940"/>
      <c r="F246" s="937">
        <f t="shared" si="40"/>
        <v>0</v>
      </c>
      <c r="G246" s="938"/>
      <c r="H246" s="939"/>
      <c r="I246" s="940"/>
      <c r="J246" s="937">
        <f t="shared" si="41"/>
        <v>0</v>
      </c>
      <c r="K246" s="943"/>
      <c r="P246" s="812"/>
      <c r="AD246" s="806"/>
      <c r="AE246" s="806"/>
      <c r="AF246" s="806"/>
      <c r="BP246" s="1"/>
      <c r="BR246" s="806"/>
      <c r="BS246" s="806"/>
      <c r="BT246" s="812"/>
      <c r="BU246" s="812"/>
    </row>
    <row r="247" spans="2:73" ht="18" customHeight="1">
      <c r="B247" s="846">
        <f t="shared" si="33"/>
        <v>247</v>
      </c>
      <c r="C247" s="843" t="s">
        <v>112</v>
      </c>
      <c r="D247" s="935"/>
      <c r="E247" s="940"/>
      <c r="F247" s="937">
        <f t="shared" si="40"/>
        <v>0</v>
      </c>
      <c r="G247" s="938"/>
      <c r="H247" s="939"/>
      <c r="I247" s="940"/>
      <c r="J247" s="937">
        <f t="shared" si="41"/>
        <v>0</v>
      </c>
      <c r="K247" s="943"/>
      <c r="P247" s="812"/>
      <c r="AD247" s="806"/>
      <c r="AE247" s="806"/>
      <c r="AF247" s="806"/>
      <c r="BP247" s="1"/>
      <c r="BR247" s="806"/>
      <c r="BS247" s="806"/>
      <c r="BT247" s="812"/>
      <c r="BU247" s="812"/>
    </row>
    <row r="248" spans="2:73" ht="18" customHeight="1">
      <c r="B248" s="846">
        <f t="shared" si="33"/>
        <v>248</v>
      </c>
      <c r="C248" s="843" t="s">
        <v>112</v>
      </c>
      <c r="D248" s="935"/>
      <c r="E248" s="940"/>
      <c r="F248" s="937">
        <f t="shared" si="40"/>
        <v>0</v>
      </c>
      <c r="G248" s="938"/>
      <c r="H248" s="939"/>
      <c r="I248" s="940"/>
      <c r="J248" s="937">
        <f t="shared" si="41"/>
        <v>0</v>
      </c>
      <c r="K248" s="943"/>
      <c r="P248" s="812"/>
      <c r="AD248" s="806"/>
      <c r="AE248" s="806"/>
      <c r="AF248" s="806"/>
      <c r="BP248" s="1"/>
      <c r="BR248" s="806"/>
      <c r="BS248" s="806"/>
      <c r="BT248" s="812"/>
      <c r="BU248" s="812"/>
    </row>
    <row r="249" spans="2:73" ht="18" customHeight="1">
      <c r="B249" s="846">
        <f t="shared" si="33"/>
        <v>249</v>
      </c>
      <c r="C249" s="843" t="s">
        <v>112</v>
      </c>
      <c r="D249" s="935"/>
      <c r="E249" s="940"/>
      <c r="F249" s="937">
        <f t="shared" si="40"/>
        <v>0</v>
      </c>
      <c r="G249" s="938"/>
      <c r="H249" s="939"/>
      <c r="I249" s="940"/>
      <c r="J249" s="937">
        <f t="shared" si="41"/>
        <v>0</v>
      </c>
      <c r="K249" s="943"/>
      <c r="P249" s="812"/>
      <c r="AD249" s="806"/>
      <c r="AE249" s="806"/>
      <c r="AF249" s="806"/>
      <c r="BP249" s="1"/>
      <c r="BR249" s="806"/>
      <c r="BS249" s="806"/>
      <c r="BT249" s="812"/>
      <c r="BU249" s="812"/>
    </row>
    <row r="250" spans="2:73" ht="18" customHeight="1">
      <c r="B250" s="846">
        <f t="shared" si="33"/>
        <v>250</v>
      </c>
      <c r="C250" s="843" t="s">
        <v>112</v>
      </c>
      <c r="D250" s="935"/>
      <c r="E250" s="940"/>
      <c r="F250" s="937">
        <f t="shared" si="40"/>
        <v>0</v>
      </c>
      <c r="G250" s="938"/>
      <c r="H250" s="939"/>
      <c r="I250" s="940"/>
      <c r="J250" s="937">
        <f t="shared" si="41"/>
        <v>0</v>
      </c>
      <c r="K250" s="943"/>
      <c r="P250" s="812"/>
      <c r="AD250" s="806"/>
      <c r="AE250" s="806"/>
      <c r="AF250" s="806"/>
      <c r="BP250" s="1"/>
      <c r="BR250" s="806"/>
      <c r="BS250" s="806"/>
      <c r="BT250" s="812"/>
      <c r="BU250" s="812"/>
    </row>
    <row r="251" spans="2:73" ht="18" customHeight="1">
      <c r="B251" s="846">
        <f t="shared" si="33"/>
        <v>251</v>
      </c>
      <c r="C251" s="843" t="s">
        <v>112</v>
      </c>
      <c r="D251" s="935"/>
      <c r="E251" s="940"/>
      <c r="F251" s="937">
        <f t="shared" si="40"/>
        <v>0</v>
      </c>
      <c r="G251" s="938"/>
      <c r="H251" s="939"/>
      <c r="I251" s="940"/>
      <c r="J251" s="937">
        <f t="shared" si="41"/>
        <v>0</v>
      </c>
      <c r="K251" s="943"/>
      <c r="P251" s="812"/>
      <c r="AD251" s="806"/>
      <c r="AE251" s="806"/>
      <c r="AF251" s="806"/>
      <c r="BP251" s="1"/>
      <c r="BR251" s="806"/>
      <c r="BS251" s="806"/>
      <c r="BT251" s="812"/>
      <c r="BU251" s="812"/>
    </row>
    <row r="252" spans="2:73" ht="18" customHeight="1">
      <c r="B252" s="846">
        <f t="shared" si="33"/>
        <v>252</v>
      </c>
      <c r="C252" s="843" t="s">
        <v>112</v>
      </c>
      <c r="D252" s="935"/>
      <c r="E252" s="940"/>
      <c r="F252" s="937">
        <f t="shared" si="40"/>
        <v>0</v>
      </c>
      <c r="G252" s="938"/>
      <c r="H252" s="939"/>
      <c r="I252" s="940"/>
      <c r="J252" s="937">
        <f t="shared" si="41"/>
        <v>0</v>
      </c>
      <c r="K252" s="943"/>
      <c r="P252" s="812"/>
      <c r="AD252" s="806"/>
      <c r="AE252" s="806"/>
      <c r="AF252" s="806"/>
      <c r="BP252" s="1"/>
      <c r="BR252" s="806"/>
      <c r="BS252" s="806"/>
      <c r="BT252" s="812"/>
      <c r="BU252" s="812"/>
    </row>
    <row r="253" spans="2:73" ht="18" customHeight="1">
      <c r="B253" s="847">
        <f t="shared" si="33"/>
        <v>253</v>
      </c>
      <c r="C253" s="848" t="s">
        <v>112</v>
      </c>
      <c r="D253" s="944"/>
      <c r="E253" s="957"/>
      <c r="F253" s="946"/>
      <c r="G253" s="947"/>
      <c r="H253" s="948"/>
      <c r="I253" s="957"/>
      <c r="J253" s="946"/>
      <c r="K253" s="950"/>
      <c r="P253" s="812"/>
      <c r="AD253" s="806"/>
      <c r="AE253" s="806"/>
      <c r="AF253" s="806"/>
      <c r="BP253" s="1"/>
      <c r="BR253" s="806"/>
      <c r="BS253" s="806"/>
      <c r="BT253" s="812"/>
      <c r="BU253" s="812"/>
    </row>
    <row r="254" spans="2:73" s="451" customFormat="1" ht="18" customHeight="1">
      <c r="B254" s="849">
        <f t="shared" si="33"/>
        <v>254</v>
      </c>
      <c r="C254" s="849"/>
      <c r="D254" s="292"/>
      <c r="E254" s="777"/>
      <c r="F254" s="849"/>
      <c r="G254" s="849"/>
      <c r="H254" s="449"/>
      <c r="I254" s="777"/>
      <c r="J254" s="849"/>
      <c r="K254" s="448"/>
      <c r="P254" s="850"/>
      <c r="AD254" s="849"/>
      <c r="AE254" s="849"/>
      <c r="AF254" s="849"/>
      <c r="BR254" s="849"/>
      <c r="BS254" s="849"/>
      <c r="BT254" s="850"/>
      <c r="BU254" s="850"/>
    </row>
    <row r="255" spans="2:73" ht="18" customHeight="1">
      <c r="B255" s="844">
        <f t="shared" si="33"/>
        <v>255</v>
      </c>
      <c r="C255" s="845" t="s">
        <v>89</v>
      </c>
      <c r="D255" s="928">
        <v>5.8000000000000003E-2</v>
      </c>
      <c r="E255" s="933">
        <v>0</v>
      </c>
      <c r="F255" s="930">
        <f t="shared" ref="F255:F265" si="42">E256</f>
        <v>22450</v>
      </c>
      <c r="G255" s="931">
        <v>12550</v>
      </c>
      <c r="H255" s="932">
        <v>5.8000000000000003E-2</v>
      </c>
      <c r="I255" s="933">
        <v>0</v>
      </c>
      <c r="J255" s="930">
        <f t="shared" ref="J255:J265" si="43">I256</f>
        <v>44950</v>
      </c>
      <c r="K255" s="934">
        <v>25100</v>
      </c>
      <c r="P255" s="812"/>
      <c r="AD255" s="806"/>
      <c r="AE255" s="806"/>
      <c r="AF255" s="806"/>
      <c r="BP255" s="1"/>
      <c r="BR255" s="806"/>
      <c r="BS255" s="806"/>
      <c r="BT255" s="812"/>
      <c r="BU255" s="812"/>
    </row>
    <row r="256" spans="2:73" ht="18" customHeight="1">
      <c r="B256" s="846">
        <f t="shared" si="33"/>
        <v>256</v>
      </c>
      <c r="C256" s="843" t="s">
        <v>89</v>
      </c>
      <c r="D256" s="935">
        <v>6.7500000000000004E-2</v>
      </c>
      <c r="E256" s="940">
        <v>22450</v>
      </c>
      <c r="F256" s="937">
        <f t="shared" si="42"/>
        <v>53150</v>
      </c>
      <c r="G256" s="961"/>
      <c r="H256" s="939">
        <v>6.7500000000000004E-2</v>
      </c>
      <c r="I256" s="940">
        <v>44950</v>
      </c>
      <c r="J256" s="937">
        <f t="shared" si="43"/>
        <v>106350</v>
      </c>
      <c r="K256" s="941"/>
      <c r="P256" s="812"/>
      <c r="AD256" s="806"/>
      <c r="AE256" s="806"/>
      <c r="AF256" s="806"/>
      <c r="BP256" s="1"/>
      <c r="BR256" s="806"/>
      <c r="BS256" s="806"/>
      <c r="BT256" s="812"/>
      <c r="BU256" s="812"/>
    </row>
    <row r="257" spans="2:76" ht="18" customHeight="1">
      <c r="B257" s="846">
        <f t="shared" si="33"/>
        <v>257</v>
      </c>
      <c r="C257" s="843" t="s">
        <v>89</v>
      </c>
      <c r="D257" s="935">
        <v>7.1499999999999994E-2</v>
      </c>
      <c r="E257" s="940">
        <v>53150</v>
      </c>
      <c r="F257" s="937">
        <f t="shared" si="42"/>
        <v>0</v>
      </c>
      <c r="G257" s="938"/>
      <c r="H257" s="939">
        <v>7.1499999999999994E-2</v>
      </c>
      <c r="I257" s="940">
        <v>106350</v>
      </c>
      <c r="J257" s="937">
        <f t="shared" si="43"/>
        <v>0</v>
      </c>
      <c r="K257" s="943"/>
      <c r="P257" s="812"/>
      <c r="AD257" s="806"/>
      <c r="AE257" s="806"/>
      <c r="AF257" s="806"/>
      <c r="BP257" s="1"/>
      <c r="BR257" s="806"/>
      <c r="BS257" s="806"/>
      <c r="BT257" s="812"/>
      <c r="BU257" s="812"/>
    </row>
    <row r="258" spans="2:76" ht="18" customHeight="1">
      <c r="B258" s="846">
        <f t="shared" si="33"/>
        <v>258</v>
      </c>
      <c r="C258" s="843" t="s">
        <v>89</v>
      </c>
      <c r="D258" s="935"/>
      <c r="E258" s="940"/>
      <c r="F258" s="937">
        <f t="shared" si="42"/>
        <v>0</v>
      </c>
      <c r="G258" s="938"/>
      <c r="H258" s="939"/>
      <c r="I258" s="940"/>
      <c r="J258" s="937">
        <f t="shared" si="43"/>
        <v>0</v>
      </c>
      <c r="K258" s="943"/>
      <c r="P258" s="812"/>
      <c r="AD258" s="806"/>
      <c r="AE258" s="806"/>
      <c r="AF258" s="806"/>
      <c r="BP258" s="1"/>
      <c r="BR258" s="806"/>
      <c r="BS258" s="806"/>
      <c r="BT258" s="812"/>
      <c r="BU258" s="812"/>
    </row>
    <row r="259" spans="2:76" ht="18" customHeight="1">
      <c r="B259" s="846">
        <f t="shared" si="33"/>
        <v>259</v>
      </c>
      <c r="C259" s="843" t="s">
        <v>89</v>
      </c>
      <c r="D259" s="935"/>
      <c r="E259" s="940"/>
      <c r="F259" s="937">
        <f t="shared" si="42"/>
        <v>0</v>
      </c>
      <c r="G259" s="938"/>
      <c r="H259" s="939"/>
      <c r="I259" s="940"/>
      <c r="J259" s="937">
        <f t="shared" si="43"/>
        <v>0</v>
      </c>
      <c r="K259" s="943"/>
      <c r="P259" s="812"/>
      <c r="AD259" s="806"/>
      <c r="AE259" s="806"/>
      <c r="AF259" s="806"/>
      <c r="BP259" s="1"/>
      <c r="BR259" s="806"/>
      <c r="BS259" s="806"/>
      <c r="BT259" s="812"/>
      <c r="BU259" s="812"/>
    </row>
    <row r="260" spans="2:76" ht="18" customHeight="1">
      <c r="B260" s="846">
        <f t="shared" si="33"/>
        <v>260</v>
      </c>
      <c r="C260" s="843" t="s">
        <v>89</v>
      </c>
      <c r="D260" s="935"/>
      <c r="E260" s="940"/>
      <c r="F260" s="937">
        <f t="shared" si="42"/>
        <v>0</v>
      </c>
      <c r="G260" s="938"/>
      <c r="H260" s="939"/>
      <c r="I260" s="940"/>
      <c r="J260" s="937">
        <f t="shared" si="43"/>
        <v>0</v>
      </c>
      <c r="K260" s="943"/>
      <c r="P260" s="812"/>
      <c r="AD260" s="806"/>
      <c r="AE260" s="806"/>
      <c r="AF260" s="806"/>
      <c r="BP260" s="1"/>
      <c r="BR260" s="806"/>
      <c r="BS260" s="806"/>
      <c r="BT260" s="812"/>
      <c r="BU260" s="812"/>
    </row>
    <row r="261" spans="2:76" ht="18" customHeight="1">
      <c r="B261" s="846">
        <f t="shared" si="33"/>
        <v>261</v>
      </c>
      <c r="C261" s="843" t="s">
        <v>89</v>
      </c>
      <c r="D261" s="935"/>
      <c r="E261" s="940"/>
      <c r="F261" s="937">
        <f t="shared" si="42"/>
        <v>0</v>
      </c>
      <c r="G261" s="938"/>
      <c r="H261" s="939"/>
      <c r="I261" s="940"/>
      <c r="J261" s="937">
        <f t="shared" si="43"/>
        <v>0</v>
      </c>
      <c r="K261" s="943"/>
      <c r="P261" s="812"/>
      <c r="AD261" s="806"/>
      <c r="AE261" s="806"/>
      <c r="AF261" s="806"/>
      <c r="BP261" s="1"/>
      <c r="BR261" s="806"/>
      <c r="BS261" s="806"/>
      <c r="BT261" s="812"/>
      <c r="BU261" s="812"/>
    </row>
    <row r="262" spans="2:76" ht="18" customHeight="1">
      <c r="B262" s="846">
        <f t="shared" si="33"/>
        <v>262</v>
      </c>
      <c r="C262" s="843" t="s">
        <v>89</v>
      </c>
      <c r="D262" s="935"/>
      <c r="E262" s="940"/>
      <c r="F262" s="937">
        <f t="shared" si="42"/>
        <v>0</v>
      </c>
      <c r="G262" s="938"/>
      <c r="H262" s="939"/>
      <c r="I262" s="940"/>
      <c r="J262" s="937">
        <f t="shared" si="43"/>
        <v>0</v>
      </c>
      <c r="K262" s="943"/>
      <c r="P262" s="812"/>
      <c r="AD262" s="806"/>
      <c r="AE262" s="806"/>
      <c r="AF262" s="806"/>
      <c r="BP262" s="1"/>
      <c r="BR262" s="806"/>
      <c r="BS262" s="806"/>
      <c r="BT262" s="812"/>
      <c r="BU262" s="812"/>
    </row>
    <row r="263" spans="2:76" ht="18" customHeight="1">
      <c r="B263" s="846">
        <f t="shared" si="33"/>
        <v>263</v>
      </c>
      <c r="C263" s="843" t="s">
        <v>89</v>
      </c>
      <c r="D263" s="935"/>
      <c r="E263" s="940"/>
      <c r="F263" s="937">
        <f t="shared" si="42"/>
        <v>0</v>
      </c>
      <c r="G263" s="938"/>
      <c r="H263" s="939"/>
      <c r="I263" s="940"/>
      <c r="J263" s="937">
        <f t="shared" si="43"/>
        <v>0</v>
      </c>
      <c r="K263" s="943"/>
      <c r="P263" s="812"/>
      <c r="AD263" s="806"/>
      <c r="AE263" s="806"/>
      <c r="AF263" s="806"/>
      <c r="BP263" s="1"/>
      <c r="BR263" s="806"/>
      <c r="BS263" s="806"/>
      <c r="BT263" s="812"/>
      <c r="BU263" s="812"/>
    </row>
    <row r="264" spans="2:76" ht="18" customHeight="1">
      <c r="B264" s="846">
        <f t="shared" si="33"/>
        <v>264</v>
      </c>
      <c r="C264" s="843" t="s">
        <v>89</v>
      </c>
      <c r="D264" s="935"/>
      <c r="E264" s="940"/>
      <c r="F264" s="937">
        <f t="shared" si="42"/>
        <v>0</v>
      </c>
      <c r="G264" s="938"/>
      <c r="H264" s="939"/>
      <c r="I264" s="940"/>
      <c r="J264" s="937">
        <f t="shared" si="43"/>
        <v>0</v>
      </c>
      <c r="K264" s="943"/>
      <c r="P264" s="812"/>
      <c r="AD264" s="806"/>
      <c r="AE264" s="806"/>
      <c r="AF264" s="806"/>
      <c r="BP264" s="1"/>
      <c r="BR264" s="806"/>
      <c r="BS264" s="806"/>
      <c r="BT264" s="812"/>
      <c r="BU264" s="812"/>
    </row>
    <row r="265" spans="2:76" ht="18" customHeight="1">
      <c r="B265" s="846">
        <f t="shared" si="33"/>
        <v>265</v>
      </c>
      <c r="C265" s="843" t="s">
        <v>89</v>
      </c>
      <c r="D265" s="935"/>
      <c r="E265" s="940"/>
      <c r="F265" s="937">
        <f t="shared" si="42"/>
        <v>0</v>
      </c>
      <c r="G265" s="938"/>
      <c r="H265" s="939"/>
      <c r="I265" s="940"/>
      <c r="J265" s="937">
        <f t="shared" si="43"/>
        <v>0</v>
      </c>
      <c r="K265" s="943"/>
      <c r="P265" s="812"/>
      <c r="AD265" s="806"/>
      <c r="AE265" s="806"/>
      <c r="AF265" s="806"/>
      <c r="BP265" s="1"/>
      <c r="BR265" s="806"/>
      <c r="BS265" s="806"/>
      <c r="BT265" s="812"/>
      <c r="BU265" s="812"/>
    </row>
    <row r="266" spans="2:76" ht="18" customHeight="1">
      <c r="B266" s="847">
        <f t="shared" ref="B266:B329" si="44">B265+1</f>
        <v>266</v>
      </c>
      <c r="C266" s="848" t="s">
        <v>89</v>
      </c>
      <c r="D266" s="944"/>
      <c r="E266" s="957"/>
      <c r="F266" s="946"/>
      <c r="G266" s="947"/>
      <c r="H266" s="948"/>
      <c r="I266" s="957"/>
      <c r="J266" s="946"/>
      <c r="K266" s="950"/>
      <c r="P266" s="812"/>
      <c r="AD266" s="806"/>
      <c r="AE266" s="806"/>
      <c r="AF266" s="806"/>
      <c r="BP266" s="1"/>
      <c r="BR266" s="806"/>
      <c r="BS266" s="806"/>
      <c r="BT266" s="812"/>
      <c r="BU266" s="812"/>
    </row>
    <row r="267" spans="2:76" s="451" customFormat="1" ht="18" customHeight="1">
      <c r="B267" s="849">
        <f t="shared" si="44"/>
        <v>267</v>
      </c>
      <c r="C267" s="849"/>
      <c r="D267" s="292"/>
      <c r="E267" s="777"/>
      <c r="F267" s="849"/>
      <c r="G267" s="849"/>
      <c r="H267" s="449"/>
      <c r="I267" s="777"/>
      <c r="J267" s="849"/>
      <c r="K267" s="448"/>
      <c r="P267" s="856"/>
      <c r="AD267" s="849"/>
      <c r="AE267" s="849"/>
      <c r="AF267" s="849"/>
      <c r="BR267" s="849"/>
      <c r="BS267" s="849"/>
      <c r="BT267" s="856"/>
      <c r="BU267" s="850"/>
    </row>
    <row r="268" spans="2:76" ht="18" customHeight="1">
      <c r="B268" s="844">
        <f t="shared" si="44"/>
        <v>268</v>
      </c>
      <c r="C268" s="845" t="s">
        <v>113</v>
      </c>
      <c r="D268" s="928">
        <v>0.02</v>
      </c>
      <c r="E268" s="933">
        <v>0</v>
      </c>
      <c r="F268" s="930">
        <f t="shared" ref="F268:F278" si="45">E269</f>
        <v>1000</v>
      </c>
      <c r="G268" s="931">
        <v>2300</v>
      </c>
      <c r="H268" s="932">
        <v>0.02</v>
      </c>
      <c r="I268" s="933">
        <v>0</v>
      </c>
      <c r="J268" s="930">
        <f t="shared" ref="J268:J278" si="46">I269</f>
        <v>1000</v>
      </c>
      <c r="K268" s="934">
        <v>4650</v>
      </c>
      <c r="P268" s="815"/>
      <c r="AD268" s="806"/>
      <c r="AE268" s="806"/>
      <c r="AF268" s="806"/>
      <c r="BP268" s="1"/>
      <c r="BR268" s="806"/>
      <c r="BS268" s="806"/>
      <c r="BT268" s="815"/>
      <c r="BU268" s="812"/>
    </row>
    <row r="269" spans="2:76" ht="18" customHeight="1">
      <c r="B269" s="846">
        <f t="shared" si="44"/>
        <v>269</v>
      </c>
      <c r="C269" s="843" t="s">
        <v>113</v>
      </c>
      <c r="D269" s="935">
        <v>0.03</v>
      </c>
      <c r="E269" s="940">
        <v>1000</v>
      </c>
      <c r="F269" s="937">
        <f t="shared" si="45"/>
        <v>2000</v>
      </c>
      <c r="G269" s="938"/>
      <c r="H269" s="939">
        <v>0.03</v>
      </c>
      <c r="I269" s="940">
        <v>1000</v>
      </c>
      <c r="J269" s="937">
        <f t="shared" si="46"/>
        <v>2000</v>
      </c>
      <c r="K269" s="943"/>
      <c r="P269" s="815"/>
      <c r="AD269" s="806"/>
      <c r="AE269" s="806"/>
      <c r="AF269" s="806"/>
      <c r="BP269" s="1"/>
      <c r="BR269" s="806"/>
      <c r="BS269" s="806"/>
      <c r="BT269" s="815"/>
      <c r="BU269" s="812"/>
    </row>
    <row r="270" spans="2:76" ht="18" customHeight="1">
      <c r="B270" s="846">
        <f t="shared" si="44"/>
        <v>270</v>
      </c>
      <c r="C270" s="843" t="s">
        <v>113</v>
      </c>
      <c r="D270" s="935">
        <v>0.04</v>
      </c>
      <c r="E270" s="940">
        <v>2000</v>
      </c>
      <c r="F270" s="937">
        <f t="shared" si="45"/>
        <v>3000</v>
      </c>
      <c r="G270" s="938"/>
      <c r="H270" s="939">
        <v>0.04</v>
      </c>
      <c r="I270" s="940">
        <v>2000</v>
      </c>
      <c r="J270" s="937">
        <f t="shared" si="46"/>
        <v>3000</v>
      </c>
      <c r="K270" s="943"/>
      <c r="P270" s="815"/>
      <c r="AD270" s="806"/>
      <c r="AE270" s="806"/>
      <c r="AF270" s="806"/>
      <c r="BP270" s="1"/>
      <c r="BR270" s="806"/>
      <c r="BS270" s="806"/>
      <c r="BT270" s="815"/>
      <c r="BU270" s="812"/>
    </row>
    <row r="271" spans="2:76" ht="18" customHeight="1">
      <c r="B271" s="846">
        <f t="shared" si="44"/>
        <v>271</v>
      </c>
      <c r="C271" s="843" t="s">
        <v>113</v>
      </c>
      <c r="D271" s="935">
        <v>4.7500000000000001E-2</v>
      </c>
      <c r="E271" s="940">
        <v>3000</v>
      </c>
      <c r="F271" s="937">
        <f t="shared" si="45"/>
        <v>100000</v>
      </c>
      <c r="G271" s="938"/>
      <c r="H271" s="939">
        <v>4.7500000000000001E-2</v>
      </c>
      <c r="I271" s="940">
        <v>3000</v>
      </c>
      <c r="J271" s="937">
        <f t="shared" si="46"/>
        <v>150000</v>
      </c>
      <c r="K271" s="943"/>
      <c r="P271" s="815"/>
      <c r="AD271" s="806"/>
      <c r="AE271" s="806"/>
      <c r="AF271" s="806"/>
      <c r="BP271" s="816"/>
      <c r="BQ271" s="817"/>
      <c r="BR271" s="818"/>
      <c r="BS271" s="818"/>
      <c r="BT271" s="819"/>
      <c r="BU271" s="820"/>
      <c r="BV271" s="817"/>
      <c r="BW271" s="817"/>
      <c r="BX271" s="817"/>
    </row>
    <row r="272" spans="2:76" ht="18" customHeight="1">
      <c r="B272" s="846">
        <f t="shared" si="44"/>
        <v>272</v>
      </c>
      <c r="C272" s="843" t="s">
        <v>113</v>
      </c>
      <c r="D272" s="935">
        <v>0.05</v>
      </c>
      <c r="E272" s="940">
        <v>100000</v>
      </c>
      <c r="F272" s="937">
        <f t="shared" si="45"/>
        <v>125000</v>
      </c>
      <c r="G272" s="938"/>
      <c r="H272" s="939">
        <v>0.05</v>
      </c>
      <c r="I272" s="940">
        <v>150000</v>
      </c>
      <c r="J272" s="937">
        <f t="shared" si="46"/>
        <v>175000</v>
      </c>
      <c r="K272" s="943"/>
      <c r="P272" s="815"/>
      <c r="AD272" s="806"/>
      <c r="AE272" s="806"/>
      <c r="AF272" s="806"/>
      <c r="BP272" s="816"/>
      <c r="BQ272" s="817"/>
      <c r="BR272" s="818"/>
      <c r="BS272" s="818"/>
      <c r="BT272" s="819"/>
      <c r="BU272" s="820"/>
      <c r="BV272" s="817"/>
      <c r="BW272" s="817"/>
      <c r="BX272" s="817"/>
    </row>
    <row r="273" spans="2:76" ht="18" customHeight="1">
      <c r="B273" s="846">
        <f t="shared" si="44"/>
        <v>273</v>
      </c>
      <c r="C273" s="843" t="s">
        <v>113</v>
      </c>
      <c r="D273" s="935">
        <v>5.2499999999999998E-2</v>
      </c>
      <c r="E273" s="940">
        <v>125000</v>
      </c>
      <c r="F273" s="937">
        <f t="shared" si="45"/>
        <v>150000</v>
      </c>
      <c r="G273" s="938"/>
      <c r="H273" s="939">
        <v>5.2499999999999998E-2</v>
      </c>
      <c r="I273" s="940">
        <v>175000</v>
      </c>
      <c r="J273" s="937">
        <f t="shared" si="46"/>
        <v>225000</v>
      </c>
      <c r="K273" s="943"/>
      <c r="P273" s="815"/>
      <c r="AD273" s="806"/>
      <c r="AE273" s="806"/>
      <c r="AF273" s="806"/>
      <c r="BN273" s="811"/>
      <c r="BP273" s="816"/>
      <c r="BQ273" s="817"/>
      <c r="BR273" s="818"/>
      <c r="BS273" s="818"/>
      <c r="BT273" s="819"/>
      <c r="BU273" s="820"/>
      <c r="BV273" s="817"/>
      <c r="BW273" s="817"/>
      <c r="BX273" s="817"/>
    </row>
    <row r="274" spans="2:76" ht="18" customHeight="1">
      <c r="B274" s="846">
        <f t="shared" si="44"/>
        <v>274</v>
      </c>
      <c r="C274" s="843" t="s">
        <v>113</v>
      </c>
      <c r="D274" s="935">
        <v>5.5E-2</v>
      </c>
      <c r="E274" s="940">
        <v>150000</v>
      </c>
      <c r="F274" s="937">
        <f t="shared" si="45"/>
        <v>250000</v>
      </c>
      <c r="G274" s="938"/>
      <c r="H274" s="939">
        <v>5.5E-2</v>
      </c>
      <c r="I274" s="940">
        <v>225000</v>
      </c>
      <c r="J274" s="937">
        <f t="shared" si="46"/>
        <v>300000</v>
      </c>
      <c r="K274" s="943"/>
      <c r="P274" s="815"/>
      <c r="AD274" s="806"/>
      <c r="AE274" s="806"/>
      <c r="AF274" s="806"/>
      <c r="BP274" s="816"/>
      <c r="BQ274" s="817"/>
      <c r="BR274" s="818"/>
      <c r="BS274" s="818"/>
      <c r="BT274" s="819"/>
      <c r="BU274" s="820"/>
      <c r="BV274" s="817"/>
      <c r="BW274" s="817"/>
      <c r="BX274" s="817"/>
    </row>
    <row r="275" spans="2:76" ht="18" customHeight="1">
      <c r="B275" s="846">
        <f t="shared" si="44"/>
        <v>275</v>
      </c>
      <c r="C275" s="843" t="s">
        <v>113</v>
      </c>
      <c r="D275" s="935">
        <v>5.7500000000000002E-2</v>
      </c>
      <c r="E275" s="940">
        <v>250000</v>
      </c>
      <c r="F275" s="937">
        <f t="shared" si="45"/>
        <v>0</v>
      </c>
      <c r="G275" s="938"/>
      <c r="H275" s="939">
        <v>5.7500000000000002E-2</v>
      </c>
      <c r="I275" s="940">
        <v>300000</v>
      </c>
      <c r="J275" s="937">
        <f t="shared" si="46"/>
        <v>0</v>
      </c>
      <c r="K275" s="943"/>
      <c r="P275" s="815"/>
      <c r="AD275" s="806"/>
      <c r="AE275" s="806"/>
      <c r="AF275" s="806"/>
      <c r="BN275" s="811"/>
      <c r="BP275" s="816"/>
      <c r="BQ275" s="817"/>
      <c r="BR275" s="818"/>
      <c r="BS275" s="818"/>
      <c r="BT275" s="819"/>
      <c r="BU275" s="820"/>
      <c r="BV275" s="817"/>
      <c r="BW275" s="817"/>
      <c r="BX275" s="817"/>
    </row>
    <row r="276" spans="2:76" ht="18" customHeight="1">
      <c r="B276" s="846">
        <f t="shared" si="44"/>
        <v>276</v>
      </c>
      <c r="C276" s="843" t="s">
        <v>113</v>
      </c>
      <c r="D276" s="935"/>
      <c r="E276" s="940"/>
      <c r="F276" s="937">
        <f t="shared" si="45"/>
        <v>0</v>
      </c>
      <c r="G276" s="938"/>
      <c r="H276" s="939"/>
      <c r="I276" s="940"/>
      <c r="J276" s="937">
        <f t="shared" si="46"/>
        <v>0</v>
      </c>
      <c r="K276" s="943"/>
      <c r="P276" s="815"/>
      <c r="AD276" s="806"/>
      <c r="AE276" s="806"/>
      <c r="AF276" s="806"/>
      <c r="BN276" s="811"/>
      <c r="BP276" s="816"/>
      <c r="BQ276" s="817"/>
      <c r="BR276" s="818"/>
      <c r="BS276" s="818"/>
      <c r="BT276" s="819"/>
      <c r="BU276" s="820"/>
      <c r="BV276" s="817"/>
      <c r="BW276" s="817"/>
      <c r="BX276" s="817"/>
    </row>
    <row r="277" spans="2:76" ht="18" customHeight="1">
      <c r="B277" s="846">
        <f t="shared" si="44"/>
        <v>277</v>
      </c>
      <c r="C277" s="843" t="s">
        <v>113</v>
      </c>
      <c r="D277" s="935"/>
      <c r="E277" s="940"/>
      <c r="F277" s="937">
        <f t="shared" si="45"/>
        <v>0</v>
      </c>
      <c r="G277" s="938"/>
      <c r="H277" s="939"/>
      <c r="I277" s="940"/>
      <c r="J277" s="937">
        <f t="shared" si="46"/>
        <v>0</v>
      </c>
      <c r="K277" s="943"/>
      <c r="P277" s="815"/>
      <c r="AD277" s="806"/>
      <c r="AE277" s="806"/>
      <c r="AF277" s="806"/>
      <c r="BN277" s="811"/>
      <c r="BP277" s="816"/>
      <c r="BQ277" s="817"/>
      <c r="BR277" s="818"/>
      <c r="BS277" s="818"/>
      <c r="BT277" s="819"/>
      <c r="BU277" s="820"/>
      <c r="BV277" s="817"/>
      <c r="BW277" s="817"/>
      <c r="BX277" s="817"/>
    </row>
    <row r="278" spans="2:76" ht="18" customHeight="1">
      <c r="B278" s="846">
        <f t="shared" si="44"/>
        <v>278</v>
      </c>
      <c r="C278" s="843" t="s">
        <v>113</v>
      </c>
      <c r="D278" s="935"/>
      <c r="E278" s="940"/>
      <c r="F278" s="937">
        <f t="shared" si="45"/>
        <v>0</v>
      </c>
      <c r="G278" s="938"/>
      <c r="H278" s="939"/>
      <c r="I278" s="940"/>
      <c r="J278" s="937">
        <f t="shared" si="46"/>
        <v>0</v>
      </c>
      <c r="K278" s="943"/>
      <c r="P278" s="815"/>
      <c r="AD278" s="806"/>
      <c r="AE278" s="806"/>
      <c r="AF278" s="806"/>
      <c r="BN278" s="811"/>
      <c r="BP278" s="816"/>
      <c r="BQ278" s="817"/>
      <c r="BR278" s="818"/>
      <c r="BS278" s="818"/>
      <c r="BT278" s="819"/>
      <c r="BU278" s="820"/>
      <c r="BV278" s="817"/>
      <c r="BW278" s="817"/>
      <c r="BX278" s="817"/>
    </row>
    <row r="279" spans="2:76" ht="18" customHeight="1">
      <c r="B279" s="847">
        <f t="shared" si="44"/>
        <v>279</v>
      </c>
      <c r="C279" s="848" t="s">
        <v>113</v>
      </c>
      <c r="D279" s="944"/>
      <c r="E279" s="957"/>
      <c r="F279" s="946"/>
      <c r="G279" s="947"/>
      <c r="H279" s="948"/>
      <c r="I279" s="957"/>
      <c r="J279" s="946"/>
      <c r="K279" s="950"/>
      <c r="P279" s="815"/>
      <c r="AD279" s="806"/>
      <c r="AE279" s="806"/>
      <c r="AF279" s="806"/>
      <c r="BN279" s="811"/>
      <c r="BP279" s="816"/>
      <c r="BQ279" s="817"/>
      <c r="BR279" s="818"/>
      <c r="BS279" s="818"/>
      <c r="BT279" s="819"/>
      <c r="BU279" s="820"/>
      <c r="BV279" s="817"/>
      <c r="BW279" s="817"/>
      <c r="BX279" s="817"/>
    </row>
    <row r="280" spans="2:76" s="451" customFormat="1" ht="18" customHeight="1">
      <c r="B280" s="849">
        <f t="shared" si="44"/>
        <v>280</v>
      </c>
      <c r="C280" s="849"/>
      <c r="D280" s="292"/>
      <c r="E280" s="777"/>
      <c r="F280" s="849"/>
      <c r="G280" s="849"/>
      <c r="H280" s="449"/>
      <c r="I280" s="777"/>
      <c r="J280" s="849"/>
      <c r="K280" s="448"/>
      <c r="P280" s="856"/>
      <c r="AD280" s="849"/>
      <c r="AE280" s="849"/>
      <c r="AF280" s="849"/>
      <c r="BP280" s="853"/>
      <c r="BQ280" s="853"/>
      <c r="BR280" s="854"/>
      <c r="BS280" s="854"/>
      <c r="BT280" s="857"/>
      <c r="BU280" s="855"/>
      <c r="BV280" s="853"/>
      <c r="BW280" s="853"/>
      <c r="BX280" s="853"/>
    </row>
    <row r="281" spans="2:76" ht="18" customHeight="1">
      <c r="B281" s="844">
        <f t="shared" si="44"/>
        <v>281</v>
      </c>
      <c r="C281" s="845" t="s">
        <v>114</v>
      </c>
      <c r="D281" s="928">
        <v>0.05</v>
      </c>
      <c r="E281" s="933">
        <v>0</v>
      </c>
      <c r="F281" s="930">
        <f t="shared" ref="F281:F291" si="47">E282</f>
        <v>0</v>
      </c>
      <c r="G281" s="931">
        <v>4400</v>
      </c>
      <c r="H281" s="932">
        <v>0.05</v>
      </c>
      <c r="I281" s="933">
        <v>0</v>
      </c>
      <c r="J281" s="930">
        <f t="shared" ref="J281:J291" si="48">I282</f>
        <v>0</v>
      </c>
      <c r="K281" s="934">
        <v>8800</v>
      </c>
      <c r="P281" s="815"/>
      <c r="AD281" s="806"/>
      <c r="AE281" s="806"/>
      <c r="AF281" s="806"/>
      <c r="BP281" s="816"/>
      <c r="BQ281" s="817"/>
      <c r="BR281" s="818"/>
      <c r="BS281" s="818"/>
      <c r="BT281" s="819"/>
      <c r="BU281" s="820"/>
      <c r="BV281" s="817"/>
      <c r="BW281" s="817"/>
      <c r="BX281" s="817"/>
    </row>
    <row r="282" spans="2:76" ht="18" customHeight="1">
      <c r="B282" s="846">
        <f t="shared" si="44"/>
        <v>282</v>
      </c>
      <c r="C282" s="843" t="s">
        <v>114</v>
      </c>
      <c r="D282" s="935"/>
      <c r="E282" s="940"/>
      <c r="F282" s="937">
        <f t="shared" si="47"/>
        <v>0</v>
      </c>
      <c r="G282" s="961"/>
      <c r="H282" s="939"/>
      <c r="I282" s="940"/>
      <c r="J282" s="937">
        <f t="shared" si="48"/>
        <v>0</v>
      </c>
      <c r="K282" s="941"/>
      <c r="P282" s="815"/>
      <c r="AD282" s="806"/>
      <c r="AE282" s="806"/>
      <c r="AF282" s="806"/>
      <c r="BP282" s="816"/>
      <c r="BQ282" s="817"/>
      <c r="BR282" s="818"/>
      <c r="BS282" s="818"/>
      <c r="BT282" s="819"/>
      <c r="BU282" s="820"/>
      <c r="BV282" s="817"/>
      <c r="BW282" s="817"/>
      <c r="BX282" s="817"/>
    </row>
    <row r="283" spans="2:76" ht="18" customHeight="1">
      <c r="B283" s="846">
        <f t="shared" si="44"/>
        <v>283</v>
      </c>
      <c r="C283" s="843" t="s">
        <v>114</v>
      </c>
      <c r="D283" s="935"/>
      <c r="E283" s="940"/>
      <c r="F283" s="937">
        <f t="shared" si="47"/>
        <v>0</v>
      </c>
      <c r="G283" s="961"/>
      <c r="H283" s="939"/>
      <c r="I283" s="940"/>
      <c r="J283" s="937">
        <f t="shared" si="48"/>
        <v>0</v>
      </c>
      <c r="K283" s="941"/>
      <c r="P283" s="815"/>
      <c r="AD283" s="806"/>
      <c r="AE283" s="806"/>
      <c r="AF283" s="806"/>
      <c r="BP283" s="816"/>
      <c r="BQ283" s="817"/>
      <c r="BR283" s="818"/>
      <c r="BS283" s="818"/>
      <c r="BT283" s="819"/>
      <c r="BU283" s="820"/>
      <c r="BV283" s="817"/>
      <c r="BW283" s="817"/>
      <c r="BX283" s="817"/>
    </row>
    <row r="284" spans="2:76" ht="18" customHeight="1">
      <c r="B284" s="846">
        <f t="shared" si="44"/>
        <v>284</v>
      </c>
      <c r="C284" s="843" t="s">
        <v>114</v>
      </c>
      <c r="D284" s="935"/>
      <c r="E284" s="940"/>
      <c r="F284" s="937">
        <f t="shared" si="47"/>
        <v>0</v>
      </c>
      <c r="G284" s="961"/>
      <c r="H284" s="939"/>
      <c r="I284" s="940"/>
      <c r="J284" s="937">
        <f t="shared" si="48"/>
        <v>0</v>
      </c>
      <c r="K284" s="941"/>
      <c r="P284" s="815"/>
      <c r="AD284" s="806"/>
      <c r="AE284" s="806"/>
      <c r="AF284" s="806"/>
      <c r="BP284" s="816"/>
      <c r="BQ284" s="817"/>
      <c r="BR284" s="818"/>
      <c r="BS284" s="818"/>
      <c r="BT284" s="819"/>
      <c r="BU284" s="820"/>
      <c r="BV284" s="817"/>
      <c r="BW284" s="817"/>
      <c r="BX284" s="817"/>
    </row>
    <row r="285" spans="2:76" ht="18" customHeight="1">
      <c r="B285" s="846">
        <f t="shared" si="44"/>
        <v>285</v>
      </c>
      <c r="C285" s="843" t="s">
        <v>114</v>
      </c>
      <c r="D285" s="935"/>
      <c r="E285" s="940"/>
      <c r="F285" s="937">
        <f t="shared" si="47"/>
        <v>0</v>
      </c>
      <c r="G285" s="961"/>
      <c r="H285" s="939"/>
      <c r="I285" s="940"/>
      <c r="J285" s="937">
        <f t="shared" si="48"/>
        <v>0</v>
      </c>
      <c r="K285" s="941"/>
      <c r="P285" s="815"/>
      <c r="AD285" s="806"/>
      <c r="AE285" s="806"/>
      <c r="AF285" s="806"/>
      <c r="BP285" s="816"/>
      <c r="BQ285" s="817"/>
      <c r="BR285" s="818"/>
      <c r="BS285" s="818"/>
      <c r="BT285" s="819"/>
      <c r="BU285" s="820"/>
      <c r="BV285" s="817"/>
      <c r="BW285" s="817"/>
      <c r="BX285" s="817"/>
    </row>
    <row r="286" spans="2:76" ht="18" customHeight="1">
      <c r="B286" s="846">
        <f t="shared" si="44"/>
        <v>286</v>
      </c>
      <c r="C286" s="843" t="s">
        <v>114</v>
      </c>
      <c r="D286" s="935"/>
      <c r="E286" s="940"/>
      <c r="F286" s="937">
        <f t="shared" si="47"/>
        <v>0</v>
      </c>
      <c r="G286" s="961"/>
      <c r="H286" s="939"/>
      <c r="I286" s="940"/>
      <c r="J286" s="937">
        <f t="shared" si="48"/>
        <v>0</v>
      </c>
      <c r="K286" s="941"/>
      <c r="P286" s="815"/>
      <c r="AD286" s="806"/>
      <c r="AE286" s="806"/>
      <c r="AF286" s="806"/>
      <c r="BP286" s="816"/>
      <c r="BQ286" s="817"/>
      <c r="BR286" s="818"/>
      <c r="BS286" s="818"/>
      <c r="BT286" s="819"/>
      <c r="BU286" s="820"/>
      <c r="BV286" s="817"/>
      <c r="BW286" s="817"/>
      <c r="BX286" s="817"/>
    </row>
    <row r="287" spans="2:76" ht="18" customHeight="1">
      <c r="B287" s="846">
        <f t="shared" si="44"/>
        <v>287</v>
      </c>
      <c r="C287" s="843" t="s">
        <v>114</v>
      </c>
      <c r="D287" s="935"/>
      <c r="E287" s="940"/>
      <c r="F287" s="937">
        <f t="shared" si="47"/>
        <v>0</v>
      </c>
      <c r="G287" s="961"/>
      <c r="H287" s="939"/>
      <c r="I287" s="940"/>
      <c r="J287" s="937">
        <f t="shared" si="48"/>
        <v>0</v>
      </c>
      <c r="K287" s="941"/>
      <c r="P287" s="815"/>
      <c r="AD287" s="806"/>
      <c r="AE287" s="806"/>
      <c r="AF287" s="806"/>
      <c r="BP287" s="816"/>
      <c r="BQ287" s="817"/>
      <c r="BR287" s="818"/>
      <c r="BS287" s="818"/>
      <c r="BT287" s="819"/>
      <c r="BU287" s="820"/>
      <c r="BV287" s="817"/>
      <c r="BW287" s="817"/>
      <c r="BX287" s="817"/>
    </row>
    <row r="288" spans="2:76" ht="18" customHeight="1">
      <c r="B288" s="846">
        <f t="shared" si="44"/>
        <v>288</v>
      </c>
      <c r="C288" s="843" t="s">
        <v>114</v>
      </c>
      <c r="D288" s="935"/>
      <c r="E288" s="940"/>
      <c r="F288" s="937">
        <f t="shared" si="47"/>
        <v>0</v>
      </c>
      <c r="G288" s="961"/>
      <c r="H288" s="939"/>
      <c r="I288" s="940"/>
      <c r="J288" s="937">
        <f t="shared" si="48"/>
        <v>0</v>
      </c>
      <c r="K288" s="941"/>
      <c r="P288" s="815"/>
      <c r="AD288" s="806"/>
      <c r="AE288" s="806"/>
      <c r="AF288" s="806"/>
      <c r="BP288" s="816"/>
      <c r="BQ288" s="817"/>
      <c r="BR288" s="818"/>
      <c r="BS288" s="818"/>
      <c r="BT288" s="819"/>
      <c r="BU288" s="820"/>
      <c r="BV288" s="817"/>
      <c r="BW288" s="817"/>
      <c r="BX288" s="817"/>
    </row>
    <row r="289" spans="2:76" ht="18" customHeight="1">
      <c r="B289" s="846">
        <f t="shared" si="44"/>
        <v>289</v>
      </c>
      <c r="C289" s="843" t="s">
        <v>114</v>
      </c>
      <c r="D289" s="935"/>
      <c r="E289" s="940"/>
      <c r="F289" s="937">
        <f t="shared" si="47"/>
        <v>0</v>
      </c>
      <c r="G289" s="961"/>
      <c r="H289" s="939"/>
      <c r="I289" s="940"/>
      <c r="J289" s="937">
        <f t="shared" si="48"/>
        <v>0</v>
      </c>
      <c r="K289" s="941"/>
      <c r="P289" s="815"/>
      <c r="AD289" s="806"/>
      <c r="AE289" s="806"/>
      <c r="AF289" s="806"/>
      <c r="BP289" s="816"/>
      <c r="BQ289" s="817"/>
      <c r="BR289" s="818"/>
      <c r="BS289" s="818"/>
      <c r="BT289" s="819"/>
      <c r="BU289" s="820"/>
      <c r="BV289" s="817"/>
      <c r="BW289" s="817"/>
      <c r="BX289" s="817"/>
    </row>
    <row r="290" spans="2:76" ht="18" customHeight="1">
      <c r="B290" s="846">
        <f t="shared" si="44"/>
        <v>290</v>
      </c>
      <c r="C290" s="843" t="s">
        <v>114</v>
      </c>
      <c r="D290" s="935"/>
      <c r="E290" s="940"/>
      <c r="F290" s="937">
        <f t="shared" si="47"/>
        <v>0</v>
      </c>
      <c r="G290" s="961"/>
      <c r="H290" s="939"/>
      <c r="I290" s="940"/>
      <c r="J290" s="937">
        <f t="shared" si="48"/>
        <v>0</v>
      </c>
      <c r="K290" s="941"/>
      <c r="P290" s="815"/>
      <c r="AD290" s="806"/>
      <c r="AE290" s="806"/>
      <c r="AF290" s="806"/>
      <c r="BP290" s="816"/>
      <c r="BQ290" s="817"/>
      <c r="BR290" s="818"/>
      <c r="BS290" s="818"/>
      <c r="BT290" s="819"/>
      <c r="BU290" s="820"/>
      <c r="BV290" s="817"/>
      <c r="BW290" s="817"/>
      <c r="BX290" s="817"/>
    </row>
    <row r="291" spans="2:76" ht="18" customHeight="1">
      <c r="B291" s="846">
        <f t="shared" si="44"/>
        <v>291</v>
      </c>
      <c r="C291" s="843" t="s">
        <v>114</v>
      </c>
      <c r="D291" s="935"/>
      <c r="E291" s="940"/>
      <c r="F291" s="937">
        <f t="shared" si="47"/>
        <v>0</v>
      </c>
      <c r="G291" s="961"/>
      <c r="H291" s="939"/>
      <c r="I291" s="940"/>
      <c r="J291" s="937">
        <f t="shared" si="48"/>
        <v>0</v>
      </c>
      <c r="K291" s="941"/>
      <c r="P291" s="815"/>
      <c r="AD291" s="806"/>
      <c r="AE291" s="806"/>
      <c r="AF291" s="806"/>
      <c r="BP291" s="816"/>
      <c r="BQ291" s="817"/>
      <c r="BR291" s="818"/>
      <c r="BS291" s="818"/>
      <c r="BT291" s="819"/>
      <c r="BU291" s="820"/>
      <c r="BV291" s="817"/>
      <c r="BW291" s="817"/>
      <c r="BX291" s="817"/>
    </row>
    <row r="292" spans="2:76" ht="18" customHeight="1">
      <c r="B292" s="847">
        <f t="shared" si="44"/>
        <v>292</v>
      </c>
      <c r="C292" s="848" t="s">
        <v>114</v>
      </c>
      <c r="D292" s="944"/>
      <c r="E292" s="957"/>
      <c r="F292" s="946"/>
      <c r="G292" s="963"/>
      <c r="H292" s="948"/>
      <c r="I292" s="957"/>
      <c r="J292" s="946"/>
      <c r="K292" s="958"/>
      <c r="P292" s="815"/>
      <c r="AD292" s="806"/>
      <c r="AE292" s="806"/>
      <c r="AF292" s="806"/>
      <c r="BP292" s="816"/>
      <c r="BQ292" s="817"/>
      <c r="BR292" s="818"/>
      <c r="BS292" s="818"/>
      <c r="BT292" s="819"/>
      <c r="BU292" s="820"/>
      <c r="BV292" s="817"/>
      <c r="BW292" s="817"/>
      <c r="BX292" s="817"/>
    </row>
    <row r="293" spans="2:76" s="451" customFormat="1" ht="18" customHeight="1">
      <c r="B293" s="849">
        <f t="shared" si="44"/>
        <v>293</v>
      </c>
      <c r="C293" s="849"/>
      <c r="D293" s="292"/>
      <c r="E293" s="777"/>
      <c r="F293" s="849"/>
      <c r="G293" s="849"/>
      <c r="H293" s="449"/>
      <c r="I293" s="777"/>
      <c r="J293" s="849"/>
      <c r="K293" s="448"/>
      <c r="P293" s="856"/>
      <c r="AD293" s="849"/>
      <c r="AE293" s="849"/>
      <c r="AF293" s="849"/>
      <c r="BP293" s="853"/>
      <c r="BQ293" s="853"/>
      <c r="BR293" s="854"/>
      <c r="BS293" s="854"/>
      <c r="BT293" s="857"/>
      <c r="BU293" s="855"/>
      <c r="BV293" s="853"/>
      <c r="BW293" s="853"/>
      <c r="BX293" s="853"/>
    </row>
    <row r="294" spans="2:76" ht="18" customHeight="1">
      <c r="B294" s="844">
        <f t="shared" si="44"/>
        <v>294</v>
      </c>
      <c r="C294" s="845" t="s">
        <v>115</v>
      </c>
      <c r="D294" s="928">
        <v>4.2500000000000003E-2</v>
      </c>
      <c r="E294" s="933">
        <v>0</v>
      </c>
      <c r="F294" s="930">
        <f t="shared" ref="F294:F304" si="49">E295</f>
        <v>0</v>
      </c>
      <c r="G294" s="931">
        <v>4900</v>
      </c>
      <c r="H294" s="932">
        <v>4.2500000000000003E-2</v>
      </c>
      <c r="I294" s="933">
        <v>0</v>
      </c>
      <c r="J294" s="930">
        <f t="shared" ref="J294:J304" si="50">I295</f>
        <v>0</v>
      </c>
      <c r="K294" s="934">
        <v>9800</v>
      </c>
      <c r="P294" s="815"/>
      <c r="AD294" s="806"/>
      <c r="AE294" s="806"/>
      <c r="AF294" s="806"/>
      <c r="BP294" s="816"/>
      <c r="BQ294" s="817"/>
      <c r="BR294" s="818"/>
      <c r="BS294" s="818"/>
      <c r="BT294" s="819"/>
      <c r="BU294" s="820"/>
      <c r="BV294" s="817"/>
      <c r="BW294" s="817"/>
      <c r="BX294" s="817"/>
    </row>
    <row r="295" spans="2:76" ht="18" customHeight="1">
      <c r="B295" s="846">
        <f t="shared" si="44"/>
        <v>295</v>
      </c>
      <c r="C295" s="843" t="s">
        <v>115</v>
      </c>
      <c r="D295" s="935"/>
      <c r="E295" s="940"/>
      <c r="F295" s="937">
        <f t="shared" si="49"/>
        <v>0</v>
      </c>
      <c r="G295" s="961"/>
      <c r="H295" s="939"/>
      <c r="I295" s="940"/>
      <c r="J295" s="937">
        <f t="shared" si="50"/>
        <v>0</v>
      </c>
      <c r="K295" s="941"/>
      <c r="P295" s="815"/>
      <c r="AD295" s="806"/>
      <c r="AE295" s="806"/>
      <c r="AF295" s="806"/>
      <c r="BP295" s="816"/>
      <c r="BQ295" s="817"/>
      <c r="BR295" s="818"/>
      <c r="BS295" s="818"/>
      <c r="BT295" s="819"/>
      <c r="BU295" s="820"/>
      <c r="BV295" s="817"/>
      <c r="BW295" s="817"/>
      <c r="BX295" s="817"/>
    </row>
    <row r="296" spans="2:76" ht="18" customHeight="1">
      <c r="B296" s="846">
        <f t="shared" si="44"/>
        <v>296</v>
      </c>
      <c r="C296" s="843" t="s">
        <v>115</v>
      </c>
      <c r="D296" s="935"/>
      <c r="E296" s="940"/>
      <c r="F296" s="937">
        <f t="shared" si="49"/>
        <v>0</v>
      </c>
      <c r="G296" s="961"/>
      <c r="H296" s="939"/>
      <c r="I296" s="940"/>
      <c r="J296" s="937">
        <f t="shared" si="50"/>
        <v>0</v>
      </c>
      <c r="K296" s="941"/>
      <c r="P296" s="815"/>
      <c r="AD296" s="806"/>
      <c r="AE296" s="806"/>
      <c r="AF296" s="806"/>
      <c r="BP296" s="816"/>
      <c r="BQ296" s="817"/>
      <c r="BR296" s="818"/>
      <c r="BS296" s="818"/>
      <c r="BT296" s="819"/>
      <c r="BU296" s="820"/>
      <c r="BV296" s="817"/>
      <c r="BW296" s="817"/>
      <c r="BX296" s="817"/>
    </row>
    <row r="297" spans="2:76" ht="18" customHeight="1">
      <c r="B297" s="846">
        <f t="shared" si="44"/>
        <v>297</v>
      </c>
      <c r="C297" s="843" t="s">
        <v>115</v>
      </c>
      <c r="D297" s="935"/>
      <c r="E297" s="940"/>
      <c r="F297" s="937">
        <f t="shared" si="49"/>
        <v>0</v>
      </c>
      <c r="G297" s="961"/>
      <c r="H297" s="939"/>
      <c r="I297" s="940"/>
      <c r="J297" s="937">
        <f t="shared" si="50"/>
        <v>0</v>
      </c>
      <c r="K297" s="941"/>
      <c r="P297" s="815"/>
      <c r="AD297" s="806"/>
      <c r="AE297" s="806"/>
      <c r="AF297" s="806"/>
      <c r="BP297" s="816"/>
      <c r="BQ297" s="817"/>
      <c r="BR297" s="818"/>
      <c r="BS297" s="818"/>
      <c r="BT297" s="819"/>
      <c r="BU297" s="820"/>
      <c r="BV297" s="817"/>
      <c r="BW297" s="817"/>
      <c r="BX297" s="817"/>
    </row>
    <row r="298" spans="2:76" ht="18" customHeight="1">
      <c r="B298" s="846">
        <f t="shared" si="44"/>
        <v>298</v>
      </c>
      <c r="C298" s="843" t="s">
        <v>115</v>
      </c>
      <c r="D298" s="935"/>
      <c r="E298" s="940"/>
      <c r="F298" s="937">
        <f t="shared" si="49"/>
        <v>0</v>
      </c>
      <c r="G298" s="961"/>
      <c r="H298" s="939"/>
      <c r="I298" s="940"/>
      <c r="J298" s="937">
        <f t="shared" si="50"/>
        <v>0</v>
      </c>
      <c r="K298" s="941"/>
      <c r="P298" s="815"/>
      <c r="AD298" s="806"/>
      <c r="AE298" s="806"/>
      <c r="AF298" s="806"/>
      <c r="BP298" s="816"/>
      <c r="BQ298" s="817"/>
      <c r="BR298" s="818"/>
      <c r="BS298" s="818"/>
      <c r="BT298" s="819"/>
      <c r="BU298" s="820"/>
      <c r="BV298" s="817"/>
      <c r="BW298" s="817"/>
      <c r="BX298" s="817"/>
    </row>
    <row r="299" spans="2:76" ht="18" customHeight="1">
      <c r="B299" s="846">
        <f t="shared" si="44"/>
        <v>299</v>
      </c>
      <c r="C299" s="843" t="s">
        <v>115</v>
      </c>
      <c r="D299" s="935"/>
      <c r="E299" s="940"/>
      <c r="F299" s="937">
        <f t="shared" si="49"/>
        <v>0</v>
      </c>
      <c r="G299" s="961"/>
      <c r="H299" s="939"/>
      <c r="I299" s="940"/>
      <c r="J299" s="937">
        <f t="shared" si="50"/>
        <v>0</v>
      </c>
      <c r="K299" s="941"/>
      <c r="P299" s="815"/>
      <c r="AD299" s="806"/>
      <c r="AE299" s="806"/>
      <c r="AF299" s="806"/>
      <c r="BP299" s="816"/>
      <c r="BQ299" s="817"/>
      <c r="BR299" s="818"/>
      <c r="BS299" s="818"/>
      <c r="BT299" s="819"/>
      <c r="BU299" s="820"/>
      <c r="BV299" s="817"/>
      <c r="BW299" s="817"/>
      <c r="BX299" s="817"/>
    </row>
    <row r="300" spans="2:76" ht="18" customHeight="1">
      <c r="B300" s="846">
        <f t="shared" si="44"/>
        <v>300</v>
      </c>
      <c r="C300" s="843" t="s">
        <v>115</v>
      </c>
      <c r="D300" s="935"/>
      <c r="E300" s="940"/>
      <c r="F300" s="937">
        <f t="shared" si="49"/>
        <v>0</v>
      </c>
      <c r="G300" s="961"/>
      <c r="H300" s="939"/>
      <c r="I300" s="940"/>
      <c r="J300" s="937">
        <f t="shared" si="50"/>
        <v>0</v>
      </c>
      <c r="K300" s="941"/>
      <c r="P300" s="815"/>
      <c r="AD300" s="806"/>
      <c r="AE300" s="806"/>
      <c r="AF300" s="806"/>
      <c r="BP300" s="816"/>
      <c r="BQ300" s="817"/>
      <c r="BR300" s="818"/>
      <c r="BS300" s="818"/>
      <c r="BT300" s="819"/>
      <c r="BU300" s="820"/>
      <c r="BV300" s="817"/>
      <c r="BW300" s="817"/>
      <c r="BX300" s="817"/>
    </row>
    <row r="301" spans="2:76" ht="18" customHeight="1">
      <c r="B301" s="846">
        <f t="shared" si="44"/>
        <v>301</v>
      </c>
      <c r="C301" s="843" t="s">
        <v>115</v>
      </c>
      <c r="D301" s="935"/>
      <c r="E301" s="940"/>
      <c r="F301" s="937">
        <f t="shared" si="49"/>
        <v>0</v>
      </c>
      <c r="G301" s="961"/>
      <c r="H301" s="939"/>
      <c r="I301" s="940"/>
      <c r="J301" s="937">
        <f t="shared" si="50"/>
        <v>0</v>
      </c>
      <c r="K301" s="941"/>
      <c r="P301" s="815"/>
      <c r="AD301" s="806"/>
      <c r="AE301" s="806"/>
      <c r="AF301" s="806"/>
      <c r="BP301" s="816"/>
      <c r="BQ301" s="817"/>
      <c r="BR301" s="818"/>
      <c r="BS301" s="818"/>
      <c r="BT301" s="819"/>
      <c r="BU301" s="820"/>
      <c r="BV301" s="817"/>
      <c r="BW301" s="817"/>
      <c r="BX301" s="817"/>
    </row>
    <row r="302" spans="2:76" ht="18" customHeight="1">
      <c r="B302" s="846">
        <f t="shared" si="44"/>
        <v>302</v>
      </c>
      <c r="C302" s="843" t="s">
        <v>115</v>
      </c>
      <c r="D302" s="935"/>
      <c r="E302" s="940"/>
      <c r="F302" s="937">
        <f t="shared" si="49"/>
        <v>0</v>
      </c>
      <c r="G302" s="961"/>
      <c r="H302" s="939"/>
      <c r="I302" s="940"/>
      <c r="J302" s="937">
        <f t="shared" si="50"/>
        <v>0</v>
      </c>
      <c r="K302" s="941"/>
      <c r="P302" s="815"/>
      <c r="AD302" s="806"/>
      <c r="AE302" s="806"/>
      <c r="AF302" s="806"/>
      <c r="BP302" s="816"/>
      <c r="BQ302" s="817"/>
      <c r="BR302" s="818"/>
      <c r="BS302" s="818"/>
      <c r="BT302" s="819"/>
      <c r="BU302" s="820"/>
      <c r="BV302" s="817"/>
      <c r="BW302" s="817"/>
      <c r="BX302" s="817"/>
    </row>
    <row r="303" spans="2:76" ht="18" customHeight="1">
      <c r="B303" s="846">
        <f t="shared" si="44"/>
        <v>303</v>
      </c>
      <c r="C303" s="843" t="s">
        <v>115</v>
      </c>
      <c r="D303" s="935"/>
      <c r="E303" s="940"/>
      <c r="F303" s="937">
        <f t="shared" si="49"/>
        <v>0</v>
      </c>
      <c r="G303" s="961"/>
      <c r="H303" s="939"/>
      <c r="I303" s="940"/>
      <c r="J303" s="937">
        <f t="shared" si="50"/>
        <v>0</v>
      </c>
      <c r="K303" s="941"/>
      <c r="P303" s="815"/>
      <c r="AD303" s="806"/>
      <c r="AE303" s="806"/>
      <c r="AF303" s="806"/>
      <c r="BP303" s="816"/>
      <c r="BQ303" s="817"/>
      <c r="BR303" s="818"/>
      <c r="BS303" s="818"/>
      <c r="BT303" s="819"/>
      <c r="BU303" s="820"/>
      <c r="BV303" s="817"/>
      <c r="BW303" s="817"/>
      <c r="BX303" s="817"/>
    </row>
    <row r="304" spans="2:76" ht="18" customHeight="1">
      <c r="B304" s="846">
        <f t="shared" si="44"/>
        <v>304</v>
      </c>
      <c r="C304" s="843" t="s">
        <v>115</v>
      </c>
      <c r="D304" s="935"/>
      <c r="E304" s="940"/>
      <c r="F304" s="937">
        <f t="shared" si="49"/>
        <v>0</v>
      </c>
      <c r="G304" s="961"/>
      <c r="H304" s="939"/>
      <c r="I304" s="940"/>
      <c r="J304" s="937">
        <f t="shared" si="50"/>
        <v>0</v>
      </c>
      <c r="K304" s="941"/>
      <c r="P304" s="815"/>
      <c r="AD304" s="806"/>
      <c r="AE304" s="806"/>
      <c r="AF304" s="806"/>
      <c r="BP304" s="816"/>
      <c r="BQ304" s="817"/>
      <c r="BR304" s="818"/>
      <c r="BS304" s="818"/>
      <c r="BT304" s="819"/>
      <c r="BU304" s="820"/>
      <c r="BV304" s="817"/>
      <c r="BW304" s="817"/>
      <c r="BX304" s="817"/>
    </row>
    <row r="305" spans="2:76" ht="18" customHeight="1">
      <c r="B305" s="847">
        <f t="shared" si="44"/>
        <v>305</v>
      </c>
      <c r="C305" s="848" t="s">
        <v>115</v>
      </c>
      <c r="D305" s="944"/>
      <c r="E305" s="957"/>
      <c r="F305" s="946"/>
      <c r="G305" s="963"/>
      <c r="H305" s="948"/>
      <c r="I305" s="957"/>
      <c r="J305" s="946"/>
      <c r="K305" s="958"/>
      <c r="P305" s="815"/>
      <c r="AD305" s="806"/>
      <c r="AE305" s="806"/>
      <c r="AF305" s="806"/>
      <c r="BP305" s="816"/>
      <c r="BQ305" s="817"/>
      <c r="BR305" s="818"/>
      <c r="BS305" s="818"/>
      <c r="BT305" s="819"/>
      <c r="BU305" s="820"/>
      <c r="BV305" s="817"/>
      <c r="BW305" s="817"/>
      <c r="BX305" s="817"/>
    </row>
    <row r="306" spans="2:76" s="451" customFormat="1" ht="18" customHeight="1">
      <c r="B306" s="849">
        <f t="shared" si="44"/>
        <v>306</v>
      </c>
      <c r="C306" s="849"/>
      <c r="D306" s="292"/>
      <c r="E306" s="777"/>
      <c r="F306" s="849"/>
      <c r="G306" s="849"/>
      <c r="H306" s="449"/>
      <c r="I306" s="777"/>
      <c r="J306" s="849"/>
      <c r="K306" s="448"/>
      <c r="P306" s="856"/>
      <c r="AD306" s="849"/>
      <c r="AE306" s="849"/>
      <c r="AF306" s="849"/>
      <c r="BP306" s="853"/>
      <c r="BQ306" s="853"/>
      <c r="BR306" s="854"/>
      <c r="BS306" s="854"/>
      <c r="BT306" s="857"/>
      <c r="BU306" s="855"/>
      <c r="BV306" s="853"/>
      <c r="BW306" s="853"/>
      <c r="BX306" s="853"/>
    </row>
    <row r="307" spans="2:76" ht="18" customHeight="1">
      <c r="B307" s="844">
        <f t="shared" si="44"/>
        <v>307</v>
      </c>
      <c r="C307" s="845" t="s">
        <v>116</v>
      </c>
      <c r="D307" s="928">
        <v>5.3499999999999999E-2</v>
      </c>
      <c r="E307" s="933">
        <v>0</v>
      </c>
      <c r="F307" s="930">
        <f t="shared" ref="F307:F317" si="51">E308</f>
        <v>27230</v>
      </c>
      <c r="G307" s="931">
        <v>6650</v>
      </c>
      <c r="H307" s="932">
        <v>5.3499999999999999E-2</v>
      </c>
      <c r="I307" s="933">
        <v>0</v>
      </c>
      <c r="J307" s="930">
        <f t="shared" ref="J307:J317" si="52">I308</f>
        <v>39810</v>
      </c>
      <c r="K307" s="934">
        <v>13300</v>
      </c>
      <c r="P307" s="815"/>
      <c r="AD307" s="806"/>
      <c r="AE307" s="806"/>
      <c r="AF307" s="806"/>
      <c r="BN307" s="811"/>
      <c r="BP307" s="816"/>
      <c r="BQ307" s="817"/>
      <c r="BR307" s="818"/>
      <c r="BS307" s="818"/>
      <c r="BT307" s="819"/>
      <c r="BU307" s="820"/>
      <c r="BV307" s="817"/>
      <c r="BW307" s="817"/>
      <c r="BX307" s="817"/>
    </row>
    <row r="308" spans="2:76" ht="18" customHeight="1">
      <c r="B308" s="846">
        <f t="shared" si="44"/>
        <v>308</v>
      </c>
      <c r="C308" s="843" t="s">
        <v>116</v>
      </c>
      <c r="D308" s="935">
        <v>6.8000000000000005E-2</v>
      </c>
      <c r="E308" s="940">
        <v>27230</v>
      </c>
      <c r="F308" s="937">
        <f t="shared" si="51"/>
        <v>89440</v>
      </c>
      <c r="G308" s="938"/>
      <c r="H308" s="939">
        <v>6.8000000000000005E-2</v>
      </c>
      <c r="I308" s="940">
        <v>39810</v>
      </c>
      <c r="J308" s="937">
        <f t="shared" si="52"/>
        <v>158140</v>
      </c>
      <c r="K308" s="943"/>
      <c r="P308" s="815"/>
      <c r="AD308" s="806"/>
      <c r="AE308" s="806"/>
      <c r="AF308" s="806"/>
      <c r="BP308" s="816"/>
      <c r="BQ308" s="817"/>
      <c r="BR308" s="818"/>
      <c r="BS308" s="818"/>
      <c r="BT308" s="819"/>
      <c r="BU308" s="820"/>
      <c r="BV308" s="817"/>
      <c r="BW308" s="817"/>
      <c r="BX308" s="817"/>
    </row>
    <row r="309" spans="2:76" ht="18" customHeight="1">
      <c r="B309" s="846">
        <f t="shared" si="44"/>
        <v>309</v>
      </c>
      <c r="C309" s="843" t="s">
        <v>116</v>
      </c>
      <c r="D309" s="935">
        <v>7.85E-2</v>
      </c>
      <c r="E309" s="940">
        <v>89440</v>
      </c>
      <c r="F309" s="937">
        <f t="shared" si="51"/>
        <v>166040</v>
      </c>
      <c r="G309" s="938"/>
      <c r="H309" s="939">
        <v>7.85E-2</v>
      </c>
      <c r="I309" s="940">
        <v>158140</v>
      </c>
      <c r="J309" s="937">
        <f t="shared" si="52"/>
        <v>276200</v>
      </c>
      <c r="K309" s="943"/>
      <c r="P309" s="815"/>
      <c r="AD309" s="806"/>
      <c r="AE309" s="806"/>
      <c r="AF309" s="806"/>
      <c r="BP309" s="816"/>
      <c r="BQ309" s="817"/>
      <c r="BR309" s="818"/>
      <c r="BS309" s="818"/>
      <c r="BT309" s="819"/>
      <c r="BU309" s="820"/>
      <c r="BV309" s="817"/>
      <c r="BW309" s="817"/>
      <c r="BX309" s="817"/>
    </row>
    <row r="310" spans="2:76" ht="18" customHeight="1">
      <c r="B310" s="846">
        <f t="shared" si="44"/>
        <v>310</v>
      </c>
      <c r="C310" s="843" t="s">
        <v>116</v>
      </c>
      <c r="D310" s="935">
        <v>9.8500000000000004E-2</v>
      </c>
      <c r="E310" s="940">
        <v>166040</v>
      </c>
      <c r="F310" s="937">
        <f t="shared" si="51"/>
        <v>0</v>
      </c>
      <c r="G310" s="938"/>
      <c r="H310" s="939">
        <v>9.8500000000000004E-2</v>
      </c>
      <c r="I310" s="940">
        <v>276200</v>
      </c>
      <c r="J310" s="937">
        <f t="shared" si="52"/>
        <v>0</v>
      </c>
      <c r="K310" s="943"/>
      <c r="AD310" s="806"/>
      <c r="AE310" s="806"/>
      <c r="AF310" s="806"/>
      <c r="BN310" s="811"/>
      <c r="BP310" s="816"/>
      <c r="BQ310" s="817"/>
      <c r="BR310" s="818"/>
      <c r="BS310" s="818"/>
      <c r="BT310" s="819"/>
      <c r="BU310" s="820"/>
      <c r="BV310" s="817"/>
      <c r="BW310" s="817"/>
      <c r="BX310" s="817"/>
    </row>
    <row r="311" spans="2:76" ht="18" customHeight="1">
      <c r="B311" s="846">
        <f t="shared" si="44"/>
        <v>311</v>
      </c>
      <c r="C311" s="843" t="s">
        <v>116</v>
      </c>
      <c r="D311" s="935"/>
      <c r="E311" s="940"/>
      <c r="F311" s="937">
        <f t="shared" si="51"/>
        <v>0</v>
      </c>
      <c r="G311" s="938"/>
      <c r="H311" s="939"/>
      <c r="I311" s="940"/>
      <c r="J311" s="937">
        <f t="shared" si="52"/>
        <v>0</v>
      </c>
      <c r="K311" s="943"/>
      <c r="AD311" s="806"/>
      <c r="AE311" s="806"/>
      <c r="AF311" s="806"/>
      <c r="BN311" s="811"/>
      <c r="BP311" s="816"/>
      <c r="BQ311" s="817"/>
      <c r="BR311" s="818"/>
      <c r="BS311" s="818"/>
      <c r="BT311" s="819"/>
      <c r="BU311" s="820"/>
      <c r="BV311" s="817"/>
      <c r="BW311" s="817"/>
      <c r="BX311" s="817"/>
    </row>
    <row r="312" spans="2:76" ht="18" customHeight="1">
      <c r="B312" s="846">
        <f t="shared" si="44"/>
        <v>312</v>
      </c>
      <c r="C312" s="843" t="s">
        <v>116</v>
      </c>
      <c r="D312" s="935"/>
      <c r="E312" s="940"/>
      <c r="F312" s="937">
        <f t="shared" si="51"/>
        <v>0</v>
      </c>
      <c r="G312" s="938"/>
      <c r="H312" s="939"/>
      <c r="I312" s="940"/>
      <c r="J312" s="937">
        <f t="shared" si="52"/>
        <v>0</v>
      </c>
      <c r="K312" s="943"/>
      <c r="AD312" s="806"/>
      <c r="AE312" s="806"/>
      <c r="AF312" s="806"/>
      <c r="BN312" s="811"/>
      <c r="BP312" s="816"/>
      <c r="BQ312" s="817"/>
      <c r="BR312" s="818"/>
      <c r="BS312" s="818"/>
      <c r="BT312" s="819"/>
      <c r="BU312" s="820"/>
      <c r="BV312" s="817"/>
      <c r="BW312" s="817"/>
      <c r="BX312" s="817"/>
    </row>
    <row r="313" spans="2:76" ht="18" customHeight="1">
      <c r="B313" s="846">
        <f t="shared" si="44"/>
        <v>313</v>
      </c>
      <c r="C313" s="843" t="s">
        <v>116</v>
      </c>
      <c r="D313" s="935"/>
      <c r="E313" s="940"/>
      <c r="F313" s="937">
        <f t="shared" si="51"/>
        <v>0</v>
      </c>
      <c r="G313" s="938"/>
      <c r="H313" s="939"/>
      <c r="I313" s="940"/>
      <c r="J313" s="937">
        <f t="shared" si="52"/>
        <v>0</v>
      </c>
      <c r="K313" s="943"/>
      <c r="AD313" s="806"/>
      <c r="AE313" s="806"/>
      <c r="AF313" s="806"/>
      <c r="BN313" s="811"/>
      <c r="BP313" s="816"/>
      <c r="BQ313" s="817"/>
      <c r="BR313" s="818"/>
      <c r="BS313" s="818"/>
      <c r="BT313" s="819"/>
      <c r="BU313" s="820"/>
      <c r="BV313" s="817"/>
      <c r="BW313" s="817"/>
      <c r="BX313" s="817"/>
    </row>
    <row r="314" spans="2:76" ht="18" customHeight="1">
      <c r="B314" s="846">
        <f t="shared" si="44"/>
        <v>314</v>
      </c>
      <c r="C314" s="843" t="s">
        <v>116</v>
      </c>
      <c r="D314" s="935"/>
      <c r="E314" s="940"/>
      <c r="F314" s="937">
        <f t="shared" si="51"/>
        <v>0</v>
      </c>
      <c r="G314" s="938"/>
      <c r="H314" s="939"/>
      <c r="I314" s="940"/>
      <c r="J314" s="937">
        <f t="shared" si="52"/>
        <v>0</v>
      </c>
      <c r="K314" s="943"/>
      <c r="AD314" s="806"/>
      <c r="AE314" s="806"/>
      <c r="AF314" s="806"/>
      <c r="BN314" s="811"/>
      <c r="BP314" s="816"/>
      <c r="BQ314" s="817"/>
      <c r="BR314" s="818"/>
      <c r="BS314" s="818"/>
      <c r="BT314" s="819"/>
      <c r="BU314" s="820"/>
      <c r="BV314" s="817"/>
      <c r="BW314" s="817"/>
      <c r="BX314" s="817"/>
    </row>
    <row r="315" spans="2:76" ht="18" customHeight="1">
      <c r="B315" s="846">
        <f t="shared" si="44"/>
        <v>315</v>
      </c>
      <c r="C315" s="843" t="s">
        <v>116</v>
      </c>
      <c r="D315" s="935"/>
      <c r="E315" s="940"/>
      <c r="F315" s="937">
        <f t="shared" si="51"/>
        <v>0</v>
      </c>
      <c r="G315" s="938"/>
      <c r="H315" s="939"/>
      <c r="I315" s="940"/>
      <c r="J315" s="937">
        <f t="shared" si="52"/>
        <v>0</v>
      </c>
      <c r="K315" s="943"/>
      <c r="AD315" s="806"/>
      <c r="AE315" s="806"/>
      <c r="AF315" s="806"/>
      <c r="BN315" s="811"/>
      <c r="BP315" s="816"/>
      <c r="BQ315" s="817"/>
      <c r="BR315" s="818"/>
      <c r="BS315" s="818"/>
      <c r="BT315" s="819"/>
      <c r="BU315" s="820"/>
      <c r="BV315" s="817"/>
      <c r="BW315" s="817"/>
      <c r="BX315" s="817"/>
    </row>
    <row r="316" spans="2:76" ht="18" customHeight="1">
      <c r="B316" s="846">
        <f t="shared" si="44"/>
        <v>316</v>
      </c>
      <c r="C316" s="843" t="s">
        <v>116</v>
      </c>
      <c r="D316" s="935"/>
      <c r="E316" s="940"/>
      <c r="F316" s="937">
        <f t="shared" si="51"/>
        <v>0</v>
      </c>
      <c r="G316" s="938"/>
      <c r="H316" s="939"/>
      <c r="I316" s="940"/>
      <c r="J316" s="937">
        <f t="shared" si="52"/>
        <v>0</v>
      </c>
      <c r="K316" s="943"/>
      <c r="AD316" s="806"/>
      <c r="AE316" s="806"/>
      <c r="AF316" s="806"/>
      <c r="BN316" s="811"/>
      <c r="BP316" s="816"/>
      <c r="BQ316" s="817"/>
      <c r="BR316" s="818"/>
      <c r="BS316" s="818"/>
      <c r="BT316" s="819"/>
      <c r="BU316" s="820"/>
      <c r="BV316" s="817"/>
      <c r="BW316" s="817"/>
      <c r="BX316" s="817"/>
    </row>
    <row r="317" spans="2:76" ht="18" customHeight="1">
      <c r="B317" s="846">
        <f t="shared" si="44"/>
        <v>317</v>
      </c>
      <c r="C317" s="843" t="s">
        <v>116</v>
      </c>
      <c r="D317" s="935"/>
      <c r="E317" s="940"/>
      <c r="F317" s="937">
        <f t="shared" si="51"/>
        <v>0</v>
      </c>
      <c r="G317" s="938"/>
      <c r="H317" s="939"/>
      <c r="I317" s="940"/>
      <c r="J317" s="937">
        <f t="shared" si="52"/>
        <v>0</v>
      </c>
      <c r="K317" s="943"/>
      <c r="AD317" s="806"/>
      <c r="AE317" s="806"/>
      <c r="AF317" s="806"/>
      <c r="BN317" s="811"/>
      <c r="BP317" s="816"/>
      <c r="BQ317" s="817"/>
      <c r="BR317" s="818"/>
      <c r="BS317" s="818"/>
      <c r="BT317" s="819"/>
      <c r="BU317" s="820"/>
      <c r="BV317" s="817"/>
      <c r="BW317" s="817"/>
      <c r="BX317" s="817"/>
    </row>
    <row r="318" spans="2:76" ht="18" customHeight="1">
      <c r="B318" s="847">
        <f t="shared" si="44"/>
        <v>318</v>
      </c>
      <c r="C318" s="848" t="s">
        <v>116</v>
      </c>
      <c r="D318" s="944"/>
      <c r="E318" s="957"/>
      <c r="F318" s="946"/>
      <c r="G318" s="947"/>
      <c r="H318" s="948"/>
      <c r="I318" s="957"/>
      <c r="J318" s="946"/>
      <c r="K318" s="950"/>
      <c r="AD318" s="806"/>
      <c r="AE318" s="806"/>
      <c r="AF318" s="806"/>
      <c r="BN318" s="811"/>
      <c r="BP318" s="816"/>
      <c r="BQ318" s="817"/>
      <c r="BR318" s="818"/>
      <c r="BS318" s="818"/>
      <c r="BT318" s="819"/>
      <c r="BU318" s="820"/>
      <c r="BV318" s="817"/>
      <c r="BW318" s="817"/>
      <c r="BX318" s="817"/>
    </row>
    <row r="319" spans="2:76" s="451" customFormat="1" ht="18" customHeight="1">
      <c r="B319" s="849">
        <f t="shared" si="44"/>
        <v>319</v>
      </c>
      <c r="C319" s="849"/>
      <c r="D319" s="292"/>
      <c r="E319" s="777"/>
      <c r="F319" s="849"/>
      <c r="G319" s="849"/>
      <c r="H319" s="449"/>
      <c r="I319" s="777"/>
      <c r="J319" s="849"/>
      <c r="K319" s="448"/>
      <c r="P319" s="856"/>
      <c r="AD319" s="849"/>
      <c r="AE319" s="849"/>
      <c r="AF319" s="849"/>
      <c r="BP319" s="853"/>
      <c r="BQ319" s="853"/>
      <c r="BR319" s="854"/>
      <c r="BS319" s="854"/>
      <c r="BT319" s="857"/>
      <c r="BU319" s="855"/>
      <c r="BV319" s="853"/>
      <c r="BW319" s="853"/>
      <c r="BX319" s="853"/>
    </row>
    <row r="320" spans="2:76" ht="18" customHeight="1">
      <c r="B320" s="844">
        <f t="shared" si="44"/>
        <v>320</v>
      </c>
      <c r="C320" s="845" t="s">
        <v>117</v>
      </c>
      <c r="D320" s="928">
        <v>0</v>
      </c>
      <c r="E320" s="933">
        <v>0</v>
      </c>
      <c r="F320" s="930">
        <f t="shared" ref="F320:F330" si="53">E321</f>
        <v>4000</v>
      </c>
      <c r="G320" s="931">
        <v>2300</v>
      </c>
      <c r="H320" s="932">
        <v>0</v>
      </c>
      <c r="I320" s="933">
        <v>0</v>
      </c>
      <c r="J320" s="930">
        <f t="shared" ref="J320:J330" si="54">I321</f>
        <v>4000</v>
      </c>
      <c r="K320" s="934">
        <v>4600</v>
      </c>
      <c r="P320" s="815"/>
      <c r="AD320" s="806"/>
      <c r="AE320" s="806"/>
      <c r="AF320" s="806"/>
      <c r="BP320" s="816"/>
      <c r="BQ320" s="817"/>
      <c r="BR320" s="818"/>
      <c r="BS320" s="818"/>
      <c r="BT320" s="819"/>
      <c r="BU320" s="820"/>
      <c r="BV320" s="817"/>
      <c r="BW320" s="817"/>
      <c r="BX320" s="817"/>
    </row>
    <row r="321" spans="2:76" ht="18" customHeight="1">
      <c r="B321" s="846">
        <f t="shared" si="44"/>
        <v>321</v>
      </c>
      <c r="C321" s="843" t="s">
        <v>117</v>
      </c>
      <c r="D321" s="935">
        <v>0.03</v>
      </c>
      <c r="E321" s="940">
        <v>4000</v>
      </c>
      <c r="F321" s="937">
        <f t="shared" si="53"/>
        <v>5000</v>
      </c>
      <c r="G321" s="938"/>
      <c r="H321" s="939">
        <v>0.03</v>
      </c>
      <c r="I321" s="940">
        <v>4000</v>
      </c>
      <c r="J321" s="937">
        <f t="shared" si="54"/>
        <v>5000</v>
      </c>
      <c r="K321" s="943"/>
      <c r="AD321" s="806"/>
      <c r="AE321" s="806"/>
      <c r="AF321" s="806"/>
      <c r="BP321" s="816"/>
      <c r="BQ321" s="817"/>
      <c r="BR321" s="818"/>
      <c r="BS321" s="818"/>
      <c r="BT321" s="819"/>
      <c r="BU321" s="820"/>
      <c r="BV321" s="817"/>
      <c r="BW321" s="817"/>
      <c r="BX321" s="817"/>
    </row>
    <row r="322" spans="2:76" ht="18" customHeight="1">
      <c r="B322" s="846">
        <f t="shared" si="44"/>
        <v>322</v>
      </c>
      <c r="C322" s="843" t="s">
        <v>117</v>
      </c>
      <c r="D322" s="935">
        <v>0.04</v>
      </c>
      <c r="E322" s="940">
        <v>5000</v>
      </c>
      <c r="F322" s="937">
        <f t="shared" si="53"/>
        <v>10000</v>
      </c>
      <c r="G322" s="938"/>
      <c r="H322" s="939">
        <v>0.04</v>
      </c>
      <c r="I322" s="940">
        <v>5000</v>
      </c>
      <c r="J322" s="937">
        <f t="shared" si="54"/>
        <v>10000</v>
      </c>
      <c r="K322" s="943"/>
      <c r="P322" s="815"/>
      <c r="AD322" s="806"/>
      <c r="AE322" s="806"/>
      <c r="AF322" s="806"/>
      <c r="BP322" s="816"/>
      <c r="BQ322" s="817"/>
      <c r="BR322" s="818"/>
      <c r="BS322" s="818"/>
      <c r="BT322" s="819"/>
      <c r="BU322" s="820"/>
      <c r="BV322" s="817"/>
      <c r="BW322" s="817"/>
      <c r="BX322" s="817"/>
    </row>
    <row r="323" spans="2:76" ht="18" customHeight="1">
      <c r="B323" s="846">
        <f t="shared" si="44"/>
        <v>323</v>
      </c>
      <c r="C323" s="843" t="s">
        <v>117</v>
      </c>
      <c r="D323" s="935">
        <v>0.05</v>
      </c>
      <c r="E323" s="940">
        <v>10000</v>
      </c>
      <c r="F323" s="937">
        <f t="shared" si="53"/>
        <v>0</v>
      </c>
      <c r="G323" s="938"/>
      <c r="H323" s="939">
        <v>0.05</v>
      </c>
      <c r="I323" s="940">
        <v>10000</v>
      </c>
      <c r="J323" s="937">
        <f t="shared" si="54"/>
        <v>0</v>
      </c>
      <c r="K323" s="943"/>
      <c r="P323" s="815"/>
      <c r="AD323" s="806"/>
      <c r="AE323" s="806"/>
      <c r="AF323" s="806"/>
      <c r="BP323" s="816"/>
      <c r="BQ323" s="817"/>
      <c r="BR323" s="818"/>
      <c r="BS323" s="818"/>
      <c r="BT323" s="819"/>
      <c r="BU323" s="820"/>
      <c r="BV323" s="817"/>
      <c r="BW323" s="817"/>
      <c r="BX323" s="817"/>
    </row>
    <row r="324" spans="2:76" ht="18" customHeight="1">
      <c r="B324" s="846">
        <f t="shared" si="44"/>
        <v>324</v>
      </c>
      <c r="C324" s="843" t="s">
        <v>117</v>
      </c>
      <c r="D324" s="935"/>
      <c r="E324" s="940"/>
      <c r="F324" s="937">
        <f t="shared" si="53"/>
        <v>0</v>
      </c>
      <c r="G324" s="938"/>
      <c r="H324" s="939"/>
      <c r="I324" s="940"/>
      <c r="J324" s="937">
        <f t="shared" si="54"/>
        <v>0</v>
      </c>
      <c r="K324" s="943"/>
      <c r="P324" s="815"/>
      <c r="AD324" s="806"/>
      <c r="AE324" s="806"/>
      <c r="AF324" s="806"/>
      <c r="BP324" s="816"/>
      <c r="BQ324" s="817"/>
      <c r="BR324" s="818"/>
      <c r="BS324" s="818"/>
      <c r="BT324" s="819"/>
      <c r="BU324" s="820"/>
      <c r="BV324" s="817"/>
      <c r="BW324" s="817"/>
      <c r="BX324" s="817"/>
    </row>
    <row r="325" spans="2:76" ht="18" customHeight="1">
      <c r="B325" s="846">
        <f t="shared" si="44"/>
        <v>325</v>
      </c>
      <c r="C325" s="843" t="s">
        <v>117</v>
      </c>
      <c r="D325" s="935"/>
      <c r="E325" s="940"/>
      <c r="F325" s="937">
        <f t="shared" si="53"/>
        <v>0</v>
      </c>
      <c r="G325" s="938"/>
      <c r="H325" s="939"/>
      <c r="I325" s="940"/>
      <c r="J325" s="937">
        <f t="shared" si="54"/>
        <v>0</v>
      </c>
      <c r="K325" s="943"/>
      <c r="P325" s="815"/>
      <c r="AD325" s="806"/>
      <c r="AE325" s="806"/>
      <c r="AF325" s="806"/>
      <c r="BP325" s="816"/>
      <c r="BQ325" s="817"/>
      <c r="BR325" s="818"/>
      <c r="BS325" s="818"/>
      <c r="BT325" s="819"/>
      <c r="BU325" s="820"/>
      <c r="BV325" s="817"/>
      <c r="BW325" s="817"/>
      <c r="BX325" s="817"/>
    </row>
    <row r="326" spans="2:76" ht="18" customHeight="1">
      <c r="B326" s="846">
        <f t="shared" si="44"/>
        <v>326</v>
      </c>
      <c r="C326" s="843" t="s">
        <v>117</v>
      </c>
      <c r="D326" s="935"/>
      <c r="E326" s="940"/>
      <c r="F326" s="937">
        <f t="shared" si="53"/>
        <v>0</v>
      </c>
      <c r="G326" s="938"/>
      <c r="H326" s="939"/>
      <c r="I326" s="940"/>
      <c r="J326" s="937">
        <f t="shared" si="54"/>
        <v>0</v>
      </c>
      <c r="K326" s="943"/>
      <c r="P326" s="815"/>
      <c r="AD326" s="806"/>
      <c r="AE326" s="806"/>
      <c r="AF326" s="806"/>
      <c r="BP326" s="816"/>
      <c r="BQ326" s="817"/>
      <c r="BR326" s="818"/>
      <c r="BS326" s="818"/>
      <c r="BT326" s="819"/>
      <c r="BU326" s="820"/>
      <c r="BV326" s="817"/>
      <c r="BW326" s="817"/>
      <c r="BX326" s="817"/>
    </row>
    <row r="327" spans="2:76" ht="18" customHeight="1">
      <c r="B327" s="846">
        <f t="shared" si="44"/>
        <v>327</v>
      </c>
      <c r="C327" s="843" t="s">
        <v>117</v>
      </c>
      <c r="D327" s="935"/>
      <c r="E327" s="940"/>
      <c r="F327" s="937">
        <f t="shared" si="53"/>
        <v>0</v>
      </c>
      <c r="G327" s="938"/>
      <c r="H327" s="939"/>
      <c r="I327" s="940"/>
      <c r="J327" s="937">
        <f t="shared" si="54"/>
        <v>0</v>
      </c>
      <c r="K327" s="943"/>
      <c r="P327" s="815"/>
      <c r="AD327" s="806"/>
      <c r="AE327" s="806"/>
      <c r="AF327" s="806"/>
      <c r="BP327" s="816"/>
      <c r="BQ327" s="817"/>
      <c r="BR327" s="818"/>
      <c r="BS327" s="818"/>
      <c r="BT327" s="819"/>
      <c r="BU327" s="820"/>
      <c r="BV327" s="817"/>
      <c r="BW327" s="817"/>
      <c r="BX327" s="817"/>
    </row>
    <row r="328" spans="2:76" ht="18" customHeight="1">
      <c r="B328" s="846">
        <f t="shared" si="44"/>
        <v>328</v>
      </c>
      <c r="C328" s="843" t="s">
        <v>117</v>
      </c>
      <c r="D328" s="935"/>
      <c r="E328" s="940"/>
      <c r="F328" s="937">
        <f t="shared" si="53"/>
        <v>0</v>
      </c>
      <c r="G328" s="938"/>
      <c r="H328" s="939"/>
      <c r="I328" s="940"/>
      <c r="J328" s="937">
        <f t="shared" si="54"/>
        <v>0</v>
      </c>
      <c r="K328" s="943"/>
      <c r="P328" s="815"/>
      <c r="AD328" s="806"/>
      <c r="AE328" s="806"/>
      <c r="AF328" s="806"/>
      <c r="BP328" s="816"/>
      <c r="BQ328" s="817"/>
      <c r="BR328" s="818"/>
      <c r="BS328" s="818"/>
      <c r="BT328" s="819"/>
      <c r="BU328" s="820"/>
      <c r="BV328" s="817"/>
      <c r="BW328" s="817"/>
      <c r="BX328" s="817"/>
    </row>
    <row r="329" spans="2:76" ht="18" customHeight="1">
      <c r="B329" s="846">
        <f t="shared" si="44"/>
        <v>329</v>
      </c>
      <c r="C329" s="843" t="s">
        <v>117</v>
      </c>
      <c r="D329" s="935"/>
      <c r="E329" s="940"/>
      <c r="F329" s="937">
        <f t="shared" si="53"/>
        <v>0</v>
      </c>
      <c r="G329" s="938"/>
      <c r="H329" s="939"/>
      <c r="I329" s="940"/>
      <c r="J329" s="937">
        <f t="shared" si="54"/>
        <v>0</v>
      </c>
      <c r="K329" s="943"/>
      <c r="P329" s="815"/>
      <c r="AD329" s="806"/>
      <c r="AE329" s="806"/>
      <c r="AF329" s="806"/>
      <c r="BP329" s="816"/>
      <c r="BQ329" s="817"/>
      <c r="BR329" s="818"/>
      <c r="BS329" s="818"/>
      <c r="BT329" s="819"/>
      <c r="BU329" s="820"/>
      <c r="BV329" s="817"/>
      <c r="BW329" s="817"/>
      <c r="BX329" s="817"/>
    </row>
    <row r="330" spans="2:76" ht="18" customHeight="1">
      <c r="B330" s="846">
        <f t="shared" ref="B330:B393" si="55">B329+1</f>
        <v>330</v>
      </c>
      <c r="C330" s="843" t="s">
        <v>117</v>
      </c>
      <c r="D330" s="935"/>
      <c r="E330" s="940"/>
      <c r="F330" s="937">
        <f t="shared" si="53"/>
        <v>0</v>
      </c>
      <c r="G330" s="938"/>
      <c r="H330" s="939"/>
      <c r="I330" s="940"/>
      <c r="J330" s="937">
        <f t="shared" si="54"/>
        <v>0</v>
      </c>
      <c r="K330" s="943"/>
      <c r="P330" s="815"/>
      <c r="AD330" s="806"/>
      <c r="AE330" s="806"/>
      <c r="AF330" s="806"/>
      <c r="BP330" s="816"/>
      <c r="BQ330" s="817"/>
      <c r="BR330" s="818"/>
      <c r="BS330" s="818"/>
      <c r="BT330" s="819"/>
      <c r="BU330" s="820"/>
      <c r="BV330" s="817"/>
      <c r="BW330" s="817"/>
      <c r="BX330" s="817"/>
    </row>
    <row r="331" spans="2:76" ht="18" customHeight="1">
      <c r="B331" s="847">
        <f t="shared" si="55"/>
        <v>331</v>
      </c>
      <c r="C331" s="848" t="s">
        <v>117</v>
      </c>
      <c r="D331" s="944"/>
      <c r="E331" s="957"/>
      <c r="F331" s="946"/>
      <c r="G331" s="947"/>
      <c r="H331" s="948"/>
      <c r="I331" s="957"/>
      <c r="J331" s="946"/>
      <c r="K331" s="950"/>
      <c r="P331" s="815"/>
      <c r="AD331" s="806"/>
      <c r="AE331" s="806"/>
      <c r="AF331" s="806"/>
      <c r="BP331" s="816"/>
      <c r="BQ331" s="817"/>
      <c r="BR331" s="818"/>
      <c r="BS331" s="818"/>
      <c r="BT331" s="819"/>
      <c r="BU331" s="820"/>
      <c r="BV331" s="817"/>
      <c r="BW331" s="817"/>
      <c r="BX331" s="817"/>
    </row>
    <row r="332" spans="2:76" s="451" customFormat="1" ht="18" customHeight="1">
      <c r="B332" s="849">
        <f t="shared" si="55"/>
        <v>332</v>
      </c>
      <c r="C332" s="849"/>
      <c r="D332" s="292"/>
      <c r="E332" s="777"/>
      <c r="F332" s="849"/>
      <c r="G332" s="849"/>
      <c r="H332" s="449"/>
      <c r="I332" s="777"/>
      <c r="J332" s="849"/>
      <c r="K332" s="448"/>
      <c r="P332" s="856"/>
      <c r="AD332" s="849"/>
      <c r="AE332" s="849"/>
      <c r="AF332" s="849"/>
      <c r="BP332" s="853"/>
      <c r="BQ332" s="853"/>
      <c r="BR332" s="854"/>
      <c r="BS332" s="854"/>
      <c r="BT332" s="857"/>
      <c r="BU332" s="855"/>
      <c r="BV332" s="853"/>
      <c r="BW332" s="853"/>
      <c r="BX332" s="853"/>
    </row>
    <row r="333" spans="2:76" ht="18" customHeight="1">
      <c r="B333" s="844">
        <f t="shared" si="55"/>
        <v>333</v>
      </c>
      <c r="C333" s="845" t="s">
        <v>118</v>
      </c>
      <c r="D333" s="928">
        <v>0</v>
      </c>
      <c r="E333" s="933">
        <v>0</v>
      </c>
      <c r="F333" s="930">
        <f>E334</f>
        <v>107</v>
      </c>
      <c r="G333" s="931">
        <v>12550</v>
      </c>
      <c r="H333" s="932">
        <v>0</v>
      </c>
      <c r="I333" s="933">
        <v>0</v>
      </c>
      <c r="J333" s="930">
        <f t="shared" ref="J333:J343" si="56">I334</f>
        <v>107</v>
      </c>
      <c r="K333" s="934">
        <v>25100</v>
      </c>
      <c r="P333" s="815"/>
      <c r="AD333" s="806"/>
      <c r="AE333" s="806"/>
      <c r="AF333" s="806"/>
      <c r="BP333" s="816"/>
      <c r="BQ333" s="817"/>
      <c r="BR333" s="818"/>
      <c r="BS333" s="818"/>
      <c r="BT333" s="819"/>
      <c r="BU333" s="820"/>
      <c r="BV333" s="817"/>
      <c r="BW333" s="817"/>
      <c r="BX333" s="817"/>
    </row>
    <row r="334" spans="2:76" ht="18" customHeight="1">
      <c r="B334" s="846">
        <f t="shared" si="55"/>
        <v>334</v>
      </c>
      <c r="C334" s="843" t="s">
        <v>118</v>
      </c>
      <c r="D334" s="935">
        <v>1.4999999999999999E-2</v>
      </c>
      <c r="E334" s="940">
        <v>107</v>
      </c>
      <c r="F334" s="937">
        <f t="shared" ref="F334:F343" si="57">E335</f>
        <v>1073</v>
      </c>
      <c r="G334" s="938"/>
      <c r="H334" s="939">
        <v>1.4999999999999999E-2</v>
      </c>
      <c r="I334" s="940">
        <v>107</v>
      </c>
      <c r="J334" s="937">
        <f t="shared" si="56"/>
        <v>1073</v>
      </c>
      <c r="K334" s="943"/>
      <c r="P334" s="815"/>
      <c r="AD334" s="806"/>
      <c r="AE334" s="806"/>
      <c r="AF334" s="806"/>
      <c r="BP334" s="816"/>
      <c r="BQ334" s="817"/>
      <c r="BR334" s="818"/>
      <c r="BS334" s="818"/>
      <c r="BT334" s="819"/>
      <c r="BU334" s="820"/>
      <c r="BV334" s="817"/>
      <c r="BW334" s="817"/>
      <c r="BX334" s="817"/>
    </row>
    <row r="335" spans="2:76" ht="18" customHeight="1">
      <c r="B335" s="846">
        <f t="shared" si="55"/>
        <v>335</v>
      </c>
      <c r="C335" s="843" t="s">
        <v>118</v>
      </c>
      <c r="D335" s="935">
        <v>0.02</v>
      </c>
      <c r="E335" s="940">
        <v>1073</v>
      </c>
      <c r="F335" s="937">
        <f t="shared" si="57"/>
        <v>2146</v>
      </c>
      <c r="G335" s="938"/>
      <c r="H335" s="939">
        <v>0.02</v>
      </c>
      <c r="I335" s="940">
        <v>1073</v>
      </c>
      <c r="J335" s="937">
        <f t="shared" si="56"/>
        <v>2146</v>
      </c>
      <c r="K335" s="943"/>
      <c r="AD335" s="806"/>
      <c r="AE335" s="806"/>
      <c r="AF335" s="806"/>
      <c r="BP335" s="816"/>
      <c r="BQ335" s="817"/>
      <c r="BR335" s="818"/>
      <c r="BS335" s="818"/>
      <c r="BT335" s="819"/>
      <c r="BU335" s="820"/>
      <c r="BV335" s="817"/>
      <c r="BW335" s="817"/>
      <c r="BX335" s="817"/>
    </row>
    <row r="336" spans="2:76" ht="18" customHeight="1">
      <c r="B336" s="846">
        <f t="shared" si="55"/>
        <v>336</v>
      </c>
      <c r="C336" s="843" t="s">
        <v>118</v>
      </c>
      <c r="D336" s="935">
        <v>2.5000000000000001E-2</v>
      </c>
      <c r="E336" s="940">
        <v>2146</v>
      </c>
      <c r="F336" s="937">
        <f t="shared" si="57"/>
        <v>3219</v>
      </c>
      <c r="G336" s="938"/>
      <c r="H336" s="939">
        <v>2.5000000000000001E-2</v>
      </c>
      <c r="I336" s="940">
        <v>2146</v>
      </c>
      <c r="J336" s="937">
        <f t="shared" si="56"/>
        <v>3219</v>
      </c>
      <c r="K336" s="943"/>
      <c r="P336" s="815"/>
      <c r="AD336" s="806"/>
      <c r="AE336" s="806"/>
      <c r="AF336" s="806"/>
      <c r="BP336" s="816"/>
      <c r="BQ336" s="817"/>
      <c r="BR336" s="818"/>
      <c r="BS336" s="818"/>
      <c r="BT336" s="819"/>
      <c r="BU336" s="820"/>
      <c r="BV336" s="817"/>
      <c r="BW336" s="817"/>
      <c r="BX336" s="817"/>
    </row>
    <row r="337" spans="2:76" ht="18" customHeight="1">
      <c r="B337" s="846">
        <f t="shared" si="55"/>
        <v>337</v>
      </c>
      <c r="C337" s="843" t="s">
        <v>118</v>
      </c>
      <c r="D337" s="935">
        <v>0.03</v>
      </c>
      <c r="E337" s="940">
        <v>3219</v>
      </c>
      <c r="F337" s="937">
        <f t="shared" si="57"/>
        <v>4292</v>
      </c>
      <c r="G337" s="938"/>
      <c r="H337" s="939">
        <v>0.03</v>
      </c>
      <c r="I337" s="940">
        <v>3219</v>
      </c>
      <c r="J337" s="937">
        <f t="shared" si="56"/>
        <v>4292</v>
      </c>
      <c r="K337" s="943"/>
      <c r="P337" s="815"/>
      <c r="AD337" s="806"/>
      <c r="AE337" s="806"/>
      <c r="AF337" s="806"/>
      <c r="BP337" s="816"/>
      <c r="BQ337" s="817"/>
      <c r="BR337" s="818"/>
      <c r="BS337" s="818"/>
      <c r="BT337" s="819"/>
      <c r="BU337" s="820"/>
      <c r="BV337" s="817"/>
      <c r="BW337" s="817"/>
      <c r="BX337" s="817"/>
    </row>
    <row r="338" spans="2:76" ht="18" customHeight="1">
      <c r="B338" s="846">
        <f t="shared" si="55"/>
        <v>338</v>
      </c>
      <c r="C338" s="843" t="s">
        <v>118</v>
      </c>
      <c r="D338" s="935">
        <v>3.5000000000000003E-2</v>
      </c>
      <c r="E338" s="940">
        <v>4292</v>
      </c>
      <c r="F338" s="937">
        <f t="shared" si="57"/>
        <v>5365</v>
      </c>
      <c r="G338" s="938"/>
      <c r="H338" s="939">
        <v>3.5000000000000003E-2</v>
      </c>
      <c r="I338" s="940">
        <v>4292</v>
      </c>
      <c r="J338" s="937">
        <f t="shared" si="56"/>
        <v>5365</v>
      </c>
      <c r="K338" s="943"/>
      <c r="P338" s="815"/>
      <c r="AD338" s="806"/>
      <c r="AE338" s="806"/>
      <c r="AF338" s="806"/>
      <c r="BP338" s="816"/>
      <c r="BQ338" s="817"/>
      <c r="BR338" s="818"/>
      <c r="BS338" s="818"/>
      <c r="BT338" s="819"/>
      <c r="BU338" s="820"/>
      <c r="BV338" s="817"/>
      <c r="BW338" s="817"/>
      <c r="BX338" s="817"/>
    </row>
    <row r="339" spans="2:76" ht="18" customHeight="1">
      <c r="B339" s="846">
        <f t="shared" si="55"/>
        <v>339</v>
      </c>
      <c r="C339" s="843" t="s">
        <v>118</v>
      </c>
      <c r="D339" s="935">
        <v>0.04</v>
      </c>
      <c r="E339" s="940">
        <v>5365</v>
      </c>
      <c r="F339" s="937">
        <f t="shared" si="57"/>
        <v>6438</v>
      </c>
      <c r="G339" s="938"/>
      <c r="H339" s="939">
        <v>0.04</v>
      </c>
      <c r="I339" s="940">
        <v>5365</v>
      </c>
      <c r="J339" s="937">
        <f t="shared" si="56"/>
        <v>6438</v>
      </c>
      <c r="K339" s="943"/>
      <c r="P339" s="815"/>
      <c r="AD339" s="806"/>
      <c r="AE339" s="806"/>
      <c r="AF339" s="806"/>
      <c r="BP339" s="816"/>
      <c r="BQ339" s="817"/>
      <c r="BR339" s="818"/>
      <c r="BS339" s="818"/>
      <c r="BT339" s="819"/>
      <c r="BU339" s="820"/>
      <c r="BV339" s="817"/>
      <c r="BW339" s="817"/>
      <c r="BX339" s="817"/>
    </row>
    <row r="340" spans="2:76" ht="18" customHeight="1">
      <c r="B340" s="846">
        <f t="shared" si="55"/>
        <v>340</v>
      </c>
      <c r="C340" s="843" t="s">
        <v>118</v>
      </c>
      <c r="D340" s="935">
        <v>4.4999999999999998E-2</v>
      </c>
      <c r="E340" s="940">
        <v>6438</v>
      </c>
      <c r="F340" s="937">
        <f t="shared" si="57"/>
        <v>7511</v>
      </c>
      <c r="G340" s="938"/>
      <c r="H340" s="939">
        <v>4.4999999999999998E-2</v>
      </c>
      <c r="I340" s="940">
        <v>6438</v>
      </c>
      <c r="J340" s="937">
        <f t="shared" si="56"/>
        <v>7511</v>
      </c>
      <c r="K340" s="943"/>
      <c r="P340" s="815"/>
      <c r="AD340" s="806"/>
      <c r="AE340" s="806"/>
      <c r="AF340" s="806"/>
      <c r="BP340" s="816"/>
      <c r="BQ340" s="817"/>
      <c r="BR340" s="818"/>
      <c r="BS340" s="818"/>
      <c r="BT340" s="819"/>
      <c r="BU340" s="820"/>
      <c r="BV340" s="817"/>
      <c r="BW340" s="817"/>
      <c r="BX340" s="817"/>
    </row>
    <row r="341" spans="2:76" ht="18" customHeight="1">
      <c r="B341" s="846">
        <f t="shared" si="55"/>
        <v>341</v>
      </c>
      <c r="C341" s="843" t="s">
        <v>118</v>
      </c>
      <c r="D341" s="935">
        <v>0.05</v>
      </c>
      <c r="E341" s="940">
        <v>7511</v>
      </c>
      <c r="F341" s="937">
        <f t="shared" si="57"/>
        <v>8584</v>
      </c>
      <c r="G341" s="938"/>
      <c r="H341" s="939">
        <v>0.05</v>
      </c>
      <c r="I341" s="940">
        <v>7511</v>
      </c>
      <c r="J341" s="937">
        <f t="shared" si="56"/>
        <v>8584</v>
      </c>
      <c r="K341" s="943"/>
      <c r="P341" s="821"/>
      <c r="S341" s="811"/>
      <c r="AD341" s="806"/>
      <c r="AE341" s="806"/>
      <c r="AF341" s="806"/>
      <c r="BP341" s="816"/>
      <c r="BQ341" s="817"/>
      <c r="BR341" s="818"/>
      <c r="BS341" s="818"/>
      <c r="BT341" s="819"/>
      <c r="BU341" s="820"/>
      <c r="BV341" s="817"/>
      <c r="BW341" s="817"/>
      <c r="BX341" s="817"/>
    </row>
    <row r="342" spans="2:76" ht="18" customHeight="1">
      <c r="B342" s="846">
        <f t="shared" si="55"/>
        <v>342</v>
      </c>
      <c r="C342" s="843" t="s">
        <v>118</v>
      </c>
      <c r="D342" s="935">
        <v>5.3999999999999999E-2</v>
      </c>
      <c r="E342" s="940">
        <v>8584</v>
      </c>
      <c r="F342" s="937">
        <f t="shared" si="57"/>
        <v>0</v>
      </c>
      <c r="G342" s="938"/>
      <c r="H342" s="939">
        <v>5.3999999999999999E-2</v>
      </c>
      <c r="I342" s="940">
        <v>8584</v>
      </c>
      <c r="J342" s="937">
        <f t="shared" si="56"/>
        <v>0</v>
      </c>
      <c r="K342" s="943"/>
      <c r="P342" s="815"/>
      <c r="AD342" s="806"/>
      <c r="AE342" s="806"/>
      <c r="AF342" s="806"/>
      <c r="BP342" s="816"/>
      <c r="BQ342" s="817"/>
      <c r="BR342" s="818"/>
      <c r="BS342" s="818"/>
      <c r="BT342" s="819"/>
      <c r="BU342" s="820"/>
      <c r="BV342" s="817"/>
      <c r="BW342" s="817"/>
      <c r="BX342" s="817"/>
    </row>
    <row r="343" spans="2:76" ht="18" customHeight="1">
      <c r="B343" s="846">
        <f t="shared" si="55"/>
        <v>343</v>
      </c>
      <c r="C343" s="843" t="s">
        <v>118</v>
      </c>
      <c r="D343" s="935"/>
      <c r="E343" s="940"/>
      <c r="F343" s="937">
        <f t="shared" si="57"/>
        <v>0</v>
      </c>
      <c r="G343" s="938"/>
      <c r="H343" s="939"/>
      <c r="I343" s="940"/>
      <c r="J343" s="937">
        <f t="shared" si="56"/>
        <v>0</v>
      </c>
      <c r="K343" s="943"/>
      <c r="P343" s="815"/>
      <c r="AD343" s="806"/>
      <c r="AE343" s="806"/>
      <c r="AF343" s="806"/>
      <c r="BP343" s="816"/>
      <c r="BQ343" s="817"/>
      <c r="BR343" s="818"/>
      <c r="BS343" s="818"/>
      <c r="BT343" s="819"/>
      <c r="BU343" s="820"/>
      <c r="BV343" s="817"/>
      <c r="BW343" s="817"/>
      <c r="BX343" s="817"/>
    </row>
    <row r="344" spans="2:76" ht="18" customHeight="1">
      <c r="B344" s="847">
        <f t="shared" si="55"/>
        <v>344</v>
      </c>
      <c r="C344" s="848" t="s">
        <v>118</v>
      </c>
      <c r="D344" s="944"/>
      <c r="E344" s="957"/>
      <c r="F344" s="946"/>
      <c r="G344" s="947"/>
      <c r="H344" s="948"/>
      <c r="I344" s="957"/>
      <c r="J344" s="946"/>
      <c r="K344" s="950"/>
      <c r="P344" s="815"/>
      <c r="AD344" s="806"/>
      <c r="AE344" s="806"/>
      <c r="AF344" s="806"/>
      <c r="BP344" s="816"/>
      <c r="BQ344" s="817"/>
      <c r="BR344" s="818"/>
      <c r="BS344" s="818"/>
      <c r="BT344" s="819"/>
      <c r="BU344" s="820"/>
      <c r="BV344" s="817"/>
      <c r="BW344" s="817"/>
      <c r="BX344" s="817"/>
    </row>
    <row r="345" spans="2:76" s="451" customFormat="1" ht="18" customHeight="1">
      <c r="B345" s="849">
        <f t="shared" si="55"/>
        <v>345</v>
      </c>
      <c r="C345" s="849"/>
      <c r="D345" s="292"/>
      <c r="E345" s="777"/>
      <c r="F345" s="849"/>
      <c r="G345" s="849"/>
      <c r="H345" s="449"/>
      <c r="I345" s="777"/>
      <c r="J345" s="849"/>
      <c r="K345" s="448"/>
      <c r="P345" s="856"/>
      <c r="AD345" s="849"/>
      <c r="AE345" s="849"/>
      <c r="AF345" s="849"/>
      <c r="BP345" s="853"/>
      <c r="BQ345" s="853"/>
      <c r="BR345" s="854"/>
      <c r="BS345" s="854"/>
      <c r="BT345" s="857"/>
      <c r="BU345" s="855"/>
      <c r="BV345" s="853"/>
      <c r="BW345" s="853"/>
      <c r="BX345" s="853"/>
    </row>
    <row r="346" spans="2:76" ht="18" customHeight="1">
      <c r="B346" s="844">
        <f t="shared" si="55"/>
        <v>346</v>
      </c>
      <c r="C346" s="845" t="s">
        <v>119</v>
      </c>
      <c r="D346" s="928">
        <v>0.01</v>
      </c>
      <c r="E346" s="933">
        <v>0</v>
      </c>
      <c r="F346" s="930">
        <f t="shared" ref="F346:F356" si="58">E347</f>
        <v>3100</v>
      </c>
      <c r="G346" s="931">
        <v>4790</v>
      </c>
      <c r="H346" s="932">
        <v>0.01</v>
      </c>
      <c r="I346" s="933">
        <v>0</v>
      </c>
      <c r="J346" s="930">
        <f t="shared" ref="J346:J356" si="59">I347</f>
        <v>3100</v>
      </c>
      <c r="K346" s="934">
        <v>9580</v>
      </c>
      <c r="P346" s="815"/>
      <c r="AD346" s="806"/>
      <c r="AE346" s="806"/>
      <c r="AF346" s="806"/>
      <c r="BP346" s="816"/>
      <c r="BQ346" s="817"/>
      <c r="BR346" s="818"/>
      <c r="BS346" s="818"/>
      <c r="BT346" s="819"/>
      <c r="BU346" s="820"/>
      <c r="BV346" s="817"/>
      <c r="BW346" s="817"/>
      <c r="BX346" s="817"/>
    </row>
    <row r="347" spans="2:76" ht="18" customHeight="1">
      <c r="B347" s="846">
        <f t="shared" si="55"/>
        <v>347</v>
      </c>
      <c r="C347" s="843" t="s">
        <v>119</v>
      </c>
      <c r="D347" s="935">
        <v>0.02</v>
      </c>
      <c r="E347" s="940">
        <v>3100</v>
      </c>
      <c r="F347" s="937">
        <f t="shared" si="58"/>
        <v>5500</v>
      </c>
      <c r="G347" s="938"/>
      <c r="H347" s="939">
        <v>0.02</v>
      </c>
      <c r="I347" s="940">
        <v>3100</v>
      </c>
      <c r="J347" s="937">
        <f t="shared" si="59"/>
        <v>5500</v>
      </c>
      <c r="K347" s="943"/>
      <c r="P347" s="815"/>
      <c r="AD347" s="806"/>
      <c r="AE347" s="806"/>
      <c r="AF347" s="806"/>
      <c r="BP347" s="816"/>
      <c r="BQ347" s="817"/>
      <c r="BR347" s="818"/>
      <c r="BS347" s="818"/>
      <c r="BT347" s="819"/>
      <c r="BU347" s="820"/>
      <c r="BV347" s="817"/>
      <c r="BW347" s="817"/>
      <c r="BX347" s="817"/>
    </row>
    <row r="348" spans="2:76" ht="18" customHeight="1">
      <c r="B348" s="846">
        <f t="shared" si="55"/>
        <v>348</v>
      </c>
      <c r="C348" s="843" t="s">
        <v>119</v>
      </c>
      <c r="D348" s="935">
        <v>0.03</v>
      </c>
      <c r="E348" s="940">
        <v>5500</v>
      </c>
      <c r="F348" s="937">
        <f t="shared" si="58"/>
        <v>8400</v>
      </c>
      <c r="G348" s="938"/>
      <c r="H348" s="939">
        <v>0.03</v>
      </c>
      <c r="I348" s="940">
        <v>5500</v>
      </c>
      <c r="J348" s="937">
        <f t="shared" si="59"/>
        <v>8400</v>
      </c>
      <c r="K348" s="943"/>
      <c r="P348" s="815"/>
      <c r="AD348" s="806"/>
      <c r="AE348" s="806"/>
      <c r="AF348" s="806"/>
      <c r="BP348" s="816"/>
      <c r="BQ348" s="817"/>
      <c r="BR348" s="818"/>
      <c r="BS348" s="818"/>
      <c r="BT348" s="819"/>
      <c r="BU348" s="820"/>
      <c r="BV348" s="817"/>
      <c r="BW348" s="817"/>
      <c r="BX348" s="817"/>
    </row>
    <row r="349" spans="2:76" ht="18" customHeight="1">
      <c r="B349" s="846">
        <f t="shared" si="55"/>
        <v>349</v>
      </c>
      <c r="C349" s="843" t="s">
        <v>119</v>
      </c>
      <c r="D349" s="935">
        <v>0.04</v>
      </c>
      <c r="E349" s="940">
        <v>8400</v>
      </c>
      <c r="F349" s="937">
        <f t="shared" si="58"/>
        <v>11300</v>
      </c>
      <c r="G349" s="938"/>
      <c r="H349" s="939">
        <v>0.04</v>
      </c>
      <c r="I349" s="940">
        <v>8400</v>
      </c>
      <c r="J349" s="937">
        <f t="shared" si="59"/>
        <v>11300</v>
      </c>
      <c r="K349" s="943"/>
      <c r="P349" s="815"/>
      <c r="AD349" s="806"/>
      <c r="AE349" s="806"/>
      <c r="AF349" s="806"/>
      <c r="BP349" s="816"/>
      <c r="BQ349" s="817"/>
      <c r="BR349" s="818"/>
      <c r="BS349" s="818"/>
      <c r="BT349" s="819"/>
      <c r="BU349" s="820"/>
      <c r="BV349" s="817"/>
      <c r="BW349" s="817"/>
      <c r="BX349" s="817"/>
    </row>
    <row r="350" spans="2:76" ht="18" customHeight="1">
      <c r="B350" s="846">
        <f t="shared" si="55"/>
        <v>350</v>
      </c>
      <c r="C350" s="843" t="s">
        <v>119</v>
      </c>
      <c r="D350" s="935">
        <v>0.05</v>
      </c>
      <c r="E350" s="940">
        <v>11300</v>
      </c>
      <c r="F350" s="937">
        <f t="shared" si="58"/>
        <v>14500</v>
      </c>
      <c r="G350" s="938"/>
      <c r="H350" s="939">
        <v>0.05</v>
      </c>
      <c r="I350" s="940">
        <v>11300</v>
      </c>
      <c r="J350" s="937">
        <f t="shared" si="59"/>
        <v>14500</v>
      </c>
      <c r="K350" s="943"/>
      <c r="P350" s="815"/>
      <c r="AD350" s="806"/>
      <c r="AE350" s="806"/>
      <c r="AF350" s="806"/>
      <c r="BP350" s="816"/>
      <c r="BQ350" s="817"/>
      <c r="BR350" s="818"/>
      <c r="BS350" s="818"/>
      <c r="BT350" s="819"/>
      <c r="BU350" s="820"/>
      <c r="BV350" s="817"/>
      <c r="BW350" s="817"/>
      <c r="BX350" s="817"/>
    </row>
    <row r="351" spans="2:76" ht="18" customHeight="1">
      <c r="B351" s="846">
        <f t="shared" si="55"/>
        <v>351</v>
      </c>
      <c r="C351" s="843" t="s">
        <v>119</v>
      </c>
      <c r="D351" s="935">
        <v>0.06</v>
      </c>
      <c r="E351" s="940">
        <v>14500</v>
      </c>
      <c r="F351" s="937">
        <f t="shared" si="58"/>
        <v>18700</v>
      </c>
      <c r="G351" s="938"/>
      <c r="H351" s="939">
        <v>0.06</v>
      </c>
      <c r="I351" s="940">
        <v>14500</v>
      </c>
      <c r="J351" s="937">
        <f t="shared" si="59"/>
        <v>18700</v>
      </c>
      <c r="K351" s="943"/>
      <c r="P351" s="821"/>
      <c r="S351" s="811"/>
      <c r="AD351" s="806"/>
      <c r="AE351" s="806"/>
      <c r="AF351" s="806"/>
      <c r="BP351" s="816"/>
      <c r="BQ351" s="817"/>
      <c r="BR351" s="818"/>
      <c r="BS351" s="818"/>
      <c r="BT351" s="819"/>
      <c r="BU351" s="820"/>
      <c r="BV351" s="817"/>
      <c r="BW351" s="817"/>
      <c r="BX351" s="817"/>
    </row>
    <row r="352" spans="2:76" ht="18" customHeight="1">
      <c r="B352" s="846">
        <f t="shared" si="55"/>
        <v>352</v>
      </c>
      <c r="C352" s="843" t="s">
        <v>119</v>
      </c>
      <c r="D352" s="935">
        <v>6.9000000000000006E-2</v>
      </c>
      <c r="E352" s="940">
        <v>18700</v>
      </c>
      <c r="F352" s="937">
        <f t="shared" si="58"/>
        <v>0</v>
      </c>
      <c r="G352" s="938"/>
      <c r="H352" s="939">
        <v>6.9000000000000006E-2</v>
      </c>
      <c r="I352" s="940">
        <v>18700</v>
      </c>
      <c r="J352" s="937">
        <f t="shared" si="59"/>
        <v>0</v>
      </c>
      <c r="K352" s="943"/>
      <c r="P352" s="811"/>
      <c r="S352" s="811"/>
      <c r="AD352" s="806"/>
      <c r="AE352" s="806"/>
      <c r="AF352" s="806"/>
      <c r="BP352" s="816"/>
      <c r="BQ352" s="817"/>
      <c r="BR352" s="818"/>
      <c r="BS352" s="818"/>
      <c r="BT352" s="817"/>
      <c r="BU352" s="820"/>
      <c r="BV352" s="817"/>
      <c r="BW352" s="817"/>
      <c r="BX352" s="817"/>
    </row>
    <row r="353" spans="2:76" ht="18" customHeight="1">
      <c r="B353" s="846">
        <f t="shared" si="55"/>
        <v>353</v>
      </c>
      <c r="C353" s="843" t="s">
        <v>119</v>
      </c>
      <c r="D353" s="935"/>
      <c r="E353" s="940"/>
      <c r="F353" s="937">
        <f t="shared" si="58"/>
        <v>0</v>
      </c>
      <c r="G353" s="938"/>
      <c r="H353" s="939"/>
      <c r="I353" s="940"/>
      <c r="J353" s="937">
        <f t="shared" si="59"/>
        <v>0</v>
      </c>
      <c r="K353" s="943"/>
      <c r="P353" s="811"/>
      <c r="S353" s="811"/>
      <c r="AD353" s="806"/>
      <c r="AE353" s="806"/>
      <c r="AF353" s="806"/>
      <c r="BP353" s="816"/>
      <c r="BQ353" s="817"/>
      <c r="BR353" s="818"/>
      <c r="BS353" s="818"/>
      <c r="BT353" s="817"/>
      <c r="BU353" s="820"/>
      <c r="BV353" s="817"/>
      <c r="BW353" s="817"/>
      <c r="BX353" s="817"/>
    </row>
    <row r="354" spans="2:76" ht="18" customHeight="1">
      <c r="B354" s="846">
        <f t="shared" si="55"/>
        <v>354</v>
      </c>
      <c r="C354" s="843" t="s">
        <v>119</v>
      </c>
      <c r="D354" s="935"/>
      <c r="E354" s="940"/>
      <c r="F354" s="937">
        <f t="shared" si="58"/>
        <v>0</v>
      </c>
      <c r="G354" s="938"/>
      <c r="H354" s="939"/>
      <c r="I354" s="940"/>
      <c r="J354" s="937">
        <f t="shared" si="59"/>
        <v>0</v>
      </c>
      <c r="K354" s="943"/>
      <c r="P354" s="811"/>
      <c r="S354" s="811"/>
      <c r="AD354" s="806"/>
      <c r="AE354" s="806"/>
      <c r="AF354" s="806"/>
      <c r="BP354" s="816"/>
      <c r="BQ354" s="817"/>
      <c r="BR354" s="818"/>
      <c r="BS354" s="818"/>
      <c r="BT354" s="817"/>
      <c r="BU354" s="820"/>
      <c r="BV354" s="817"/>
      <c r="BW354" s="817"/>
      <c r="BX354" s="817"/>
    </row>
    <row r="355" spans="2:76" ht="18" customHeight="1">
      <c r="B355" s="846">
        <f t="shared" si="55"/>
        <v>355</v>
      </c>
      <c r="C355" s="843" t="s">
        <v>119</v>
      </c>
      <c r="D355" s="935"/>
      <c r="E355" s="940"/>
      <c r="F355" s="937">
        <f t="shared" si="58"/>
        <v>0</v>
      </c>
      <c r="G355" s="938"/>
      <c r="H355" s="939"/>
      <c r="I355" s="940"/>
      <c r="J355" s="937">
        <f t="shared" si="59"/>
        <v>0</v>
      </c>
      <c r="K355" s="943"/>
      <c r="P355" s="811"/>
      <c r="S355" s="811"/>
      <c r="AD355" s="806"/>
      <c r="AE355" s="806"/>
      <c r="AF355" s="806"/>
      <c r="BP355" s="816"/>
      <c r="BQ355" s="817"/>
      <c r="BR355" s="818"/>
      <c r="BS355" s="818"/>
      <c r="BT355" s="817"/>
      <c r="BU355" s="820"/>
      <c r="BV355" s="817"/>
      <c r="BW355" s="817"/>
      <c r="BX355" s="817"/>
    </row>
    <row r="356" spans="2:76" ht="18" customHeight="1">
      <c r="B356" s="846">
        <f t="shared" si="55"/>
        <v>356</v>
      </c>
      <c r="C356" s="843" t="s">
        <v>119</v>
      </c>
      <c r="D356" s="935"/>
      <c r="E356" s="940"/>
      <c r="F356" s="937">
        <f t="shared" si="58"/>
        <v>0</v>
      </c>
      <c r="G356" s="938"/>
      <c r="H356" s="939"/>
      <c r="I356" s="940"/>
      <c r="J356" s="937">
        <f t="shared" si="59"/>
        <v>0</v>
      </c>
      <c r="K356" s="943"/>
      <c r="P356" s="811"/>
      <c r="S356" s="811"/>
      <c r="AD356" s="806"/>
      <c r="AE356" s="806"/>
      <c r="AF356" s="806"/>
      <c r="BP356" s="816"/>
      <c r="BQ356" s="817"/>
      <c r="BR356" s="818"/>
      <c r="BS356" s="818"/>
      <c r="BT356" s="817"/>
      <c r="BU356" s="820"/>
      <c r="BV356" s="817"/>
      <c r="BW356" s="817"/>
      <c r="BX356" s="817"/>
    </row>
    <row r="357" spans="2:76" ht="18" customHeight="1">
      <c r="B357" s="847">
        <f t="shared" si="55"/>
        <v>357</v>
      </c>
      <c r="C357" s="848" t="s">
        <v>119</v>
      </c>
      <c r="D357" s="944"/>
      <c r="E357" s="957"/>
      <c r="F357" s="946"/>
      <c r="G357" s="947"/>
      <c r="H357" s="948"/>
      <c r="I357" s="957"/>
      <c r="J357" s="946"/>
      <c r="K357" s="950"/>
      <c r="P357" s="811"/>
      <c r="S357" s="811"/>
      <c r="AD357" s="806"/>
      <c r="AE357" s="806"/>
      <c r="AF357" s="806"/>
      <c r="BP357" s="816"/>
      <c r="BQ357" s="817"/>
      <c r="BR357" s="818"/>
      <c r="BS357" s="818"/>
      <c r="BT357" s="817"/>
      <c r="BU357" s="820"/>
      <c r="BV357" s="817"/>
      <c r="BW357" s="817"/>
      <c r="BX357" s="817"/>
    </row>
    <row r="358" spans="2:76" s="451" customFormat="1" ht="18" customHeight="1">
      <c r="B358" s="849">
        <f t="shared" si="55"/>
        <v>358</v>
      </c>
      <c r="C358" s="849"/>
      <c r="D358" s="292"/>
      <c r="E358" s="777"/>
      <c r="F358" s="849"/>
      <c r="G358" s="849"/>
      <c r="H358" s="449"/>
      <c r="I358" s="777"/>
      <c r="J358" s="849"/>
      <c r="K358" s="448"/>
      <c r="P358" s="851"/>
      <c r="S358" s="851"/>
      <c r="AD358" s="849"/>
      <c r="AE358" s="849"/>
      <c r="AF358" s="849"/>
      <c r="BP358" s="853"/>
      <c r="BQ358" s="853"/>
      <c r="BR358" s="854"/>
      <c r="BS358" s="854"/>
      <c r="BT358" s="853"/>
      <c r="BU358" s="855"/>
      <c r="BV358" s="853"/>
      <c r="BW358" s="853"/>
      <c r="BX358" s="853"/>
    </row>
    <row r="359" spans="2:76" ht="18" customHeight="1">
      <c r="B359" s="844">
        <f t="shared" si="55"/>
        <v>359</v>
      </c>
      <c r="C359" s="845" t="s">
        <v>120</v>
      </c>
      <c r="D359" s="928">
        <v>2.46E-2</v>
      </c>
      <c r="E359" s="933">
        <v>0</v>
      </c>
      <c r="F359" s="930">
        <f t="shared" ref="F359:F369" si="60">E360</f>
        <v>3340</v>
      </c>
      <c r="G359" s="931">
        <v>7100</v>
      </c>
      <c r="H359" s="932">
        <v>2.46E-2</v>
      </c>
      <c r="I359" s="933">
        <v>0</v>
      </c>
      <c r="J359" s="930">
        <f t="shared" ref="J359:J369" si="61">I360</f>
        <v>6600</v>
      </c>
      <c r="K359" s="934">
        <v>14200</v>
      </c>
      <c r="P359" s="811"/>
      <c r="S359" s="811"/>
      <c r="AD359" s="806"/>
      <c r="AE359" s="806"/>
      <c r="AF359" s="806"/>
      <c r="BP359" s="816"/>
      <c r="BQ359" s="817"/>
      <c r="BR359" s="818"/>
      <c r="BS359" s="818"/>
      <c r="BT359" s="817"/>
      <c r="BU359" s="820"/>
      <c r="BV359" s="817"/>
      <c r="BW359" s="817"/>
      <c r="BX359" s="817"/>
    </row>
    <row r="360" spans="2:76" ht="18" customHeight="1">
      <c r="B360" s="846">
        <f t="shared" si="55"/>
        <v>360</v>
      </c>
      <c r="C360" s="843" t="s">
        <v>120</v>
      </c>
      <c r="D360" s="935">
        <v>3.5099999999999999E-2</v>
      </c>
      <c r="E360" s="940">
        <v>3340</v>
      </c>
      <c r="F360" s="937">
        <f t="shared" si="60"/>
        <v>19990</v>
      </c>
      <c r="G360" s="938"/>
      <c r="H360" s="939">
        <v>3.5099999999999999E-2</v>
      </c>
      <c r="I360" s="940">
        <v>6600</v>
      </c>
      <c r="J360" s="937">
        <f t="shared" si="61"/>
        <v>39990</v>
      </c>
      <c r="K360" s="943"/>
      <c r="P360" s="811"/>
      <c r="S360" s="811"/>
      <c r="AD360" s="806"/>
      <c r="AE360" s="806"/>
      <c r="AF360" s="806"/>
      <c r="BP360" s="816"/>
      <c r="BQ360" s="817"/>
      <c r="BR360" s="818"/>
      <c r="BS360" s="818"/>
      <c r="BT360" s="817"/>
      <c r="BU360" s="820"/>
      <c r="BV360" s="817"/>
      <c r="BW360" s="817"/>
      <c r="BX360" s="817"/>
    </row>
    <row r="361" spans="2:76" ht="18" customHeight="1">
      <c r="B361" s="846">
        <f t="shared" si="55"/>
        <v>361</v>
      </c>
      <c r="C361" s="843" t="s">
        <v>120</v>
      </c>
      <c r="D361" s="935">
        <v>5.0099999999999999E-2</v>
      </c>
      <c r="E361" s="940">
        <v>19990</v>
      </c>
      <c r="F361" s="937">
        <f t="shared" si="60"/>
        <v>32210</v>
      </c>
      <c r="G361" s="938"/>
      <c r="H361" s="939">
        <v>5.0099999999999999E-2</v>
      </c>
      <c r="I361" s="940">
        <v>39990</v>
      </c>
      <c r="J361" s="937">
        <f t="shared" si="61"/>
        <v>64430</v>
      </c>
      <c r="K361" s="943"/>
      <c r="P361" s="811"/>
      <c r="S361" s="811"/>
      <c r="AD361" s="806"/>
      <c r="AE361" s="806"/>
      <c r="AF361" s="806"/>
      <c r="BP361" s="1"/>
      <c r="BR361" s="806"/>
      <c r="BS361" s="806"/>
      <c r="BT361" s="811"/>
      <c r="BU361" s="812"/>
    </row>
    <row r="362" spans="2:76" ht="18" customHeight="1">
      <c r="B362" s="846">
        <f t="shared" si="55"/>
        <v>362</v>
      </c>
      <c r="C362" s="843" t="s">
        <v>120</v>
      </c>
      <c r="D362" s="935">
        <v>6.8400000000000002E-2</v>
      </c>
      <c r="E362" s="940">
        <v>32210</v>
      </c>
      <c r="F362" s="937">
        <f t="shared" si="60"/>
        <v>0</v>
      </c>
      <c r="G362" s="938"/>
      <c r="H362" s="939">
        <v>6.8400000000000002E-2</v>
      </c>
      <c r="I362" s="940">
        <v>64430</v>
      </c>
      <c r="J362" s="937">
        <f t="shared" si="61"/>
        <v>0</v>
      </c>
      <c r="K362" s="943"/>
      <c r="P362" s="811"/>
      <c r="S362" s="811"/>
      <c r="AD362" s="806"/>
      <c r="AE362" s="806"/>
      <c r="AF362" s="806"/>
      <c r="BP362" s="1"/>
      <c r="BR362" s="806"/>
      <c r="BS362" s="806"/>
      <c r="BT362" s="811"/>
      <c r="BU362" s="812"/>
    </row>
    <row r="363" spans="2:76" ht="18" customHeight="1">
      <c r="B363" s="846">
        <f t="shared" si="55"/>
        <v>363</v>
      </c>
      <c r="C363" s="843" t="s">
        <v>120</v>
      </c>
      <c r="D363" s="935"/>
      <c r="E363" s="940"/>
      <c r="F363" s="937">
        <f t="shared" si="60"/>
        <v>0</v>
      </c>
      <c r="G363" s="938"/>
      <c r="H363" s="939"/>
      <c r="I363" s="940"/>
      <c r="J363" s="937">
        <f t="shared" si="61"/>
        <v>0</v>
      </c>
      <c r="K363" s="943"/>
      <c r="P363" s="811"/>
      <c r="S363" s="811"/>
      <c r="AD363" s="806"/>
      <c r="AE363" s="806"/>
      <c r="AF363" s="806"/>
      <c r="BP363" s="1"/>
      <c r="BR363" s="806"/>
      <c r="BS363" s="806"/>
      <c r="BT363" s="811"/>
      <c r="BU363" s="812"/>
    </row>
    <row r="364" spans="2:76" ht="18" customHeight="1">
      <c r="B364" s="846">
        <f t="shared" si="55"/>
        <v>364</v>
      </c>
      <c r="C364" s="843" t="s">
        <v>120</v>
      </c>
      <c r="D364" s="935"/>
      <c r="E364" s="940"/>
      <c r="F364" s="937">
        <f t="shared" si="60"/>
        <v>0</v>
      </c>
      <c r="G364" s="938"/>
      <c r="H364" s="939"/>
      <c r="I364" s="940"/>
      <c r="J364" s="937">
        <f t="shared" si="61"/>
        <v>0</v>
      </c>
      <c r="K364" s="943"/>
      <c r="P364" s="811"/>
      <c r="S364" s="811"/>
      <c r="AD364" s="806"/>
      <c r="AE364" s="806"/>
      <c r="AF364" s="806"/>
      <c r="BP364" s="1"/>
      <c r="BR364" s="806"/>
      <c r="BS364" s="806"/>
      <c r="BT364" s="811"/>
      <c r="BU364" s="812"/>
    </row>
    <row r="365" spans="2:76" ht="18" customHeight="1">
      <c r="B365" s="846">
        <f t="shared" si="55"/>
        <v>365</v>
      </c>
      <c r="C365" s="843" t="s">
        <v>120</v>
      </c>
      <c r="D365" s="935"/>
      <c r="E365" s="940"/>
      <c r="F365" s="937">
        <f t="shared" si="60"/>
        <v>0</v>
      </c>
      <c r="G365" s="938"/>
      <c r="H365" s="939"/>
      <c r="I365" s="940"/>
      <c r="J365" s="937">
        <f t="shared" si="61"/>
        <v>0</v>
      </c>
      <c r="K365" s="943"/>
      <c r="P365" s="811"/>
      <c r="S365" s="811"/>
      <c r="AD365" s="806"/>
      <c r="AE365" s="806"/>
      <c r="AF365" s="806"/>
      <c r="BP365" s="1"/>
      <c r="BR365" s="806"/>
      <c r="BS365" s="806"/>
      <c r="BT365" s="811"/>
      <c r="BU365" s="812"/>
    </row>
    <row r="366" spans="2:76" ht="18" customHeight="1">
      <c r="B366" s="846">
        <f t="shared" si="55"/>
        <v>366</v>
      </c>
      <c r="C366" s="843" t="s">
        <v>120</v>
      </c>
      <c r="D366" s="935"/>
      <c r="E366" s="940"/>
      <c r="F366" s="937">
        <f t="shared" si="60"/>
        <v>0</v>
      </c>
      <c r="G366" s="938"/>
      <c r="H366" s="939"/>
      <c r="I366" s="940"/>
      <c r="J366" s="937">
        <f t="shared" si="61"/>
        <v>0</v>
      </c>
      <c r="K366" s="943"/>
      <c r="P366" s="811"/>
      <c r="S366" s="811"/>
      <c r="AD366" s="806"/>
      <c r="AE366" s="806"/>
      <c r="AF366" s="806"/>
      <c r="BP366" s="1"/>
      <c r="BR366" s="806"/>
      <c r="BS366" s="806"/>
      <c r="BT366" s="811"/>
      <c r="BU366" s="812"/>
    </row>
    <row r="367" spans="2:76" ht="18" customHeight="1">
      <c r="B367" s="846">
        <f t="shared" si="55"/>
        <v>367</v>
      </c>
      <c r="C367" s="843" t="s">
        <v>120</v>
      </c>
      <c r="D367" s="935"/>
      <c r="E367" s="940"/>
      <c r="F367" s="937">
        <f t="shared" si="60"/>
        <v>0</v>
      </c>
      <c r="G367" s="938"/>
      <c r="H367" s="939"/>
      <c r="I367" s="940"/>
      <c r="J367" s="937">
        <f t="shared" si="61"/>
        <v>0</v>
      </c>
      <c r="K367" s="943"/>
      <c r="P367" s="811"/>
      <c r="S367" s="811"/>
      <c r="AD367" s="806"/>
      <c r="AE367" s="806"/>
      <c r="AF367" s="806"/>
      <c r="BP367" s="1"/>
      <c r="BR367" s="806"/>
      <c r="BS367" s="806"/>
      <c r="BT367" s="811"/>
      <c r="BU367" s="812"/>
    </row>
    <row r="368" spans="2:76" ht="18" customHeight="1">
      <c r="B368" s="846">
        <f t="shared" si="55"/>
        <v>368</v>
      </c>
      <c r="C368" s="843" t="s">
        <v>120</v>
      </c>
      <c r="D368" s="935"/>
      <c r="E368" s="940"/>
      <c r="F368" s="937">
        <f t="shared" si="60"/>
        <v>0</v>
      </c>
      <c r="G368" s="938"/>
      <c r="H368" s="939"/>
      <c r="I368" s="940"/>
      <c r="J368" s="937">
        <f t="shared" si="61"/>
        <v>0</v>
      </c>
      <c r="K368" s="943"/>
      <c r="P368" s="811"/>
      <c r="S368" s="811"/>
      <c r="AD368" s="806"/>
      <c r="AE368" s="806"/>
      <c r="AF368" s="806"/>
      <c r="BP368" s="1"/>
      <c r="BR368" s="806"/>
      <c r="BS368" s="806"/>
      <c r="BT368" s="811"/>
      <c r="BU368" s="812"/>
    </row>
    <row r="369" spans="2:73" ht="18" customHeight="1">
      <c r="B369" s="846">
        <f t="shared" si="55"/>
        <v>369</v>
      </c>
      <c r="C369" s="843" t="s">
        <v>120</v>
      </c>
      <c r="D369" s="935"/>
      <c r="E369" s="940"/>
      <c r="F369" s="937">
        <f t="shared" si="60"/>
        <v>0</v>
      </c>
      <c r="G369" s="938"/>
      <c r="H369" s="939"/>
      <c r="I369" s="940"/>
      <c r="J369" s="937">
        <f t="shared" si="61"/>
        <v>0</v>
      </c>
      <c r="K369" s="943"/>
      <c r="P369" s="811"/>
      <c r="S369" s="811"/>
      <c r="AD369" s="806"/>
      <c r="AE369" s="806"/>
      <c r="AF369" s="806"/>
      <c r="BP369" s="1"/>
      <c r="BR369" s="806"/>
      <c r="BS369" s="806"/>
      <c r="BT369" s="811"/>
      <c r="BU369" s="812"/>
    </row>
    <row r="370" spans="2:73" ht="18" customHeight="1">
      <c r="B370" s="847">
        <f t="shared" si="55"/>
        <v>370</v>
      </c>
      <c r="C370" s="848" t="s">
        <v>120</v>
      </c>
      <c r="D370" s="944"/>
      <c r="E370" s="957"/>
      <c r="F370" s="946"/>
      <c r="G370" s="947"/>
      <c r="H370" s="948"/>
      <c r="I370" s="957"/>
      <c r="J370" s="946"/>
      <c r="K370" s="950"/>
      <c r="P370" s="811"/>
      <c r="S370" s="811"/>
      <c r="AD370" s="806"/>
      <c r="AE370" s="806"/>
      <c r="AF370" s="806"/>
      <c r="BP370" s="1"/>
      <c r="BR370" s="806"/>
      <c r="BS370" s="806"/>
      <c r="BT370" s="811"/>
      <c r="BU370" s="812"/>
    </row>
    <row r="371" spans="2:73" s="451" customFormat="1" ht="18" customHeight="1">
      <c r="B371" s="849">
        <f t="shared" si="55"/>
        <v>371</v>
      </c>
      <c r="C371" s="849"/>
      <c r="D371" s="292"/>
      <c r="E371" s="777"/>
      <c r="F371" s="849"/>
      <c r="G371" s="849"/>
      <c r="H371" s="449"/>
      <c r="I371" s="777"/>
      <c r="J371" s="849"/>
      <c r="K371" s="448"/>
      <c r="P371" s="851"/>
      <c r="S371" s="851"/>
      <c r="AD371" s="849"/>
      <c r="AE371" s="849"/>
      <c r="AF371" s="849"/>
      <c r="BR371" s="849"/>
      <c r="BS371" s="849"/>
      <c r="BT371" s="851"/>
      <c r="BU371" s="850"/>
    </row>
    <row r="372" spans="2:73" ht="18" customHeight="1">
      <c r="B372" s="844">
        <f t="shared" si="55"/>
        <v>372</v>
      </c>
      <c r="C372" s="845" t="s">
        <v>121</v>
      </c>
      <c r="D372" s="928">
        <v>0</v>
      </c>
      <c r="E372" s="933"/>
      <c r="F372" s="930">
        <f t="shared" ref="F372:F382" si="62">E373</f>
        <v>0</v>
      </c>
      <c r="G372" s="931">
        <v>0</v>
      </c>
      <c r="H372" s="932">
        <v>0</v>
      </c>
      <c r="I372" s="933"/>
      <c r="J372" s="930">
        <f t="shared" ref="J372:J382" si="63">I373</f>
        <v>0</v>
      </c>
      <c r="K372" s="934">
        <v>0</v>
      </c>
      <c r="P372" s="811"/>
      <c r="S372" s="811"/>
      <c r="AD372" s="806"/>
      <c r="AE372" s="806"/>
      <c r="AF372" s="806"/>
      <c r="BP372" s="1"/>
      <c r="BR372" s="806"/>
      <c r="BS372" s="806"/>
      <c r="BT372" s="811"/>
      <c r="BU372" s="812"/>
    </row>
    <row r="373" spans="2:73" ht="18" customHeight="1">
      <c r="B373" s="846">
        <f t="shared" si="55"/>
        <v>373</v>
      </c>
      <c r="C373" s="843" t="s">
        <v>121</v>
      </c>
      <c r="D373" s="935"/>
      <c r="E373" s="940"/>
      <c r="F373" s="937">
        <f t="shared" si="62"/>
        <v>0</v>
      </c>
      <c r="G373" s="961"/>
      <c r="H373" s="939"/>
      <c r="I373" s="940"/>
      <c r="J373" s="937">
        <f t="shared" si="63"/>
        <v>0</v>
      </c>
      <c r="K373" s="941"/>
      <c r="P373" s="811"/>
      <c r="S373" s="811"/>
      <c r="AD373" s="806"/>
      <c r="AE373" s="806"/>
      <c r="AF373" s="806"/>
      <c r="BP373" s="1"/>
      <c r="BR373" s="806"/>
      <c r="BS373" s="806"/>
      <c r="BT373" s="811"/>
      <c r="BU373" s="812"/>
    </row>
    <row r="374" spans="2:73" ht="18" customHeight="1">
      <c r="B374" s="846">
        <f t="shared" si="55"/>
        <v>374</v>
      </c>
      <c r="C374" s="843" t="s">
        <v>121</v>
      </c>
      <c r="D374" s="935"/>
      <c r="E374" s="940"/>
      <c r="F374" s="937">
        <f t="shared" si="62"/>
        <v>0</v>
      </c>
      <c r="G374" s="961"/>
      <c r="H374" s="939"/>
      <c r="I374" s="940"/>
      <c r="J374" s="937">
        <f t="shared" si="63"/>
        <v>0</v>
      </c>
      <c r="K374" s="941"/>
      <c r="P374" s="811"/>
      <c r="S374" s="811"/>
      <c r="AD374" s="806"/>
      <c r="AE374" s="806"/>
      <c r="AF374" s="806"/>
      <c r="BP374" s="1"/>
      <c r="BR374" s="806"/>
      <c r="BS374" s="806"/>
      <c r="BT374" s="811"/>
      <c r="BU374" s="812"/>
    </row>
    <row r="375" spans="2:73" ht="18" customHeight="1">
      <c r="B375" s="846">
        <f t="shared" si="55"/>
        <v>375</v>
      </c>
      <c r="C375" s="843" t="s">
        <v>121</v>
      </c>
      <c r="D375" s="935"/>
      <c r="E375" s="940"/>
      <c r="F375" s="937">
        <f t="shared" si="62"/>
        <v>0</v>
      </c>
      <c r="G375" s="961"/>
      <c r="H375" s="939"/>
      <c r="I375" s="940"/>
      <c r="J375" s="937">
        <f t="shared" si="63"/>
        <v>0</v>
      </c>
      <c r="K375" s="941"/>
      <c r="P375" s="811"/>
      <c r="S375" s="811"/>
      <c r="AD375" s="806"/>
      <c r="AE375" s="806"/>
      <c r="AF375" s="806"/>
      <c r="BP375" s="1"/>
      <c r="BR375" s="806"/>
      <c r="BS375" s="806"/>
      <c r="BT375" s="811"/>
      <c r="BU375" s="812"/>
    </row>
    <row r="376" spans="2:73" ht="18" customHeight="1">
      <c r="B376" s="846">
        <f t="shared" si="55"/>
        <v>376</v>
      </c>
      <c r="C376" s="843" t="s">
        <v>121</v>
      </c>
      <c r="D376" s="935"/>
      <c r="E376" s="940"/>
      <c r="F376" s="937">
        <f t="shared" si="62"/>
        <v>0</v>
      </c>
      <c r="G376" s="961"/>
      <c r="H376" s="939"/>
      <c r="I376" s="940"/>
      <c r="J376" s="937">
        <f t="shared" si="63"/>
        <v>0</v>
      </c>
      <c r="K376" s="941"/>
      <c r="P376" s="811"/>
      <c r="S376" s="811"/>
      <c r="AD376" s="806"/>
      <c r="AE376" s="806"/>
      <c r="AF376" s="806"/>
      <c r="BP376" s="1"/>
      <c r="BR376" s="806"/>
      <c r="BS376" s="806"/>
      <c r="BT376" s="811"/>
      <c r="BU376" s="812"/>
    </row>
    <row r="377" spans="2:73" ht="18" customHeight="1">
      <c r="B377" s="846">
        <f t="shared" si="55"/>
        <v>377</v>
      </c>
      <c r="C377" s="843" t="s">
        <v>121</v>
      </c>
      <c r="D377" s="935"/>
      <c r="E377" s="940"/>
      <c r="F377" s="937">
        <f t="shared" si="62"/>
        <v>0</v>
      </c>
      <c r="G377" s="961"/>
      <c r="H377" s="939"/>
      <c r="I377" s="940"/>
      <c r="J377" s="937">
        <f t="shared" si="63"/>
        <v>0</v>
      </c>
      <c r="K377" s="941"/>
      <c r="P377" s="811"/>
      <c r="S377" s="811"/>
      <c r="AD377" s="806"/>
      <c r="AE377" s="806"/>
      <c r="AF377" s="806"/>
      <c r="BP377" s="1"/>
      <c r="BR377" s="806"/>
      <c r="BS377" s="806"/>
      <c r="BT377" s="811"/>
      <c r="BU377" s="812"/>
    </row>
    <row r="378" spans="2:73" ht="18" customHeight="1">
      <c r="B378" s="846">
        <f t="shared" si="55"/>
        <v>378</v>
      </c>
      <c r="C378" s="843" t="s">
        <v>121</v>
      </c>
      <c r="D378" s="935"/>
      <c r="E378" s="940"/>
      <c r="F378" s="937">
        <f t="shared" si="62"/>
        <v>0</v>
      </c>
      <c r="G378" s="961"/>
      <c r="H378" s="939"/>
      <c r="I378" s="940"/>
      <c r="J378" s="937">
        <f t="shared" si="63"/>
        <v>0</v>
      </c>
      <c r="K378" s="941"/>
      <c r="P378" s="811"/>
      <c r="S378" s="811"/>
      <c r="AD378" s="806"/>
      <c r="AE378" s="806"/>
      <c r="AF378" s="806"/>
      <c r="BP378" s="1"/>
      <c r="BR378" s="806"/>
      <c r="BS378" s="806"/>
      <c r="BT378" s="811"/>
      <c r="BU378" s="812"/>
    </row>
    <row r="379" spans="2:73" ht="18" customHeight="1">
      <c r="B379" s="846">
        <f t="shared" si="55"/>
        <v>379</v>
      </c>
      <c r="C379" s="843" t="s">
        <v>121</v>
      </c>
      <c r="D379" s="935"/>
      <c r="E379" s="940"/>
      <c r="F379" s="937">
        <f t="shared" si="62"/>
        <v>0</v>
      </c>
      <c r="G379" s="961"/>
      <c r="H379" s="939"/>
      <c r="I379" s="940"/>
      <c r="J379" s="937">
        <f t="shared" si="63"/>
        <v>0</v>
      </c>
      <c r="K379" s="941"/>
      <c r="P379" s="811"/>
      <c r="S379" s="811"/>
      <c r="AD379" s="806"/>
      <c r="AE379" s="806"/>
      <c r="AF379" s="806"/>
      <c r="BP379" s="1"/>
      <c r="BR379" s="806"/>
      <c r="BS379" s="806"/>
      <c r="BT379" s="811"/>
      <c r="BU379" s="812"/>
    </row>
    <row r="380" spans="2:73" ht="18" customHeight="1">
      <c r="B380" s="846">
        <f t="shared" si="55"/>
        <v>380</v>
      </c>
      <c r="C380" s="843" t="s">
        <v>121</v>
      </c>
      <c r="D380" s="935"/>
      <c r="E380" s="940"/>
      <c r="F380" s="937">
        <f t="shared" si="62"/>
        <v>0</v>
      </c>
      <c r="G380" s="961"/>
      <c r="H380" s="939"/>
      <c r="I380" s="940"/>
      <c r="J380" s="937">
        <f t="shared" si="63"/>
        <v>0</v>
      </c>
      <c r="K380" s="941"/>
      <c r="P380" s="811"/>
      <c r="S380" s="811"/>
      <c r="AD380" s="806"/>
      <c r="AE380" s="806"/>
      <c r="AF380" s="806"/>
      <c r="BP380" s="1"/>
      <c r="BR380" s="806"/>
      <c r="BS380" s="806"/>
      <c r="BT380" s="811"/>
      <c r="BU380" s="812"/>
    </row>
    <row r="381" spans="2:73" ht="18" customHeight="1">
      <c r="B381" s="846">
        <f t="shared" si="55"/>
        <v>381</v>
      </c>
      <c r="C381" s="843" t="s">
        <v>121</v>
      </c>
      <c r="D381" s="935"/>
      <c r="E381" s="940"/>
      <c r="F381" s="937">
        <f t="shared" si="62"/>
        <v>0</v>
      </c>
      <c r="G381" s="961"/>
      <c r="H381" s="939"/>
      <c r="I381" s="940"/>
      <c r="J381" s="937">
        <f t="shared" si="63"/>
        <v>0</v>
      </c>
      <c r="K381" s="941"/>
      <c r="P381" s="811"/>
      <c r="S381" s="811"/>
      <c r="AD381" s="806"/>
      <c r="AE381" s="806"/>
      <c r="AF381" s="806"/>
      <c r="BP381" s="1"/>
      <c r="BR381" s="806"/>
      <c r="BS381" s="806"/>
      <c r="BT381" s="811"/>
      <c r="BU381" s="812"/>
    </row>
    <row r="382" spans="2:73" ht="18" customHeight="1">
      <c r="B382" s="846">
        <f t="shared" si="55"/>
        <v>382</v>
      </c>
      <c r="C382" s="843" t="s">
        <v>121</v>
      </c>
      <c r="D382" s="935"/>
      <c r="E382" s="940"/>
      <c r="F382" s="937">
        <f t="shared" si="62"/>
        <v>0</v>
      </c>
      <c r="G382" s="961"/>
      <c r="H382" s="939"/>
      <c r="I382" s="940"/>
      <c r="J382" s="937">
        <f t="shared" si="63"/>
        <v>0</v>
      </c>
      <c r="K382" s="941"/>
      <c r="P382" s="811"/>
      <c r="S382" s="811"/>
      <c r="AD382" s="806"/>
      <c r="AE382" s="806"/>
      <c r="AF382" s="806"/>
      <c r="BP382" s="1"/>
      <c r="BR382" s="806"/>
      <c r="BS382" s="806"/>
      <c r="BT382" s="811"/>
      <c r="BU382" s="812"/>
    </row>
    <row r="383" spans="2:73" ht="18" customHeight="1">
      <c r="B383" s="847">
        <f t="shared" si="55"/>
        <v>383</v>
      </c>
      <c r="C383" s="848" t="s">
        <v>121</v>
      </c>
      <c r="D383" s="944"/>
      <c r="E383" s="957"/>
      <c r="F383" s="946"/>
      <c r="G383" s="963"/>
      <c r="H383" s="948"/>
      <c r="I383" s="957"/>
      <c r="J383" s="946"/>
      <c r="K383" s="958"/>
      <c r="P383" s="811"/>
      <c r="S383" s="811"/>
      <c r="AD383" s="806"/>
      <c r="AE383" s="806"/>
      <c r="AF383" s="806"/>
      <c r="BP383" s="1"/>
      <c r="BR383" s="806"/>
      <c r="BS383" s="806"/>
      <c r="BT383" s="811"/>
      <c r="BU383" s="812"/>
    </row>
    <row r="384" spans="2:73" s="451" customFormat="1" ht="18" customHeight="1">
      <c r="B384" s="849">
        <f t="shared" si="55"/>
        <v>384</v>
      </c>
      <c r="C384" s="849"/>
      <c r="D384" s="292"/>
      <c r="E384" s="777"/>
      <c r="F384" s="849"/>
      <c r="G384" s="849"/>
      <c r="H384" s="449"/>
      <c r="I384" s="777"/>
      <c r="J384" s="849"/>
      <c r="K384" s="448"/>
      <c r="P384" s="851"/>
      <c r="S384" s="851"/>
      <c r="AD384" s="849"/>
      <c r="AE384" s="849"/>
      <c r="AF384" s="849"/>
      <c r="BR384" s="849"/>
      <c r="BS384" s="849"/>
      <c r="BT384" s="851"/>
      <c r="BU384" s="850"/>
    </row>
    <row r="385" spans="2:73" ht="18" customHeight="1">
      <c r="B385" s="844">
        <f t="shared" si="55"/>
        <v>385</v>
      </c>
      <c r="C385" s="845" t="s">
        <v>122</v>
      </c>
      <c r="D385" s="928">
        <v>0.05</v>
      </c>
      <c r="E385" s="933">
        <v>0</v>
      </c>
      <c r="F385" s="930">
        <f t="shared" ref="F385:F395" si="64">E386</f>
        <v>0</v>
      </c>
      <c r="G385" s="931">
        <v>2400</v>
      </c>
      <c r="H385" s="932">
        <v>0.05</v>
      </c>
      <c r="I385" s="933">
        <v>0</v>
      </c>
      <c r="J385" s="930">
        <f t="shared" ref="J385:J395" si="65">I386</f>
        <v>0</v>
      </c>
      <c r="K385" s="934">
        <v>4800</v>
      </c>
      <c r="P385" s="811"/>
      <c r="S385" s="811"/>
      <c r="AD385" s="806"/>
      <c r="AE385" s="806"/>
      <c r="AF385" s="806"/>
      <c r="BP385" s="1"/>
      <c r="BR385" s="806"/>
      <c r="BS385" s="806"/>
      <c r="BT385" s="811"/>
      <c r="BU385" s="812"/>
    </row>
    <row r="386" spans="2:73" ht="18" customHeight="1">
      <c r="B386" s="846">
        <f t="shared" si="55"/>
        <v>386</v>
      </c>
      <c r="C386" s="843" t="s">
        <v>122</v>
      </c>
      <c r="D386" s="935"/>
      <c r="E386" s="940"/>
      <c r="F386" s="937">
        <f t="shared" si="64"/>
        <v>0</v>
      </c>
      <c r="G386" s="961"/>
      <c r="H386" s="939"/>
      <c r="I386" s="940"/>
      <c r="J386" s="937">
        <f t="shared" si="65"/>
        <v>0</v>
      </c>
      <c r="K386" s="941"/>
      <c r="P386" s="811"/>
      <c r="S386" s="811"/>
      <c r="AD386" s="806"/>
      <c r="AE386" s="806"/>
      <c r="AF386" s="806"/>
      <c r="BP386" s="1"/>
      <c r="BR386" s="806"/>
      <c r="BS386" s="806"/>
      <c r="BT386" s="811"/>
      <c r="BU386" s="812"/>
    </row>
    <row r="387" spans="2:73" ht="18" customHeight="1">
      <c r="B387" s="846">
        <f t="shared" si="55"/>
        <v>387</v>
      </c>
      <c r="C387" s="843" t="s">
        <v>122</v>
      </c>
      <c r="D387" s="935"/>
      <c r="E387" s="940"/>
      <c r="F387" s="937">
        <f t="shared" si="64"/>
        <v>0</v>
      </c>
      <c r="G387" s="961"/>
      <c r="H387" s="939"/>
      <c r="I387" s="940"/>
      <c r="J387" s="937">
        <f t="shared" si="65"/>
        <v>0</v>
      </c>
      <c r="K387" s="941"/>
      <c r="P387" s="811"/>
      <c r="S387" s="811"/>
      <c r="AD387" s="806"/>
      <c r="AE387" s="806"/>
      <c r="AF387" s="806"/>
      <c r="BP387" s="1"/>
      <c r="BR387" s="806"/>
      <c r="BS387" s="806"/>
      <c r="BT387" s="811"/>
      <c r="BU387" s="812"/>
    </row>
    <row r="388" spans="2:73" ht="18" customHeight="1">
      <c r="B388" s="846">
        <f t="shared" si="55"/>
        <v>388</v>
      </c>
      <c r="C388" s="843" t="s">
        <v>122</v>
      </c>
      <c r="D388" s="935"/>
      <c r="E388" s="940"/>
      <c r="F388" s="937">
        <f t="shared" si="64"/>
        <v>0</v>
      </c>
      <c r="G388" s="961"/>
      <c r="H388" s="939"/>
      <c r="I388" s="940"/>
      <c r="J388" s="937">
        <f t="shared" si="65"/>
        <v>0</v>
      </c>
      <c r="K388" s="941"/>
      <c r="P388" s="811"/>
      <c r="S388" s="811"/>
      <c r="AD388" s="806"/>
      <c r="AE388" s="806"/>
      <c r="AF388" s="806"/>
      <c r="BP388" s="1"/>
      <c r="BR388" s="806"/>
      <c r="BS388" s="806"/>
      <c r="BT388" s="811"/>
      <c r="BU388" s="812"/>
    </row>
    <row r="389" spans="2:73" ht="18" customHeight="1">
      <c r="B389" s="846">
        <f t="shared" si="55"/>
        <v>389</v>
      </c>
      <c r="C389" s="843" t="s">
        <v>122</v>
      </c>
      <c r="D389" s="935"/>
      <c r="E389" s="940"/>
      <c r="F389" s="937">
        <f t="shared" si="64"/>
        <v>0</v>
      </c>
      <c r="G389" s="961"/>
      <c r="H389" s="939"/>
      <c r="I389" s="940"/>
      <c r="J389" s="937">
        <f t="shared" si="65"/>
        <v>0</v>
      </c>
      <c r="K389" s="941"/>
      <c r="P389" s="811"/>
      <c r="S389" s="811"/>
      <c r="AD389" s="806"/>
      <c r="AE389" s="806"/>
      <c r="AF389" s="806"/>
      <c r="BP389" s="1"/>
      <c r="BR389" s="806"/>
      <c r="BS389" s="806"/>
      <c r="BT389" s="811"/>
      <c r="BU389" s="812"/>
    </row>
    <row r="390" spans="2:73" ht="18" customHeight="1">
      <c r="B390" s="846">
        <f t="shared" si="55"/>
        <v>390</v>
      </c>
      <c r="C390" s="843" t="s">
        <v>122</v>
      </c>
      <c r="D390" s="935"/>
      <c r="E390" s="940"/>
      <c r="F390" s="937">
        <f t="shared" si="64"/>
        <v>0</v>
      </c>
      <c r="G390" s="961"/>
      <c r="H390" s="939"/>
      <c r="I390" s="940"/>
      <c r="J390" s="937">
        <f t="shared" si="65"/>
        <v>0</v>
      </c>
      <c r="K390" s="941"/>
      <c r="P390" s="811"/>
      <c r="S390" s="811"/>
      <c r="AD390" s="806"/>
      <c r="AE390" s="806"/>
      <c r="AF390" s="806"/>
      <c r="BP390" s="1"/>
      <c r="BR390" s="806"/>
      <c r="BS390" s="806"/>
      <c r="BT390" s="811"/>
      <c r="BU390" s="812"/>
    </row>
    <row r="391" spans="2:73" ht="18" customHeight="1">
      <c r="B391" s="846">
        <f t="shared" si="55"/>
        <v>391</v>
      </c>
      <c r="C391" s="843" t="s">
        <v>122</v>
      </c>
      <c r="D391" s="935"/>
      <c r="E391" s="940"/>
      <c r="F391" s="937">
        <f t="shared" si="64"/>
        <v>0</v>
      </c>
      <c r="G391" s="961"/>
      <c r="H391" s="939"/>
      <c r="I391" s="940"/>
      <c r="J391" s="937">
        <f t="shared" si="65"/>
        <v>0</v>
      </c>
      <c r="K391" s="941"/>
      <c r="P391" s="811"/>
      <c r="S391" s="811"/>
      <c r="AD391" s="806"/>
      <c r="AE391" s="806"/>
      <c r="AF391" s="806"/>
      <c r="BP391" s="1"/>
      <c r="BR391" s="806"/>
      <c r="BS391" s="806"/>
      <c r="BT391" s="811"/>
      <c r="BU391" s="812"/>
    </row>
    <row r="392" spans="2:73" ht="18" customHeight="1">
      <c r="B392" s="846">
        <f t="shared" si="55"/>
        <v>392</v>
      </c>
      <c r="C392" s="843" t="s">
        <v>122</v>
      </c>
      <c r="D392" s="935"/>
      <c r="E392" s="940"/>
      <c r="F392" s="937">
        <f t="shared" si="64"/>
        <v>0</v>
      </c>
      <c r="G392" s="961"/>
      <c r="H392" s="939"/>
      <c r="I392" s="940"/>
      <c r="J392" s="937">
        <f t="shared" si="65"/>
        <v>0</v>
      </c>
      <c r="K392" s="941"/>
      <c r="P392" s="811"/>
      <c r="S392" s="811"/>
      <c r="AD392" s="806"/>
      <c r="AE392" s="806"/>
      <c r="AF392" s="806"/>
      <c r="BP392" s="1"/>
      <c r="BR392" s="806"/>
      <c r="BS392" s="806"/>
      <c r="BT392" s="811"/>
      <c r="BU392" s="812"/>
    </row>
    <row r="393" spans="2:73" ht="18" customHeight="1">
      <c r="B393" s="846">
        <f t="shared" si="55"/>
        <v>393</v>
      </c>
      <c r="C393" s="843" t="s">
        <v>122</v>
      </c>
      <c r="D393" s="935"/>
      <c r="E393" s="940"/>
      <c r="F393" s="937">
        <f t="shared" si="64"/>
        <v>0</v>
      </c>
      <c r="G393" s="961"/>
      <c r="H393" s="939"/>
      <c r="I393" s="940"/>
      <c r="J393" s="937">
        <f t="shared" si="65"/>
        <v>0</v>
      </c>
      <c r="K393" s="941"/>
      <c r="P393" s="811"/>
      <c r="S393" s="811"/>
      <c r="AD393" s="806"/>
      <c r="AE393" s="806"/>
      <c r="AF393" s="806"/>
      <c r="BP393" s="1"/>
      <c r="BR393" s="806"/>
      <c r="BS393" s="806"/>
      <c r="BT393" s="811"/>
      <c r="BU393" s="812"/>
    </row>
    <row r="394" spans="2:73" ht="18" customHeight="1">
      <c r="B394" s="846">
        <f t="shared" ref="B394:B457" si="66">B393+1</f>
        <v>394</v>
      </c>
      <c r="C394" s="843" t="s">
        <v>122</v>
      </c>
      <c r="D394" s="935"/>
      <c r="E394" s="940"/>
      <c r="F394" s="937">
        <f t="shared" si="64"/>
        <v>0</v>
      </c>
      <c r="G394" s="961"/>
      <c r="H394" s="939"/>
      <c r="I394" s="940"/>
      <c r="J394" s="937">
        <f t="shared" si="65"/>
        <v>0</v>
      </c>
      <c r="K394" s="941"/>
      <c r="P394" s="811"/>
      <c r="S394" s="811"/>
      <c r="AD394" s="806"/>
      <c r="AE394" s="806"/>
      <c r="AF394" s="806"/>
      <c r="BP394" s="1"/>
      <c r="BR394" s="806"/>
      <c r="BS394" s="806"/>
      <c r="BT394" s="811"/>
      <c r="BU394" s="812"/>
    </row>
    <row r="395" spans="2:73" ht="18" customHeight="1">
      <c r="B395" s="846">
        <f t="shared" si="66"/>
        <v>395</v>
      </c>
      <c r="C395" s="843" t="s">
        <v>122</v>
      </c>
      <c r="D395" s="935"/>
      <c r="E395" s="940"/>
      <c r="F395" s="937">
        <f t="shared" si="64"/>
        <v>0</v>
      </c>
      <c r="G395" s="961"/>
      <c r="H395" s="939"/>
      <c r="I395" s="940"/>
      <c r="J395" s="937">
        <f t="shared" si="65"/>
        <v>0</v>
      </c>
      <c r="K395" s="941"/>
      <c r="P395" s="811"/>
      <c r="S395" s="811"/>
      <c r="AD395" s="806"/>
      <c r="AE395" s="806"/>
      <c r="AF395" s="806"/>
      <c r="BP395" s="1"/>
      <c r="BR395" s="806"/>
      <c r="BS395" s="806"/>
      <c r="BT395" s="811"/>
      <c r="BU395" s="812"/>
    </row>
    <row r="396" spans="2:73" ht="18" customHeight="1">
      <c r="B396" s="847">
        <f t="shared" si="66"/>
        <v>396</v>
      </c>
      <c r="C396" s="848" t="s">
        <v>122</v>
      </c>
      <c r="D396" s="944"/>
      <c r="E396" s="957"/>
      <c r="F396" s="946"/>
      <c r="G396" s="963"/>
      <c r="H396" s="948"/>
      <c r="I396" s="957"/>
      <c r="J396" s="946"/>
      <c r="K396" s="958"/>
      <c r="P396" s="811"/>
      <c r="S396" s="811"/>
      <c r="AD396" s="806"/>
      <c r="AE396" s="806"/>
      <c r="AF396" s="806"/>
      <c r="BP396" s="1"/>
      <c r="BR396" s="806"/>
      <c r="BS396" s="806"/>
      <c r="BT396" s="811"/>
      <c r="BU396" s="812"/>
    </row>
    <row r="397" spans="2:73" s="451" customFormat="1" ht="18" customHeight="1">
      <c r="B397" s="849">
        <f t="shared" si="66"/>
        <v>397</v>
      </c>
      <c r="C397" s="849"/>
      <c r="D397" s="292"/>
      <c r="E397" s="777"/>
      <c r="F397" s="849"/>
      <c r="G397" s="849"/>
      <c r="H397" s="449"/>
      <c r="I397" s="777"/>
      <c r="J397" s="849"/>
      <c r="K397" s="448"/>
      <c r="P397" s="851"/>
      <c r="S397" s="851"/>
      <c r="AD397" s="849"/>
      <c r="AE397" s="849"/>
      <c r="AF397" s="849"/>
      <c r="BR397" s="849"/>
      <c r="BS397" s="849"/>
      <c r="BT397" s="851"/>
      <c r="BU397" s="850"/>
    </row>
    <row r="398" spans="2:73" ht="18" customHeight="1">
      <c r="B398" s="844">
        <f t="shared" si="66"/>
        <v>398</v>
      </c>
      <c r="C398" s="845" t="s">
        <v>123</v>
      </c>
      <c r="D398" s="928">
        <v>1.4E-2</v>
      </c>
      <c r="E398" s="933">
        <v>0</v>
      </c>
      <c r="F398" s="930">
        <f t="shared" ref="F398:F408" si="67">E399</f>
        <v>20000</v>
      </c>
      <c r="G398" s="931">
        <v>1000</v>
      </c>
      <c r="H398" s="932">
        <v>1.4E-2</v>
      </c>
      <c r="I398" s="933">
        <v>0</v>
      </c>
      <c r="J398" s="930">
        <f t="shared" ref="J398:J408" si="68">I399</f>
        <v>20000</v>
      </c>
      <c r="K398" s="934">
        <v>2000</v>
      </c>
      <c r="P398" s="811"/>
      <c r="S398" s="811"/>
      <c r="AD398" s="806"/>
      <c r="AE398" s="806"/>
      <c r="AF398" s="806"/>
      <c r="BP398" s="1"/>
      <c r="BR398" s="806"/>
      <c r="BS398" s="806"/>
      <c r="BT398" s="811"/>
      <c r="BU398" s="812"/>
    </row>
    <row r="399" spans="2:73" ht="18" customHeight="1">
      <c r="B399" s="846">
        <f t="shared" si="66"/>
        <v>399</v>
      </c>
      <c r="C399" s="843" t="s">
        <v>123</v>
      </c>
      <c r="D399" s="935">
        <v>1.7500000000000002E-2</v>
      </c>
      <c r="E399" s="940">
        <v>20000</v>
      </c>
      <c r="F399" s="937">
        <f t="shared" si="67"/>
        <v>35000</v>
      </c>
      <c r="G399" s="938"/>
      <c r="H399" s="939">
        <v>1.7500000000000002E-2</v>
      </c>
      <c r="I399" s="940">
        <v>20000</v>
      </c>
      <c r="J399" s="937">
        <f t="shared" si="68"/>
        <v>50000</v>
      </c>
      <c r="K399" s="943"/>
      <c r="P399" s="811"/>
      <c r="S399" s="811"/>
      <c r="AD399" s="806"/>
      <c r="AE399" s="806"/>
      <c r="AF399" s="806"/>
      <c r="BP399" s="1"/>
      <c r="BR399" s="806"/>
      <c r="BS399" s="806"/>
      <c r="BT399" s="811"/>
      <c r="BU399" s="812"/>
    </row>
    <row r="400" spans="2:73" ht="18" customHeight="1">
      <c r="B400" s="846">
        <f t="shared" si="66"/>
        <v>400</v>
      </c>
      <c r="C400" s="843" t="s">
        <v>123</v>
      </c>
      <c r="D400" s="935">
        <v>3.5000000000000003E-2</v>
      </c>
      <c r="E400" s="940">
        <v>35000</v>
      </c>
      <c r="F400" s="937">
        <f t="shared" si="67"/>
        <v>40000</v>
      </c>
      <c r="G400" s="938"/>
      <c r="H400" s="939">
        <v>2.4500000000000001E-2</v>
      </c>
      <c r="I400" s="940">
        <v>50000</v>
      </c>
      <c r="J400" s="937">
        <f t="shared" si="68"/>
        <v>70000</v>
      </c>
      <c r="K400" s="943"/>
      <c r="P400" s="811"/>
      <c r="S400" s="811"/>
      <c r="AD400" s="806"/>
      <c r="AE400" s="806"/>
      <c r="AF400" s="806"/>
      <c r="BP400" s="1"/>
      <c r="BR400" s="806"/>
      <c r="BS400" s="806"/>
      <c r="BT400" s="811"/>
      <c r="BU400" s="812"/>
    </row>
    <row r="401" spans="2:73" ht="18" customHeight="1">
      <c r="B401" s="846">
        <f t="shared" si="66"/>
        <v>401</v>
      </c>
      <c r="C401" s="843" t="s">
        <v>123</v>
      </c>
      <c r="D401" s="935">
        <v>5.525E-2</v>
      </c>
      <c r="E401" s="940">
        <v>40000</v>
      </c>
      <c r="F401" s="937">
        <f t="shared" si="67"/>
        <v>75000</v>
      </c>
      <c r="G401" s="938"/>
      <c r="H401" s="939">
        <v>3.5000000000000003E-2</v>
      </c>
      <c r="I401" s="940">
        <v>70000</v>
      </c>
      <c r="J401" s="937">
        <f t="shared" si="68"/>
        <v>80000</v>
      </c>
      <c r="K401" s="943"/>
      <c r="P401" s="811"/>
      <c r="S401" s="811"/>
      <c r="AD401" s="806"/>
      <c r="AE401" s="806"/>
      <c r="AF401" s="806"/>
      <c r="BP401" s="1"/>
      <c r="BR401" s="806"/>
      <c r="BS401" s="806"/>
      <c r="BT401" s="811"/>
      <c r="BU401" s="812"/>
    </row>
    <row r="402" spans="2:73" ht="18" customHeight="1">
      <c r="B402" s="846">
        <f t="shared" si="66"/>
        <v>402</v>
      </c>
      <c r="C402" s="843" t="s">
        <v>123</v>
      </c>
      <c r="D402" s="935">
        <v>6.3700000000000007E-2</v>
      </c>
      <c r="E402" s="940">
        <v>75000</v>
      </c>
      <c r="F402" s="937">
        <f t="shared" si="67"/>
        <v>500000</v>
      </c>
      <c r="G402" s="938"/>
      <c r="H402" s="939">
        <v>5.525E-2</v>
      </c>
      <c r="I402" s="940">
        <v>80000</v>
      </c>
      <c r="J402" s="937">
        <f t="shared" si="68"/>
        <v>150000</v>
      </c>
      <c r="K402" s="943"/>
      <c r="P402" s="811"/>
      <c r="S402" s="811"/>
      <c r="AD402" s="806"/>
      <c r="AE402" s="806"/>
      <c r="AF402" s="806"/>
      <c r="BP402" s="1"/>
      <c r="BR402" s="806"/>
      <c r="BS402" s="806"/>
      <c r="BT402" s="811"/>
      <c r="BU402" s="812"/>
    </row>
    <row r="403" spans="2:73" ht="18" customHeight="1">
      <c r="B403" s="846">
        <f t="shared" si="66"/>
        <v>403</v>
      </c>
      <c r="C403" s="843" t="s">
        <v>123</v>
      </c>
      <c r="D403" s="935">
        <v>8.9700000000000002E-2</v>
      </c>
      <c r="E403" s="940">
        <v>500000</v>
      </c>
      <c r="F403" s="937">
        <f t="shared" si="67"/>
        <v>5000000</v>
      </c>
      <c r="G403" s="938"/>
      <c r="H403" s="939">
        <v>6.3700000000000007E-2</v>
      </c>
      <c r="I403" s="940">
        <v>150000</v>
      </c>
      <c r="J403" s="937">
        <f t="shared" si="68"/>
        <v>500000</v>
      </c>
      <c r="K403" s="943"/>
      <c r="P403" s="811"/>
      <c r="S403" s="811"/>
      <c r="AD403" s="806"/>
      <c r="AE403" s="806"/>
      <c r="AF403" s="806"/>
      <c r="BP403" s="1"/>
      <c r="BR403" s="806"/>
      <c r="BS403" s="806"/>
      <c r="BT403" s="811"/>
      <c r="BU403" s="812"/>
    </row>
    <row r="404" spans="2:73" ht="18" customHeight="1">
      <c r="B404" s="846">
        <f t="shared" si="66"/>
        <v>404</v>
      </c>
      <c r="C404" s="843" t="s">
        <v>123</v>
      </c>
      <c r="D404" s="935">
        <v>0.1075</v>
      </c>
      <c r="E404" s="940">
        <v>5000000</v>
      </c>
      <c r="F404" s="937">
        <f t="shared" si="67"/>
        <v>0</v>
      </c>
      <c r="G404" s="938"/>
      <c r="H404" s="939">
        <v>8.9700000000000002E-2</v>
      </c>
      <c r="I404" s="940">
        <v>500000</v>
      </c>
      <c r="J404" s="937">
        <f t="shared" si="68"/>
        <v>1000000</v>
      </c>
      <c r="K404" s="943"/>
      <c r="P404" s="811"/>
      <c r="S404" s="811"/>
      <c r="AD404" s="806"/>
      <c r="AE404" s="806"/>
      <c r="AF404" s="806"/>
      <c r="BP404" s="1"/>
      <c r="BR404" s="806"/>
      <c r="BS404" s="806"/>
      <c r="BT404" s="811"/>
      <c r="BU404" s="812"/>
    </row>
    <row r="405" spans="2:73" ht="18" customHeight="1">
      <c r="B405" s="846">
        <f t="shared" si="66"/>
        <v>405</v>
      </c>
      <c r="C405" s="843" t="s">
        <v>123</v>
      </c>
      <c r="D405" s="935"/>
      <c r="E405" s="940"/>
      <c r="F405" s="937">
        <f t="shared" si="67"/>
        <v>0</v>
      </c>
      <c r="G405" s="938"/>
      <c r="H405" s="939">
        <v>0.1075</v>
      </c>
      <c r="I405" s="940">
        <v>1000000</v>
      </c>
      <c r="J405" s="937">
        <f t="shared" si="68"/>
        <v>0</v>
      </c>
      <c r="K405" s="943"/>
      <c r="P405" s="811"/>
      <c r="S405" s="811"/>
      <c r="AD405" s="806"/>
      <c r="AE405" s="806"/>
      <c r="AF405" s="806"/>
      <c r="BP405" s="1"/>
      <c r="BR405" s="806"/>
      <c r="BS405" s="806"/>
      <c r="BT405" s="811"/>
      <c r="BU405" s="812"/>
    </row>
    <row r="406" spans="2:73" ht="18" customHeight="1">
      <c r="B406" s="846">
        <f t="shared" si="66"/>
        <v>406</v>
      </c>
      <c r="C406" s="843" t="s">
        <v>123</v>
      </c>
      <c r="D406" s="935"/>
      <c r="E406" s="940"/>
      <c r="F406" s="937">
        <f t="shared" si="67"/>
        <v>0</v>
      </c>
      <c r="G406" s="938"/>
      <c r="H406" s="939"/>
      <c r="I406" s="940"/>
      <c r="J406" s="937">
        <f t="shared" si="68"/>
        <v>0</v>
      </c>
      <c r="K406" s="943"/>
      <c r="P406" s="811"/>
      <c r="S406" s="811"/>
      <c r="AD406" s="806"/>
      <c r="AE406" s="806"/>
      <c r="AF406" s="806"/>
      <c r="BP406" s="1"/>
      <c r="BR406" s="806"/>
      <c r="BS406" s="806"/>
      <c r="BT406" s="811"/>
      <c r="BU406" s="812"/>
    </row>
    <row r="407" spans="2:73" ht="18" customHeight="1">
      <c r="B407" s="846">
        <f t="shared" si="66"/>
        <v>407</v>
      </c>
      <c r="C407" s="843" t="s">
        <v>123</v>
      </c>
      <c r="D407" s="935"/>
      <c r="E407" s="940"/>
      <c r="F407" s="937">
        <f t="shared" si="67"/>
        <v>0</v>
      </c>
      <c r="G407" s="938"/>
      <c r="H407" s="939"/>
      <c r="I407" s="940"/>
      <c r="J407" s="937">
        <f t="shared" si="68"/>
        <v>0</v>
      </c>
      <c r="K407" s="943"/>
      <c r="P407" s="811"/>
      <c r="S407" s="811"/>
      <c r="AD407" s="806"/>
      <c r="AE407" s="806"/>
      <c r="AF407" s="806"/>
      <c r="BP407" s="1"/>
      <c r="BR407" s="806"/>
      <c r="BS407" s="806"/>
      <c r="BT407" s="811"/>
      <c r="BU407" s="812"/>
    </row>
    <row r="408" spans="2:73" ht="18" customHeight="1">
      <c r="B408" s="846">
        <f t="shared" si="66"/>
        <v>408</v>
      </c>
      <c r="C408" s="843" t="s">
        <v>123</v>
      </c>
      <c r="D408" s="935"/>
      <c r="E408" s="940"/>
      <c r="F408" s="937">
        <f t="shared" si="67"/>
        <v>0</v>
      </c>
      <c r="G408" s="938"/>
      <c r="H408" s="939"/>
      <c r="I408" s="940"/>
      <c r="J408" s="937">
        <f t="shared" si="68"/>
        <v>0</v>
      </c>
      <c r="K408" s="943"/>
      <c r="P408" s="811"/>
      <c r="S408" s="811"/>
      <c r="AD408" s="806"/>
      <c r="AE408" s="806"/>
      <c r="AF408" s="806"/>
      <c r="BP408" s="1"/>
      <c r="BR408" s="806"/>
      <c r="BS408" s="806"/>
      <c r="BT408" s="811"/>
      <c r="BU408" s="812"/>
    </row>
    <row r="409" spans="2:73" ht="18" customHeight="1">
      <c r="B409" s="847">
        <f t="shared" si="66"/>
        <v>409</v>
      </c>
      <c r="C409" s="848" t="s">
        <v>123</v>
      </c>
      <c r="D409" s="944"/>
      <c r="E409" s="957"/>
      <c r="F409" s="966"/>
      <c r="G409" s="947"/>
      <c r="H409" s="948"/>
      <c r="I409" s="957"/>
      <c r="J409" s="966"/>
      <c r="K409" s="950"/>
      <c r="P409" s="811"/>
      <c r="S409" s="811"/>
      <c r="AD409" s="806"/>
      <c r="AE409" s="806"/>
      <c r="AF409" s="806"/>
      <c r="BP409" s="1"/>
      <c r="BR409" s="806"/>
      <c r="BS409" s="806"/>
      <c r="BT409" s="811"/>
      <c r="BU409" s="812"/>
    </row>
    <row r="410" spans="2:73" s="451" customFormat="1" ht="18" customHeight="1">
      <c r="B410" s="849">
        <f t="shared" si="66"/>
        <v>410</v>
      </c>
      <c r="C410" s="849"/>
      <c r="D410" s="292"/>
      <c r="E410" s="777"/>
      <c r="F410" s="849"/>
      <c r="G410" s="849"/>
      <c r="H410" s="449"/>
      <c r="I410" s="777"/>
      <c r="J410" s="849"/>
      <c r="K410" s="448"/>
      <c r="P410" s="851"/>
      <c r="S410" s="851"/>
      <c r="AD410" s="849"/>
      <c r="AE410" s="849"/>
      <c r="AF410" s="849"/>
      <c r="BR410" s="849"/>
      <c r="BS410" s="849"/>
      <c r="BT410" s="851"/>
      <c r="BU410" s="850"/>
    </row>
    <row r="411" spans="2:73" ht="18" customHeight="1">
      <c r="B411" s="844">
        <f t="shared" si="66"/>
        <v>411</v>
      </c>
      <c r="C411" s="845" t="s">
        <v>124</v>
      </c>
      <c r="D411" s="928">
        <v>1.7000000000000001E-2</v>
      </c>
      <c r="E411" s="933">
        <v>0</v>
      </c>
      <c r="F411" s="930">
        <f>E412</f>
        <v>5500</v>
      </c>
      <c r="G411" s="931">
        <v>12550</v>
      </c>
      <c r="H411" s="932">
        <v>1.7000000000000001E-2</v>
      </c>
      <c r="I411" s="933">
        <v>0</v>
      </c>
      <c r="J411" s="930">
        <f>I412</f>
        <v>8000</v>
      </c>
      <c r="K411" s="934">
        <v>25100</v>
      </c>
      <c r="P411" s="811"/>
      <c r="S411" s="811"/>
      <c r="AD411" s="806"/>
      <c r="AE411" s="806"/>
      <c r="AF411" s="806"/>
      <c r="BP411" s="1"/>
      <c r="BR411" s="806"/>
      <c r="BS411" s="806"/>
      <c r="BT411" s="811"/>
      <c r="BU411" s="812"/>
    </row>
    <row r="412" spans="2:73" ht="18" customHeight="1">
      <c r="B412" s="846">
        <f t="shared" si="66"/>
        <v>412</v>
      </c>
      <c r="C412" s="843" t="s">
        <v>124</v>
      </c>
      <c r="D412" s="935">
        <v>3.2000000000000001E-2</v>
      </c>
      <c r="E412" s="940">
        <v>5500</v>
      </c>
      <c r="F412" s="937">
        <f>E413</f>
        <v>11000</v>
      </c>
      <c r="G412" s="938"/>
      <c r="H412" s="939">
        <v>3.2000000000000001E-2</v>
      </c>
      <c r="I412" s="940">
        <v>8000</v>
      </c>
      <c r="J412" s="937">
        <f>I413</f>
        <v>16000</v>
      </c>
      <c r="K412" s="943"/>
      <c r="P412" s="811"/>
      <c r="S412" s="811"/>
      <c r="AD412" s="806"/>
      <c r="AE412" s="806"/>
      <c r="AF412" s="806"/>
      <c r="BP412" s="1"/>
      <c r="BR412" s="806"/>
      <c r="BS412" s="806"/>
      <c r="BT412" s="811"/>
      <c r="BU412" s="812"/>
    </row>
    <row r="413" spans="2:73" ht="18" customHeight="1">
      <c r="B413" s="846">
        <f t="shared" si="66"/>
        <v>413</v>
      </c>
      <c r="C413" s="843" t="s">
        <v>124</v>
      </c>
      <c r="D413" s="935">
        <v>4.7E-2</v>
      </c>
      <c r="E413" s="940">
        <v>11000</v>
      </c>
      <c r="F413" s="937">
        <f>E414</f>
        <v>16000</v>
      </c>
      <c r="G413" s="938"/>
      <c r="H413" s="939">
        <v>4.7E-2</v>
      </c>
      <c r="I413" s="940">
        <v>16000</v>
      </c>
      <c r="J413" s="937">
        <f>I414</f>
        <v>24000</v>
      </c>
      <c r="K413" s="943"/>
      <c r="P413" s="811"/>
      <c r="S413" s="811"/>
      <c r="AD413" s="806"/>
      <c r="AE413" s="806"/>
      <c r="AF413" s="806"/>
      <c r="BP413" s="1"/>
      <c r="BR413" s="806"/>
      <c r="BS413" s="806"/>
      <c r="BT413" s="811"/>
      <c r="BU413" s="812"/>
    </row>
    <row r="414" spans="2:73" ht="18" customHeight="1">
      <c r="B414" s="846">
        <f t="shared" si="66"/>
        <v>414</v>
      </c>
      <c r="C414" s="843" t="s">
        <v>124</v>
      </c>
      <c r="D414" s="935">
        <v>4.9000000000000002E-2</v>
      </c>
      <c r="E414" s="940">
        <v>16000</v>
      </c>
      <c r="F414" s="937">
        <f>E415</f>
        <v>210000</v>
      </c>
      <c r="G414" s="938"/>
      <c r="H414" s="939">
        <v>4.9000000000000002E-2</v>
      </c>
      <c r="I414" s="940">
        <v>24000</v>
      </c>
      <c r="J414" s="937">
        <f>I415</f>
        <v>315000</v>
      </c>
      <c r="K414" s="943"/>
      <c r="P414" s="811"/>
      <c r="S414" s="811"/>
      <c r="AD414" s="806"/>
      <c r="AE414" s="806"/>
      <c r="AF414" s="806"/>
      <c r="BP414" s="1"/>
      <c r="BR414" s="806"/>
      <c r="BS414" s="806"/>
      <c r="BT414" s="811"/>
      <c r="BU414" s="812"/>
    </row>
    <row r="415" spans="2:73" ht="18" customHeight="1">
      <c r="B415" s="846">
        <f t="shared" si="66"/>
        <v>415</v>
      </c>
      <c r="C415" s="843" t="s">
        <v>124</v>
      </c>
      <c r="D415" s="935">
        <v>5.8999999999999997E-2</v>
      </c>
      <c r="E415" s="940">
        <v>210000</v>
      </c>
      <c r="F415" s="937">
        <f t="shared" ref="F415:F421" si="69">E416</f>
        <v>0</v>
      </c>
      <c r="G415" s="938"/>
      <c r="H415" s="939">
        <v>5.8999999999999997E-2</v>
      </c>
      <c r="I415" s="940">
        <v>315000</v>
      </c>
      <c r="J415" s="937">
        <f t="shared" ref="J415:J421" si="70">I416</f>
        <v>0</v>
      </c>
      <c r="K415" s="943"/>
      <c r="P415" s="811"/>
      <c r="S415" s="811"/>
      <c r="AD415" s="806"/>
      <c r="AE415" s="806"/>
      <c r="AF415" s="806"/>
      <c r="BP415" s="1"/>
      <c r="BR415" s="806"/>
      <c r="BS415" s="806"/>
      <c r="BT415" s="811"/>
      <c r="BU415" s="812"/>
    </row>
    <row r="416" spans="2:73" ht="18" customHeight="1">
      <c r="B416" s="846">
        <f t="shared" si="66"/>
        <v>416</v>
      </c>
      <c r="C416" s="843" t="s">
        <v>124</v>
      </c>
      <c r="D416" s="935"/>
      <c r="E416" s="940"/>
      <c r="F416" s="937">
        <f t="shared" si="69"/>
        <v>0</v>
      </c>
      <c r="G416" s="938"/>
      <c r="H416" s="939"/>
      <c r="I416" s="940"/>
      <c r="J416" s="937">
        <f t="shared" si="70"/>
        <v>0</v>
      </c>
      <c r="K416" s="943"/>
      <c r="P416" s="811"/>
      <c r="S416" s="811"/>
      <c r="AD416" s="806"/>
      <c r="AE416" s="806"/>
      <c r="AF416" s="806"/>
      <c r="BP416" s="1"/>
      <c r="BR416" s="806"/>
      <c r="BS416" s="806"/>
      <c r="BT416" s="811"/>
      <c r="BU416" s="812"/>
    </row>
    <row r="417" spans="2:73" ht="18" customHeight="1">
      <c r="B417" s="846">
        <f t="shared" si="66"/>
        <v>417</v>
      </c>
      <c r="C417" s="843" t="s">
        <v>124</v>
      </c>
      <c r="D417" s="935"/>
      <c r="E417" s="940"/>
      <c r="F417" s="937">
        <f t="shared" si="69"/>
        <v>0</v>
      </c>
      <c r="G417" s="938"/>
      <c r="H417" s="939"/>
      <c r="I417" s="940"/>
      <c r="J417" s="937">
        <f t="shared" si="70"/>
        <v>0</v>
      </c>
      <c r="K417" s="943"/>
      <c r="P417" s="811"/>
      <c r="S417" s="811"/>
      <c r="AD417" s="806"/>
      <c r="AE417" s="806"/>
      <c r="AF417" s="806"/>
      <c r="BP417" s="1"/>
      <c r="BR417" s="806"/>
      <c r="BS417" s="806"/>
      <c r="BT417" s="811"/>
      <c r="BU417" s="812"/>
    </row>
    <row r="418" spans="2:73" ht="18" customHeight="1">
      <c r="B418" s="846">
        <f t="shared" si="66"/>
        <v>418</v>
      </c>
      <c r="C418" s="843" t="s">
        <v>124</v>
      </c>
      <c r="D418" s="935"/>
      <c r="E418" s="940"/>
      <c r="F418" s="937">
        <f t="shared" si="69"/>
        <v>0</v>
      </c>
      <c r="G418" s="938"/>
      <c r="H418" s="939"/>
      <c r="I418" s="940"/>
      <c r="J418" s="937">
        <f t="shared" si="70"/>
        <v>0</v>
      </c>
      <c r="K418" s="943"/>
      <c r="P418" s="811"/>
      <c r="S418" s="811"/>
      <c r="AD418" s="806"/>
      <c r="AE418" s="806"/>
      <c r="AF418" s="806"/>
      <c r="BP418" s="1"/>
      <c r="BR418" s="806"/>
      <c r="BS418" s="806"/>
      <c r="BT418" s="811"/>
      <c r="BU418" s="812"/>
    </row>
    <row r="419" spans="2:73" ht="18" customHeight="1">
      <c r="B419" s="846">
        <f t="shared" si="66"/>
        <v>419</v>
      </c>
      <c r="C419" s="843" t="s">
        <v>124</v>
      </c>
      <c r="D419" s="935"/>
      <c r="E419" s="940"/>
      <c r="F419" s="937">
        <f t="shared" si="69"/>
        <v>0</v>
      </c>
      <c r="G419" s="938"/>
      <c r="H419" s="939"/>
      <c r="I419" s="940"/>
      <c r="J419" s="937">
        <f t="shared" si="70"/>
        <v>0</v>
      </c>
      <c r="K419" s="943"/>
      <c r="P419" s="811"/>
      <c r="S419" s="811"/>
      <c r="AD419" s="806"/>
      <c r="AE419" s="806"/>
      <c r="AF419" s="806"/>
      <c r="BP419" s="1"/>
      <c r="BR419" s="806"/>
      <c r="BS419" s="806"/>
      <c r="BT419" s="811"/>
      <c r="BU419" s="812"/>
    </row>
    <row r="420" spans="2:73" ht="18" customHeight="1">
      <c r="B420" s="846">
        <f t="shared" si="66"/>
        <v>420</v>
      </c>
      <c r="C420" s="843" t="s">
        <v>124</v>
      </c>
      <c r="D420" s="935"/>
      <c r="E420" s="940"/>
      <c r="F420" s="937">
        <f t="shared" si="69"/>
        <v>0</v>
      </c>
      <c r="G420" s="938"/>
      <c r="H420" s="939"/>
      <c r="I420" s="940"/>
      <c r="J420" s="937">
        <f t="shared" si="70"/>
        <v>0</v>
      </c>
      <c r="K420" s="943"/>
      <c r="P420" s="811"/>
      <c r="S420" s="811"/>
      <c r="AD420" s="806"/>
      <c r="AE420" s="806"/>
      <c r="AF420" s="806"/>
      <c r="BP420" s="1"/>
      <c r="BR420" s="806"/>
      <c r="BS420" s="806"/>
      <c r="BT420" s="811"/>
      <c r="BU420" s="812"/>
    </row>
    <row r="421" spans="2:73" ht="18" customHeight="1">
      <c r="B421" s="846">
        <f t="shared" si="66"/>
        <v>421</v>
      </c>
      <c r="C421" s="843" t="s">
        <v>124</v>
      </c>
      <c r="D421" s="935"/>
      <c r="E421" s="940"/>
      <c r="F421" s="937">
        <f t="shared" si="69"/>
        <v>0</v>
      </c>
      <c r="G421" s="938"/>
      <c r="H421" s="939"/>
      <c r="I421" s="940"/>
      <c r="J421" s="937">
        <f t="shared" si="70"/>
        <v>0</v>
      </c>
      <c r="K421" s="943"/>
      <c r="P421" s="811"/>
      <c r="S421" s="811"/>
      <c r="AD421" s="806"/>
      <c r="AE421" s="806"/>
      <c r="AF421" s="806"/>
      <c r="BP421" s="1"/>
      <c r="BR421" s="806"/>
      <c r="BS421" s="806"/>
      <c r="BT421" s="811"/>
      <c r="BU421" s="812"/>
    </row>
    <row r="422" spans="2:73" ht="18" customHeight="1">
      <c r="B422" s="847">
        <f t="shared" si="66"/>
        <v>422</v>
      </c>
      <c r="C422" s="848" t="s">
        <v>124</v>
      </c>
      <c r="D422" s="944"/>
      <c r="E422" s="957"/>
      <c r="F422" s="946"/>
      <c r="G422" s="947"/>
      <c r="H422" s="948"/>
      <c r="I422" s="957"/>
      <c r="J422" s="946"/>
      <c r="K422" s="950"/>
      <c r="P422" s="811"/>
      <c r="S422" s="811"/>
      <c r="AD422" s="806"/>
      <c r="AE422" s="806"/>
      <c r="AF422" s="806"/>
      <c r="BP422" s="1"/>
      <c r="BR422" s="806"/>
      <c r="BS422" s="806"/>
      <c r="BT422" s="811"/>
      <c r="BU422" s="812"/>
    </row>
    <row r="423" spans="2:73" s="451" customFormat="1" ht="18" customHeight="1">
      <c r="B423" s="849">
        <f t="shared" si="66"/>
        <v>423</v>
      </c>
      <c r="C423" s="849"/>
      <c r="D423" s="292"/>
      <c r="E423" s="777"/>
      <c r="F423" s="849"/>
      <c r="G423" s="849"/>
      <c r="H423" s="449"/>
      <c r="I423" s="777"/>
      <c r="J423" s="849"/>
      <c r="K423" s="448"/>
      <c r="P423" s="851"/>
      <c r="S423" s="851"/>
      <c r="AD423" s="849"/>
      <c r="AE423" s="849"/>
      <c r="AF423" s="849"/>
      <c r="BR423" s="849"/>
      <c r="BS423" s="849"/>
      <c r="BT423" s="851"/>
      <c r="BU423" s="850"/>
    </row>
    <row r="424" spans="2:73" ht="18" customHeight="1">
      <c r="B424" s="844">
        <f t="shared" si="66"/>
        <v>424</v>
      </c>
      <c r="C424" s="845" t="s">
        <v>125</v>
      </c>
      <c r="D424" s="928">
        <v>0.04</v>
      </c>
      <c r="E424" s="933">
        <v>0</v>
      </c>
      <c r="F424" s="930">
        <f t="shared" ref="F424:F434" si="71">E425</f>
        <v>8500</v>
      </c>
      <c r="G424" s="931">
        <v>8000</v>
      </c>
      <c r="H424" s="932">
        <v>0.04</v>
      </c>
      <c r="I424" s="933">
        <v>0</v>
      </c>
      <c r="J424" s="930">
        <f t="shared" ref="J424:J434" si="72">I425</f>
        <v>17150</v>
      </c>
      <c r="K424" s="934">
        <v>16050</v>
      </c>
      <c r="P424" s="811"/>
      <c r="S424" s="811"/>
      <c r="AD424" s="806"/>
      <c r="AE424" s="806"/>
      <c r="AF424" s="806"/>
      <c r="BP424" s="1"/>
      <c r="BR424" s="806"/>
      <c r="BS424" s="806"/>
      <c r="BT424" s="811"/>
      <c r="BU424" s="812"/>
    </row>
    <row r="425" spans="2:73" ht="18" customHeight="1">
      <c r="B425" s="846">
        <f t="shared" si="66"/>
        <v>425</v>
      </c>
      <c r="C425" s="843" t="s">
        <v>125</v>
      </c>
      <c r="D425" s="935">
        <v>4.4999999999999998E-2</v>
      </c>
      <c r="E425" s="940">
        <v>8500</v>
      </c>
      <c r="F425" s="937">
        <f t="shared" si="71"/>
        <v>11700</v>
      </c>
      <c r="G425" s="938"/>
      <c r="H425" s="939">
        <v>4.4999999999999998E-2</v>
      </c>
      <c r="I425" s="940">
        <v>17150</v>
      </c>
      <c r="J425" s="937">
        <f t="shared" si="72"/>
        <v>23600</v>
      </c>
      <c r="K425" s="943"/>
      <c r="P425" s="811"/>
      <c r="S425" s="811"/>
      <c r="AD425" s="806"/>
      <c r="AE425" s="806"/>
      <c r="AF425" s="806"/>
      <c r="BP425" s="1"/>
      <c r="BR425" s="806"/>
      <c r="BS425" s="806"/>
      <c r="BT425" s="811"/>
      <c r="BU425" s="812"/>
    </row>
    <row r="426" spans="2:73" ht="18" customHeight="1">
      <c r="B426" s="846">
        <f t="shared" si="66"/>
        <v>426</v>
      </c>
      <c r="C426" s="843" t="s">
        <v>125</v>
      </c>
      <c r="D426" s="935">
        <v>5.2499999999999998E-2</v>
      </c>
      <c r="E426" s="940">
        <v>11700</v>
      </c>
      <c r="F426" s="937">
        <f t="shared" si="71"/>
        <v>13900</v>
      </c>
      <c r="G426" s="938"/>
      <c r="H426" s="939">
        <v>5.2499999999999998E-2</v>
      </c>
      <c r="I426" s="940">
        <v>23600</v>
      </c>
      <c r="J426" s="937">
        <f t="shared" si="72"/>
        <v>27900</v>
      </c>
      <c r="K426" s="943"/>
      <c r="P426" s="811"/>
      <c r="S426" s="811"/>
      <c r="AD426" s="806"/>
      <c r="AE426" s="806"/>
      <c r="AF426" s="806"/>
      <c r="BP426" s="1"/>
      <c r="BR426" s="806"/>
      <c r="BS426" s="806"/>
      <c r="BT426" s="811"/>
      <c r="BU426" s="812"/>
    </row>
    <row r="427" spans="2:73" ht="18" customHeight="1">
      <c r="B427" s="846">
        <f t="shared" si="66"/>
        <v>427</v>
      </c>
      <c r="C427" s="843" t="s">
        <v>125</v>
      </c>
      <c r="D427" s="935">
        <v>5.8999999999999997E-2</v>
      </c>
      <c r="E427" s="940">
        <v>13900</v>
      </c>
      <c r="F427" s="937">
        <f t="shared" si="71"/>
        <v>21400</v>
      </c>
      <c r="G427" s="938"/>
      <c r="H427" s="939">
        <v>5.8999999999999997E-2</v>
      </c>
      <c r="I427" s="940">
        <v>27900</v>
      </c>
      <c r="J427" s="937">
        <f t="shared" si="72"/>
        <v>43000</v>
      </c>
      <c r="K427" s="943"/>
      <c r="P427" s="811"/>
      <c r="S427" s="811"/>
      <c r="AD427" s="806"/>
      <c r="AE427" s="806"/>
      <c r="AF427" s="806"/>
      <c r="BP427" s="1"/>
      <c r="BR427" s="806"/>
      <c r="BS427" s="806"/>
      <c r="BT427" s="811"/>
      <c r="BU427" s="812"/>
    </row>
    <row r="428" spans="2:73" ht="18" customHeight="1">
      <c r="B428" s="846">
        <f t="shared" si="66"/>
        <v>428</v>
      </c>
      <c r="C428" s="843" t="s">
        <v>125</v>
      </c>
      <c r="D428" s="935">
        <v>5.9700000000000003E-2</v>
      </c>
      <c r="E428" s="940">
        <v>21400</v>
      </c>
      <c r="F428" s="937">
        <f t="shared" si="71"/>
        <v>80650</v>
      </c>
      <c r="G428" s="938"/>
      <c r="H428" s="939">
        <v>5.9700000000000003E-2</v>
      </c>
      <c r="I428" s="940">
        <v>43000</v>
      </c>
      <c r="J428" s="937">
        <f t="shared" si="72"/>
        <v>161550</v>
      </c>
      <c r="K428" s="943"/>
      <c r="P428" s="811"/>
      <c r="S428" s="811"/>
      <c r="AD428" s="806"/>
      <c r="AE428" s="806"/>
      <c r="AF428" s="806"/>
      <c r="BP428" s="1"/>
      <c r="BR428" s="806"/>
      <c r="BS428" s="806"/>
      <c r="BT428" s="811"/>
      <c r="BU428" s="812"/>
    </row>
    <row r="429" spans="2:73" ht="18" customHeight="1">
      <c r="B429" s="846">
        <f t="shared" si="66"/>
        <v>429</v>
      </c>
      <c r="C429" s="843" t="s">
        <v>125</v>
      </c>
      <c r="D429" s="935">
        <v>6.3299999999999995E-2</v>
      </c>
      <c r="E429" s="940">
        <v>80650</v>
      </c>
      <c r="F429" s="937">
        <f t="shared" si="71"/>
        <v>215400</v>
      </c>
      <c r="G429" s="938"/>
      <c r="H429" s="939">
        <v>6.3299999999999995E-2</v>
      </c>
      <c r="I429" s="940">
        <v>161550</v>
      </c>
      <c r="J429" s="937">
        <f t="shared" si="72"/>
        <v>323200</v>
      </c>
      <c r="K429" s="943"/>
      <c r="P429" s="811"/>
      <c r="S429" s="811"/>
      <c r="AD429" s="806"/>
      <c r="AE429" s="806"/>
      <c r="AF429" s="806"/>
      <c r="BP429" s="1"/>
      <c r="BR429" s="806"/>
      <c r="BS429" s="806"/>
      <c r="BT429" s="811"/>
      <c r="BU429" s="812"/>
    </row>
    <row r="430" spans="2:73" ht="18" customHeight="1">
      <c r="B430" s="846">
        <f t="shared" si="66"/>
        <v>430</v>
      </c>
      <c r="C430" s="843" t="s">
        <v>125</v>
      </c>
      <c r="D430" s="935">
        <v>6.8500000000000005E-2</v>
      </c>
      <c r="E430" s="940">
        <v>215400</v>
      </c>
      <c r="F430" s="937">
        <f t="shared" si="71"/>
        <v>1077550</v>
      </c>
      <c r="G430" s="938"/>
      <c r="H430" s="939">
        <v>6.8500000000000005E-2</v>
      </c>
      <c r="I430" s="940">
        <v>323200</v>
      </c>
      <c r="J430" s="937">
        <f t="shared" si="72"/>
        <v>2155350</v>
      </c>
      <c r="K430" s="943"/>
      <c r="P430" s="811"/>
      <c r="S430" s="811"/>
      <c r="AD430" s="806"/>
      <c r="AE430" s="806"/>
      <c r="AF430" s="806"/>
      <c r="BP430" s="1"/>
      <c r="BR430" s="806"/>
      <c r="BS430" s="806"/>
      <c r="BT430" s="811"/>
      <c r="BU430" s="812"/>
    </row>
    <row r="431" spans="2:73" ht="18" customHeight="1">
      <c r="B431" s="846">
        <f t="shared" si="66"/>
        <v>431</v>
      </c>
      <c r="C431" s="843" t="s">
        <v>125</v>
      </c>
      <c r="D431" s="935">
        <v>8.8200000000000001E-2</v>
      </c>
      <c r="E431" s="940">
        <v>1077550</v>
      </c>
      <c r="F431" s="937">
        <f t="shared" si="71"/>
        <v>0</v>
      </c>
      <c r="G431" s="938"/>
      <c r="H431" s="939">
        <v>8.8200000000000001E-2</v>
      </c>
      <c r="I431" s="940">
        <v>2155350</v>
      </c>
      <c r="J431" s="937">
        <f t="shared" si="72"/>
        <v>0</v>
      </c>
      <c r="K431" s="943"/>
      <c r="P431" s="811"/>
      <c r="S431" s="811"/>
      <c r="AD431" s="806"/>
      <c r="AE431" s="806"/>
      <c r="AF431" s="806"/>
      <c r="BP431" s="1"/>
      <c r="BR431" s="806"/>
      <c r="BS431" s="806"/>
      <c r="BT431" s="811"/>
      <c r="BU431" s="812"/>
    </row>
    <row r="432" spans="2:73" ht="18" customHeight="1">
      <c r="B432" s="846">
        <f t="shared" si="66"/>
        <v>432</v>
      </c>
      <c r="C432" s="843" t="s">
        <v>125</v>
      </c>
      <c r="D432" s="935"/>
      <c r="E432" s="940"/>
      <c r="F432" s="937">
        <f t="shared" si="71"/>
        <v>0</v>
      </c>
      <c r="G432" s="938"/>
      <c r="H432" s="939"/>
      <c r="I432" s="940"/>
      <c r="J432" s="937">
        <f t="shared" si="72"/>
        <v>0</v>
      </c>
      <c r="K432" s="943"/>
      <c r="P432" s="811"/>
      <c r="S432" s="811"/>
      <c r="AD432" s="806"/>
      <c r="AE432" s="806"/>
      <c r="AF432" s="806"/>
      <c r="BP432" s="1"/>
      <c r="BR432" s="806"/>
      <c r="BS432" s="806"/>
      <c r="BT432" s="811"/>
      <c r="BU432" s="812"/>
    </row>
    <row r="433" spans="2:73" ht="18" customHeight="1">
      <c r="B433" s="846">
        <f t="shared" si="66"/>
        <v>433</v>
      </c>
      <c r="C433" s="843" t="s">
        <v>125</v>
      </c>
      <c r="D433" s="935"/>
      <c r="E433" s="940"/>
      <c r="F433" s="937">
        <f t="shared" si="71"/>
        <v>0</v>
      </c>
      <c r="G433" s="938"/>
      <c r="H433" s="939"/>
      <c r="I433" s="940"/>
      <c r="J433" s="937">
        <f t="shared" si="72"/>
        <v>0</v>
      </c>
      <c r="K433" s="943"/>
      <c r="P433" s="811"/>
      <c r="S433" s="811"/>
      <c r="AD433" s="806"/>
      <c r="AE433" s="806"/>
      <c r="AF433" s="806"/>
      <c r="BP433" s="1"/>
      <c r="BR433" s="806"/>
      <c r="BS433" s="806"/>
      <c r="BT433" s="811"/>
      <c r="BU433" s="812"/>
    </row>
    <row r="434" spans="2:73" ht="18" customHeight="1">
      <c r="B434" s="846">
        <f t="shared" si="66"/>
        <v>434</v>
      </c>
      <c r="C434" s="843" t="s">
        <v>125</v>
      </c>
      <c r="D434" s="935"/>
      <c r="E434" s="940"/>
      <c r="F434" s="937">
        <f t="shared" si="71"/>
        <v>0</v>
      </c>
      <c r="G434" s="938"/>
      <c r="H434" s="939"/>
      <c r="I434" s="940"/>
      <c r="J434" s="937">
        <f t="shared" si="72"/>
        <v>0</v>
      </c>
      <c r="K434" s="943"/>
      <c r="P434" s="811"/>
      <c r="S434" s="811"/>
      <c r="AD434" s="806"/>
      <c r="AE434" s="806"/>
      <c r="AF434" s="806"/>
      <c r="BP434" s="1"/>
      <c r="BR434" s="806"/>
      <c r="BS434" s="806"/>
      <c r="BT434" s="811"/>
      <c r="BU434" s="812"/>
    </row>
    <row r="435" spans="2:73" ht="18" customHeight="1">
      <c r="B435" s="847">
        <f t="shared" si="66"/>
        <v>435</v>
      </c>
      <c r="C435" s="848" t="s">
        <v>125</v>
      </c>
      <c r="D435" s="944"/>
      <c r="E435" s="957"/>
      <c r="F435" s="946"/>
      <c r="G435" s="947"/>
      <c r="H435" s="948"/>
      <c r="I435" s="957"/>
      <c r="J435" s="946"/>
      <c r="K435" s="950"/>
      <c r="P435" s="811"/>
      <c r="S435" s="811"/>
      <c r="AD435" s="806"/>
      <c r="AE435" s="806"/>
      <c r="AF435" s="806"/>
      <c r="BP435" s="1"/>
      <c r="BR435" s="806"/>
      <c r="BS435" s="806"/>
      <c r="BT435" s="811"/>
      <c r="BU435" s="812"/>
    </row>
    <row r="436" spans="2:73" s="451" customFormat="1" ht="18" customHeight="1">
      <c r="B436" s="849">
        <f t="shared" si="66"/>
        <v>436</v>
      </c>
      <c r="C436" s="849"/>
      <c r="D436" s="292"/>
      <c r="E436" s="777"/>
      <c r="F436" s="849"/>
      <c r="G436" s="849"/>
      <c r="H436" s="449"/>
      <c r="I436" s="777"/>
      <c r="J436" s="849"/>
      <c r="K436" s="448"/>
      <c r="P436" s="851"/>
      <c r="S436" s="851"/>
      <c r="AD436" s="849"/>
      <c r="AE436" s="849"/>
      <c r="AF436" s="849"/>
      <c r="BR436" s="849"/>
      <c r="BS436" s="849"/>
      <c r="BT436" s="851"/>
      <c r="BU436" s="850"/>
    </row>
    <row r="437" spans="2:73" ht="18" customHeight="1">
      <c r="B437" s="844">
        <f t="shared" si="66"/>
        <v>437</v>
      </c>
      <c r="C437" s="845" t="s">
        <v>126</v>
      </c>
      <c r="D437" s="928">
        <v>5.2499999999999998E-2</v>
      </c>
      <c r="E437" s="933">
        <v>0</v>
      </c>
      <c r="F437" s="930">
        <f t="shared" ref="F437:F447" si="73">E438</f>
        <v>0</v>
      </c>
      <c r="G437" s="931">
        <v>10750</v>
      </c>
      <c r="H437" s="932">
        <v>5.2499999999999998E-2</v>
      </c>
      <c r="I437" s="933">
        <v>0</v>
      </c>
      <c r="J437" s="930">
        <f t="shared" ref="J437:J447" si="74">I438</f>
        <v>0</v>
      </c>
      <c r="K437" s="934">
        <v>21500</v>
      </c>
      <c r="P437" s="811"/>
      <c r="S437" s="811"/>
      <c r="AD437" s="806"/>
      <c r="AE437" s="806"/>
      <c r="AF437" s="806"/>
      <c r="BP437" s="1"/>
      <c r="BR437" s="806"/>
      <c r="BS437" s="806"/>
      <c r="BT437" s="811"/>
      <c r="BU437" s="812"/>
    </row>
    <row r="438" spans="2:73" ht="18" customHeight="1">
      <c r="B438" s="846">
        <f t="shared" si="66"/>
        <v>438</v>
      </c>
      <c r="C438" s="843" t="s">
        <v>126</v>
      </c>
      <c r="D438" s="935"/>
      <c r="E438" s="940"/>
      <c r="F438" s="937">
        <f t="shared" si="73"/>
        <v>0</v>
      </c>
      <c r="G438" s="961"/>
      <c r="H438" s="939"/>
      <c r="I438" s="940"/>
      <c r="J438" s="937">
        <f t="shared" si="74"/>
        <v>0</v>
      </c>
      <c r="K438" s="941"/>
      <c r="P438" s="811"/>
      <c r="S438" s="811"/>
      <c r="AD438" s="806"/>
      <c r="AE438" s="806"/>
      <c r="AF438" s="806"/>
      <c r="BP438" s="1"/>
      <c r="BR438" s="806"/>
      <c r="BS438" s="806"/>
      <c r="BT438" s="811"/>
      <c r="BU438" s="812"/>
    </row>
    <row r="439" spans="2:73" ht="18" customHeight="1">
      <c r="B439" s="846">
        <f t="shared" si="66"/>
        <v>439</v>
      </c>
      <c r="C439" s="843" t="s">
        <v>126</v>
      </c>
      <c r="D439" s="935"/>
      <c r="E439" s="940"/>
      <c r="F439" s="937">
        <f t="shared" si="73"/>
        <v>0</v>
      </c>
      <c r="G439" s="961"/>
      <c r="H439" s="939"/>
      <c r="I439" s="940"/>
      <c r="J439" s="937">
        <f t="shared" si="74"/>
        <v>0</v>
      </c>
      <c r="K439" s="941"/>
      <c r="P439" s="811"/>
      <c r="S439" s="811"/>
      <c r="AD439" s="806"/>
      <c r="AE439" s="806"/>
      <c r="AF439" s="806"/>
      <c r="BP439" s="1"/>
      <c r="BR439" s="806"/>
      <c r="BS439" s="806"/>
      <c r="BT439" s="811"/>
      <c r="BU439" s="812"/>
    </row>
    <row r="440" spans="2:73" ht="18" customHeight="1">
      <c r="B440" s="846">
        <f t="shared" si="66"/>
        <v>440</v>
      </c>
      <c r="C440" s="843" t="s">
        <v>126</v>
      </c>
      <c r="D440" s="935"/>
      <c r="E440" s="940"/>
      <c r="F440" s="937">
        <f t="shared" si="73"/>
        <v>0</v>
      </c>
      <c r="G440" s="961"/>
      <c r="H440" s="939"/>
      <c r="I440" s="940"/>
      <c r="J440" s="937">
        <f t="shared" si="74"/>
        <v>0</v>
      </c>
      <c r="K440" s="941"/>
      <c r="P440" s="811"/>
      <c r="S440" s="811"/>
      <c r="AD440" s="806"/>
      <c r="AE440" s="806"/>
      <c r="AF440" s="806"/>
      <c r="BP440" s="1"/>
      <c r="BR440" s="806"/>
      <c r="BS440" s="806"/>
      <c r="BT440" s="811"/>
      <c r="BU440" s="812"/>
    </row>
    <row r="441" spans="2:73" ht="18" customHeight="1">
      <c r="B441" s="846">
        <f t="shared" si="66"/>
        <v>441</v>
      </c>
      <c r="C441" s="843" t="s">
        <v>126</v>
      </c>
      <c r="D441" s="935"/>
      <c r="E441" s="940"/>
      <c r="F441" s="937">
        <f t="shared" si="73"/>
        <v>0</v>
      </c>
      <c r="G441" s="961"/>
      <c r="H441" s="939"/>
      <c r="I441" s="940"/>
      <c r="J441" s="937">
        <f t="shared" si="74"/>
        <v>0</v>
      </c>
      <c r="K441" s="941"/>
      <c r="P441" s="811"/>
      <c r="S441" s="811"/>
      <c r="AD441" s="806"/>
      <c r="AE441" s="806"/>
      <c r="AF441" s="806"/>
      <c r="BP441" s="1"/>
      <c r="BR441" s="806"/>
      <c r="BS441" s="806"/>
      <c r="BT441" s="811"/>
      <c r="BU441" s="812"/>
    </row>
    <row r="442" spans="2:73" ht="18" customHeight="1">
      <c r="B442" s="846">
        <f t="shared" si="66"/>
        <v>442</v>
      </c>
      <c r="C442" s="843" t="s">
        <v>126</v>
      </c>
      <c r="D442" s="935"/>
      <c r="E442" s="940"/>
      <c r="F442" s="937">
        <f t="shared" si="73"/>
        <v>0</v>
      </c>
      <c r="G442" s="961"/>
      <c r="H442" s="939"/>
      <c r="I442" s="940"/>
      <c r="J442" s="937">
        <f t="shared" si="74"/>
        <v>0</v>
      </c>
      <c r="K442" s="941"/>
      <c r="P442" s="811"/>
      <c r="S442" s="811"/>
      <c r="AD442" s="806"/>
      <c r="AE442" s="806"/>
      <c r="AF442" s="806"/>
      <c r="BP442" s="1"/>
      <c r="BR442" s="806"/>
      <c r="BS442" s="806"/>
      <c r="BT442" s="811"/>
      <c r="BU442" s="812"/>
    </row>
    <row r="443" spans="2:73" ht="18" customHeight="1">
      <c r="B443" s="846">
        <f t="shared" si="66"/>
        <v>443</v>
      </c>
      <c r="C443" s="843" t="s">
        <v>126</v>
      </c>
      <c r="D443" s="935"/>
      <c r="E443" s="940"/>
      <c r="F443" s="937">
        <f t="shared" si="73"/>
        <v>0</v>
      </c>
      <c r="G443" s="961"/>
      <c r="H443" s="939"/>
      <c r="I443" s="940"/>
      <c r="J443" s="937">
        <f t="shared" si="74"/>
        <v>0</v>
      </c>
      <c r="K443" s="941"/>
      <c r="P443" s="811"/>
      <c r="S443" s="811"/>
      <c r="AD443" s="806"/>
      <c r="AE443" s="806"/>
      <c r="AF443" s="806"/>
      <c r="BP443" s="1"/>
      <c r="BR443" s="806"/>
      <c r="BS443" s="806"/>
      <c r="BT443" s="811"/>
      <c r="BU443" s="812"/>
    </row>
    <row r="444" spans="2:73" ht="18" customHeight="1">
      <c r="B444" s="846">
        <f t="shared" si="66"/>
        <v>444</v>
      </c>
      <c r="C444" s="843" t="s">
        <v>126</v>
      </c>
      <c r="D444" s="935"/>
      <c r="E444" s="940"/>
      <c r="F444" s="937">
        <f t="shared" si="73"/>
        <v>0</v>
      </c>
      <c r="G444" s="961"/>
      <c r="H444" s="939"/>
      <c r="I444" s="940"/>
      <c r="J444" s="937">
        <f t="shared" si="74"/>
        <v>0</v>
      </c>
      <c r="K444" s="941"/>
      <c r="P444" s="811"/>
      <c r="S444" s="811"/>
      <c r="AD444" s="806"/>
      <c r="AE444" s="806"/>
      <c r="AF444" s="806"/>
      <c r="BP444" s="1"/>
      <c r="BR444" s="806"/>
      <c r="BS444" s="806"/>
      <c r="BT444" s="811"/>
      <c r="BU444" s="812"/>
    </row>
    <row r="445" spans="2:73" ht="18" customHeight="1">
      <c r="B445" s="846">
        <f t="shared" si="66"/>
        <v>445</v>
      </c>
      <c r="C445" s="843" t="s">
        <v>126</v>
      </c>
      <c r="D445" s="935"/>
      <c r="E445" s="940"/>
      <c r="F445" s="937">
        <f t="shared" si="73"/>
        <v>0</v>
      </c>
      <c r="G445" s="961"/>
      <c r="H445" s="939"/>
      <c r="I445" s="940"/>
      <c r="J445" s="937">
        <f t="shared" si="74"/>
        <v>0</v>
      </c>
      <c r="K445" s="941"/>
      <c r="P445" s="811"/>
      <c r="S445" s="811"/>
      <c r="AD445" s="806"/>
      <c r="AE445" s="806"/>
      <c r="AF445" s="806"/>
      <c r="BP445" s="1"/>
      <c r="BR445" s="806"/>
      <c r="BS445" s="806"/>
      <c r="BT445" s="811"/>
      <c r="BU445" s="812"/>
    </row>
    <row r="446" spans="2:73" ht="18" customHeight="1">
      <c r="B446" s="846">
        <f t="shared" si="66"/>
        <v>446</v>
      </c>
      <c r="C446" s="843" t="s">
        <v>126</v>
      </c>
      <c r="D446" s="935"/>
      <c r="E446" s="940"/>
      <c r="F446" s="937">
        <f t="shared" si="73"/>
        <v>0</v>
      </c>
      <c r="G446" s="961"/>
      <c r="H446" s="939"/>
      <c r="I446" s="940"/>
      <c r="J446" s="937">
        <f t="shared" si="74"/>
        <v>0</v>
      </c>
      <c r="K446" s="941"/>
      <c r="P446" s="811"/>
      <c r="S446" s="811"/>
      <c r="AD446" s="806"/>
      <c r="AE446" s="806"/>
      <c r="AF446" s="806"/>
      <c r="BP446" s="1"/>
      <c r="BR446" s="806"/>
      <c r="BS446" s="806"/>
      <c r="BT446" s="811"/>
      <c r="BU446" s="812"/>
    </row>
    <row r="447" spans="2:73" ht="18" customHeight="1">
      <c r="B447" s="846">
        <f t="shared" si="66"/>
        <v>447</v>
      </c>
      <c r="C447" s="843" t="s">
        <v>126</v>
      </c>
      <c r="D447" s="935"/>
      <c r="E447" s="940"/>
      <c r="F447" s="937">
        <f t="shared" si="73"/>
        <v>0</v>
      </c>
      <c r="G447" s="961"/>
      <c r="H447" s="939"/>
      <c r="I447" s="940"/>
      <c r="J447" s="937">
        <f t="shared" si="74"/>
        <v>0</v>
      </c>
      <c r="K447" s="941"/>
      <c r="P447" s="811"/>
      <c r="S447" s="811"/>
      <c r="AD447" s="806"/>
      <c r="AE447" s="806"/>
      <c r="AF447" s="806"/>
      <c r="BP447" s="1"/>
      <c r="BR447" s="806"/>
      <c r="BS447" s="806"/>
      <c r="BT447" s="811"/>
      <c r="BU447" s="812"/>
    </row>
    <row r="448" spans="2:73" ht="18" customHeight="1">
      <c r="B448" s="847">
        <f t="shared" si="66"/>
        <v>448</v>
      </c>
      <c r="C448" s="848" t="s">
        <v>126</v>
      </c>
      <c r="D448" s="944"/>
      <c r="E448" s="957"/>
      <c r="F448" s="946"/>
      <c r="G448" s="963"/>
      <c r="H448" s="948"/>
      <c r="I448" s="957"/>
      <c r="J448" s="946"/>
      <c r="K448" s="958"/>
      <c r="P448" s="811"/>
      <c r="S448" s="811"/>
      <c r="AD448" s="806"/>
      <c r="AE448" s="806"/>
      <c r="AF448" s="806"/>
      <c r="BP448" s="1"/>
      <c r="BR448" s="806"/>
      <c r="BS448" s="806"/>
      <c r="BT448" s="811"/>
      <c r="BU448" s="812"/>
    </row>
    <row r="449" spans="2:73" s="451" customFormat="1" ht="18" customHeight="1">
      <c r="B449" s="849">
        <f t="shared" si="66"/>
        <v>449</v>
      </c>
      <c r="C449" s="849"/>
      <c r="D449" s="292"/>
      <c r="E449" s="777"/>
      <c r="F449" s="849"/>
      <c r="G449" s="849"/>
      <c r="H449" s="449"/>
      <c r="I449" s="777"/>
      <c r="J449" s="849"/>
      <c r="K449" s="448"/>
      <c r="P449" s="851"/>
      <c r="S449" s="851"/>
      <c r="AD449" s="849"/>
      <c r="AE449" s="849"/>
      <c r="AF449" s="849"/>
      <c r="BR449" s="849"/>
      <c r="BS449" s="849"/>
      <c r="BT449" s="851"/>
      <c r="BU449" s="850"/>
    </row>
    <row r="450" spans="2:73" ht="18" customHeight="1">
      <c r="B450" s="844">
        <f t="shared" si="66"/>
        <v>450</v>
      </c>
      <c r="C450" s="845" t="s">
        <v>127</v>
      </c>
      <c r="D450" s="928">
        <v>1.0999999999999999E-2</v>
      </c>
      <c r="E450" s="933">
        <v>0</v>
      </c>
      <c r="F450" s="930">
        <f t="shared" ref="F450:F460" si="75">E451</f>
        <v>40125</v>
      </c>
      <c r="G450" s="931">
        <v>12550</v>
      </c>
      <c r="H450" s="932">
        <v>1.0999999999999999E-2</v>
      </c>
      <c r="I450" s="933">
        <v>0</v>
      </c>
      <c r="J450" s="930">
        <f t="shared" ref="J450:J460" si="76">I451</f>
        <v>67050</v>
      </c>
      <c r="K450" s="934">
        <v>25100</v>
      </c>
      <c r="P450" s="811"/>
      <c r="S450" s="811"/>
      <c r="AD450" s="806"/>
      <c r="AE450" s="806"/>
      <c r="AF450" s="806"/>
      <c r="BP450" s="1"/>
      <c r="BR450" s="806"/>
      <c r="BS450" s="806"/>
      <c r="BT450" s="811"/>
      <c r="BU450" s="812"/>
    </row>
    <row r="451" spans="2:73" ht="18" customHeight="1">
      <c r="B451" s="846">
        <f t="shared" si="66"/>
        <v>451</v>
      </c>
      <c r="C451" s="843" t="s">
        <v>127</v>
      </c>
      <c r="D451" s="935">
        <v>2.0400000000000001E-2</v>
      </c>
      <c r="E451" s="940">
        <v>40125</v>
      </c>
      <c r="F451" s="937">
        <f t="shared" si="75"/>
        <v>97150</v>
      </c>
      <c r="G451" s="938"/>
      <c r="H451" s="939">
        <v>2.0400000000000001E-2</v>
      </c>
      <c r="I451" s="940">
        <v>67050</v>
      </c>
      <c r="J451" s="937">
        <f t="shared" si="76"/>
        <v>161950</v>
      </c>
      <c r="K451" s="943"/>
      <c r="P451" s="811"/>
      <c r="S451" s="811"/>
      <c r="AD451" s="806"/>
      <c r="AE451" s="806"/>
      <c r="AF451" s="806"/>
      <c r="BP451" s="1"/>
      <c r="BR451" s="806"/>
      <c r="BS451" s="806"/>
      <c r="BT451" s="811"/>
      <c r="BU451" s="812"/>
    </row>
    <row r="452" spans="2:73" ht="18" customHeight="1">
      <c r="B452" s="846">
        <f t="shared" si="66"/>
        <v>452</v>
      </c>
      <c r="C452" s="843" t="s">
        <v>127</v>
      </c>
      <c r="D452" s="935">
        <v>2.2700000000000001E-2</v>
      </c>
      <c r="E452" s="940">
        <v>97150</v>
      </c>
      <c r="F452" s="937">
        <f t="shared" si="75"/>
        <v>202650</v>
      </c>
      <c r="G452" s="938"/>
      <c r="H452" s="939">
        <v>2.2700000000000001E-2</v>
      </c>
      <c r="I452" s="940">
        <v>161950</v>
      </c>
      <c r="J452" s="937">
        <f t="shared" si="76"/>
        <v>246700</v>
      </c>
      <c r="K452" s="943"/>
      <c r="P452" s="811"/>
      <c r="S452" s="811"/>
      <c r="AD452" s="806"/>
      <c r="AE452" s="806"/>
      <c r="AF452" s="806"/>
      <c r="BP452" s="1"/>
      <c r="BR452" s="806"/>
      <c r="BS452" s="806"/>
      <c r="BT452" s="811"/>
      <c r="BU452" s="812"/>
    </row>
    <row r="453" spans="2:73" ht="18" customHeight="1">
      <c r="B453" s="846">
        <f t="shared" si="66"/>
        <v>453</v>
      </c>
      <c r="C453" s="843" t="s">
        <v>127</v>
      </c>
      <c r="D453" s="935">
        <v>2.64E-2</v>
      </c>
      <c r="E453" s="940">
        <v>202650</v>
      </c>
      <c r="F453" s="937">
        <f t="shared" si="75"/>
        <v>440600</v>
      </c>
      <c r="G453" s="938"/>
      <c r="H453" s="939">
        <v>2.64E-2</v>
      </c>
      <c r="I453" s="940">
        <v>246700</v>
      </c>
      <c r="J453" s="937">
        <f t="shared" si="76"/>
        <v>440600</v>
      </c>
      <c r="K453" s="943"/>
      <c r="P453" s="811"/>
      <c r="S453" s="811"/>
      <c r="AD453" s="806"/>
      <c r="AE453" s="806"/>
      <c r="AF453" s="806"/>
      <c r="BP453" s="1"/>
      <c r="BR453" s="806"/>
      <c r="BS453" s="806"/>
      <c r="BT453" s="811"/>
      <c r="BU453" s="812"/>
    </row>
    <row r="454" spans="2:73" ht="18" customHeight="1">
      <c r="B454" s="846">
        <f t="shared" si="66"/>
        <v>454</v>
      </c>
      <c r="C454" s="843" t="s">
        <v>127</v>
      </c>
      <c r="D454" s="935">
        <v>2.9000000000000001E-2</v>
      </c>
      <c r="E454" s="940">
        <v>440600</v>
      </c>
      <c r="F454" s="937">
        <f t="shared" si="75"/>
        <v>0</v>
      </c>
      <c r="G454" s="938"/>
      <c r="H454" s="939">
        <v>2.9000000000000001E-2</v>
      </c>
      <c r="I454" s="940">
        <v>440600</v>
      </c>
      <c r="J454" s="937">
        <f t="shared" si="76"/>
        <v>0</v>
      </c>
      <c r="K454" s="943"/>
      <c r="P454" s="811"/>
      <c r="S454" s="811"/>
      <c r="AD454" s="806"/>
      <c r="AE454" s="806"/>
      <c r="AF454" s="806"/>
      <c r="BP454" s="1"/>
      <c r="BR454" s="806"/>
      <c r="BS454" s="806"/>
      <c r="BT454" s="811"/>
      <c r="BU454" s="812"/>
    </row>
    <row r="455" spans="2:73" ht="18" customHeight="1">
      <c r="B455" s="846">
        <f t="shared" si="66"/>
        <v>455</v>
      </c>
      <c r="C455" s="843" t="s">
        <v>127</v>
      </c>
      <c r="D455" s="935"/>
      <c r="E455" s="940"/>
      <c r="F455" s="937">
        <f t="shared" si="75"/>
        <v>0</v>
      </c>
      <c r="G455" s="938"/>
      <c r="H455" s="939"/>
      <c r="I455" s="940"/>
      <c r="J455" s="937">
        <f t="shared" si="76"/>
        <v>0</v>
      </c>
      <c r="K455" s="943"/>
      <c r="P455" s="811"/>
      <c r="S455" s="811"/>
      <c r="AD455" s="806"/>
      <c r="AE455" s="806"/>
      <c r="AF455" s="806"/>
      <c r="BP455" s="1"/>
      <c r="BR455" s="806"/>
      <c r="BS455" s="806"/>
      <c r="BT455" s="811"/>
      <c r="BU455" s="812"/>
    </row>
    <row r="456" spans="2:73" ht="18" customHeight="1">
      <c r="B456" s="846">
        <f t="shared" si="66"/>
        <v>456</v>
      </c>
      <c r="C456" s="843" t="s">
        <v>127</v>
      </c>
      <c r="D456" s="935"/>
      <c r="E456" s="940"/>
      <c r="F456" s="937">
        <f t="shared" si="75"/>
        <v>0</v>
      </c>
      <c r="G456" s="938"/>
      <c r="H456" s="939"/>
      <c r="I456" s="940"/>
      <c r="J456" s="937">
        <f t="shared" si="76"/>
        <v>0</v>
      </c>
      <c r="K456" s="943"/>
      <c r="P456" s="811"/>
      <c r="S456" s="811"/>
      <c r="AD456" s="806"/>
      <c r="AE456" s="806"/>
      <c r="AF456" s="806"/>
      <c r="BP456" s="1"/>
      <c r="BR456" s="806"/>
      <c r="BS456" s="806"/>
      <c r="BT456" s="811"/>
      <c r="BU456" s="812"/>
    </row>
    <row r="457" spans="2:73" ht="18" customHeight="1">
      <c r="B457" s="846">
        <f t="shared" si="66"/>
        <v>457</v>
      </c>
      <c r="C457" s="843" t="s">
        <v>127</v>
      </c>
      <c r="D457" s="935"/>
      <c r="E457" s="940"/>
      <c r="F457" s="937">
        <f t="shared" si="75"/>
        <v>0</v>
      </c>
      <c r="G457" s="938"/>
      <c r="H457" s="939"/>
      <c r="I457" s="940"/>
      <c r="J457" s="937">
        <f t="shared" si="76"/>
        <v>0</v>
      </c>
      <c r="K457" s="943"/>
      <c r="P457" s="811"/>
      <c r="S457" s="811"/>
      <c r="AD457" s="806"/>
      <c r="AE457" s="806"/>
      <c r="AF457" s="806"/>
      <c r="BP457" s="1"/>
      <c r="BR457" s="806"/>
      <c r="BS457" s="806"/>
      <c r="BT457" s="811"/>
      <c r="BU457" s="812"/>
    </row>
    <row r="458" spans="2:73" ht="18" customHeight="1">
      <c r="B458" s="846">
        <f t="shared" ref="B458:B521" si="77">B457+1</f>
        <v>458</v>
      </c>
      <c r="C458" s="843" t="s">
        <v>127</v>
      </c>
      <c r="D458" s="935"/>
      <c r="E458" s="940"/>
      <c r="F458" s="937">
        <f t="shared" si="75"/>
        <v>0</v>
      </c>
      <c r="G458" s="938"/>
      <c r="H458" s="939"/>
      <c r="I458" s="940"/>
      <c r="J458" s="937">
        <f t="shared" si="76"/>
        <v>0</v>
      </c>
      <c r="K458" s="943"/>
      <c r="P458" s="811"/>
      <c r="S458" s="811"/>
      <c r="AD458" s="806"/>
      <c r="AE458" s="806"/>
      <c r="AF458" s="806"/>
      <c r="BP458" s="1"/>
      <c r="BR458" s="806"/>
      <c r="BS458" s="806"/>
      <c r="BT458" s="811"/>
      <c r="BU458" s="812"/>
    </row>
    <row r="459" spans="2:73" ht="18" customHeight="1">
      <c r="B459" s="846">
        <f t="shared" si="77"/>
        <v>459</v>
      </c>
      <c r="C459" s="843" t="s">
        <v>127</v>
      </c>
      <c r="D459" s="935"/>
      <c r="E459" s="940"/>
      <c r="F459" s="937">
        <f t="shared" si="75"/>
        <v>0</v>
      </c>
      <c r="G459" s="938"/>
      <c r="H459" s="939"/>
      <c r="I459" s="940"/>
      <c r="J459" s="937">
        <f t="shared" si="76"/>
        <v>0</v>
      </c>
      <c r="K459" s="943"/>
      <c r="P459" s="811"/>
      <c r="S459" s="811"/>
      <c r="AD459" s="806"/>
      <c r="AE459" s="806"/>
      <c r="AF459" s="806"/>
      <c r="BP459" s="1"/>
      <c r="BR459" s="806"/>
      <c r="BS459" s="806"/>
      <c r="BT459" s="811"/>
      <c r="BU459" s="812"/>
    </row>
    <row r="460" spans="2:73" ht="18" customHeight="1">
      <c r="B460" s="846">
        <f t="shared" si="77"/>
        <v>460</v>
      </c>
      <c r="C460" s="843" t="s">
        <v>127</v>
      </c>
      <c r="D460" s="935"/>
      <c r="E460" s="940"/>
      <c r="F460" s="937">
        <f t="shared" si="75"/>
        <v>0</v>
      </c>
      <c r="G460" s="938"/>
      <c r="H460" s="939"/>
      <c r="I460" s="940"/>
      <c r="J460" s="937">
        <f t="shared" si="76"/>
        <v>0</v>
      </c>
      <c r="K460" s="943"/>
      <c r="P460" s="811"/>
      <c r="S460" s="811"/>
      <c r="AD460" s="806"/>
      <c r="AE460" s="806"/>
      <c r="AF460" s="806"/>
      <c r="BP460" s="1"/>
      <c r="BR460" s="806"/>
      <c r="BS460" s="806"/>
      <c r="BT460" s="811"/>
      <c r="BU460" s="812"/>
    </row>
    <row r="461" spans="2:73" ht="18" customHeight="1">
      <c r="B461" s="847">
        <f t="shared" si="77"/>
        <v>461</v>
      </c>
      <c r="C461" s="848" t="s">
        <v>127</v>
      </c>
      <c r="D461" s="944"/>
      <c r="E461" s="957"/>
      <c r="F461" s="946"/>
      <c r="G461" s="947"/>
      <c r="H461" s="948"/>
      <c r="I461" s="957"/>
      <c r="J461" s="946"/>
      <c r="K461" s="950"/>
      <c r="P461" s="811"/>
      <c r="S461" s="811"/>
      <c r="AD461" s="806"/>
      <c r="AE461" s="806"/>
      <c r="AF461" s="806"/>
      <c r="BP461" s="1"/>
      <c r="BR461" s="806"/>
      <c r="BS461" s="806"/>
      <c r="BT461" s="811"/>
      <c r="BU461" s="812"/>
    </row>
    <row r="462" spans="2:73" s="451" customFormat="1" ht="18" customHeight="1">
      <c r="B462" s="849">
        <f t="shared" si="77"/>
        <v>462</v>
      </c>
      <c r="C462" s="849"/>
      <c r="D462" s="292"/>
      <c r="E462" s="777"/>
      <c r="F462" s="849"/>
      <c r="G462" s="849"/>
      <c r="H462" s="449"/>
      <c r="I462" s="777"/>
      <c r="J462" s="849"/>
      <c r="K462" s="448"/>
      <c r="P462" s="851"/>
      <c r="S462" s="851"/>
      <c r="AD462" s="849"/>
      <c r="AE462" s="849"/>
      <c r="AF462" s="849"/>
      <c r="BR462" s="849"/>
      <c r="BS462" s="849"/>
      <c r="BT462" s="851"/>
      <c r="BU462" s="850"/>
    </row>
    <row r="463" spans="2:73" ht="18" customHeight="1">
      <c r="B463" s="844">
        <f t="shared" si="77"/>
        <v>463</v>
      </c>
      <c r="C463" s="845" t="s">
        <v>128</v>
      </c>
      <c r="D463" s="928">
        <v>0</v>
      </c>
      <c r="E463" s="933">
        <v>0</v>
      </c>
      <c r="F463" s="930">
        <f t="shared" ref="F463:F473" si="78">E464</f>
        <v>22150</v>
      </c>
      <c r="G463" s="931">
        <v>2400</v>
      </c>
      <c r="H463" s="932">
        <v>0</v>
      </c>
      <c r="I463" s="933">
        <v>0</v>
      </c>
      <c r="J463" s="930">
        <f t="shared" ref="J463:J473" si="79">I464</f>
        <v>22150</v>
      </c>
      <c r="K463" s="934">
        <v>4800</v>
      </c>
      <c r="P463" s="811"/>
      <c r="S463" s="811"/>
      <c r="AD463" s="806"/>
      <c r="AE463" s="806"/>
      <c r="AF463" s="806"/>
      <c r="BP463" s="1"/>
      <c r="BR463" s="806"/>
      <c r="BS463" s="806"/>
      <c r="BT463" s="811"/>
      <c r="BU463" s="812"/>
    </row>
    <row r="464" spans="2:73" ht="18" customHeight="1">
      <c r="B464" s="846">
        <f t="shared" si="77"/>
        <v>464</v>
      </c>
      <c r="C464" s="843" t="s">
        <v>128</v>
      </c>
      <c r="D464" s="935">
        <v>2.8500000000000001E-2</v>
      </c>
      <c r="E464" s="940">
        <v>22150</v>
      </c>
      <c r="F464" s="937">
        <f t="shared" si="78"/>
        <v>44250</v>
      </c>
      <c r="G464" s="938"/>
      <c r="H464" s="939">
        <v>2.8500000000000001E-2</v>
      </c>
      <c r="I464" s="940">
        <v>22150</v>
      </c>
      <c r="J464" s="937">
        <f t="shared" si="79"/>
        <v>44250</v>
      </c>
      <c r="K464" s="943"/>
      <c r="P464" s="811"/>
      <c r="S464" s="811"/>
      <c r="AD464" s="806"/>
      <c r="AE464" s="806"/>
      <c r="AF464" s="806"/>
      <c r="BP464" s="1"/>
      <c r="BR464" s="806"/>
      <c r="BS464" s="806"/>
      <c r="BT464" s="811"/>
      <c r="BU464" s="812"/>
    </row>
    <row r="465" spans="2:76" ht="18" customHeight="1">
      <c r="B465" s="846">
        <f t="shared" si="77"/>
        <v>465</v>
      </c>
      <c r="C465" s="843" t="s">
        <v>128</v>
      </c>
      <c r="D465" s="935">
        <v>3.3259999999999998E-2</v>
      </c>
      <c r="E465" s="940">
        <v>44250</v>
      </c>
      <c r="F465" s="937">
        <f t="shared" si="78"/>
        <v>88450</v>
      </c>
      <c r="G465" s="938"/>
      <c r="H465" s="939">
        <v>3.3259999999999998E-2</v>
      </c>
      <c r="I465" s="940">
        <v>44250</v>
      </c>
      <c r="J465" s="937">
        <f t="shared" si="79"/>
        <v>88450</v>
      </c>
      <c r="K465" s="943"/>
      <c r="P465" s="811"/>
      <c r="S465" s="811"/>
      <c r="AD465" s="806"/>
      <c r="AE465" s="806"/>
      <c r="AF465" s="806"/>
      <c r="BP465" s="1"/>
      <c r="BR465" s="806"/>
      <c r="BS465" s="806"/>
      <c r="BT465" s="811"/>
      <c r="BU465" s="812"/>
    </row>
    <row r="466" spans="2:76" ht="18" customHeight="1">
      <c r="B466" s="846">
        <f t="shared" si="77"/>
        <v>466</v>
      </c>
      <c r="C466" s="843" t="s">
        <v>128</v>
      </c>
      <c r="D466" s="935">
        <v>3.8019999999999998E-2</v>
      </c>
      <c r="E466" s="940">
        <v>88450</v>
      </c>
      <c r="F466" s="937">
        <f t="shared" si="78"/>
        <v>110650</v>
      </c>
      <c r="G466" s="938"/>
      <c r="H466" s="939">
        <v>3.8019999999999998E-2</v>
      </c>
      <c r="I466" s="940">
        <v>88450</v>
      </c>
      <c r="J466" s="937">
        <f t="shared" si="79"/>
        <v>110650</v>
      </c>
      <c r="K466" s="943"/>
      <c r="P466" s="811"/>
      <c r="S466" s="811"/>
      <c r="AD466" s="806"/>
      <c r="AE466" s="806"/>
      <c r="AF466" s="806"/>
      <c r="BN466" s="811"/>
      <c r="BP466" s="813"/>
      <c r="BR466" s="814"/>
      <c r="BS466" s="814"/>
      <c r="BT466" s="811"/>
      <c r="BU466" s="812"/>
      <c r="BV466" s="811"/>
      <c r="BX466" s="811"/>
    </row>
    <row r="467" spans="2:76" ht="18" customHeight="1">
      <c r="B467" s="846">
        <f t="shared" si="77"/>
        <v>467</v>
      </c>
      <c r="C467" s="843" t="s">
        <v>128</v>
      </c>
      <c r="D467" s="935">
        <v>4.4130000000000003E-2</v>
      </c>
      <c r="E467" s="940">
        <v>110650</v>
      </c>
      <c r="F467" s="937">
        <f t="shared" si="78"/>
        <v>221300</v>
      </c>
      <c r="G467" s="938"/>
      <c r="H467" s="939">
        <v>4.4130000000000003E-2</v>
      </c>
      <c r="I467" s="940">
        <v>110650</v>
      </c>
      <c r="J467" s="937">
        <f t="shared" si="79"/>
        <v>221300</v>
      </c>
      <c r="K467" s="943"/>
      <c r="P467" s="811"/>
      <c r="S467" s="811"/>
      <c r="AD467" s="806"/>
      <c r="AE467" s="806"/>
      <c r="AF467" s="806"/>
      <c r="BN467" s="811"/>
      <c r="BP467" s="813"/>
      <c r="BR467" s="814"/>
      <c r="BS467" s="814"/>
      <c r="BT467" s="811"/>
      <c r="BU467" s="812"/>
      <c r="BV467" s="811"/>
      <c r="BX467" s="811"/>
    </row>
    <row r="468" spans="2:76" ht="18" customHeight="1">
      <c r="B468" s="846">
        <f t="shared" si="77"/>
        <v>468</v>
      </c>
      <c r="C468" s="843" t="s">
        <v>128</v>
      </c>
      <c r="D468" s="935">
        <v>4.7969999999999999E-2</v>
      </c>
      <c r="E468" s="940">
        <v>221300</v>
      </c>
      <c r="F468" s="937">
        <f t="shared" si="78"/>
        <v>0</v>
      </c>
      <c r="G468" s="938"/>
      <c r="H468" s="939">
        <v>4.7969999999999999E-2</v>
      </c>
      <c r="I468" s="940">
        <v>221300</v>
      </c>
      <c r="J468" s="937">
        <f t="shared" si="79"/>
        <v>0</v>
      </c>
      <c r="K468" s="943"/>
      <c r="P468" s="811"/>
      <c r="S468" s="811"/>
      <c r="AD468" s="806"/>
      <c r="AE468" s="806"/>
      <c r="AF468" s="806"/>
      <c r="BN468" s="811"/>
      <c r="BP468" s="813"/>
      <c r="BR468" s="814"/>
      <c r="BS468" s="814"/>
      <c r="BT468" s="811"/>
      <c r="BU468" s="812"/>
      <c r="BV468" s="811"/>
      <c r="BX468" s="811"/>
    </row>
    <row r="469" spans="2:76" ht="18" customHeight="1">
      <c r="B469" s="846">
        <f t="shared" si="77"/>
        <v>469</v>
      </c>
      <c r="C469" s="843" t="s">
        <v>128</v>
      </c>
      <c r="D469" s="935"/>
      <c r="E469" s="940"/>
      <c r="F469" s="937">
        <f t="shared" si="78"/>
        <v>0</v>
      </c>
      <c r="G469" s="938"/>
      <c r="H469" s="939"/>
      <c r="I469" s="940"/>
      <c r="J469" s="937">
        <f t="shared" si="79"/>
        <v>0</v>
      </c>
      <c r="K469" s="943"/>
      <c r="P469" s="811"/>
      <c r="S469" s="811"/>
      <c r="AD469" s="806"/>
      <c r="AE469" s="806"/>
      <c r="AF469" s="806"/>
      <c r="BN469" s="811"/>
      <c r="BP469" s="813"/>
      <c r="BR469" s="814"/>
      <c r="BS469" s="814"/>
      <c r="BT469" s="811"/>
      <c r="BU469" s="812"/>
      <c r="BV469" s="811"/>
      <c r="BX469" s="811"/>
    </row>
    <row r="470" spans="2:76" ht="18" customHeight="1">
      <c r="B470" s="846">
        <f t="shared" si="77"/>
        <v>470</v>
      </c>
      <c r="C470" s="843" t="s">
        <v>128</v>
      </c>
      <c r="D470" s="935"/>
      <c r="E470" s="940"/>
      <c r="F470" s="937">
        <f t="shared" si="78"/>
        <v>0</v>
      </c>
      <c r="G470" s="938"/>
      <c r="H470" s="939"/>
      <c r="I470" s="940"/>
      <c r="J470" s="937">
        <f t="shared" si="79"/>
        <v>0</v>
      </c>
      <c r="K470" s="943"/>
      <c r="P470" s="811"/>
      <c r="S470" s="811"/>
      <c r="AD470" s="806"/>
      <c r="AE470" s="806"/>
      <c r="AF470" s="806"/>
      <c r="BN470" s="811"/>
      <c r="BP470" s="813"/>
      <c r="BR470" s="814"/>
      <c r="BS470" s="814"/>
      <c r="BT470" s="811"/>
      <c r="BU470" s="812"/>
      <c r="BV470" s="811"/>
      <c r="BX470" s="811"/>
    </row>
    <row r="471" spans="2:76" ht="18" customHeight="1">
      <c r="B471" s="846">
        <f t="shared" si="77"/>
        <v>471</v>
      </c>
      <c r="C471" s="843" t="s">
        <v>128</v>
      </c>
      <c r="D471" s="935"/>
      <c r="E471" s="940"/>
      <c r="F471" s="937">
        <f t="shared" si="78"/>
        <v>0</v>
      </c>
      <c r="G471" s="938"/>
      <c r="H471" s="939"/>
      <c r="I471" s="940"/>
      <c r="J471" s="937">
        <f t="shared" si="79"/>
        <v>0</v>
      </c>
      <c r="K471" s="943"/>
      <c r="P471" s="811"/>
      <c r="S471" s="811"/>
      <c r="AD471" s="806"/>
      <c r="AE471" s="806"/>
      <c r="AF471" s="806"/>
      <c r="BN471" s="811"/>
      <c r="BP471" s="813"/>
      <c r="BR471" s="814"/>
      <c r="BS471" s="814"/>
      <c r="BT471" s="811"/>
      <c r="BU471" s="812"/>
      <c r="BV471" s="811"/>
      <c r="BX471" s="811"/>
    </row>
    <row r="472" spans="2:76" ht="18" customHeight="1">
      <c r="B472" s="846">
        <f t="shared" si="77"/>
        <v>472</v>
      </c>
      <c r="C472" s="843" t="s">
        <v>128</v>
      </c>
      <c r="D472" s="935"/>
      <c r="E472" s="940"/>
      <c r="F472" s="937">
        <f t="shared" si="78"/>
        <v>0</v>
      </c>
      <c r="G472" s="938"/>
      <c r="H472" s="939"/>
      <c r="I472" s="940"/>
      <c r="J472" s="937">
        <f t="shared" si="79"/>
        <v>0</v>
      </c>
      <c r="K472" s="943"/>
      <c r="P472" s="811"/>
      <c r="S472" s="811"/>
      <c r="AD472" s="806"/>
      <c r="AE472" s="806"/>
      <c r="AF472" s="806"/>
      <c r="BN472" s="811"/>
      <c r="BP472" s="813"/>
      <c r="BR472" s="814"/>
      <c r="BS472" s="814"/>
      <c r="BT472" s="811"/>
      <c r="BU472" s="812"/>
      <c r="BV472" s="811"/>
      <c r="BX472" s="811"/>
    </row>
    <row r="473" spans="2:76" ht="18" customHeight="1">
      <c r="B473" s="846">
        <f t="shared" si="77"/>
        <v>473</v>
      </c>
      <c r="C473" s="843" t="s">
        <v>128</v>
      </c>
      <c r="D473" s="935"/>
      <c r="E473" s="940"/>
      <c r="F473" s="937">
        <f t="shared" si="78"/>
        <v>0</v>
      </c>
      <c r="G473" s="938"/>
      <c r="H473" s="939"/>
      <c r="I473" s="940"/>
      <c r="J473" s="937">
        <f t="shared" si="79"/>
        <v>0</v>
      </c>
      <c r="K473" s="943"/>
      <c r="P473" s="811"/>
      <c r="S473" s="811"/>
      <c r="AD473" s="806"/>
      <c r="AE473" s="806"/>
      <c r="AF473" s="806"/>
      <c r="BN473" s="811"/>
      <c r="BP473" s="813"/>
      <c r="BR473" s="814"/>
      <c r="BS473" s="814"/>
      <c r="BT473" s="811"/>
      <c r="BU473" s="812"/>
      <c r="BV473" s="811"/>
      <c r="BX473" s="811"/>
    </row>
    <row r="474" spans="2:76" ht="18" customHeight="1">
      <c r="B474" s="847">
        <f t="shared" si="77"/>
        <v>474</v>
      </c>
      <c r="C474" s="848" t="s">
        <v>128</v>
      </c>
      <c r="D474" s="944"/>
      <c r="E474" s="957"/>
      <c r="F474" s="946"/>
      <c r="G474" s="947"/>
      <c r="H474" s="948"/>
      <c r="I474" s="957"/>
      <c r="J474" s="946"/>
      <c r="K474" s="950"/>
      <c r="P474" s="811"/>
      <c r="S474" s="811"/>
      <c r="AD474" s="806"/>
      <c r="AE474" s="806"/>
      <c r="AF474" s="806"/>
      <c r="BN474" s="811"/>
      <c r="BP474" s="813"/>
      <c r="BR474" s="814"/>
      <c r="BS474" s="814"/>
      <c r="BT474" s="811"/>
      <c r="BU474" s="812"/>
      <c r="BV474" s="811"/>
      <c r="BX474" s="811"/>
    </row>
    <row r="475" spans="2:76" s="451" customFormat="1" ht="18" customHeight="1">
      <c r="B475" s="849">
        <f t="shared" si="77"/>
        <v>475</v>
      </c>
      <c r="C475" s="849"/>
      <c r="D475" s="292"/>
      <c r="E475" s="777"/>
      <c r="F475" s="849"/>
      <c r="G475" s="849"/>
      <c r="H475" s="449"/>
      <c r="I475" s="777"/>
      <c r="J475" s="849"/>
      <c r="K475" s="448"/>
      <c r="P475" s="851"/>
      <c r="S475" s="851"/>
      <c r="AD475" s="849"/>
      <c r="AE475" s="849"/>
      <c r="AF475" s="849"/>
      <c r="BN475" s="851"/>
      <c r="BP475" s="851"/>
      <c r="BR475" s="852"/>
      <c r="BS475" s="852"/>
      <c r="BT475" s="851"/>
      <c r="BU475" s="850"/>
      <c r="BV475" s="851"/>
      <c r="BX475" s="851"/>
    </row>
    <row r="476" spans="2:76" ht="18" customHeight="1">
      <c r="B476" s="844">
        <f t="shared" si="77"/>
        <v>476</v>
      </c>
      <c r="C476" s="845" t="s">
        <v>129</v>
      </c>
      <c r="D476" s="928">
        <v>5.0000000000000001E-3</v>
      </c>
      <c r="E476" s="933">
        <v>0</v>
      </c>
      <c r="F476" s="930">
        <f t="shared" ref="F476:F486" si="80">E477</f>
        <v>1000</v>
      </c>
      <c r="G476" s="931">
        <v>6350</v>
      </c>
      <c r="H476" s="932">
        <v>5.0000000000000001E-3</v>
      </c>
      <c r="I476" s="933">
        <v>0</v>
      </c>
      <c r="J476" s="930">
        <f t="shared" ref="J476:J486" si="81">I477</f>
        <v>2000</v>
      </c>
      <c r="K476" s="934">
        <v>12700</v>
      </c>
      <c r="P476" s="811"/>
      <c r="S476" s="811"/>
      <c r="AD476" s="806"/>
      <c r="AE476" s="806"/>
      <c r="AF476" s="806"/>
      <c r="BN476" s="811"/>
      <c r="BP476" s="813"/>
      <c r="BR476" s="814"/>
      <c r="BS476" s="814"/>
      <c r="BT476" s="811"/>
      <c r="BU476" s="812"/>
      <c r="BV476" s="811"/>
      <c r="BX476" s="811"/>
    </row>
    <row r="477" spans="2:76" ht="18" customHeight="1">
      <c r="B477" s="846">
        <f t="shared" si="77"/>
        <v>477</v>
      </c>
      <c r="C477" s="843" t="s">
        <v>129</v>
      </c>
      <c r="D477" s="935">
        <v>0.01</v>
      </c>
      <c r="E477" s="940">
        <v>1000</v>
      </c>
      <c r="F477" s="937">
        <f t="shared" si="80"/>
        <v>2500</v>
      </c>
      <c r="G477" s="938"/>
      <c r="H477" s="939">
        <v>0.01</v>
      </c>
      <c r="I477" s="940">
        <v>2000</v>
      </c>
      <c r="J477" s="937">
        <f t="shared" si="81"/>
        <v>5000</v>
      </c>
      <c r="K477" s="943"/>
      <c r="P477" s="811"/>
      <c r="S477" s="811"/>
      <c r="AD477" s="806"/>
      <c r="AE477" s="806"/>
      <c r="AF477" s="806"/>
      <c r="BN477" s="811"/>
      <c r="BP477" s="813"/>
      <c r="BR477" s="814"/>
      <c r="BS477" s="814"/>
      <c r="BT477" s="811"/>
      <c r="BU477" s="812"/>
      <c r="BV477" s="811"/>
      <c r="BX477" s="811"/>
    </row>
    <row r="478" spans="2:76" ht="18" customHeight="1">
      <c r="B478" s="846">
        <f t="shared" si="77"/>
        <v>478</v>
      </c>
      <c r="C478" s="843" t="s">
        <v>129</v>
      </c>
      <c r="D478" s="935">
        <v>0.02</v>
      </c>
      <c r="E478" s="940">
        <v>2500</v>
      </c>
      <c r="F478" s="937">
        <f t="shared" si="80"/>
        <v>3750</v>
      </c>
      <c r="G478" s="938"/>
      <c r="H478" s="939">
        <v>0.02</v>
      </c>
      <c r="I478" s="940">
        <v>5000</v>
      </c>
      <c r="J478" s="937">
        <f t="shared" si="81"/>
        <v>7500</v>
      </c>
      <c r="K478" s="943"/>
      <c r="P478" s="811"/>
      <c r="S478" s="811"/>
      <c r="AD478" s="806"/>
      <c r="AE478" s="806"/>
      <c r="AF478" s="806"/>
      <c r="BN478" s="811"/>
      <c r="BP478" s="813"/>
      <c r="BR478" s="814"/>
      <c r="BS478" s="814"/>
      <c r="BT478" s="811"/>
      <c r="BU478" s="812"/>
      <c r="BV478" s="811"/>
      <c r="BX478" s="811"/>
    </row>
    <row r="479" spans="2:76" ht="18" customHeight="1">
      <c r="B479" s="846">
        <f t="shared" si="77"/>
        <v>479</v>
      </c>
      <c r="C479" s="843" t="s">
        <v>129</v>
      </c>
      <c r="D479" s="935">
        <v>0.03</v>
      </c>
      <c r="E479" s="940">
        <v>3750</v>
      </c>
      <c r="F479" s="937">
        <f t="shared" si="80"/>
        <v>4900</v>
      </c>
      <c r="G479" s="938"/>
      <c r="H479" s="939">
        <v>0.03</v>
      </c>
      <c r="I479" s="940">
        <v>7500</v>
      </c>
      <c r="J479" s="937">
        <f t="shared" si="81"/>
        <v>9800</v>
      </c>
      <c r="K479" s="943"/>
      <c r="P479" s="811"/>
      <c r="S479" s="811"/>
      <c r="AD479" s="806"/>
      <c r="AE479" s="806"/>
      <c r="AF479" s="806"/>
      <c r="BN479" s="811"/>
      <c r="BP479" s="813"/>
      <c r="BR479" s="814"/>
      <c r="BS479" s="814"/>
      <c r="BT479" s="811"/>
      <c r="BU479" s="812"/>
      <c r="BV479" s="811"/>
      <c r="BX479" s="811"/>
    </row>
    <row r="480" spans="2:76" ht="18" customHeight="1">
      <c r="B480" s="846">
        <f t="shared" si="77"/>
        <v>480</v>
      </c>
      <c r="C480" s="843" t="s">
        <v>129</v>
      </c>
      <c r="D480" s="935">
        <v>0.04</v>
      </c>
      <c r="E480" s="940">
        <v>4900</v>
      </c>
      <c r="F480" s="937">
        <f t="shared" si="80"/>
        <v>7200</v>
      </c>
      <c r="G480" s="938"/>
      <c r="H480" s="939">
        <v>0.04</v>
      </c>
      <c r="I480" s="940">
        <v>9800</v>
      </c>
      <c r="J480" s="937">
        <f t="shared" si="81"/>
        <v>12200</v>
      </c>
      <c r="K480" s="943"/>
      <c r="P480" s="811"/>
      <c r="S480" s="811"/>
      <c r="AD480" s="806"/>
      <c r="AE480" s="806"/>
      <c r="AF480" s="806"/>
      <c r="BN480" s="811"/>
      <c r="BP480" s="813"/>
      <c r="BR480" s="814"/>
      <c r="BS480" s="814"/>
      <c r="BT480" s="811"/>
      <c r="BU480" s="812"/>
      <c r="BV480" s="811"/>
      <c r="BX480" s="811"/>
    </row>
    <row r="481" spans="2:76" ht="18" customHeight="1">
      <c r="B481" s="846">
        <f t="shared" si="77"/>
        <v>481</v>
      </c>
      <c r="C481" s="843" t="s">
        <v>129</v>
      </c>
      <c r="D481" s="935">
        <v>0.05</v>
      </c>
      <c r="E481" s="940">
        <v>7200</v>
      </c>
      <c r="F481" s="937">
        <f t="shared" si="80"/>
        <v>0</v>
      </c>
      <c r="G481" s="938"/>
      <c r="H481" s="939">
        <v>0.05</v>
      </c>
      <c r="I481" s="940">
        <v>12200</v>
      </c>
      <c r="J481" s="937">
        <f t="shared" si="81"/>
        <v>0</v>
      </c>
      <c r="K481" s="943"/>
      <c r="P481" s="811"/>
      <c r="S481" s="811"/>
      <c r="AD481" s="806"/>
      <c r="AE481" s="806"/>
      <c r="AF481" s="806"/>
      <c r="BN481" s="811"/>
      <c r="BP481" s="813"/>
      <c r="BR481" s="814"/>
      <c r="BS481" s="814"/>
      <c r="BT481" s="811"/>
      <c r="BU481" s="812"/>
      <c r="BV481" s="811"/>
      <c r="BX481" s="811"/>
    </row>
    <row r="482" spans="2:76" ht="18" customHeight="1">
      <c r="B482" s="846">
        <f t="shared" si="77"/>
        <v>482</v>
      </c>
      <c r="C482" s="843" t="s">
        <v>129</v>
      </c>
      <c r="D482" s="935"/>
      <c r="E482" s="940"/>
      <c r="F482" s="937">
        <f t="shared" si="80"/>
        <v>0</v>
      </c>
      <c r="G482" s="938"/>
      <c r="H482" s="939"/>
      <c r="I482" s="940"/>
      <c r="J482" s="937">
        <f t="shared" si="81"/>
        <v>0</v>
      </c>
      <c r="K482" s="943"/>
      <c r="P482" s="811"/>
      <c r="S482" s="811"/>
      <c r="AD482" s="806"/>
      <c r="AE482" s="806"/>
      <c r="AF482" s="806"/>
      <c r="BN482" s="811"/>
      <c r="BP482" s="813"/>
      <c r="BR482" s="814"/>
      <c r="BS482" s="814"/>
      <c r="BT482" s="811"/>
      <c r="BU482" s="812"/>
      <c r="BV482" s="811"/>
      <c r="BX482" s="811"/>
    </row>
    <row r="483" spans="2:76" ht="18" customHeight="1">
      <c r="B483" s="846">
        <f t="shared" si="77"/>
        <v>483</v>
      </c>
      <c r="C483" s="843" t="s">
        <v>129</v>
      </c>
      <c r="D483" s="935"/>
      <c r="E483" s="940"/>
      <c r="F483" s="937">
        <f t="shared" si="80"/>
        <v>0</v>
      </c>
      <c r="G483" s="938"/>
      <c r="H483" s="939"/>
      <c r="I483" s="940"/>
      <c r="J483" s="937">
        <f t="shared" si="81"/>
        <v>0</v>
      </c>
      <c r="K483" s="943"/>
      <c r="P483" s="811"/>
      <c r="S483" s="811"/>
      <c r="AD483" s="806"/>
      <c r="AE483" s="806"/>
      <c r="AF483" s="806"/>
      <c r="BN483" s="811"/>
      <c r="BP483" s="813"/>
      <c r="BR483" s="814"/>
      <c r="BS483" s="814"/>
      <c r="BT483" s="811"/>
      <c r="BU483" s="812"/>
      <c r="BV483" s="811"/>
      <c r="BX483" s="811"/>
    </row>
    <row r="484" spans="2:76" ht="18" customHeight="1">
      <c r="B484" s="846">
        <f t="shared" si="77"/>
        <v>484</v>
      </c>
      <c r="C484" s="843" t="s">
        <v>129</v>
      </c>
      <c r="D484" s="935"/>
      <c r="E484" s="940"/>
      <c r="F484" s="937">
        <f t="shared" si="80"/>
        <v>0</v>
      </c>
      <c r="G484" s="938"/>
      <c r="H484" s="939"/>
      <c r="I484" s="940"/>
      <c r="J484" s="937">
        <f t="shared" si="81"/>
        <v>0</v>
      </c>
      <c r="K484" s="943"/>
      <c r="P484" s="811"/>
      <c r="S484" s="811"/>
      <c r="AD484" s="806"/>
      <c r="AE484" s="806"/>
      <c r="AF484" s="806"/>
      <c r="BN484" s="811"/>
      <c r="BP484" s="813"/>
      <c r="BR484" s="814"/>
      <c r="BS484" s="814"/>
      <c r="BT484" s="811"/>
      <c r="BU484" s="812"/>
      <c r="BV484" s="811"/>
      <c r="BX484" s="811"/>
    </row>
    <row r="485" spans="2:76" ht="18" customHeight="1">
      <c r="B485" s="846">
        <f t="shared" si="77"/>
        <v>485</v>
      </c>
      <c r="C485" s="843" t="s">
        <v>129</v>
      </c>
      <c r="D485" s="935"/>
      <c r="E485" s="940"/>
      <c r="F485" s="937">
        <f t="shared" si="80"/>
        <v>0</v>
      </c>
      <c r="G485" s="938"/>
      <c r="H485" s="939"/>
      <c r="I485" s="940"/>
      <c r="J485" s="937">
        <f t="shared" si="81"/>
        <v>0</v>
      </c>
      <c r="K485" s="943"/>
      <c r="P485" s="811"/>
      <c r="S485" s="811"/>
      <c r="AD485" s="806"/>
      <c r="AE485" s="806"/>
      <c r="AF485" s="806"/>
      <c r="BN485" s="811"/>
      <c r="BP485" s="813"/>
      <c r="BR485" s="814"/>
      <c r="BS485" s="814"/>
      <c r="BT485" s="811"/>
      <c r="BU485" s="812"/>
      <c r="BV485" s="811"/>
      <c r="BX485" s="811"/>
    </row>
    <row r="486" spans="2:76" ht="18" customHeight="1">
      <c r="B486" s="846">
        <f t="shared" si="77"/>
        <v>486</v>
      </c>
      <c r="C486" s="843" t="s">
        <v>129</v>
      </c>
      <c r="D486" s="935"/>
      <c r="E486" s="940"/>
      <c r="F486" s="937">
        <f t="shared" si="80"/>
        <v>0</v>
      </c>
      <c r="G486" s="938"/>
      <c r="H486" s="939"/>
      <c r="I486" s="940"/>
      <c r="J486" s="937">
        <f t="shared" si="81"/>
        <v>0</v>
      </c>
      <c r="K486" s="943"/>
      <c r="P486" s="811"/>
      <c r="S486" s="811"/>
      <c r="AD486" s="806"/>
      <c r="AE486" s="806"/>
      <c r="AF486" s="806"/>
      <c r="BN486" s="811"/>
      <c r="BP486" s="813"/>
      <c r="BR486" s="814"/>
      <c r="BS486" s="814"/>
      <c r="BT486" s="811"/>
      <c r="BU486" s="812"/>
      <c r="BV486" s="811"/>
      <c r="BX486" s="811"/>
    </row>
    <row r="487" spans="2:76" ht="18" customHeight="1">
      <c r="B487" s="847">
        <f t="shared" si="77"/>
        <v>487</v>
      </c>
      <c r="C487" s="848" t="s">
        <v>129</v>
      </c>
      <c r="D487" s="944"/>
      <c r="E487" s="957"/>
      <c r="F487" s="946"/>
      <c r="G487" s="947"/>
      <c r="H487" s="948"/>
      <c r="I487" s="957"/>
      <c r="J487" s="946"/>
      <c r="K487" s="950"/>
      <c r="P487" s="811"/>
      <c r="S487" s="811"/>
      <c r="AD487" s="806"/>
      <c r="AE487" s="806"/>
      <c r="AF487" s="806"/>
      <c r="BN487" s="811"/>
      <c r="BP487" s="813"/>
      <c r="BR487" s="814"/>
      <c r="BS487" s="814"/>
      <c r="BT487" s="811"/>
      <c r="BU487" s="812"/>
      <c r="BV487" s="811"/>
      <c r="BX487" s="811"/>
    </row>
    <row r="488" spans="2:76" s="451" customFormat="1" ht="18" customHeight="1">
      <c r="B488" s="849">
        <f t="shared" si="77"/>
        <v>488</v>
      </c>
      <c r="C488" s="849"/>
      <c r="D488" s="292"/>
      <c r="E488" s="777"/>
      <c r="F488" s="849"/>
      <c r="G488" s="849"/>
      <c r="H488" s="449"/>
      <c r="I488" s="777"/>
      <c r="J488" s="849"/>
      <c r="K488" s="448"/>
      <c r="P488" s="851"/>
      <c r="S488" s="851"/>
      <c r="AD488" s="849"/>
      <c r="AE488" s="849"/>
      <c r="AF488" s="849"/>
      <c r="BN488" s="851"/>
      <c r="BP488" s="851"/>
      <c r="BR488" s="852"/>
      <c r="BS488" s="852"/>
      <c r="BT488" s="851"/>
      <c r="BU488" s="850"/>
      <c r="BV488" s="851"/>
      <c r="BX488" s="851"/>
    </row>
    <row r="489" spans="2:76" ht="18" customHeight="1">
      <c r="B489" s="844">
        <f t="shared" si="77"/>
        <v>489</v>
      </c>
      <c r="C489" s="845" t="s">
        <v>130</v>
      </c>
      <c r="D489" s="928">
        <v>4.7500000000000001E-2</v>
      </c>
      <c r="E489" s="933">
        <v>0</v>
      </c>
      <c r="F489" s="930">
        <f t="shared" ref="F489:F499" si="82">E490</f>
        <v>3650</v>
      </c>
      <c r="G489" s="931">
        <v>2315</v>
      </c>
      <c r="H489" s="932">
        <v>4.7500000000000001E-2</v>
      </c>
      <c r="I489" s="933">
        <v>0</v>
      </c>
      <c r="J489" s="930">
        <f t="shared" ref="J489:J499" si="83">I490</f>
        <v>7300</v>
      </c>
      <c r="K489" s="934">
        <v>4630</v>
      </c>
      <c r="P489" s="811"/>
      <c r="S489" s="811"/>
      <c r="AD489" s="806"/>
      <c r="AE489" s="806"/>
      <c r="AF489" s="806"/>
      <c r="BN489" s="811"/>
      <c r="BP489" s="813"/>
      <c r="BR489" s="814"/>
      <c r="BS489" s="814"/>
      <c r="BT489" s="811"/>
      <c r="BU489" s="812"/>
      <c r="BV489" s="811"/>
      <c r="BX489" s="811"/>
    </row>
    <row r="490" spans="2:76" ht="18" customHeight="1">
      <c r="B490" s="846">
        <f t="shared" si="77"/>
        <v>490</v>
      </c>
      <c r="C490" s="843" t="s">
        <v>130</v>
      </c>
      <c r="D490" s="935">
        <v>6.7500000000000004E-2</v>
      </c>
      <c r="E490" s="940">
        <v>3650</v>
      </c>
      <c r="F490" s="937">
        <f t="shared" si="82"/>
        <v>9200</v>
      </c>
      <c r="G490" s="938"/>
      <c r="H490" s="939">
        <v>6.7500000000000004E-2</v>
      </c>
      <c r="I490" s="940">
        <v>7300</v>
      </c>
      <c r="J490" s="937">
        <f t="shared" si="83"/>
        <v>18400</v>
      </c>
      <c r="K490" s="943"/>
      <c r="P490" s="811"/>
      <c r="S490" s="811"/>
      <c r="AD490" s="806"/>
      <c r="AE490" s="806"/>
      <c r="AF490" s="806"/>
      <c r="BN490" s="811"/>
      <c r="BP490" s="813"/>
      <c r="BR490" s="814"/>
      <c r="BS490" s="814"/>
      <c r="BT490" s="811"/>
      <c r="BU490" s="812"/>
      <c r="BV490" s="811"/>
      <c r="BX490" s="811"/>
    </row>
    <row r="491" spans="2:76" ht="18" customHeight="1">
      <c r="B491" s="846">
        <f t="shared" si="77"/>
        <v>491</v>
      </c>
      <c r="C491" s="843" t="s">
        <v>130</v>
      </c>
      <c r="D491" s="935">
        <v>8.7499999999999994E-2</v>
      </c>
      <c r="E491" s="940">
        <v>9200</v>
      </c>
      <c r="F491" s="937">
        <f t="shared" si="82"/>
        <v>125000</v>
      </c>
      <c r="G491" s="938"/>
      <c r="H491" s="939">
        <v>8.7499999999999994E-2</v>
      </c>
      <c r="I491" s="940">
        <v>18400</v>
      </c>
      <c r="J491" s="937">
        <f t="shared" si="83"/>
        <v>250000</v>
      </c>
      <c r="K491" s="943"/>
      <c r="P491" s="811"/>
      <c r="S491" s="811"/>
      <c r="AD491" s="806"/>
      <c r="AE491" s="806"/>
      <c r="AF491" s="806"/>
      <c r="BN491" s="811"/>
      <c r="BP491" s="813"/>
      <c r="BR491" s="814"/>
      <c r="BS491" s="814"/>
      <c r="BT491" s="811"/>
      <c r="BU491" s="812"/>
      <c r="BV491" s="811"/>
      <c r="BX491" s="811"/>
    </row>
    <row r="492" spans="2:76" ht="18" customHeight="1">
      <c r="B492" s="846">
        <f t="shared" si="77"/>
        <v>492</v>
      </c>
      <c r="C492" s="843" t="s">
        <v>130</v>
      </c>
      <c r="D492" s="935">
        <v>9.9000000000000005E-2</v>
      </c>
      <c r="E492" s="940">
        <v>125000</v>
      </c>
      <c r="F492" s="937">
        <f t="shared" si="82"/>
        <v>0</v>
      </c>
      <c r="G492" s="938"/>
      <c r="H492" s="939">
        <v>9.9000000000000005E-2</v>
      </c>
      <c r="I492" s="940">
        <v>250000</v>
      </c>
      <c r="J492" s="937">
        <f t="shared" si="83"/>
        <v>0</v>
      </c>
      <c r="K492" s="943"/>
      <c r="P492" s="811"/>
      <c r="S492" s="811"/>
      <c r="AD492" s="806"/>
      <c r="AE492" s="806"/>
      <c r="AF492" s="806"/>
      <c r="BN492" s="811"/>
      <c r="BP492" s="813"/>
      <c r="BR492" s="814"/>
      <c r="BS492" s="814"/>
      <c r="BT492" s="811"/>
      <c r="BU492" s="812"/>
      <c r="BV492" s="811"/>
      <c r="BX492" s="811"/>
    </row>
    <row r="493" spans="2:76" ht="18" customHeight="1">
      <c r="B493" s="846">
        <f t="shared" si="77"/>
        <v>493</v>
      </c>
      <c r="C493" s="843" t="s">
        <v>130</v>
      </c>
      <c r="D493" s="935"/>
      <c r="E493" s="940"/>
      <c r="F493" s="937">
        <f t="shared" si="82"/>
        <v>0</v>
      </c>
      <c r="G493" s="938"/>
      <c r="H493" s="939"/>
      <c r="I493" s="940"/>
      <c r="J493" s="937">
        <f t="shared" si="83"/>
        <v>0</v>
      </c>
      <c r="K493" s="943"/>
      <c r="P493" s="811"/>
      <c r="S493" s="811"/>
      <c r="AD493" s="806"/>
      <c r="AE493" s="806"/>
      <c r="AF493" s="806"/>
      <c r="BN493" s="811"/>
      <c r="BP493" s="813"/>
      <c r="BR493" s="814"/>
      <c r="BS493" s="814"/>
      <c r="BT493" s="811"/>
      <c r="BU493" s="812"/>
      <c r="BV493" s="811"/>
      <c r="BX493" s="811"/>
    </row>
    <row r="494" spans="2:76" ht="18" customHeight="1">
      <c r="B494" s="846">
        <f t="shared" si="77"/>
        <v>494</v>
      </c>
      <c r="C494" s="843" t="s">
        <v>130</v>
      </c>
      <c r="D494" s="935"/>
      <c r="E494" s="940"/>
      <c r="F494" s="937">
        <f t="shared" si="82"/>
        <v>0</v>
      </c>
      <c r="G494" s="938"/>
      <c r="H494" s="939"/>
      <c r="I494" s="940"/>
      <c r="J494" s="937">
        <f t="shared" si="83"/>
        <v>0</v>
      </c>
      <c r="K494" s="943"/>
      <c r="P494" s="811"/>
      <c r="S494" s="811"/>
      <c r="AD494" s="806"/>
      <c r="AE494" s="806"/>
      <c r="AF494" s="806"/>
      <c r="BN494" s="811"/>
      <c r="BP494" s="813"/>
      <c r="BR494" s="814"/>
      <c r="BS494" s="814"/>
      <c r="BT494" s="811"/>
      <c r="BU494" s="812"/>
      <c r="BV494" s="811"/>
      <c r="BX494" s="811"/>
    </row>
    <row r="495" spans="2:76" ht="18" customHeight="1">
      <c r="B495" s="846">
        <f t="shared" si="77"/>
        <v>495</v>
      </c>
      <c r="C495" s="843" t="s">
        <v>130</v>
      </c>
      <c r="D495" s="935"/>
      <c r="E495" s="940"/>
      <c r="F495" s="937">
        <f t="shared" si="82"/>
        <v>0</v>
      </c>
      <c r="G495" s="938"/>
      <c r="H495" s="939"/>
      <c r="I495" s="940"/>
      <c r="J495" s="937">
        <f t="shared" si="83"/>
        <v>0</v>
      </c>
      <c r="K495" s="943"/>
      <c r="P495" s="811"/>
      <c r="S495" s="811"/>
      <c r="AD495" s="806"/>
      <c r="AE495" s="806"/>
      <c r="AF495" s="806"/>
      <c r="BN495" s="811"/>
      <c r="BP495" s="813"/>
      <c r="BR495" s="814"/>
      <c r="BS495" s="814"/>
      <c r="BT495" s="811"/>
      <c r="BU495" s="812"/>
      <c r="BV495" s="811"/>
      <c r="BX495" s="811"/>
    </row>
    <row r="496" spans="2:76" ht="18" customHeight="1">
      <c r="B496" s="846">
        <f t="shared" si="77"/>
        <v>496</v>
      </c>
      <c r="C496" s="843" t="s">
        <v>130</v>
      </c>
      <c r="D496" s="935"/>
      <c r="E496" s="940"/>
      <c r="F496" s="937">
        <f t="shared" si="82"/>
        <v>0</v>
      </c>
      <c r="G496" s="938"/>
      <c r="H496" s="939"/>
      <c r="I496" s="940"/>
      <c r="J496" s="937">
        <f t="shared" si="83"/>
        <v>0</v>
      </c>
      <c r="K496" s="943"/>
      <c r="P496" s="811"/>
      <c r="S496" s="811"/>
      <c r="AD496" s="806"/>
      <c r="AE496" s="806"/>
      <c r="AF496" s="806"/>
      <c r="BN496" s="811"/>
      <c r="BP496" s="813"/>
      <c r="BR496" s="814"/>
      <c r="BS496" s="814"/>
      <c r="BT496" s="811"/>
      <c r="BU496" s="812"/>
      <c r="BV496" s="811"/>
      <c r="BX496" s="811"/>
    </row>
    <row r="497" spans="2:76" ht="18" customHeight="1">
      <c r="B497" s="846">
        <f t="shared" si="77"/>
        <v>497</v>
      </c>
      <c r="C497" s="843" t="s">
        <v>130</v>
      </c>
      <c r="D497" s="935"/>
      <c r="E497" s="940"/>
      <c r="F497" s="937">
        <f t="shared" si="82"/>
        <v>0</v>
      </c>
      <c r="G497" s="938"/>
      <c r="H497" s="939"/>
      <c r="I497" s="940"/>
      <c r="J497" s="937">
        <f t="shared" si="83"/>
        <v>0</v>
      </c>
      <c r="K497" s="943"/>
      <c r="P497" s="811"/>
      <c r="S497" s="811"/>
      <c r="AD497" s="806"/>
      <c r="AE497" s="806"/>
      <c r="AF497" s="806"/>
      <c r="BN497" s="811"/>
      <c r="BP497" s="813"/>
      <c r="BR497" s="814"/>
      <c r="BS497" s="814"/>
      <c r="BT497" s="811"/>
      <c r="BU497" s="812"/>
      <c r="BV497" s="811"/>
      <c r="BX497" s="811"/>
    </row>
    <row r="498" spans="2:76" ht="18" customHeight="1">
      <c r="B498" s="846">
        <f t="shared" si="77"/>
        <v>498</v>
      </c>
      <c r="C498" s="843" t="s">
        <v>130</v>
      </c>
      <c r="D498" s="935"/>
      <c r="E498" s="940"/>
      <c r="F498" s="937">
        <f t="shared" si="82"/>
        <v>0</v>
      </c>
      <c r="G498" s="938"/>
      <c r="H498" s="939"/>
      <c r="I498" s="940"/>
      <c r="J498" s="937">
        <f t="shared" si="83"/>
        <v>0</v>
      </c>
      <c r="K498" s="943"/>
      <c r="P498" s="811"/>
      <c r="S498" s="811"/>
      <c r="AD498" s="806"/>
      <c r="AE498" s="806"/>
      <c r="AF498" s="806"/>
      <c r="BN498" s="811"/>
      <c r="BP498" s="813"/>
      <c r="BR498" s="814"/>
      <c r="BS498" s="814"/>
      <c r="BT498" s="811"/>
      <c r="BU498" s="812"/>
      <c r="BV498" s="811"/>
      <c r="BX498" s="811"/>
    </row>
    <row r="499" spans="2:76" ht="18" customHeight="1">
      <c r="B499" s="846">
        <f t="shared" si="77"/>
        <v>499</v>
      </c>
      <c r="C499" s="843" t="s">
        <v>130</v>
      </c>
      <c r="D499" s="935"/>
      <c r="E499" s="940"/>
      <c r="F499" s="937">
        <f t="shared" si="82"/>
        <v>0</v>
      </c>
      <c r="G499" s="938"/>
      <c r="H499" s="939"/>
      <c r="I499" s="940"/>
      <c r="J499" s="937">
        <f t="shared" si="83"/>
        <v>0</v>
      </c>
      <c r="K499" s="943"/>
      <c r="P499" s="811"/>
      <c r="S499" s="811"/>
      <c r="AD499" s="806"/>
      <c r="AE499" s="806"/>
      <c r="AF499" s="806"/>
      <c r="BN499" s="811"/>
      <c r="BP499" s="813"/>
      <c r="BR499" s="814"/>
      <c r="BS499" s="814"/>
      <c r="BT499" s="811"/>
      <c r="BU499" s="812"/>
      <c r="BV499" s="811"/>
      <c r="BX499" s="811"/>
    </row>
    <row r="500" spans="2:76" ht="18" customHeight="1">
      <c r="B500" s="847">
        <f t="shared" si="77"/>
        <v>500</v>
      </c>
      <c r="C500" s="848" t="s">
        <v>130</v>
      </c>
      <c r="D500" s="944"/>
      <c r="E500" s="957"/>
      <c r="F500" s="946"/>
      <c r="G500" s="947"/>
      <c r="H500" s="948"/>
      <c r="I500" s="957"/>
      <c r="J500" s="946"/>
      <c r="K500" s="950"/>
      <c r="P500" s="811"/>
      <c r="S500" s="811"/>
      <c r="AD500" s="806"/>
      <c r="AE500" s="806"/>
      <c r="AF500" s="806"/>
      <c r="BN500" s="811"/>
      <c r="BP500" s="813"/>
      <c r="BR500" s="814"/>
      <c r="BS500" s="814"/>
      <c r="BT500" s="811"/>
      <c r="BU500" s="812"/>
      <c r="BV500" s="811"/>
      <c r="BX500" s="811"/>
    </row>
    <row r="501" spans="2:76" s="451" customFormat="1" ht="18" customHeight="1">
      <c r="B501" s="849">
        <f t="shared" si="77"/>
        <v>501</v>
      </c>
      <c r="C501" s="849"/>
      <c r="D501" s="292"/>
      <c r="E501" s="777"/>
      <c r="F501" s="849"/>
      <c r="G501" s="849"/>
      <c r="H501" s="449"/>
      <c r="I501" s="777"/>
      <c r="J501" s="849"/>
      <c r="K501" s="448"/>
      <c r="P501" s="851"/>
      <c r="S501" s="851"/>
      <c r="AD501" s="849"/>
      <c r="AE501" s="849"/>
      <c r="AF501" s="849"/>
      <c r="BN501" s="851"/>
      <c r="BP501" s="851"/>
      <c r="BR501" s="852"/>
      <c r="BS501" s="852"/>
      <c r="BT501" s="851"/>
      <c r="BU501" s="850"/>
      <c r="BV501" s="851"/>
      <c r="BX501" s="851"/>
    </row>
    <row r="502" spans="2:76" ht="18" customHeight="1">
      <c r="B502" s="844">
        <f t="shared" si="77"/>
        <v>502</v>
      </c>
      <c r="C502" s="845" t="s">
        <v>131</v>
      </c>
      <c r="D502" s="928">
        <v>3.0700000000000002E-2</v>
      </c>
      <c r="E502" s="933">
        <v>0</v>
      </c>
      <c r="F502" s="930">
        <f t="shared" ref="F502:F512" si="84">E503</f>
        <v>0</v>
      </c>
      <c r="G502" s="931">
        <v>0</v>
      </c>
      <c r="H502" s="932">
        <v>3.0700000000000002E-2</v>
      </c>
      <c r="I502" s="933">
        <v>0</v>
      </c>
      <c r="J502" s="930">
        <f t="shared" ref="J502:J512" si="85">I503</f>
        <v>0</v>
      </c>
      <c r="K502" s="934">
        <v>0</v>
      </c>
      <c r="P502" s="811"/>
      <c r="S502" s="811"/>
      <c r="AD502" s="806"/>
      <c r="AE502" s="806"/>
      <c r="AF502" s="806"/>
      <c r="BN502" s="811"/>
      <c r="BP502" s="813"/>
      <c r="BR502" s="814"/>
      <c r="BS502" s="814"/>
      <c r="BT502" s="811"/>
      <c r="BU502" s="812"/>
      <c r="BV502" s="811"/>
      <c r="BX502" s="811"/>
    </row>
    <row r="503" spans="2:76" ht="18" customHeight="1">
      <c r="B503" s="846">
        <f t="shared" si="77"/>
        <v>503</v>
      </c>
      <c r="C503" s="843" t="s">
        <v>131</v>
      </c>
      <c r="D503" s="935"/>
      <c r="E503" s="940"/>
      <c r="F503" s="937">
        <f t="shared" si="84"/>
        <v>0</v>
      </c>
      <c r="G503" s="961"/>
      <c r="H503" s="939"/>
      <c r="I503" s="940"/>
      <c r="J503" s="937">
        <f t="shared" si="85"/>
        <v>0</v>
      </c>
      <c r="K503" s="941"/>
      <c r="P503" s="811"/>
      <c r="S503" s="811"/>
      <c r="AD503" s="806"/>
      <c r="AE503" s="806"/>
      <c r="AF503" s="806"/>
      <c r="BN503" s="811"/>
      <c r="BP503" s="813"/>
      <c r="BR503" s="814"/>
      <c r="BS503" s="814"/>
      <c r="BT503" s="811"/>
      <c r="BU503" s="812"/>
      <c r="BV503" s="811"/>
      <c r="BX503" s="811"/>
    </row>
    <row r="504" spans="2:76" ht="18" customHeight="1">
      <c r="B504" s="846">
        <f t="shared" si="77"/>
        <v>504</v>
      </c>
      <c r="C504" s="843" t="s">
        <v>131</v>
      </c>
      <c r="D504" s="935"/>
      <c r="E504" s="940"/>
      <c r="F504" s="937">
        <f t="shared" si="84"/>
        <v>0</v>
      </c>
      <c r="G504" s="961"/>
      <c r="H504" s="939"/>
      <c r="I504" s="940"/>
      <c r="J504" s="937">
        <f t="shared" si="85"/>
        <v>0</v>
      </c>
      <c r="K504" s="941"/>
      <c r="P504" s="811"/>
      <c r="S504" s="811"/>
      <c r="AD504" s="806"/>
      <c r="AE504" s="806"/>
      <c r="AF504" s="806"/>
      <c r="BN504" s="811"/>
      <c r="BP504" s="813"/>
      <c r="BR504" s="814"/>
      <c r="BS504" s="814"/>
      <c r="BT504" s="811"/>
      <c r="BU504" s="812"/>
      <c r="BV504" s="811"/>
      <c r="BX504" s="811"/>
    </row>
    <row r="505" spans="2:76" ht="18" customHeight="1">
      <c r="B505" s="846">
        <f t="shared" si="77"/>
        <v>505</v>
      </c>
      <c r="C505" s="843" t="s">
        <v>131</v>
      </c>
      <c r="D505" s="935"/>
      <c r="E505" s="940"/>
      <c r="F505" s="937">
        <f t="shared" si="84"/>
        <v>0</v>
      </c>
      <c r="G505" s="961"/>
      <c r="H505" s="939"/>
      <c r="I505" s="940"/>
      <c r="J505" s="937">
        <f t="shared" si="85"/>
        <v>0</v>
      </c>
      <c r="K505" s="941"/>
      <c r="P505" s="811"/>
      <c r="S505" s="811"/>
      <c r="AD505" s="806"/>
      <c r="AE505" s="806"/>
      <c r="AF505" s="806"/>
      <c r="BN505" s="811"/>
      <c r="BP505" s="813"/>
      <c r="BR505" s="814"/>
      <c r="BS505" s="814"/>
      <c r="BT505" s="811"/>
      <c r="BU505" s="812"/>
      <c r="BV505" s="811"/>
      <c r="BX505" s="811"/>
    </row>
    <row r="506" spans="2:76" ht="18" customHeight="1">
      <c r="B506" s="846">
        <f t="shared" si="77"/>
        <v>506</v>
      </c>
      <c r="C506" s="843" t="s">
        <v>131</v>
      </c>
      <c r="D506" s="935"/>
      <c r="E506" s="940"/>
      <c r="F506" s="937">
        <f t="shared" si="84"/>
        <v>0</v>
      </c>
      <c r="G506" s="961"/>
      <c r="H506" s="939"/>
      <c r="I506" s="940"/>
      <c r="J506" s="937">
        <f t="shared" si="85"/>
        <v>0</v>
      </c>
      <c r="K506" s="941"/>
      <c r="P506" s="811"/>
      <c r="S506" s="811"/>
      <c r="AD506" s="806"/>
      <c r="AE506" s="806"/>
      <c r="AF506" s="806"/>
      <c r="BN506" s="811"/>
      <c r="BP506" s="813"/>
      <c r="BR506" s="814"/>
      <c r="BS506" s="814"/>
      <c r="BT506" s="811"/>
      <c r="BU506" s="812"/>
      <c r="BV506" s="811"/>
      <c r="BX506" s="811"/>
    </row>
    <row r="507" spans="2:76" ht="18" customHeight="1">
      <c r="B507" s="846">
        <f t="shared" si="77"/>
        <v>507</v>
      </c>
      <c r="C507" s="843" t="s">
        <v>131</v>
      </c>
      <c r="D507" s="935"/>
      <c r="E507" s="940"/>
      <c r="F507" s="937">
        <f t="shared" si="84"/>
        <v>0</v>
      </c>
      <c r="G507" s="961"/>
      <c r="H507" s="939"/>
      <c r="I507" s="940"/>
      <c r="J507" s="937">
        <f t="shared" si="85"/>
        <v>0</v>
      </c>
      <c r="K507" s="941"/>
      <c r="P507" s="811"/>
      <c r="S507" s="811"/>
      <c r="AD507" s="806"/>
      <c r="AE507" s="806"/>
      <c r="AF507" s="806"/>
      <c r="BN507" s="811"/>
      <c r="BP507" s="813"/>
      <c r="BR507" s="814"/>
      <c r="BS507" s="814"/>
      <c r="BT507" s="811"/>
      <c r="BU507" s="812"/>
      <c r="BV507" s="811"/>
      <c r="BX507" s="811"/>
    </row>
    <row r="508" spans="2:76" ht="18" customHeight="1">
      <c r="B508" s="846">
        <f t="shared" si="77"/>
        <v>508</v>
      </c>
      <c r="C508" s="843" t="s">
        <v>131</v>
      </c>
      <c r="D508" s="935"/>
      <c r="E508" s="940"/>
      <c r="F508" s="937">
        <f t="shared" si="84"/>
        <v>0</v>
      </c>
      <c r="G508" s="961"/>
      <c r="H508" s="939"/>
      <c r="I508" s="940"/>
      <c r="J508" s="937">
        <f t="shared" si="85"/>
        <v>0</v>
      </c>
      <c r="K508" s="941"/>
      <c r="P508" s="811"/>
      <c r="S508" s="811"/>
      <c r="AD508" s="806"/>
      <c r="AE508" s="806"/>
      <c r="AF508" s="806"/>
      <c r="BN508" s="811"/>
      <c r="BP508" s="813"/>
      <c r="BR508" s="814"/>
      <c r="BS508" s="814"/>
      <c r="BT508" s="811"/>
      <c r="BU508" s="812"/>
      <c r="BV508" s="811"/>
      <c r="BX508" s="811"/>
    </row>
    <row r="509" spans="2:76" ht="18" customHeight="1">
      <c r="B509" s="846">
        <f t="shared" si="77"/>
        <v>509</v>
      </c>
      <c r="C509" s="843" t="s">
        <v>131</v>
      </c>
      <c r="D509" s="935"/>
      <c r="E509" s="940"/>
      <c r="F509" s="937">
        <f t="shared" si="84"/>
        <v>0</v>
      </c>
      <c r="G509" s="961"/>
      <c r="H509" s="939"/>
      <c r="I509" s="940"/>
      <c r="J509" s="937">
        <f t="shared" si="85"/>
        <v>0</v>
      </c>
      <c r="K509" s="941"/>
      <c r="P509" s="811"/>
      <c r="S509" s="811"/>
      <c r="AD509" s="806"/>
      <c r="AE509" s="806"/>
      <c r="AF509" s="806"/>
      <c r="BN509" s="811"/>
      <c r="BP509" s="813"/>
      <c r="BR509" s="814"/>
      <c r="BS509" s="814"/>
      <c r="BT509" s="811"/>
      <c r="BU509" s="812"/>
      <c r="BV509" s="811"/>
      <c r="BX509" s="811"/>
    </row>
    <row r="510" spans="2:76" ht="18" customHeight="1">
      <c r="B510" s="846">
        <f t="shared" si="77"/>
        <v>510</v>
      </c>
      <c r="C510" s="843" t="s">
        <v>131</v>
      </c>
      <c r="D510" s="935"/>
      <c r="E510" s="940"/>
      <c r="F510" s="937">
        <f t="shared" si="84"/>
        <v>0</v>
      </c>
      <c r="G510" s="961"/>
      <c r="H510" s="939"/>
      <c r="I510" s="940"/>
      <c r="J510" s="937">
        <f t="shared" si="85"/>
        <v>0</v>
      </c>
      <c r="K510" s="941"/>
      <c r="P510" s="811"/>
      <c r="S510" s="811"/>
      <c r="AD510" s="806"/>
      <c r="AE510" s="806"/>
      <c r="AF510" s="806"/>
      <c r="BN510" s="811"/>
      <c r="BP510" s="813"/>
      <c r="BR510" s="814"/>
      <c r="BS510" s="814"/>
      <c r="BT510" s="811"/>
      <c r="BU510" s="812"/>
      <c r="BV510" s="811"/>
      <c r="BX510" s="811"/>
    </row>
    <row r="511" spans="2:76" ht="18" customHeight="1">
      <c r="B511" s="846">
        <f t="shared" si="77"/>
        <v>511</v>
      </c>
      <c r="C511" s="843" t="s">
        <v>131</v>
      </c>
      <c r="D511" s="935"/>
      <c r="E511" s="940"/>
      <c r="F511" s="937">
        <f t="shared" si="84"/>
        <v>0</v>
      </c>
      <c r="G511" s="961"/>
      <c r="H511" s="939"/>
      <c r="I511" s="940"/>
      <c r="J511" s="937">
        <f t="shared" si="85"/>
        <v>0</v>
      </c>
      <c r="K511" s="941"/>
      <c r="P511" s="811"/>
      <c r="S511" s="811"/>
      <c r="AD511" s="806"/>
      <c r="AE511" s="806"/>
      <c r="AF511" s="806"/>
      <c r="BN511" s="811"/>
      <c r="BP511" s="813"/>
      <c r="BR511" s="814"/>
      <c r="BS511" s="814"/>
      <c r="BT511" s="811"/>
      <c r="BU511" s="812"/>
      <c r="BV511" s="811"/>
      <c r="BX511" s="811"/>
    </row>
    <row r="512" spans="2:76" ht="18" customHeight="1">
      <c r="B512" s="846">
        <f t="shared" si="77"/>
        <v>512</v>
      </c>
      <c r="C512" s="843" t="s">
        <v>131</v>
      </c>
      <c r="D512" s="935"/>
      <c r="E512" s="940"/>
      <c r="F512" s="937">
        <f t="shared" si="84"/>
        <v>0</v>
      </c>
      <c r="G512" s="961"/>
      <c r="H512" s="939"/>
      <c r="I512" s="940"/>
      <c r="J512" s="937">
        <f t="shared" si="85"/>
        <v>0</v>
      </c>
      <c r="K512" s="941"/>
      <c r="P512" s="811"/>
      <c r="S512" s="811"/>
      <c r="AD512" s="806"/>
      <c r="AE512" s="806"/>
      <c r="AF512" s="806"/>
      <c r="BN512" s="811"/>
      <c r="BP512" s="813"/>
      <c r="BR512" s="814"/>
      <c r="BS512" s="814"/>
      <c r="BT512" s="811"/>
      <c r="BU512" s="812"/>
      <c r="BV512" s="811"/>
      <c r="BX512" s="811"/>
    </row>
    <row r="513" spans="2:76" ht="18" customHeight="1">
      <c r="B513" s="847">
        <f t="shared" si="77"/>
        <v>513</v>
      </c>
      <c r="C513" s="848" t="s">
        <v>131</v>
      </c>
      <c r="D513" s="944"/>
      <c r="E513" s="957"/>
      <c r="F513" s="946"/>
      <c r="G513" s="963"/>
      <c r="H513" s="948"/>
      <c r="I513" s="957"/>
      <c r="J513" s="946"/>
      <c r="K513" s="958"/>
      <c r="P513" s="811"/>
      <c r="S513" s="811"/>
      <c r="AD513" s="806"/>
      <c r="AE513" s="806"/>
      <c r="AF513" s="806"/>
      <c r="BN513" s="811"/>
      <c r="BP513" s="813"/>
      <c r="BR513" s="814"/>
      <c r="BS513" s="814"/>
      <c r="BT513" s="811"/>
      <c r="BU513" s="812"/>
      <c r="BV513" s="811"/>
      <c r="BX513" s="811"/>
    </row>
    <row r="514" spans="2:76" s="451" customFormat="1" ht="18" customHeight="1">
      <c r="B514" s="849">
        <f t="shared" si="77"/>
        <v>514</v>
      </c>
      <c r="C514" s="849"/>
      <c r="D514" s="292"/>
      <c r="E514" s="777"/>
      <c r="F514" s="849"/>
      <c r="G514" s="849"/>
      <c r="H514" s="449"/>
      <c r="I514" s="777"/>
      <c r="J514" s="849"/>
      <c r="K514" s="448"/>
      <c r="P514" s="851"/>
      <c r="S514" s="851"/>
      <c r="AD514" s="849"/>
      <c r="AE514" s="849"/>
      <c r="AF514" s="849"/>
      <c r="BN514" s="851"/>
      <c r="BP514" s="851"/>
      <c r="BR514" s="852"/>
      <c r="BS514" s="852"/>
      <c r="BT514" s="851"/>
      <c r="BU514" s="850"/>
      <c r="BV514" s="851"/>
      <c r="BX514" s="851"/>
    </row>
    <row r="515" spans="2:76" ht="18" customHeight="1">
      <c r="B515" s="844">
        <f t="shared" si="77"/>
        <v>515</v>
      </c>
      <c r="C515" s="845" t="s">
        <v>132</v>
      </c>
      <c r="D515" s="928">
        <v>3.7499999999999999E-2</v>
      </c>
      <c r="E515" s="933">
        <v>0</v>
      </c>
      <c r="F515" s="930">
        <f t="shared" ref="F515:F525" si="86">E516</f>
        <v>66200</v>
      </c>
      <c r="G515" s="931">
        <v>9050</v>
      </c>
      <c r="H515" s="932">
        <v>3.7499999999999999E-2</v>
      </c>
      <c r="I515" s="933">
        <v>0</v>
      </c>
      <c r="J515" s="930">
        <f t="shared" ref="J515:J525" si="87">I516</f>
        <v>66200</v>
      </c>
      <c r="K515" s="934">
        <v>18100</v>
      </c>
      <c r="P515" s="811"/>
      <c r="S515" s="811"/>
      <c r="AD515" s="806"/>
      <c r="AE515" s="806"/>
      <c r="AF515" s="806"/>
      <c r="BN515" s="811"/>
      <c r="BP515" s="813"/>
      <c r="BR515" s="814"/>
      <c r="BS515" s="814"/>
      <c r="BT515" s="811"/>
      <c r="BU515" s="812"/>
      <c r="BV515" s="811"/>
      <c r="BX515" s="811"/>
    </row>
    <row r="516" spans="2:76" ht="18" customHeight="1">
      <c r="B516" s="846">
        <f t="shared" si="77"/>
        <v>516</v>
      </c>
      <c r="C516" s="843" t="s">
        <v>132</v>
      </c>
      <c r="D516" s="935">
        <v>4.7500000000000001E-2</v>
      </c>
      <c r="E516" s="940">
        <v>66200</v>
      </c>
      <c r="F516" s="937">
        <f t="shared" si="86"/>
        <v>150550</v>
      </c>
      <c r="G516" s="938"/>
      <c r="H516" s="939">
        <v>4.7500000000000001E-2</v>
      </c>
      <c r="I516" s="940">
        <v>66200</v>
      </c>
      <c r="J516" s="937">
        <f t="shared" si="87"/>
        <v>150550</v>
      </c>
      <c r="K516" s="943"/>
      <c r="P516" s="811"/>
      <c r="S516" s="811"/>
      <c r="AD516" s="806"/>
      <c r="AE516" s="806"/>
      <c r="AF516" s="806"/>
      <c r="BN516" s="811"/>
      <c r="BP516" s="813"/>
      <c r="BR516" s="814"/>
      <c r="BS516" s="814"/>
      <c r="BT516" s="811"/>
      <c r="BU516" s="812"/>
      <c r="BV516" s="811"/>
      <c r="BX516" s="811"/>
    </row>
    <row r="517" spans="2:76" ht="18" customHeight="1">
      <c r="B517" s="846">
        <f t="shared" si="77"/>
        <v>517</v>
      </c>
      <c r="C517" s="843" t="s">
        <v>132</v>
      </c>
      <c r="D517" s="935">
        <v>5.9900000000000002E-2</v>
      </c>
      <c r="E517" s="940">
        <v>150550</v>
      </c>
      <c r="F517" s="937">
        <f t="shared" si="86"/>
        <v>0</v>
      </c>
      <c r="G517" s="938"/>
      <c r="H517" s="939">
        <v>5.9900000000000002E-2</v>
      </c>
      <c r="I517" s="940">
        <v>150550</v>
      </c>
      <c r="J517" s="937">
        <f t="shared" si="87"/>
        <v>0</v>
      </c>
      <c r="K517" s="943"/>
      <c r="P517" s="811"/>
      <c r="S517" s="811"/>
      <c r="AD517" s="806"/>
      <c r="AE517" s="806"/>
      <c r="AF517" s="806"/>
      <c r="BN517" s="811"/>
      <c r="BP517" s="813"/>
      <c r="BR517" s="814"/>
      <c r="BS517" s="814"/>
      <c r="BT517" s="811"/>
      <c r="BU517" s="812"/>
      <c r="BV517" s="811"/>
      <c r="BX517" s="811"/>
    </row>
    <row r="518" spans="2:76" ht="18" customHeight="1">
      <c r="B518" s="846">
        <f t="shared" si="77"/>
        <v>518</v>
      </c>
      <c r="C518" s="843" t="s">
        <v>132</v>
      </c>
      <c r="D518" s="935"/>
      <c r="E518" s="940"/>
      <c r="F518" s="937">
        <f t="shared" si="86"/>
        <v>0</v>
      </c>
      <c r="G518" s="938"/>
      <c r="H518" s="939"/>
      <c r="I518" s="940"/>
      <c r="J518" s="937">
        <f t="shared" si="87"/>
        <v>0</v>
      </c>
      <c r="K518" s="943"/>
      <c r="P518" s="811"/>
      <c r="S518" s="811"/>
      <c r="AD518" s="806"/>
      <c r="AE518" s="806"/>
      <c r="AF518" s="806"/>
      <c r="BN518" s="811"/>
      <c r="BP518" s="813"/>
      <c r="BR518" s="814"/>
      <c r="BS518" s="814"/>
      <c r="BT518" s="811"/>
      <c r="BU518" s="812"/>
      <c r="BV518" s="811"/>
      <c r="BX518" s="811"/>
    </row>
    <row r="519" spans="2:76" ht="18" customHeight="1">
      <c r="B519" s="846">
        <f t="shared" si="77"/>
        <v>519</v>
      </c>
      <c r="C519" s="843" t="s">
        <v>132</v>
      </c>
      <c r="D519" s="935"/>
      <c r="E519" s="940"/>
      <c r="F519" s="937">
        <f t="shared" si="86"/>
        <v>0</v>
      </c>
      <c r="G519" s="938"/>
      <c r="H519" s="939"/>
      <c r="I519" s="940"/>
      <c r="J519" s="937">
        <f t="shared" si="87"/>
        <v>0</v>
      </c>
      <c r="K519" s="943"/>
      <c r="P519" s="811"/>
      <c r="S519" s="811"/>
      <c r="AD519" s="806"/>
      <c r="AE519" s="806"/>
      <c r="AF519" s="806"/>
      <c r="BN519" s="811"/>
      <c r="BP519" s="813"/>
      <c r="BR519" s="814"/>
      <c r="BS519" s="814"/>
      <c r="BT519" s="811"/>
      <c r="BU519" s="812"/>
      <c r="BV519" s="811"/>
      <c r="BX519" s="811"/>
    </row>
    <row r="520" spans="2:76" ht="18" customHeight="1">
      <c r="B520" s="846">
        <f t="shared" si="77"/>
        <v>520</v>
      </c>
      <c r="C520" s="843" t="s">
        <v>132</v>
      </c>
      <c r="D520" s="935"/>
      <c r="E520" s="940"/>
      <c r="F520" s="937">
        <f t="shared" si="86"/>
        <v>0</v>
      </c>
      <c r="G520" s="938"/>
      <c r="H520" s="939"/>
      <c r="I520" s="940"/>
      <c r="J520" s="937">
        <f t="shared" si="87"/>
        <v>0</v>
      </c>
      <c r="K520" s="943"/>
      <c r="P520" s="811"/>
      <c r="S520" s="811"/>
      <c r="AD520" s="806"/>
      <c r="AE520" s="806"/>
      <c r="AF520" s="806"/>
      <c r="BN520" s="811"/>
      <c r="BP520" s="813"/>
      <c r="BR520" s="814"/>
      <c r="BS520" s="814"/>
      <c r="BT520" s="811"/>
      <c r="BU520" s="812"/>
      <c r="BV520" s="811"/>
      <c r="BX520" s="811"/>
    </row>
    <row r="521" spans="2:76" ht="18" customHeight="1">
      <c r="B521" s="846">
        <f t="shared" si="77"/>
        <v>521</v>
      </c>
      <c r="C521" s="843" t="s">
        <v>132</v>
      </c>
      <c r="D521" s="935"/>
      <c r="E521" s="940"/>
      <c r="F521" s="937">
        <f t="shared" si="86"/>
        <v>0</v>
      </c>
      <c r="G521" s="938"/>
      <c r="H521" s="939"/>
      <c r="I521" s="940"/>
      <c r="J521" s="937">
        <f t="shared" si="87"/>
        <v>0</v>
      </c>
      <c r="K521" s="943"/>
      <c r="P521" s="811"/>
      <c r="S521" s="811"/>
      <c r="AD521" s="806"/>
      <c r="AE521" s="806"/>
      <c r="AF521" s="806"/>
      <c r="BN521" s="811"/>
      <c r="BP521" s="813"/>
      <c r="BR521" s="814"/>
      <c r="BS521" s="814"/>
      <c r="BT521" s="811"/>
      <c r="BU521" s="812"/>
      <c r="BV521" s="811"/>
      <c r="BX521" s="811"/>
    </row>
    <row r="522" spans="2:76" ht="18" customHeight="1">
      <c r="B522" s="846">
        <f t="shared" ref="B522:B585" si="88">B521+1</f>
        <v>522</v>
      </c>
      <c r="C522" s="843" t="s">
        <v>132</v>
      </c>
      <c r="D522" s="935"/>
      <c r="E522" s="940"/>
      <c r="F522" s="937">
        <f t="shared" si="86"/>
        <v>0</v>
      </c>
      <c r="G522" s="938"/>
      <c r="H522" s="939"/>
      <c r="I522" s="940"/>
      <c r="J522" s="937">
        <f t="shared" si="87"/>
        <v>0</v>
      </c>
      <c r="K522" s="943"/>
      <c r="P522" s="811"/>
      <c r="S522" s="811"/>
      <c r="AD522" s="806"/>
      <c r="AE522" s="806"/>
      <c r="AF522" s="806"/>
      <c r="BN522" s="811"/>
      <c r="BP522" s="813"/>
      <c r="BR522" s="814"/>
      <c r="BS522" s="814"/>
      <c r="BT522" s="811"/>
      <c r="BU522" s="812"/>
      <c r="BV522" s="811"/>
      <c r="BX522" s="811"/>
    </row>
    <row r="523" spans="2:76" ht="18" customHeight="1">
      <c r="B523" s="846">
        <f t="shared" si="88"/>
        <v>523</v>
      </c>
      <c r="C523" s="843" t="s">
        <v>132</v>
      </c>
      <c r="D523" s="935"/>
      <c r="E523" s="940"/>
      <c r="F523" s="937">
        <f t="shared" si="86"/>
        <v>0</v>
      </c>
      <c r="G523" s="938"/>
      <c r="H523" s="939"/>
      <c r="I523" s="940"/>
      <c r="J523" s="937">
        <f t="shared" si="87"/>
        <v>0</v>
      </c>
      <c r="K523" s="943"/>
      <c r="P523" s="811"/>
      <c r="S523" s="811"/>
      <c r="AD523" s="806"/>
      <c r="AE523" s="806"/>
      <c r="AF523" s="806"/>
      <c r="BN523" s="811"/>
      <c r="BP523" s="813"/>
      <c r="BR523" s="814"/>
      <c r="BS523" s="814"/>
      <c r="BT523" s="811"/>
      <c r="BU523" s="812"/>
      <c r="BV523" s="811"/>
      <c r="BX523" s="811"/>
    </row>
    <row r="524" spans="2:76" ht="18" customHeight="1">
      <c r="B524" s="846">
        <f t="shared" si="88"/>
        <v>524</v>
      </c>
      <c r="C524" s="843" t="s">
        <v>132</v>
      </c>
      <c r="D524" s="935"/>
      <c r="E524" s="940"/>
      <c r="F524" s="937">
        <f t="shared" si="86"/>
        <v>0</v>
      </c>
      <c r="G524" s="938"/>
      <c r="H524" s="939"/>
      <c r="I524" s="940"/>
      <c r="J524" s="937">
        <f t="shared" si="87"/>
        <v>0</v>
      </c>
      <c r="K524" s="943"/>
      <c r="P524" s="811"/>
      <c r="S524" s="811"/>
      <c r="AD524" s="806"/>
      <c r="AE524" s="806"/>
      <c r="AF524" s="806"/>
      <c r="BN524" s="811"/>
      <c r="BP524" s="813"/>
      <c r="BR524" s="814"/>
      <c r="BS524" s="814"/>
      <c r="BT524" s="811"/>
      <c r="BU524" s="812"/>
      <c r="BV524" s="811"/>
      <c r="BX524" s="811"/>
    </row>
    <row r="525" spans="2:76" ht="18" customHeight="1">
      <c r="B525" s="846">
        <f t="shared" si="88"/>
        <v>525</v>
      </c>
      <c r="C525" s="843" t="s">
        <v>132</v>
      </c>
      <c r="D525" s="935"/>
      <c r="E525" s="940"/>
      <c r="F525" s="937">
        <f t="shared" si="86"/>
        <v>0</v>
      </c>
      <c r="G525" s="938"/>
      <c r="H525" s="939"/>
      <c r="I525" s="940"/>
      <c r="J525" s="937">
        <f t="shared" si="87"/>
        <v>0</v>
      </c>
      <c r="K525" s="943"/>
      <c r="P525" s="811"/>
      <c r="S525" s="811"/>
      <c r="AD525" s="806"/>
      <c r="AE525" s="806"/>
      <c r="AF525" s="806"/>
      <c r="BN525" s="811"/>
      <c r="BP525" s="813"/>
      <c r="BR525" s="814"/>
      <c r="BS525" s="814"/>
      <c r="BT525" s="811"/>
      <c r="BU525" s="812"/>
      <c r="BV525" s="811"/>
      <c r="BX525" s="811"/>
    </row>
    <row r="526" spans="2:76" ht="18" customHeight="1">
      <c r="B526" s="847">
        <f t="shared" si="88"/>
        <v>526</v>
      </c>
      <c r="C526" s="848" t="s">
        <v>132</v>
      </c>
      <c r="D526" s="944"/>
      <c r="E526" s="957"/>
      <c r="F526" s="946"/>
      <c r="G526" s="947"/>
      <c r="H526" s="948"/>
      <c r="I526" s="957"/>
      <c r="J526" s="946"/>
      <c r="K526" s="950"/>
      <c r="P526" s="811"/>
      <c r="S526" s="811"/>
      <c r="AD526" s="806"/>
      <c r="AE526" s="806"/>
      <c r="AF526" s="806"/>
      <c r="BN526" s="811"/>
      <c r="BP526" s="813"/>
      <c r="BR526" s="814"/>
      <c r="BS526" s="814"/>
      <c r="BT526" s="811"/>
      <c r="BU526" s="812"/>
      <c r="BV526" s="811"/>
      <c r="BX526" s="811"/>
    </row>
    <row r="527" spans="2:76" s="451" customFormat="1" ht="18" customHeight="1">
      <c r="B527" s="849">
        <f t="shared" si="88"/>
        <v>527</v>
      </c>
      <c r="C527" s="849"/>
      <c r="D527" s="292"/>
      <c r="E527" s="777"/>
      <c r="F527" s="849"/>
      <c r="G527" s="849"/>
      <c r="H527" s="449"/>
      <c r="I527" s="777"/>
      <c r="J527" s="849"/>
      <c r="K527" s="448"/>
      <c r="P527" s="851"/>
      <c r="S527" s="851"/>
      <c r="AD527" s="849"/>
      <c r="AE527" s="849"/>
      <c r="AF527" s="849"/>
      <c r="BN527" s="851"/>
      <c r="BP527" s="851"/>
      <c r="BR527" s="852"/>
      <c r="BS527" s="852"/>
      <c r="BT527" s="851"/>
      <c r="BU527" s="850"/>
      <c r="BV527" s="851"/>
      <c r="BX527" s="851"/>
    </row>
    <row r="528" spans="2:76" ht="18" customHeight="1">
      <c r="B528" s="844">
        <f t="shared" si="88"/>
        <v>528</v>
      </c>
      <c r="C528" s="845" t="s">
        <v>133</v>
      </c>
      <c r="D528" s="928">
        <v>0</v>
      </c>
      <c r="E528" s="933">
        <v>0</v>
      </c>
      <c r="F528" s="930">
        <f t="shared" ref="F528:F538" si="89">E529</f>
        <v>3070</v>
      </c>
      <c r="G528" s="931">
        <v>12550</v>
      </c>
      <c r="H528" s="932">
        <v>0</v>
      </c>
      <c r="I528" s="933">
        <v>0</v>
      </c>
      <c r="J528" s="930">
        <f t="shared" ref="J528:J538" si="90">I529</f>
        <v>3070</v>
      </c>
      <c r="K528" s="934">
        <v>25100</v>
      </c>
      <c r="P528" s="811"/>
      <c r="S528" s="811"/>
      <c r="AD528" s="806"/>
      <c r="AE528" s="806"/>
      <c r="AF528" s="806"/>
      <c r="BN528" s="811"/>
      <c r="BP528" s="813"/>
      <c r="BR528" s="814"/>
      <c r="BS528" s="814"/>
      <c r="BT528" s="811"/>
      <c r="BU528" s="812"/>
      <c r="BV528" s="811"/>
      <c r="BX528" s="811"/>
    </row>
    <row r="529" spans="2:76" ht="18" customHeight="1">
      <c r="B529" s="846">
        <f t="shared" si="88"/>
        <v>529</v>
      </c>
      <c r="C529" s="843" t="s">
        <v>133</v>
      </c>
      <c r="D529" s="935">
        <v>0.03</v>
      </c>
      <c r="E529" s="940">
        <v>3070</v>
      </c>
      <c r="F529" s="937">
        <f t="shared" si="89"/>
        <v>6150</v>
      </c>
      <c r="G529" s="938"/>
      <c r="H529" s="939">
        <v>0.03</v>
      </c>
      <c r="I529" s="940">
        <v>3070</v>
      </c>
      <c r="J529" s="937">
        <f t="shared" si="90"/>
        <v>6150</v>
      </c>
      <c r="K529" s="943"/>
      <c r="P529" s="811"/>
      <c r="S529" s="811"/>
      <c r="AD529" s="806"/>
      <c r="AE529" s="806"/>
      <c r="AF529" s="806"/>
      <c r="BN529" s="811"/>
      <c r="BP529" s="813"/>
      <c r="BR529" s="814"/>
      <c r="BS529" s="814"/>
      <c r="BT529" s="811"/>
      <c r="BU529" s="812"/>
      <c r="BV529" s="811"/>
      <c r="BX529" s="811"/>
    </row>
    <row r="530" spans="2:76" ht="18" customHeight="1">
      <c r="B530" s="846">
        <f t="shared" si="88"/>
        <v>530</v>
      </c>
      <c r="C530" s="843" t="s">
        <v>133</v>
      </c>
      <c r="D530" s="935">
        <v>0.04</v>
      </c>
      <c r="E530" s="940">
        <v>6150</v>
      </c>
      <c r="F530" s="937">
        <f t="shared" si="89"/>
        <v>9230</v>
      </c>
      <c r="G530" s="938"/>
      <c r="H530" s="939">
        <v>0.04</v>
      </c>
      <c r="I530" s="940">
        <v>6150</v>
      </c>
      <c r="J530" s="937">
        <f t="shared" si="90"/>
        <v>9230</v>
      </c>
      <c r="K530" s="943"/>
      <c r="P530" s="811"/>
      <c r="S530" s="811"/>
      <c r="AD530" s="806"/>
      <c r="AE530" s="806"/>
      <c r="AF530" s="806"/>
      <c r="BN530" s="811"/>
      <c r="BP530" s="813"/>
      <c r="BR530" s="814"/>
      <c r="BS530" s="814"/>
      <c r="BT530" s="811"/>
      <c r="BU530" s="812"/>
      <c r="BV530" s="811"/>
      <c r="BX530" s="811"/>
    </row>
    <row r="531" spans="2:76" ht="18" customHeight="1">
      <c r="B531" s="846">
        <f t="shared" si="88"/>
        <v>531</v>
      </c>
      <c r="C531" s="843" t="s">
        <v>133</v>
      </c>
      <c r="D531" s="935">
        <v>0.05</v>
      </c>
      <c r="E531" s="940">
        <v>9230</v>
      </c>
      <c r="F531" s="937">
        <f t="shared" si="89"/>
        <v>12310</v>
      </c>
      <c r="G531" s="938"/>
      <c r="H531" s="939">
        <v>0.05</v>
      </c>
      <c r="I531" s="940">
        <v>9230</v>
      </c>
      <c r="J531" s="937">
        <f t="shared" si="90"/>
        <v>12310</v>
      </c>
      <c r="K531" s="943"/>
      <c r="P531" s="811"/>
      <c r="S531" s="811"/>
      <c r="AD531" s="806"/>
      <c r="AE531" s="806"/>
      <c r="AF531" s="806"/>
      <c r="BN531" s="811"/>
      <c r="BP531" s="813"/>
      <c r="BR531" s="814"/>
      <c r="BS531" s="814"/>
      <c r="BT531" s="811"/>
      <c r="BU531" s="812"/>
      <c r="BV531" s="811"/>
      <c r="BX531" s="811"/>
    </row>
    <row r="532" spans="2:76" ht="18" customHeight="1">
      <c r="B532" s="846">
        <f t="shared" si="88"/>
        <v>532</v>
      </c>
      <c r="C532" s="843" t="s">
        <v>133</v>
      </c>
      <c r="D532" s="935">
        <v>0.06</v>
      </c>
      <c r="E532" s="940">
        <v>12310</v>
      </c>
      <c r="F532" s="937">
        <f t="shared" si="89"/>
        <v>15400</v>
      </c>
      <c r="G532" s="938"/>
      <c r="H532" s="939">
        <v>0.06</v>
      </c>
      <c r="I532" s="940">
        <v>12310</v>
      </c>
      <c r="J532" s="937">
        <f t="shared" si="90"/>
        <v>15400</v>
      </c>
      <c r="K532" s="943"/>
      <c r="P532" s="811"/>
      <c r="S532" s="811"/>
      <c r="AD532" s="806"/>
      <c r="AE532" s="806"/>
      <c r="AF532" s="806"/>
      <c r="BN532" s="811"/>
      <c r="BP532" s="813"/>
      <c r="BR532" s="814"/>
      <c r="BS532" s="814"/>
      <c r="BT532" s="811"/>
      <c r="BU532" s="812"/>
      <c r="BV532" s="811"/>
      <c r="BX532" s="811"/>
    </row>
    <row r="533" spans="2:76" ht="18" customHeight="1">
      <c r="B533" s="846">
        <f t="shared" si="88"/>
        <v>533</v>
      </c>
      <c r="C533" s="843" t="s">
        <v>133</v>
      </c>
      <c r="D533" s="935">
        <v>7.0000000000000007E-2</v>
      </c>
      <c r="E533" s="940">
        <v>15400</v>
      </c>
      <c r="F533" s="937">
        <f t="shared" si="89"/>
        <v>0</v>
      </c>
      <c r="G533" s="938"/>
      <c r="H533" s="939">
        <v>7.0000000000000007E-2</v>
      </c>
      <c r="I533" s="940">
        <v>15400</v>
      </c>
      <c r="J533" s="937">
        <f t="shared" si="90"/>
        <v>0</v>
      </c>
      <c r="K533" s="943"/>
      <c r="P533" s="811"/>
      <c r="S533" s="811"/>
      <c r="AD533" s="806"/>
      <c r="AE533" s="806"/>
      <c r="AF533" s="806"/>
      <c r="BN533" s="811"/>
      <c r="BP533" s="813"/>
      <c r="BR533" s="814"/>
      <c r="BS533" s="814"/>
      <c r="BT533" s="811"/>
      <c r="BU533" s="812"/>
      <c r="BV533" s="811"/>
      <c r="BX533" s="811"/>
    </row>
    <row r="534" spans="2:76" ht="18" customHeight="1">
      <c r="B534" s="846">
        <f t="shared" si="88"/>
        <v>534</v>
      </c>
      <c r="C534" s="843" t="s">
        <v>133</v>
      </c>
      <c r="D534" s="935"/>
      <c r="E534" s="940"/>
      <c r="F534" s="937">
        <f t="shared" si="89"/>
        <v>0</v>
      </c>
      <c r="G534" s="938"/>
      <c r="H534" s="939"/>
      <c r="I534" s="940"/>
      <c r="J534" s="937">
        <f t="shared" si="90"/>
        <v>0</v>
      </c>
      <c r="K534" s="943"/>
      <c r="P534" s="811"/>
      <c r="S534" s="811"/>
      <c r="AD534" s="806"/>
      <c r="AE534" s="806"/>
      <c r="AF534" s="806"/>
      <c r="BN534" s="811"/>
      <c r="BP534" s="813"/>
      <c r="BR534" s="814"/>
      <c r="BS534" s="814"/>
      <c r="BT534" s="811"/>
      <c r="BU534" s="812"/>
      <c r="BV534" s="811"/>
      <c r="BX534" s="811"/>
    </row>
    <row r="535" spans="2:76" ht="18" customHeight="1">
      <c r="B535" s="846">
        <f t="shared" si="88"/>
        <v>535</v>
      </c>
      <c r="C535" s="843" t="s">
        <v>133</v>
      </c>
      <c r="D535" s="935"/>
      <c r="E535" s="940"/>
      <c r="F535" s="937">
        <f t="shared" si="89"/>
        <v>0</v>
      </c>
      <c r="G535" s="938"/>
      <c r="H535" s="939"/>
      <c r="I535" s="940"/>
      <c r="J535" s="937">
        <f t="shared" si="90"/>
        <v>0</v>
      </c>
      <c r="K535" s="943"/>
      <c r="P535" s="811"/>
      <c r="S535" s="811"/>
      <c r="AD535" s="806"/>
      <c r="AE535" s="806"/>
      <c r="AF535" s="806"/>
      <c r="BN535" s="811"/>
      <c r="BP535" s="813"/>
      <c r="BR535" s="814"/>
      <c r="BS535" s="814"/>
      <c r="BT535" s="811"/>
      <c r="BU535" s="812"/>
      <c r="BV535" s="811"/>
      <c r="BX535" s="811"/>
    </row>
    <row r="536" spans="2:76" ht="18" customHeight="1">
      <c r="B536" s="846">
        <f t="shared" si="88"/>
        <v>536</v>
      </c>
      <c r="C536" s="843" t="s">
        <v>133</v>
      </c>
      <c r="D536" s="935"/>
      <c r="E536" s="940"/>
      <c r="F536" s="937">
        <f t="shared" si="89"/>
        <v>0</v>
      </c>
      <c r="G536" s="938"/>
      <c r="H536" s="939"/>
      <c r="I536" s="940"/>
      <c r="J536" s="937">
        <f t="shared" si="90"/>
        <v>0</v>
      </c>
      <c r="K536" s="943"/>
      <c r="P536" s="811"/>
      <c r="S536" s="811"/>
      <c r="AD536" s="806"/>
      <c r="AE536" s="806"/>
      <c r="AF536" s="806"/>
      <c r="BN536" s="811"/>
      <c r="BP536" s="813"/>
      <c r="BR536" s="814"/>
      <c r="BS536" s="814"/>
      <c r="BT536" s="811"/>
      <c r="BU536" s="812"/>
      <c r="BV536" s="811"/>
      <c r="BX536" s="811"/>
    </row>
    <row r="537" spans="2:76" ht="18" customHeight="1">
      <c r="B537" s="846">
        <f t="shared" si="88"/>
        <v>537</v>
      </c>
      <c r="C537" s="843" t="s">
        <v>133</v>
      </c>
      <c r="D537" s="935"/>
      <c r="E537" s="940"/>
      <c r="F537" s="937">
        <f t="shared" si="89"/>
        <v>0</v>
      </c>
      <c r="G537" s="938"/>
      <c r="H537" s="939"/>
      <c r="I537" s="940"/>
      <c r="J537" s="937">
        <f t="shared" si="90"/>
        <v>0</v>
      </c>
      <c r="K537" s="943"/>
      <c r="P537" s="811"/>
      <c r="S537" s="811"/>
      <c r="AD537" s="806"/>
      <c r="AE537" s="806"/>
      <c r="AF537" s="806"/>
      <c r="BN537" s="811"/>
      <c r="BP537" s="813"/>
      <c r="BR537" s="814"/>
      <c r="BS537" s="814"/>
      <c r="BT537" s="811"/>
      <c r="BU537" s="812"/>
      <c r="BV537" s="811"/>
      <c r="BX537" s="811"/>
    </row>
    <row r="538" spans="2:76" ht="18" customHeight="1">
      <c r="B538" s="846">
        <f t="shared" si="88"/>
        <v>538</v>
      </c>
      <c r="C538" s="843" t="s">
        <v>133</v>
      </c>
      <c r="D538" s="935"/>
      <c r="E538" s="940"/>
      <c r="F538" s="937">
        <f t="shared" si="89"/>
        <v>0</v>
      </c>
      <c r="G538" s="938"/>
      <c r="H538" s="939"/>
      <c r="I538" s="940"/>
      <c r="J538" s="937">
        <f t="shared" si="90"/>
        <v>0</v>
      </c>
      <c r="K538" s="943"/>
      <c r="P538" s="811"/>
      <c r="S538" s="811"/>
      <c r="AD538" s="806"/>
      <c r="AE538" s="806"/>
      <c r="AF538" s="806"/>
      <c r="BN538" s="811"/>
      <c r="BP538" s="813"/>
      <c r="BR538" s="814"/>
      <c r="BS538" s="814"/>
      <c r="BT538" s="811"/>
      <c r="BU538" s="812"/>
      <c r="BV538" s="811"/>
      <c r="BX538" s="811"/>
    </row>
    <row r="539" spans="2:76" ht="18" customHeight="1">
      <c r="B539" s="847">
        <f t="shared" si="88"/>
        <v>539</v>
      </c>
      <c r="C539" s="848" t="s">
        <v>133</v>
      </c>
      <c r="D539" s="944"/>
      <c r="E539" s="957"/>
      <c r="F539" s="946"/>
      <c r="G539" s="947"/>
      <c r="H539" s="948"/>
      <c r="I539" s="957"/>
      <c r="J539" s="946"/>
      <c r="K539" s="950"/>
      <c r="P539" s="811"/>
      <c r="S539" s="811"/>
      <c r="AD539" s="806"/>
      <c r="AE539" s="806"/>
      <c r="AF539" s="806"/>
      <c r="BN539" s="811"/>
      <c r="BP539" s="813"/>
      <c r="BR539" s="814"/>
      <c r="BS539" s="814"/>
      <c r="BT539" s="811"/>
      <c r="BU539" s="812"/>
      <c r="BV539" s="811"/>
      <c r="BX539" s="811"/>
    </row>
    <row r="540" spans="2:76" s="451" customFormat="1" ht="18" customHeight="1">
      <c r="B540" s="849">
        <f t="shared" si="88"/>
        <v>540</v>
      </c>
      <c r="C540" s="849"/>
      <c r="D540" s="292"/>
      <c r="E540" s="777"/>
      <c r="F540" s="849"/>
      <c r="G540" s="849"/>
      <c r="H540" s="449"/>
      <c r="I540" s="777"/>
      <c r="J540" s="849"/>
      <c r="K540" s="448"/>
      <c r="P540" s="851"/>
      <c r="S540" s="851"/>
      <c r="AD540" s="849"/>
      <c r="AE540" s="849"/>
      <c r="AF540" s="849"/>
      <c r="BN540" s="851"/>
      <c r="BP540" s="851"/>
      <c r="BR540" s="852"/>
      <c r="BS540" s="852"/>
      <c r="BT540" s="851"/>
      <c r="BU540" s="850"/>
      <c r="BV540" s="851"/>
      <c r="BX540" s="851"/>
    </row>
    <row r="541" spans="2:76" ht="18" customHeight="1">
      <c r="B541" s="844">
        <f t="shared" si="88"/>
        <v>541</v>
      </c>
      <c r="C541" s="845" t="s">
        <v>134</v>
      </c>
      <c r="D541" s="928">
        <v>0</v>
      </c>
      <c r="E541" s="933"/>
      <c r="F541" s="930">
        <f t="shared" ref="F541:F551" si="91">E542</f>
        <v>0</v>
      </c>
      <c r="G541" s="931">
        <v>0</v>
      </c>
      <c r="H541" s="932">
        <v>0</v>
      </c>
      <c r="I541" s="933"/>
      <c r="J541" s="930">
        <f t="shared" ref="J541:J551" si="92">I542</f>
        <v>0</v>
      </c>
      <c r="K541" s="934">
        <v>0</v>
      </c>
      <c r="P541" s="811"/>
      <c r="S541" s="811"/>
      <c r="AD541" s="806"/>
      <c r="AE541" s="806"/>
      <c r="AF541" s="806"/>
      <c r="BN541" s="811"/>
      <c r="BP541" s="813"/>
      <c r="BR541" s="814"/>
      <c r="BS541" s="814"/>
      <c r="BT541" s="811"/>
      <c r="BU541" s="812"/>
      <c r="BV541" s="811"/>
      <c r="BX541" s="811"/>
    </row>
    <row r="542" spans="2:76" ht="18" customHeight="1">
      <c r="B542" s="846">
        <f t="shared" si="88"/>
        <v>542</v>
      </c>
      <c r="C542" s="843" t="s">
        <v>134</v>
      </c>
      <c r="D542" s="935"/>
      <c r="E542" s="940"/>
      <c r="F542" s="937">
        <f t="shared" si="91"/>
        <v>0</v>
      </c>
      <c r="G542" s="961"/>
      <c r="H542" s="939"/>
      <c r="I542" s="940"/>
      <c r="J542" s="937">
        <f t="shared" si="92"/>
        <v>0</v>
      </c>
      <c r="K542" s="941"/>
      <c r="P542" s="811"/>
      <c r="S542" s="811"/>
      <c r="AD542" s="806"/>
      <c r="AE542" s="806"/>
      <c r="AF542" s="806"/>
      <c r="BN542" s="811"/>
      <c r="BP542" s="813"/>
      <c r="BR542" s="814"/>
      <c r="BS542" s="814"/>
      <c r="BT542" s="811"/>
      <c r="BU542" s="812"/>
      <c r="BV542" s="811"/>
      <c r="BX542" s="811"/>
    </row>
    <row r="543" spans="2:76" ht="18" customHeight="1">
      <c r="B543" s="846">
        <f t="shared" si="88"/>
        <v>543</v>
      </c>
      <c r="C543" s="843" t="s">
        <v>134</v>
      </c>
      <c r="D543" s="935"/>
      <c r="E543" s="940"/>
      <c r="F543" s="937">
        <f t="shared" si="91"/>
        <v>0</v>
      </c>
      <c r="G543" s="961"/>
      <c r="H543" s="939"/>
      <c r="I543" s="940"/>
      <c r="J543" s="937">
        <f t="shared" si="92"/>
        <v>0</v>
      </c>
      <c r="K543" s="941"/>
      <c r="P543" s="811"/>
      <c r="S543" s="811"/>
      <c r="AD543" s="806"/>
      <c r="AE543" s="806"/>
      <c r="AF543" s="806"/>
      <c r="BN543" s="811"/>
      <c r="BP543" s="813"/>
      <c r="BR543" s="814"/>
      <c r="BS543" s="814"/>
      <c r="BT543" s="811"/>
      <c r="BU543" s="812"/>
      <c r="BV543" s="811"/>
      <c r="BX543" s="811"/>
    </row>
    <row r="544" spans="2:76" ht="18" customHeight="1">
      <c r="B544" s="846">
        <f t="shared" si="88"/>
        <v>544</v>
      </c>
      <c r="C544" s="843" t="s">
        <v>134</v>
      </c>
      <c r="D544" s="935"/>
      <c r="E544" s="940"/>
      <c r="F544" s="937">
        <f t="shared" si="91"/>
        <v>0</v>
      </c>
      <c r="G544" s="961"/>
      <c r="H544" s="939"/>
      <c r="I544" s="940"/>
      <c r="J544" s="937">
        <f t="shared" si="92"/>
        <v>0</v>
      </c>
      <c r="K544" s="941"/>
      <c r="P544" s="811"/>
      <c r="S544" s="811"/>
      <c r="AD544" s="806"/>
      <c r="AE544" s="806"/>
      <c r="AF544" s="806"/>
      <c r="BN544" s="811"/>
      <c r="BP544" s="813"/>
      <c r="BR544" s="814"/>
      <c r="BS544" s="814"/>
      <c r="BT544" s="811"/>
      <c r="BU544" s="812"/>
      <c r="BV544" s="811"/>
      <c r="BX544" s="811"/>
    </row>
    <row r="545" spans="2:76" ht="18" customHeight="1">
      <c r="B545" s="846">
        <f t="shared" si="88"/>
        <v>545</v>
      </c>
      <c r="C545" s="843" t="s">
        <v>134</v>
      </c>
      <c r="D545" s="935"/>
      <c r="E545" s="940"/>
      <c r="F545" s="937">
        <f t="shared" si="91"/>
        <v>0</v>
      </c>
      <c r="G545" s="961"/>
      <c r="H545" s="939"/>
      <c r="I545" s="940"/>
      <c r="J545" s="937">
        <f t="shared" si="92"/>
        <v>0</v>
      </c>
      <c r="K545" s="941"/>
      <c r="P545" s="811"/>
      <c r="S545" s="811"/>
      <c r="AD545" s="806"/>
      <c r="AE545" s="806"/>
      <c r="AF545" s="806"/>
      <c r="BN545" s="811"/>
      <c r="BP545" s="813"/>
      <c r="BR545" s="814"/>
      <c r="BS545" s="814"/>
      <c r="BT545" s="811"/>
      <c r="BU545" s="812"/>
      <c r="BV545" s="811"/>
      <c r="BX545" s="811"/>
    </row>
    <row r="546" spans="2:76" ht="18" customHeight="1">
      <c r="B546" s="846">
        <f t="shared" si="88"/>
        <v>546</v>
      </c>
      <c r="C546" s="843" t="s">
        <v>134</v>
      </c>
      <c r="D546" s="935"/>
      <c r="E546" s="940"/>
      <c r="F546" s="937">
        <f t="shared" si="91"/>
        <v>0</v>
      </c>
      <c r="G546" s="961"/>
      <c r="H546" s="939"/>
      <c r="I546" s="940"/>
      <c r="J546" s="937">
        <f t="shared" si="92"/>
        <v>0</v>
      </c>
      <c r="K546" s="941"/>
      <c r="P546" s="811"/>
      <c r="S546" s="811"/>
      <c r="AD546" s="806"/>
      <c r="AE546" s="806"/>
      <c r="AF546" s="806"/>
      <c r="BN546" s="811"/>
      <c r="BP546" s="813"/>
      <c r="BR546" s="814"/>
      <c r="BS546" s="814"/>
      <c r="BT546" s="811"/>
      <c r="BU546" s="812"/>
      <c r="BV546" s="811"/>
      <c r="BX546" s="811"/>
    </row>
    <row r="547" spans="2:76" ht="18" customHeight="1">
      <c r="B547" s="846">
        <f t="shared" si="88"/>
        <v>547</v>
      </c>
      <c r="C547" s="843" t="s">
        <v>134</v>
      </c>
      <c r="D547" s="935"/>
      <c r="E547" s="940"/>
      <c r="F547" s="937">
        <f t="shared" si="91"/>
        <v>0</v>
      </c>
      <c r="G547" s="961"/>
      <c r="H547" s="939"/>
      <c r="I547" s="940"/>
      <c r="J547" s="937">
        <f t="shared" si="92"/>
        <v>0</v>
      </c>
      <c r="K547" s="941"/>
      <c r="P547" s="811"/>
      <c r="S547" s="811"/>
      <c r="AD547" s="806"/>
      <c r="AE547" s="806"/>
      <c r="AF547" s="806"/>
      <c r="BN547" s="811"/>
      <c r="BP547" s="813"/>
      <c r="BR547" s="814"/>
      <c r="BS547" s="814"/>
      <c r="BT547" s="811"/>
      <c r="BU547" s="812"/>
      <c r="BV547" s="811"/>
      <c r="BX547" s="811"/>
    </row>
    <row r="548" spans="2:76" ht="18" customHeight="1">
      <c r="B548" s="846">
        <f t="shared" si="88"/>
        <v>548</v>
      </c>
      <c r="C548" s="843" t="s">
        <v>134</v>
      </c>
      <c r="D548" s="935"/>
      <c r="E548" s="940"/>
      <c r="F548" s="937">
        <f t="shared" si="91"/>
        <v>0</v>
      </c>
      <c r="G548" s="961"/>
      <c r="H548" s="939"/>
      <c r="I548" s="940"/>
      <c r="J548" s="937">
        <f t="shared" si="92"/>
        <v>0</v>
      </c>
      <c r="K548" s="941"/>
      <c r="P548" s="811"/>
      <c r="S548" s="811"/>
      <c r="AD548" s="806"/>
      <c r="AE548" s="806"/>
      <c r="AF548" s="806"/>
      <c r="BN548" s="811"/>
      <c r="BP548" s="813"/>
      <c r="BR548" s="814"/>
      <c r="BS548" s="814"/>
      <c r="BT548" s="811"/>
      <c r="BU548" s="812"/>
      <c r="BV548" s="811"/>
      <c r="BX548" s="811"/>
    </row>
    <row r="549" spans="2:76" ht="18" customHeight="1">
      <c r="B549" s="846">
        <f t="shared" si="88"/>
        <v>549</v>
      </c>
      <c r="C549" s="843" t="s">
        <v>134</v>
      </c>
      <c r="D549" s="935"/>
      <c r="E549" s="940"/>
      <c r="F549" s="937">
        <f t="shared" si="91"/>
        <v>0</v>
      </c>
      <c r="G549" s="961"/>
      <c r="H549" s="939"/>
      <c r="I549" s="940"/>
      <c r="J549" s="937">
        <f t="shared" si="92"/>
        <v>0</v>
      </c>
      <c r="K549" s="941"/>
      <c r="P549" s="811"/>
      <c r="S549" s="811"/>
      <c r="AD549" s="806"/>
      <c r="AE549" s="806"/>
      <c r="AF549" s="806"/>
      <c r="BN549" s="811"/>
      <c r="BP549" s="813"/>
      <c r="BR549" s="814"/>
      <c r="BS549" s="814"/>
      <c r="BT549" s="811"/>
      <c r="BU549" s="812"/>
      <c r="BV549" s="811"/>
      <c r="BX549" s="811"/>
    </row>
    <row r="550" spans="2:76" ht="18" customHeight="1">
      <c r="B550" s="846">
        <f t="shared" si="88"/>
        <v>550</v>
      </c>
      <c r="C550" s="843" t="s">
        <v>134</v>
      </c>
      <c r="D550" s="935"/>
      <c r="E550" s="940"/>
      <c r="F550" s="937">
        <f t="shared" si="91"/>
        <v>0</v>
      </c>
      <c r="G550" s="961"/>
      <c r="H550" s="939"/>
      <c r="I550" s="940"/>
      <c r="J550" s="937">
        <f t="shared" si="92"/>
        <v>0</v>
      </c>
      <c r="K550" s="941"/>
      <c r="P550" s="811"/>
      <c r="S550" s="811"/>
      <c r="AD550" s="806"/>
      <c r="AE550" s="806"/>
      <c r="AF550" s="806"/>
      <c r="BN550" s="811"/>
      <c r="BP550" s="813"/>
      <c r="BR550" s="814"/>
      <c r="BS550" s="814"/>
      <c r="BT550" s="811"/>
      <c r="BU550" s="812"/>
      <c r="BV550" s="811"/>
      <c r="BX550" s="811"/>
    </row>
    <row r="551" spans="2:76" ht="18" customHeight="1">
      <c r="B551" s="846">
        <f t="shared" si="88"/>
        <v>551</v>
      </c>
      <c r="C551" s="843" t="s">
        <v>134</v>
      </c>
      <c r="D551" s="935"/>
      <c r="E551" s="940"/>
      <c r="F551" s="937">
        <f t="shared" si="91"/>
        <v>0</v>
      </c>
      <c r="G551" s="961"/>
      <c r="H551" s="939"/>
      <c r="I551" s="940"/>
      <c r="J551" s="937">
        <f t="shared" si="92"/>
        <v>0</v>
      </c>
      <c r="K551" s="941"/>
      <c r="P551" s="811"/>
      <c r="S551" s="811"/>
      <c r="AD551" s="806"/>
      <c r="AE551" s="806"/>
      <c r="AF551" s="806"/>
      <c r="BN551" s="811"/>
      <c r="BP551" s="813"/>
      <c r="BR551" s="814"/>
      <c r="BS551" s="814"/>
      <c r="BT551" s="811"/>
      <c r="BU551" s="812"/>
      <c r="BV551" s="811"/>
      <c r="BX551" s="811"/>
    </row>
    <row r="552" spans="2:76" ht="18" customHeight="1">
      <c r="B552" s="847">
        <f t="shared" si="88"/>
        <v>552</v>
      </c>
      <c r="C552" s="848" t="s">
        <v>134</v>
      </c>
      <c r="D552" s="944"/>
      <c r="E552" s="957"/>
      <c r="F552" s="946"/>
      <c r="G552" s="963"/>
      <c r="H552" s="948"/>
      <c r="I552" s="957"/>
      <c r="J552" s="946"/>
      <c r="K552" s="958"/>
      <c r="P552" s="811"/>
      <c r="S552" s="811"/>
      <c r="AD552" s="806"/>
      <c r="AE552" s="806"/>
      <c r="AF552" s="806"/>
      <c r="BN552" s="811"/>
      <c r="BP552" s="813"/>
      <c r="BR552" s="814"/>
      <c r="BS552" s="814"/>
      <c r="BT552" s="811"/>
      <c r="BU552" s="812"/>
      <c r="BV552" s="811"/>
      <c r="BX552" s="811"/>
    </row>
    <row r="553" spans="2:76" s="451" customFormat="1" ht="18" customHeight="1">
      <c r="B553" s="849">
        <f t="shared" si="88"/>
        <v>553</v>
      </c>
      <c r="C553" s="849"/>
      <c r="D553" s="292"/>
      <c r="E553" s="777"/>
      <c r="F553" s="849"/>
      <c r="G553" s="849"/>
      <c r="H553" s="449"/>
      <c r="I553" s="777"/>
      <c r="J553" s="849"/>
      <c r="K553" s="448"/>
      <c r="P553" s="851"/>
      <c r="S553" s="851"/>
      <c r="AD553" s="849"/>
      <c r="AE553" s="849"/>
      <c r="AF553" s="849"/>
      <c r="BN553" s="851"/>
      <c r="BP553" s="851"/>
      <c r="BR553" s="852"/>
      <c r="BS553" s="852"/>
      <c r="BT553" s="851"/>
      <c r="BU553" s="850"/>
      <c r="BV553" s="851"/>
      <c r="BX553" s="851"/>
    </row>
    <row r="554" spans="2:76" ht="18" customHeight="1">
      <c r="B554" s="844">
        <f t="shared" si="88"/>
        <v>554</v>
      </c>
      <c r="C554" s="845" t="s">
        <v>135</v>
      </c>
      <c r="D554" s="928">
        <v>0</v>
      </c>
      <c r="E554" s="933">
        <v>0</v>
      </c>
      <c r="F554" s="930">
        <f t="shared" ref="F554:F564" si="93">E555</f>
        <v>0</v>
      </c>
      <c r="G554" s="931">
        <v>0</v>
      </c>
      <c r="H554" s="932">
        <v>0</v>
      </c>
      <c r="I554" s="933">
        <v>0</v>
      </c>
      <c r="J554" s="930">
        <f t="shared" ref="J554:J564" si="94">I555</f>
        <v>0</v>
      </c>
      <c r="K554" s="934">
        <v>0</v>
      </c>
      <c r="P554" s="811"/>
      <c r="S554" s="811"/>
      <c r="AD554" s="806"/>
      <c r="AE554" s="806"/>
      <c r="AF554" s="806"/>
      <c r="BN554" s="811"/>
      <c r="BP554" s="813"/>
      <c r="BR554" s="814"/>
      <c r="BS554" s="814"/>
      <c r="BT554" s="811"/>
      <c r="BU554" s="812"/>
      <c r="BV554" s="811"/>
      <c r="BX554" s="811"/>
    </row>
    <row r="555" spans="2:76" ht="18" customHeight="1">
      <c r="B555" s="846">
        <f t="shared" si="88"/>
        <v>555</v>
      </c>
      <c r="C555" s="843" t="s">
        <v>135</v>
      </c>
      <c r="D555" s="935"/>
      <c r="E555" s="940"/>
      <c r="F555" s="937">
        <f t="shared" si="93"/>
        <v>0</v>
      </c>
      <c r="G555" s="961"/>
      <c r="H555" s="939"/>
      <c r="I555" s="940"/>
      <c r="J555" s="937">
        <f t="shared" si="94"/>
        <v>0</v>
      </c>
      <c r="K555" s="941"/>
      <c r="P555" s="811"/>
      <c r="S555" s="811"/>
      <c r="AD555" s="806"/>
      <c r="AE555" s="806"/>
      <c r="AF555" s="806"/>
      <c r="BN555" s="811"/>
      <c r="BP555" s="813"/>
      <c r="BR555" s="814"/>
      <c r="BS555" s="814"/>
      <c r="BT555" s="811"/>
      <c r="BU555" s="812"/>
      <c r="BV555" s="811"/>
      <c r="BX555" s="811"/>
    </row>
    <row r="556" spans="2:76" ht="18" customHeight="1">
      <c r="B556" s="846">
        <f t="shared" si="88"/>
        <v>556</v>
      </c>
      <c r="C556" s="843" t="s">
        <v>135</v>
      </c>
      <c r="D556" s="935"/>
      <c r="E556" s="940"/>
      <c r="F556" s="937">
        <f t="shared" si="93"/>
        <v>0</v>
      </c>
      <c r="G556" s="961"/>
      <c r="H556" s="939"/>
      <c r="I556" s="940"/>
      <c r="J556" s="937">
        <f t="shared" si="94"/>
        <v>0</v>
      </c>
      <c r="K556" s="941"/>
      <c r="P556" s="811"/>
      <c r="S556" s="811"/>
      <c r="AD556" s="806"/>
      <c r="AE556" s="806"/>
      <c r="AF556" s="806"/>
      <c r="BN556" s="811"/>
      <c r="BP556" s="813"/>
      <c r="BR556" s="814"/>
      <c r="BS556" s="814"/>
      <c r="BT556" s="811"/>
      <c r="BU556" s="812"/>
      <c r="BV556" s="811"/>
      <c r="BX556" s="811"/>
    </row>
    <row r="557" spans="2:76" ht="18" customHeight="1">
      <c r="B557" s="846">
        <f t="shared" si="88"/>
        <v>557</v>
      </c>
      <c r="C557" s="843" t="s">
        <v>135</v>
      </c>
      <c r="D557" s="935"/>
      <c r="E557" s="940"/>
      <c r="F557" s="937">
        <f t="shared" si="93"/>
        <v>0</v>
      </c>
      <c r="G557" s="961"/>
      <c r="H557" s="939"/>
      <c r="I557" s="940"/>
      <c r="J557" s="937">
        <f t="shared" si="94"/>
        <v>0</v>
      </c>
      <c r="K557" s="941"/>
      <c r="P557" s="811"/>
      <c r="S557" s="811"/>
      <c r="AD557" s="806"/>
      <c r="AE557" s="806"/>
      <c r="AF557" s="806"/>
      <c r="BN557" s="811"/>
      <c r="BP557" s="813"/>
      <c r="BR557" s="814"/>
      <c r="BS557" s="814"/>
      <c r="BT557" s="811"/>
      <c r="BU557" s="812"/>
      <c r="BV557" s="811"/>
      <c r="BX557" s="811"/>
    </row>
    <row r="558" spans="2:76" ht="18" customHeight="1">
      <c r="B558" s="846">
        <f t="shared" si="88"/>
        <v>558</v>
      </c>
      <c r="C558" s="843" t="s">
        <v>135</v>
      </c>
      <c r="D558" s="935"/>
      <c r="E558" s="940"/>
      <c r="F558" s="937">
        <f t="shared" si="93"/>
        <v>0</v>
      </c>
      <c r="G558" s="961"/>
      <c r="H558" s="939"/>
      <c r="I558" s="940"/>
      <c r="J558" s="937">
        <f t="shared" si="94"/>
        <v>0</v>
      </c>
      <c r="K558" s="941"/>
      <c r="P558" s="811"/>
      <c r="S558" s="811"/>
      <c r="AD558" s="806"/>
      <c r="AE558" s="806"/>
      <c r="AF558" s="806"/>
      <c r="BN558" s="811"/>
      <c r="BP558" s="813"/>
      <c r="BR558" s="814"/>
      <c r="BS558" s="814"/>
      <c r="BT558" s="811"/>
      <c r="BU558" s="812"/>
      <c r="BV558" s="811"/>
      <c r="BX558" s="811"/>
    </row>
    <row r="559" spans="2:76" ht="18" customHeight="1">
      <c r="B559" s="846">
        <f t="shared" si="88"/>
        <v>559</v>
      </c>
      <c r="C559" s="843" t="s">
        <v>135</v>
      </c>
      <c r="D559" s="935"/>
      <c r="E559" s="940"/>
      <c r="F559" s="937">
        <f t="shared" si="93"/>
        <v>0</v>
      </c>
      <c r="G559" s="961"/>
      <c r="H559" s="939"/>
      <c r="I559" s="940"/>
      <c r="J559" s="937">
        <f t="shared" si="94"/>
        <v>0</v>
      </c>
      <c r="K559" s="941"/>
      <c r="P559" s="811"/>
      <c r="S559" s="811"/>
      <c r="AD559" s="806"/>
      <c r="AE559" s="806"/>
      <c r="AF559" s="806"/>
      <c r="BN559" s="811"/>
      <c r="BP559" s="813"/>
      <c r="BR559" s="814"/>
      <c r="BS559" s="814"/>
      <c r="BT559" s="811"/>
      <c r="BU559" s="812"/>
      <c r="BV559" s="811"/>
      <c r="BX559" s="811"/>
    </row>
    <row r="560" spans="2:76" ht="18" customHeight="1">
      <c r="B560" s="846">
        <f t="shared" si="88"/>
        <v>560</v>
      </c>
      <c r="C560" s="843" t="s">
        <v>135</v>
      </c>
      <c r="D560" s="935"/>
      <c r="E560" s="940"/>
      <c r="F560" s="937">
        <f t="shared" si="93"/>
        <v>0</v>
      </c>
      <c r="G560" s="961"/>
      <c r="H560" s="939"/>
      <c r="I560" s="940"/>
      <c r="J560" s="937">
        <f t="shared" si="94"/>
        <v>0</v>
      </c>
      <c r="K560" s="941"/>
      <c r="P560" s="811"/>
      <c r="S560" s="811"/>
      <c r="AD560" s="806"/>
      <c r="AE560" s="806"/>
      <c r="AF560" s="806"/>
      <c r="BN560" s="811"/>
      <c r="BP560" s="813"/>
      <c r="BR560" s="814"/>
      <c r="BS560" s="814"/>
      <c r="BT560" s="811"/>
      <c r="BU560" s="812"/>
      <c r="BV560" s="811"/>
      <c r="BX560" s="811"/>
    </row>
    <row r="561" spans="2:76" ht="18" customHeight="1">
      <c r="B561" s="846">
        <f t="shared" si="88"/>
        <v>561</v>
      </c>
      <c r="C561" s="843" t="s">
        <v>135</v>
      </c>
      <c r="D561" s="935"/>
      <c r="E561" s="940"/>
      <c r="F561" s="937">
        <f t="shared" si="93"/>
        <v>0</v>
      </c>
      <c r="G561" s="961"/>
      <c r="H561" s="939"/>
      <c r="I561" s="940"/>
      <c r="J561" s="937">
        <f t="shared" si="94"/>
        <v>0</v>
      </c>
      <c r="K561" s="941"/>
      <c r="P561" s="811"/>
      <c r="S561" s="811"/>
      <c r="AD561" s="806"/>
      <c r="AE561" s="806"/>
      <c r="AF561" s="806"/>
      <c r="BN561" s="811"/>
      <c r="BP561" s="813"/>
      <c r="BR561" s="814"/>
      <c r="BS561" s="814"/>
      <c r="BT561" s="811"/>
      <c r="BU561" s="812"/>
      <c r="BV561" s="811"/>
      <c r="BX561" s="811"/>
    </row>
    <row r="562" spans="2:76" ht="18" customHeight="1">
      <c r="B562" s="846">
        <f t="shared" si="88"/>
        <v>562</v>
      </c>
      <c r="C562" s="843" t="s">
        <v>135</v>
      </c>
      <c r="D562" s="935"/>
      <c r="E562" s="940"/>
      <c r="F562" s="937">
        <f t="shared" si="93"/>
        <v>0</v>
      </c>
      <c r="G562" s="961"/>
      <c r="H562" s="939"/>
      <c r="I562" s="940"/>
      <c r="J562" s="937">
        <f t="shared" si="94"/>
        <v>0</v>
      </c>
      <c r="K562" s="941"/>
      <c r="P562" s="811"/>
      <c r="S562" s="811"/>
      <c r="AD562" s="806"/>
      <c r="AE562" s="806"/>
      <c r="AF562" s="806"/>
      <c r="BN562" s="811"/>
      <c r="BP562" s="813"/>
      <c r="BR562" s="814"/>
      <c r="BS562" s="814"/>
      <c r="BT562" s="811"/>
      <c r="BU562" s="812"/>
      <c r="BV562" s="811"/>
      <c r="BX562" s="811"/>
    </row>
    <row r="563" spans="2:76" ht="18" customHeight="1">
      <c r="B563" s="846">
        <f t="shared" si="88"/>
        <v>563</v>
      </c>
      <c r="C563" s="843" t="s">
        <v>135</v>
      </c>
      <c r="D563" s="935"/>
      <c r="E563" s="940"/>
      <c r="F563" s="937">
        <f t="shared" si="93"/>
        <v>0</v>
      </c>
      <c r="G563" s="961"/>
      <c r="H563" s="939"/>
      <c r="I563" s="940"/>
      <c r="J563" s="937">
        <f t="shared" si="94"/>
        <v>0</v>
      </c>
      <c r="K563" s="941"/>
      <c r="P563" s="811"/>
      <c r="S563" s="811"/>
      <c r="AD563" s="806"/>
      <c r="AE563" s="806"/>
      <c r="AF563" s="806"/>
      <c r="BN563" s="811"/>
      <c r="BP563" s="813"/>
      <c r="BR563" s="814"/>
      <c r="BS563" s="814"/>
      <c r="BT563" s="811"/>
      <c r="BU563" s="812"/>
      <c r="BV563" s="811"/>
      <c r="BX563" s="811"/>
    </row>
    <row r="564" spans="2:76" ht="18" customHeight="1">
      <c r="B564" s="846">
        <f t="shared" si="88"/>
        <v>564</v>
      </c>
      <c r="C564" s="843" t="s">
        <v>135</v>
      </c>
      <c r="D564" s="935"/>
      <c r="E564" s="940"/>
      <c r="F564" s="937">
        <f t="shared" si="93"/>
        <v>0</v>
      </c>
      <c r="G564" s="961"/>
      <c r="H564" s="939"/>
      <c r="I564" s="940"/>
      <c r="J564" s="937">
        <f t="shared" si="94"/>
        <v>0</v>
      </c>
      <c r="K564" s="941"/>
      <c r="P564" s="811"/>
      <c r="S564" s="811"/>
      <c r="AD564" s="806"/>
      <c r="AE564" s="806"/>
      <c r="AF564" s="806"/>
      <c r="BN564" s="811"/>
      <c r="BP564" s="813"/>
      <c r="BR564" s="814"/>
      <c r="BS564" s="814"/>
      <c r="BT564" s="811"/>
      <c r="BU564" s="812"/>
      <c r="BV564" s="811"/>
      <c r="BX564" s="811"/>
    </row>
    <row r="565" spans="2:76" ht="18" customHeight="1">
      <c r="B565" s="847">
        <f t="shared" si="88"/>
        <v>565</v>
      </c>
      <c r="C565" s="848" t="s">
        <v>135</v>
      </c>
      <c r="D565" s="944"/>
      <c r="E565" s="957"/>
      <c r="F565" s="946"/>
      <c r="G565" s="963"/>
      <c r="H565" s="948"/>
      <c r="I565" s="957"/>
      <c r="J565" s="946"/>
      <c r="K565" s="958"/>
      <c r="P565" s="811"/>
      <c r="S565" s="811"/>
      <c r="AD565" s="806"/>
      <c r="AE565" s="806"/>
      <c r="AF565" s="806"/>
      <c r="BN565" s="811"/>
      <c r="BP565" s="813"/>
      <c r="BR565" s="814"/>
      <c r="BS565" s="814"/>
      <c r="BT565" s="811"/>
      <c r="BU565" s="812"/>
      <c r="BV565" s="811"/>
      <c r="BX565" s="811"/>
    </row>
    <row r="566" spans="2:76" s="451" customFormat="1" ht="18" customHeight="1">
      <c r="B566" s="849">
        <f t="shared" si="88"/>
        <v>566</v>
      </c>
      <c r="C566" s="849"/>
      <c r="D566" s="292"/>
      <c r="E566" s="777"/>
      <c r="F566" s="849"/>
      <c r="G566" s="849"/>
      <c r="H566" s="449"/>
      <c r="I566" s="777"/>
      <c r="J566" s="849"/>
      <c r="K566" s="448"/>
      <c r="P566" s="851"/>
      <c r="AD566" s="849"/>
      <c r="AE566" s="849"/>
      <c r="AF566" s="849"/>
      <c r="BN566" s="851"/>
      <c r="BP566" s="851"/>
      <c r="BR566" s="852"/>
      <c r="BS566" s="852"/>
      <c r="BT566" s="851"/>
      <c r="BU566" s="850"/>
      <c r="BV566" s="851"/>
      <c r="BX566" s="851"/>
    </row>
    <row r="567" spans="2:76" ht="18" customHeight="1">
      <c r="B567" s="844">
        <f t="shared" si="88"/>
        <v>567</v>
      </c>
      <c r="C567" s="845" t="s">
        <v>136</v>
      </c>
      <c r="D567" s="928">
        <v>0</v>
      </c>
      <c r="E567" s="933">
        <v>0</v>
      </c>
      <c r="F567" s="930">
        <f t="shared" ref="F567:F577" si="95">E568</f>
        <v>0</v>
      </c>
      <c r="G567" s="931">
        <v>0</v>
      </c>
      <c r="H567" s="932">
        <v>0</v>
      </c>
      <c r="I567" s="933">
        <v>0</v>
      </c>
      <c r="J567" s="930">
        <f t="shared" ref="J567:J577" si="96">I568</f>
        <v>0</v>
      </c>
      <c r="K567" s="934">
        <v>0</v>
      </c>
      <c r="AD567" s="806"/>
      <c r="AE567" s="806"/>
      <c r="AF567" s="806"/>
      <c r="BN567" s="811"/>
      <c r="BP567" s="813"/>
      <c r="BR567" s="814"/>
      <c r="BS567" s="811"/>
      <c r="BT567" s="811"/>
      <c r="BU567" s="812"/>
      <c r="BV567" s="811"/>
      <c r="BX567" s="811"/>
    </row>
    <row r="568" spans="2:76" ht="18" customHeight="1">
      <c r="B568" s="846">
        <f t="shared" si="88"/>
        <v>568</v>
      </c>
      <c r="C568" s="843" t="s">
        <v>136</v>
      </c>
      <c r="D568" s="935"/>
      <c r="E568" s="940"/>
      <c r="F568" s="937">
        <f t="shared" si="95"/>
        <v>0</v>
      </c>
      <c r="G568" s="961"/>
      <c r="H568" s="939"/>
      <c r="I568" s="940"/>
      <c r="J568" s="937">
        <f t="shared" si="96"/>
        <v>0</v>
      </c>
      <c r="K568" s="941"/>
      <c r="AD568" s="806"/>
      <c r="AE568" s="806"/>
      <c r="AF568" s="806"/>
      <c r="BN568" s="811"/>
      <c r="BP568" s="813"/>
      <c r="BR568" s="814"/>
      <c r="BS568" s="811"/>
      <c r="BT568" s="811"/>
      <c r="BU568" s="812"/>
      <c r="BV568" s="811"/>
      <c r="BX568" s="811"/>
    </row>
    <row r="569" spans="2:76" ht="18" customHeight="1">
      <c r="B569" s="846">
        <f t="shared" si="88"/>
        <v>569</v>
      </c>
      <c r="C569" s="843" t="s">
        <v>136</v>
      </c>
      <c r="D569" s="935"/>
      <c r="E569" s="940"/>
      <c r="F569" s="937">
        <f t="shared" si="95"/>
        <v>0</v>
      </c>
      <c r="G569" s="961"/>
      <c r="H569" s="939"/>
      <c r="I569" s="940"/>
      <c r="J569" s="937">
        <f t="shared" si="96"/>
        <v>0</v>
      </c>
      <c r="K569" s="941"/>
      <c r="AD569" s="806"/>
      <c r="AE569" s="806"/>
      <c r="AF569" s="806"/>
      <c r="BN569" s="811"/>
      <c r="BP569" s="813"/>
      <c r="BR569" s="814"/>
      <c r="BS569" s="811"/>
      <c r="BT569" s="811"/>
      <c r="BU569" s="812"/>
      <c r="BV569" s="811"/>
      <c r="BX569" s="811"/>
    </row>
    <row r="570" spans="2:76" ht="18" customHeight="1">
      <c r="B570" s="846">
        <f t="shared" si="88"/>
        <v>570</v>
      </c>
      <c r="C570" s="843" t="s">
        <v>136</v>
      </c>
      <c r="D570" s="935"/>
      <c r="E570" s="940"/>
      <c r="F570" s="937">
        <f t="shared" si="95"/>
        <v>0</v>
      </c>
      <c r="G570" s="961"/>
      <c r="H570" s="939"/>
      <c r="I570" s="940"/>
      <c r="J570" s="937">
        <f t="shared" si="96"/>
        <v>0</v>
      </c>
      <c r="K570" s="941"/>
      <c r="AD570" s="806"/>
      <c r="AE570" s="806"/>
      <c r="AF570" s="806"/>
      <c r="BN570" s="811"/>
      <c r="BP570" s="813"/>
      <c r="BR570" s="814"/>
      <c r="BS570" s="811"/>
      <c r="BT570" s="811"/>
      <c r="BU570" s="812"/>
      <c r="BV570" s="811"/>
      <c r="BX570" s="811"/>
    </row>
    <row r="571" spans="2:76" ht="18" customHeight="1">
      <c r="B571" s="846">
        <f t="shared" si="88"/>
        <v>571</v>
      </c>
      <c r="C571" s="843" t="s">
        <v>136</v>
      </c>
      <c r="D571" s="935"/>
      <c r="E571" s="940"/>
      <c r="F571" s="937">
        <f t="shared" si="95"/>
        <v>0</v>
      </c>
      <c r="G571" s="961"/>
      <c r="H571" s="939"/>
      <c r="I571" s="940"/>
      <c r="J571" s="937">
        <f t="shared" si="96"/>
        <v>0</v>
      </c>
      <c r="K571" s="941"/>
      <c r="AD571" s="806"/>
      <c r="AE571" s="806"/>
      <c r="AF571" s="806"/>
      <c r="BN571" s="811"/>
      <c r="BP571" s="813"/>
      <c r="BR571" s="814"/>
      <c r="BS571" s="811"/>
      <c r="BT571" s="811"/>
      <c r="BU571" s="812"/>
      <c r="BV571" s="811"/>
      <c r="BX571" s="811"/>
    </row>
    <row r="572" spans="2:76" ht="18" customHeight="1">
      <c r="B572" s="846">
        <f t="shared" si="88"/>
        <v>572</v>
      </c>
      <c r="C572" s="843" t="s">
        <v>136</v>
      </c>
      <c r="D572" s="935"/>
      <c r="E572" s="940"/>
      <c r="F572" s="937">
        <f t="shared" si="95"/>
        <v>0</v>
      </c>
      <c r="G572" s="961"/>
      <c r="H572" s="939"/>
      <c r="I572" s="940"/>
      <c r="J572" s="937">
        <f t="shared" si="96"/>
        <v>0</v>
      </c>
      <c r="K572" s="941"/>
      <c r="AD572" s="806"/>
      <c r="AE572" s="806"/>
      <c r="AF572" s="806"/>
      <c r="BN572" s="811"/>
      <c r="BP572" s="813"/>
      <c r="BR572" s="814"/>
      <c r="BS572" s="811"/>
      <c r="BT572" s="811"/>
      <c r="BU572" s="812"/>
      <c r="BV572" s="811"/>
      <c r="BX572" s="811"/>
    </row>
    <row r="573" spans="2:76" ht="18" customHeight="1">
      <c r="B573" s="846">
        <f t="shared" si="88"/>
        <v>573</v>
      </c>
      <c r="C573" s="843" t="s">
        <v>136</v>
      </c>
      <c r="D573" s="935"/>
      <c r="E573" s="940"/>
      <c r="F573" s="937">
        <f t="shared" si="95"/>
        <v>0</v>
      </c>
      <c r="G573" s="961"/>
      <c r="H573" s="939"/>
      <c r="I573" s="940"/>
      <c r="J573" s="937">
        <f t="shared" si="96"/>
        <v>0</v>
      </c>
      <c r="K573" s="941"/>
      <c r="AD573" s="806"/>
      <c r="AE573" s="806"/>
      <c r="AF573" s="806"/>
      <c r="BN573" s="811"/>
      <c r="BP573" s="813"/>
      <c r="BR573" s="814"/>
      <c r="BS573" s="811"/>
      <c r="BT573" s="811"/>
      <c r="BU573" s="812"/>
      <c r="BV573" s="811"/>
      <c r="BX573" s="811"/>
    </row>
    <row r="574" spans="2:76" ht="18" customHeight="1">
      <c r="B574" s="846">
        <f t="shared" si="88"/>
        <v>574</v>
      </c>
      <c r="C574" s="843" t="s">
        <v>136</v>
      </c>
      <c r="D574" s="935"/>
      <c r="E574" s="940"/>
      <c r="F574" s="937">
        <f t="shared" si="95"/>
        <v>0</v>
      </c>
      <c r="G574" s="961"/>
      <c r="H574" s="939"/>
      <c r="I574" s="940"/>
      <c r="J574" s="937">
        <f t="shared" si="96"/>
        <v>0</v>
      </c>
      <c r="K574" s="941"/>
      <c r="AD574" s="806"/>
      <c r="AE574" s="806"/>
      <c r="AF574" s="806"/>
      <c r="BN574" s="811"/>
      <c r="BP574" s="813"/>
      <c r="BR574" s="814"/>
      <c r="BS574" s="811"/>
      <c r="BT574" s="811"/>
      <c r="BU574" s="812"/>
      <c r="BV574" s="811"/>
      <c r="BX574" s="811"/>
    </row>
    <row r="575" spans="2:76" ht="18" customHeight="1">
      <c r="B575" s="846">
        <f t="shared" si="88"/>
        <v>575</v>
      </c>
      <c r="C575" s="843" t="s">
        <v>136</v>
      </c>
      <c r="D575" s="935"/>
      <c r="E575" s="940"/>
      <c r="F575" s="937">
        <f t="shared" si="95"/>
        <v>0</v>
      </c>
      <c r="G575" s="961"/>
      <c r="H575" s="939"/>
      <c r="I575" s="940"/>
      <c r="J575" s="937">
        <f t="shared" si="96"/>
        <v>0</v>
      </c>
      <c r="K575" s="941"/>
      <c r="AD575" s="806"/>
      <c r="AE575" s="806"/>
      <c r="AF575" s="806"/>
      <c r="BN575" s="811"/>
      <c r="BP575" s="813"/>
      <c r="BR575" s="814"/>
      <c r="BS575" s="811"/>
      <c r="BT575" s="811"/>
      <c r="BU575" s="812"/>
      <c r="BV575" s="811"/>
      <c r="BX575" s="811"/>
    </row>
    <row r="576" spans="2:76" ht="18" customHeight="1">
      <c r="B576" s="846">
        <f t="shared" si="88"/>
        <v>576</v>
      </c>
      <c r="C576" s="843" t="s">
        <v>136</v>
      </c>
      <c r="D576" s="935"/>
      <c r="E576" s="940"/>
      <c r="F576" s="937">
        <f t="shared" si="95"/>
        <v>0</v>
      </c>
      <c r="G576" s="961"/>
      <c r="H576" s="939"/>
      <c r="I576" s="940"/>
      <c r="J576" s="937">
        <f t="shared" si="96"/>
        <v>0</v>
      </c>
      <c r="K576" s="941"/>
      <c r="AD576" s="806"/>
      <c r="AE576" s="806"/>
      <c r="AF576" s="806"/>
      <c r="BN576" s="811"/>
      <c r="BP576" s="813"/>
      <c r="BR576" s="814"/>
      <c r="BS576" s="811"/>
      <c r="BT576" s="811"/>
      <c r="BU576" s="812"/>
      <c r="BV576" s="811"/>
      <c r="BX576" s="811"/>
    </row>
    <row r="577" spans="2:76" ht="18" customHeight="1">
      <c r="B577" s="846">
        <f t="shared" si="88"/>
        <v>577</v>
      </c>
      <c r="C577" s="843" t="s">
        <v>136</v>
      </c>
      <c r="D577" s="935"/>
      <c r="E577" s="940"/>
      <c r="F577" s="937">
        <f t="shared" si="95"/>
        <v>0</v>
      </c>
      <c r="G577" s="961"/>
      <c r="H577" s="939"/>
      <c r="I577" s="940"/>
      <c r="J577" s="937">
        <f t="shared" si="96"/>
        <v>0</v>
      </c>
      <c r="K577" s="941"/>
      <c r="AD577" s="806"/>
      <c r="AE577" s="806"/>
      <c r="AF577" s="806"/>
      <c r="BN577" s="811"/>
      <c r="BP577" s="813"/>
      <c r="BR577" s="814"/>
      <c r="BS577" s="811"/>
      <c r="BT577" s="811"/>
      <c r="BU577" s="812"/>
      <c r="BV577" s="811"/>
      <c r="BX577" s="811"/>
    </row>
    <row r="578" spans="2:76" ht="18" customHeight="1">
      <c r="B578" s="847">
        <f t="shared" si="88"/>
        <v>578</v>
      </c>
      <c r="C578" s="848" t="s">
        <v>136</v>
      </c>
      <c r="D578" s="944"/>
      <c r="E578" s="957"/>
      <c r="F578" s="946"/>
      <c r="G578" s="963"/>
      <c r="H578" s="948"/>
      <c r="I578" s="957"/>
      <c r="J578" s="946"/>
      <c r="K578" s="958"/>
      <c r="AD578" s="806"/>
      <c r="AE578" s="806"/>
      <c r="AF578" s="806"/>
      <c r="BN578" s="811"/>
      <c r="BP578" s="813"/>
      <c r="BR578" s="814"/>
      <c r="BS578" s="811"/>
      <c r="BT578" s="811"/>
      <c r="BU578" s="812"/>
      <c r="BV578" s="811"/>
      <c r="BX578" s="811"/>
    </row>
    <row r="579" spans="2:76" s="451" customFormat="1" ht="18" customHeight="1">
      <c r="B579" s="849">
        <f t="shared" si="88"/>
        <v>579</v>
      </c>
      <c r="C579" s="849"/>
      <c r="D579" s="292"/>
      <c r="E579" s="777"/>
      <c r="F579" s="849"/>
      <c r="G579" s="849"/>
      <c r="H579" s="449"/>
      <c r="I579" s="777"/>
      <c r="J579" s="849"/>
      <c r="K579" s="448"/>
      <c r="AD579" s="849"/>
      <c r="AE579" s="849"/>
      <c r="AF579" s="849"/>
      <c r="BN579" s="851"/>
      <c r="BP579" s="851"/>
      <c r="BR579" s="852"/>
      <c r="BS579" s="851"/>
      <c r="BT579" s="851"/>
      <c r="BU579" s="850"/>
      <c r="BV579" s="851"/>
      <c r="BX579" s="851"/>
    </row>
    <row r="580" spans="2:76" ht="18" customHeight="1">
      <c r="B580" s="844">
        <f t="shared" si="88"/>
        <v>580</v>
      </c>
      <c r="C580" s="845" t="s">
        <v>137</v>
      </c>
      <c r="D580" s="928">
        <v>4.9500000000000002E-2</v>
      </c>
      <c r="E580" s="933">
        <v>0</v>
      </c>
      <c r="F580" s="930">
        <f t="shared" ref="F580:F590" si="97">E581</f>
        <v>0</v>
      </c>
      <c r="G580" s="931">
        <v>0</v>
      </c>
      <c r="H580" s="932">
        <v>4.9500000000000002E-2</v>
      </c>
      <c r="I580" s="933">
        <v>0</v>
      </c>
      <c r="J580" s="930">
        <f t="shared" ref="J580:J590" si="98">I581</f>
        <v>0</v>
      </c>
      <c r="K580" s="934">
        <v>0</v>
      </c>
      <c r="AD580" s="822"/>
      <c r="AE580" s="822"/>
      <c r="AF580" s="806"/>
      <c r="BN580" s="811"/>
      <c r="BP580" s="813"/>
      <c r="BR580" s="814"/>
      <c r="BS580" s="811"/>
      <c r="BT580" s="811"/>
      <c r="BU580" s="812"/>
      <c r="BV580" s="811"/>
      <c r="BX580" s="811"/>
    </row>
    <row r="581" spans="2:76" ht="18" customHeight="1">
      <c r="B581" s="846">
        <f t="shared" si="88"/>
        <v>581</v>
      </c>
      <c r="C581" s="843" t="s">
        <v>137</v>
      </c>
      <c r="D581" s="935"/>
      <c r="E581" s="940"/>
      <c r="F581" s="937">
        <f t="shared" si="97"/>
        <v>0</v>
      </c>
      <c r="G581" s="961"/>
      <c r="H581" s="939"/>
      <c r="I581" s="940"/>
      <c r="J581" s="937">
        <f t="shared" si="98"/>
        <v>0</v>
      </c>
      <c r="K581" s="941"/>
      <c r="AD581" s="822"/>
      <c r="AE581" s="822"/>
      <c r="AF581" s="806"/>
      <c r="BN581" s="811"/>
      <c r="BP581" s="813"/>
      <c r="BR581" s="814"/>
      <c r="BS581" s="811"/>
      <c r="BT581" s="811"/>
      <c r="BU581" s="812"/>
      <c r="BV581" s="811"/>
      <c r="BX581" s="811"/>
    </row>
    <row r="582" spans="2:76" ht="18" customHeight="1">
      <c r="B582" s="846">
        <f t="shared" si="88"/>
        <v>582</v>
      </c>
      <c r="C582" s="843" t="s">
        <v>137</v>
      </c>
      <c r="D582" s="935"/>
      <c r="E582" s="940"/>
      <c r="F582" s="937">
        <f t="shared" si="97"/>
        <v>0</v>
      </c>
      <c r="G582" s="961"/>
      <c r="H582" s="939"/>
      <c r="I582" s="940"/>
      <c r="J582" s="937">
        <f t="shared" si="98"/>
        <v>0</v>
      </c>
      <c r="K582" s="941"/>
      <c r="AD582" s="822"/>
      <c r="AE582" s="822"/>
      <c r="AF582" s="806"/>
      <c r="BN582" s="811"/>
      <c r="BP582" s="813"/>
      <c r="BR582" s="814"/>
      <c r="BS582" s="811"/>
      <c r="BT582" s="811"/>
      <c r="BU582" s="812"/>
      <c r="BV582" s="811"/>
      <c r="BX582" s="811"/>
    </row>
    <row r="583" spans="2:76" ht="18" customHeight="1">
      <c r="B583" s="846">
        <f t="shared" si="88"/>
        <v>583</v>
      </c>
      <c r="C583" s="843" t="s">
        <v>137</v>
      </c>
      <c r="D583" s="935"/>
      <c r="E583" s="940"/>
      <c r="F583" s="937">
        <f t="shared" si="97"/>
        <v>0</v>
      </c>
      <c r="G583" s="961"/>
      <c r="H583" s="939"/>
      <c r="I583" s="940"/>
      <c r="J583" s="937">
        <f t="shared" si="98"/>
        <v>0</v>
      </c>
      <c r="K583" s="941"/>
      <c r="AD583" s="822"/>
      <c r="AE583" s="822"/>
      <c r="AF583" s="806"/>
      <c r="BN583" s="811"/>
      <c r="BP583" s="813"/>
      <c r="BR583" s="814"/>
      <c r="BS583" s="811"/>
      <c r="BT583" s="811"/>
      <c r="BU583" s="812"/>
      <c r="BV583" s="811"/>
      <c r="BX583" s="811"/>
    </row>
    <row r="584" spans="2:76" ht="18" customHeight="1">
      <c r="B584" s="846">
        <f t="shared" si="88"/>
        <v>584</v>
      </c>
      <c r="C584" s="843" t="s">
        <v>137</v>
      </c>
      <c r="D584" s="935"/>
      <c r="E584" s="940"/>
      <c r="F584" s="937">
        <f t="shared" si="97"/>
        <v>0</v>
      </c>
      <c r="G584" s="961"/>
      <c r="H584" s="939"/>
      <c r="I584" s="940"/>
      <c r="J584" s="937">
        <f t="shared" si="98"/>
        <v>0</v>
      </c>
      <c r="K584" s="941"/>
      <c r="AD584" s="822"/>
      <c r="AE584" s="822"/>
      <c r="AF584" s="806"/>
      <c r="BN584" s="811"/>
      <c r="BP584" s="813"/>
      <c r="BR584" s="814"/>
      <c r="BS584" s="811"/>
      <c r="BT584" s="811"/>
      <c r="BU584" s="812"/>
      <c r="BV584" s="811"/>
      <c r="BX584" s="811"/>
    </row>
    <row r="585" spans="2:76" ht="18" customHeight="1">
      <c r="B585" s="846">
        <f t="shared" si="88"/>
        <v>585</v>
      </c>
      <c r="C585" s="843" t="s">
        <v>137</v>
      </c>
      <c r="D585" s="935"/>
      <c r="E585" s="940"/>
      <c r="F585" s="937">
        <f t="shared" si="97"/>
        <v>0</v>
      </c>
      <c r="G585" s="961"/>
      <c r="H585" s="939"/>
      <c r="I585" s="940"/>
      <c r="J585" s="937">
        <f t="shared" si="98"/>
        <v>0</v>
      </c>
      <c r="K585" s="941"/>
      <c r="AD585" s="822"/>
      <c r="AE585" s="822"/>
      <c r="AF585" s="806"/>
      <c r="BN585" s="811"/>
      <c r="BP585" s="813"/>
      <c r="BR585" s="814"/>
      <c r="BS585" s="811"/>
      <c r="BT585" s="811"/>
      <c r="BU585" s="812"/>
      <c r="BV585" s="811"/>
      <c r="BX585" s="811"/>
    </row>
    <row r="586" spans="2:76" ht="18" customHeight="1">
      <c r="B586" s="846">
        <f t="shared" ref="B586:B649" si="99">B585+1</f>
        <v>586</v>
      </c>
      <c r="C586" s="843" t="s">
        <v>137</v>
      </c>
      <c r="D586" s="935"/>
      <c r="E586" s="940"/>
      <c r="F586" s="937">
        <f t="shared" si="97"/>
        <v>0</v>
      </c>
      <c r="G586" s="961"/>
      <c r="H586" s="939"/>
      <c r="I586" s="940"/>
      <c r="J586" s="937">
        <f t="shared" si="98"/>
        <v>0</v>
      </c>
      <c r="K586" s="941"/>
      <c r="AD586" s="822"/>
      <c r="AE586" s="822"/>
      <c r="AF586" s="806"/>
      <c r="BN586" s="811"/>
      <c r="BP586" s="813"/>
      <c r="BR586" s="814"/>
      <c r="BS586" s="811"/>
      <c r="BT586" s="811"/>
      <c r="BU586" s="812"/>
      <c r="BV586" s="811"/>
      <c r="BX586" s="811"/>
    </row>
    <row r="587" spans="2:76" ht="18" customHeight="1">
      <c r="B587" s="846">
        <f t="shared" si="99"/>
        <v>587</v>
      </c>
      <c r="C587" s="843" t="s">
        <v>137</v>
      </c>
      <c r="D587" s="935"/>
      <c r="E587" s="940"/>
      <c r="F587" s="937">
        <f t="shared" si="97"/>
        <v>0</v>
      </c>
      <c r="G587" s="961"/>
      <c r="H587" s="939"/>
      <c r="I587" s="940"/>
      <c r="J587" s="937">
        <f t="shared" si="98"/>
        <v>0</v>
      </c>
      <c r="K587" s="941"/>
      <c r="AD587" s="822"/>
      <c r="AE587" s="822"/>
      <c r="AF587" s="806"/>
      <c r="BN587" s="811"/>
      <c r="BP587" s="813"/>
      <c r="BR587" s="814"/>
      <c r="BS587" s="811"/>
      <c r="BT587" s="811"/>
      <c r="BU587" s="812"/>
      <c r="BV587" s="811"/>
      <c r="BX587" s="811"/>
    </row>
    <row r="588" spans="2:76" ht="18" customHeight="1">
      <c r="B588" s="846">
        <f t="shared" si="99"/>
        <v>588</v>
      </c>
      <c r="C588" s="843" t="s">
        <v>137</v>
      </c>
      <c r="D588" s="935"/>
      <c r="E588" s="940"/>
      <c r="F588" s="937">
        <f t="shared" si="97"/>
        <v>0</v>
      </c>
      <c r="G588" s="961"/>
      <c r="H588" s="939"/>
      <c r="I588" s="940"/>
      <c r="J588" s="937">
        <f t="shared" si="98"/>
        <v>0</v>
      </c>
      <c r="K588" s="941"/>
      <c r="AD588" s="822"/>
      <c r="AE588" s="822"/>
      <c r="AF588" s="806"/>
      <c r="BN588" s="811"/>
      <c r="BP588" s="813"/>
      <c r="BR588" s="814"/>
      <c r="BS588" s="811"/>
      <c r="BT588" s="811"/>
      <c r="BU588" s="812"/>
      <c r="BV588" s="811"/>
      <c r="BX588" s="811"/>
    </row>
    <row r="589" spans="2:76" ht="18" customHeight="1">
      <c r="B589" s="846">
        <f t="shared" si="99"/>
        <v>589</v>
      </c>
      <c r="C589" s="843" t="s">
        <v>137</v>
      </c>
      <c r="D589" s="935"/>
      <c r="E589" s="940"/>
      <c r="F589" s="937">
        <f t="shared" si="97"/>
        <v>0</v>
      </c>
      <c r="G589" s="961"/>
      <c r="H589" s="939"/>
      <c r="I589" s="940"/>
      <c r="J589" s="937">
        <f t="shared" si="98"/>
        <v>0</v>
      </c>
      <c r="K589" s="941"/>
      <c r="AD589" s="822"/>
      <c r="AE589" s="822"/>
      <c r="AF589" s="806"/>
      <c r="BN589" s="811"/>
      <c r="BP589" s="813"/>
      <c r="BR589" s="814"/>
      <c r="BS589" s="811"/>
      <c r="BT589" s="811"/>
      <c r="BU589" s="812"/>
      <c r="BV589" s="811"/>
      <c r="BX589" s="811"/>
    </row>
    <row r="590" spans="2:76" ht="18" customHeight="1">
      <c r="B590" s="846">
        <f t="shared" si="99"/>
        <v>590</v>
      </c>
      <c r="C590" s="843" t="s">
        <v>137</v>
      </c>
      <c r="D590" s="935"/>
      <c r="E590" s="940"/>
      <c r="F590" s="937">
        <f t="shared" si="97"/>
        <v>0</v>
      </c>
      <c r="G590" s="961"/>
      <c r="H590" s="939"/>
      <c r="I590" s="940"/>
      <c r="J590" s="937">
        <f t="shared" si="98"/>
        <v>0</v>
      </c>
      <c r="K590" s="941"/>
      <c r="AD590" s="822"/>
      <c r="AE590" s="822"/>
      <c r="AF590" s="806"/>
      <c r="BN590" s="811"/>
      <c r="BP590" s="813"/>
      <c r="BR590" s="814"/>
      <c r="BS590" s="811"/>
      <c r="BT590" s="811"/>
      <c r="BU590" s="812"/>
      <c r="BV590" s="811"/>
      <c r="BX590" s="811"/>
    </row>
    <row r="591" spans="2:76" ht="18" customHeight="1">
      <c r="B591" s="847">
        <f t="shared" si="99"/>
        <v>591</v>
      </c>
      <c r="C591" s="848" t="s">
        <v>137</v>
      </c>
      <c r="D591" s="944"/>
      <c r="E591" s="957"/>
      <c r="F591" s="946"/>
      <c r="G591" s="963"/>
      <c r="H591" s="948"/>
      <c r="I591" s="957"/>
      <c r="J591" s="946"/>
      <c r="K591" s="958"/>
      <c r="AD591" s="822"/>
      <c r="AE591" s="822"/>
      <c r="AF591" s="806"/>
      <c r="BN591" s="811"/>
      <c r="BP591" s="813"/>
      <c r="BR591" s="814"/>
      <c r="BS591" s="811"/>
      <c r="BT591" s="811"/>
      <c r="BU591" s="812"/>
      <c r="BV591" s="811"/>
      <c r="BX591" s="811"/>
    </row>
    <row r="592" spans="2:76" s="451" customFormat="1" ht="18" customHeight="1">
      <c r="B592" s="849">
        <f t="shared" si="99"/>
        <v>592</v>
      </c>
      <c r="C592" s="849"/>
      <c r="D592" s="292"/>
      <c r="E592" s="777"/>
      <c r="F592" s="849"/>
      <c r="G592" s="849"/>
      <c r="H592" s="449"/>
      <c r="I592" s="777"/>
      <c r="J592" s="849"/>
      <c r="K592" s="448"/>
      <c r="AD592" s="849"/>
      <c r="AE592" s="849"/>
      <c r="AF592" s="849"/>
      <c r="BN592" s="851"/>
      <c r="BP592" s="851"/>
      <c r="BR592" s="852"/>
      <c r="BS592" s="851"/>
      <c r="BT592" s="851"/>
      <c r="BU592" s="850"/>
      <c r="BV592" s="851"/>
      <c r="BX592" s="851"/>
    </row>
    <row r="593" spans="2:68" ht="18" customHeight="1">
      <c r="B593" s="844">
        <f t="shared" si="99"/>
        <v>593</v>
      </c>
      <c r="C593" s="845" t="s">
        <v>138</v>
      </c>
      <c r="D593" s="928">
        <v>3.3500000000000002E-2</v>
      </c>
      <c r="E593" s="933">
        <v>0</v>
      </c>
      <c r="F593" s="930">
        <f t="shared" ref="F593:F603" si="100">E594</f>
        <v>40350</v>
      </c>
      <c r="G593" s="931">
        <v>6100</v>
      </c>
      <c r="H593" s="932">
        <v>3.3500000000000002E-2</v>
      </c>
      <c r="I593" s="933">
        <v>0</v>
      </c>
      <c r="J593" s="930">
        <f t="shared" ref="J593:J603" si="101">I594</f>
        <v>67450</v>
      </c>
      <c r="K593" s="934">
        <v>12200</v>
      </c>
      <c r="AD593" s="806"/>
      <c r="AE593" s="806"/>
      <c r="AF593" s="806"/>
      <c r="BP593" s="1"/>
    </row>
    <row r="594" spans="2:68" ht="18" customHeight="1">
      <c r="B594" s="846">
        <f t="shared" si="99"/>
        <v>594</v>
      </c>
      <c r="C594" s="843" t="s">
        <v>138</v>
      </c>
      <c r="D594" s="935">
        <v>6.6000000000000003E-2</v>
      </c>
      <c r="E594" s="940">
        <v>40350</v>
      </c>
      <c r="F594" s="937">
        <f t="shared" si="100"/>
        <v>97800</v>
      </c>
      <c r="G594" s="938"/>
      <c r="H594" s="939">
        <v>6.6000000000000003E-2</v>
      </c>
      <c r="I594" s="940">
        <v>67450</v>
      </c>
      <c r="J594" s="937">
        <f t="shared" si="101"/>
        <v>163000</v>
      </c>
      <c r="K594" s="943"/>
      <c r="AD594" s="806"/>
      <c r="AE594" s="806"/>
      <c r="AF594" s="806"/>
      <c r="BP594" s="1"/>
    </row>
    <row r="595" spans="2:68" ht="18" customHeight="1">
      <c r="B595" s="846">
        <f t="shared" si="99"/>
        <v>595</v>
      </c>
      <c r="C595" s="843" t="s">
        <v>138</v>
      </c>
      <c r="D595" s="935">
        <v>7.5999999999999998E-2</v>
      </c>
      <c r="E595" s="940">
        <v>97800</v>
      </c>
      <c r="F595" s="937">
        <f t="shared" si="100"/>
        <v>204000</v>
      </c>
      <c r="G595" s="938"/>
      <c r="H595" s="939">
        <v>7.5999999999999998E-2</v>
      </c>
      <c r="I595" s="940">
        <v>163000</v>
      </c>
      <c r="J595" s="937">
        <f t="shared" si="101"/>
        <v>248350</v>
      </c>
      <c r="K595" s="943"/>
      <c r="AD595" s="806"/>
      <c r="AE595" s="806"/>
      <c r="AF595" s="806"/>
      <c r="BP595" s="1"/>
    </row>
    <row r="596" spans="2:68" ht="18" customHeight="1">
      <c r="B596" s="846">
        <f t="shared" si="99"/>
        <v>596</v>
      </c>
      <c r="C596" s="843" t="s">
        <v>138</v>
      </c>
      <c r="D596" s="935">
        <v>8.7499999999999994E-2</v>
      </c>
      <c r="E596" s="940">
        <v>204000</v>
      </c>
      <c r="F596" s="937">
        <f t="shared" si="100"/>
        <v>0</v>
      </c>
      <c r="G596" s="938"/>
      <c r="H596" s="939">
        <v>8.7499999999999994E-2</v>
      </c>
      <c r="I596" s="940">
        <v>248350</v>
      </c>
      <c r="J596" s="937">
        <f t="shared" si="101"/>
        <v>0</v>
      </c>
      <c r="K596" s="943"/>
      <c r="AD596" s="806"/>
      <c r="AE596" s="806"/>
      <c r="AF596" s="806"/>
      <c r="BP596" s="1"/>
    </row>
    <row r="597" spans="2:68" ht="18" customHeight="1">
      <c r="B597" s="846">
        <f t="shared" si="99"/>
        <v>597</v>
      </c>
      <c r="C597" s="843" t="s">
        <v>138</v>
      </c>
      <c r="D597" s="935"/>
      <c r="E597" s="940"/>
      <c r="F597" s="937">
        <f t="shared" si="100"/>
        <v>0</v>
      </c>
      <c r="G597" s="938"/>
      <c r="H597" s="939"/>
      <c r="I597" s="940"/>
      <c r="J597" s="937">
        <f t="shared" si="101"/>
        <v>0</v>
      </c>
      <c r="K597" s="943"/>
      <c r="AD597" s="806"/>
      <c r="AE597" s="806"/>
      <c r="AF597" s="806"/>
      <c r="BP597" s="1"/>
    </row>
    <row r="598" spans="2:68" ht="18" customHeight="1">
      <c r="B598" s="846">
        <f t="shared" si="99"/>
        <v>598</v>
      </c>
      <c r="C598" s="843" t="s">
        <v>138</v>
      </c>
      <c r="D598" s="935"/>
      <c r="E598" s="940"/>
      <c r="F598" s="937">
        <f t="shared" si="100"/>
        <v>0</v>
      </c>
      <c r="G598" s="938"/>
      <c r="H598" s="939"/>
      <c r="I598" s="940"/>
      <c r="J598" s="937">
        <f t="shared" si="101"/>
        <v>0</v>
      </c>
      <c r="K598" s="943"/>
      <c r="AD598" s="806"/>
      <c r="AE598" s="806"/>
      <c r="AF598" s="806"/>
      <c r="BP598" s="1"/>
    </row>
    <row r="599" spans="2:68" ht="18" customHeight="1">
      <c r="B599" s="846">
        <f t="shared" si="99"/>
        <v>599</v>
      </c>
      <c r="C599" s="843" t="s">
        <v>138</v>
      </c>
      <c r="D599" s="935"/>
      <c r="E599" s="940"/>
      <c r="F599" s="937">
        <f t="shared" si="100"/>
        <v>0</v>
      </c>
      <c r="G599" s="938"/>
      <c r="H599" s="939"/>
      <c r="I599" s="940"/>
      <c r="J599" s="937">
        <f t="shared" si="101"/>
        <v>0</v>
      </c>
      <c r="K599" s="943"/>
      <c r="AD599" s="806"/>
      <c r="AE599" s="806"/>
      <c r="AF599" s="806"/>
      <c r="BP599" s="1"/>
    </row>
    <row r="600" spans="2:68" ht="18" customHeight="1">
      <c r="B600" s="846">
        <f t="shared" si="99"/>
        <v>600</v>
      </c>
      <c r="C600" s="843" t="s">
        <v>138</v>
      </c>
      <c r="D600" s="935"/>
      <c r="E600" s="940"/>
      <c r="F600" s="937">
        <f t="shared" si="100"/>
        <v>0</v>
      </c>
      <c r="G600" s="938"/>
      <c r="H600" s="939"/>
      <c r="I600" s="940"/>
      <c r="J600" s="937">
        <f t="shared" si="101"/>
        <v>0</v>
      </c>
      <c r="K600" s="943"/>
      <c r="AD600" s="806"/>
      <c r="AE600" s="806"/>
      <c r="AF600" s="806"/>
      <c r="BP600" s="1"/>
    </row>
    <row r="601" spans="2:68" ht="18" customHeight="1">
      <c r="B601" s="846">
        <f t="shared" si="99"/>
        <v>601</v>
      </c>
      <c r="C601" s="843" t="s">
        <v>138</v>
      </c>
      <c r="D601" s="935"/>
      <c r="E601" s="940"/>
      <c r="F601" s="937">
        <f t="shared" si="100"/>
        <v>0</v>
      </c>
      <c r="G601" s="938"/>
      <c r="H601" s="939"/>
      <c r="I601" s="940"/>
      <c r="J601" s="937">
        <f t="shared" si="101"/>
        <v>0</v>
      </c>
      <c r="K601" s="943"/>
      <c r="AD601" s="806"/>
      <c r="AE601" s="806"/>
      <c r="AF601" s="806"/>
      <c r="BP601" s="1"/>
    </row>
    <row r="602" spans="2:68" ht="18" customHeight="1">
      <c r="B602" s="846">
        <f t="shared" si="99"/>
        <v>602</v>
      </c>
      <c r="C602" s="843" t="s">
        <v>138</v>
      </c>
      <c r="D602" s="935"/>
      <c r="E602" s="940"/>
      <c r="F602" s="937">
        <f t="shared" si="100"/>
        <v>0</v>
      </c>
      <c r="G602" s="938"/>
      <c r="H602" s="939"/>
      <c r="I602" s="940"/>
      <c r="J602" s="937">
        <f t="shared" si="101"/>
        <v>0</v>
      </c>
      <c r="K602" s="943"/>
      <c r="AD602" s="806"/>
      <c r="AE602" s="806"/>
      <c r="AF602" s="806"/>
      <c r="BP602" s="1"/>
    </row>
    <row r="603" spans="2:68" ht="18" customHeight="1">
      <c r="B603" s="846">
        <f t="shared" si="99"/>
        <v>603</v>
      </c>
      <c r="C603" s="843" t="s">
        <v>138</v>
      </c>
      <c r="D603" s="935"/>
      <c r="E603" s="940"/>
      <c r="F603" s="937">
        <f t="shared" si="100"/>
        <v>0</v>
      </c>
      <c r="G603" s="938"/>
      <c r="H603" s="939"/>
      <c r="I603" s="940"/>
      <c r="J603" s="937">
        <f t="shared" si="101"/>
        <v>0</v>
      </c>
      <c r="K603" s="943"/>
      <c r="AD603" s="806"/>
      <c r="AE603" s="806"/>
      <c r="AF603" s="806"/>
      <c r="BP603" s="1"/>
    </row>
    <row r="604" spans="2:68" ht="18" customHeight="1">
      <c r="B604" s="847">
        <f t="shared" si="99"/>
        <v>604</v>
      </c>
      <c r="C604" s="848" t="s">
        <v>138</v>
      </c>
      <c r="D604" s="944"/>
      <c r="E604" s="957"/>
      <c r="F604" s="946"/>
      <c r="G604" s="947"/>
      <c r="H604" s="948"/>
      <c r="I604" s="957"/>
      <c r="J604" s="946"/>
      <c r="K604" s="950"/>
      <c r="AD604" s="806"/>
      <c r="AE604" s="806"/>
      <c r="AF604" s="806"/>
      <c r="BP604" s="1"/>
    </row>
    <row r="605" spans="2:68" s="451" customFormat="1" ht="18" customHeight="1">
      <c r="B605" s="849">
        <f t="shared" si="99"/>
        <v>605</v>
      </c>
      <c r="C605" s="849"/>
      <c r="D605" s="292"/>
      <c r="E605" s="777"/>
      <c r="F605" s="849"/>
      <c r="G605" s="849"/>
      <c r="H605" s="449"/>
      <c r="I605" s="777"/>
      <c r="J605" s="849"/>
      <c r="K605" s="448"/>
      <c r="AD605" s="849"/>
      <c r="AE605" s="849"/>
      <c r="AF605" s="849"/>
    </row>
    <row r="606" spans="2:68" ht="18" customHeight="1">
      <c r="B606" s="844">
        <f t="shared" si="99"/>
        <v>606</v>
      </c>
      <c r="C606" s="845" t="s">
        <v>139</v>
      </c>
      <c r="D606" s="928">
        <v>0.02</v>
      </c>
      <c r="E606" s="933">
        <v>0</v>
      </c>
      <c r="F606" s="930">
        <f t="shared" ref="F606:F616" si="102">E607</f>
        <v>3000</v>
      </c>
      <c r="G606" s="931">
        <v>4500</v>
      </c>
      <c r="H606" s="932">
        <v>0.02</v>
      </c>
      <c r="I606" s="933">
        <v>0</v>
      </c>
      <c r="J606" s="930">
        <f t="shared" ref="J606:J616" si="103">I607</f>
        <v>3000</v>
      </c>
      <c r="K606" s="934">
        <v>9000</v>
      </c>
      <c r="AD606" s="806"/>
      <c r="AE606" s="806"/>
      <c r="AF606" s="806"/>
      <c r="BP606" s="1"/>
    </row>
    <row r="607" spans="2:68" ht="18" customHeight="1">
      <c r="B607" s="846">
        <f t="shared" si="99"/>
        <v>607</v>
      </c>
      <c r="C607" s="843" t="s">
        <v>139</v>
      </c>
      <c r="D607" s="935">
        <v>0.03</v>
      </c>
      <c r="E607" s="940">
        <v>3000</v>
      </c>
      <c r="F607" s="937">
        <f t="shared" si="102"/>
        <v>5000</v>
      </c>
      <c r="G607" s="938"/>
      <c r="H607" s="939">
        <v>0.03</v>
      </c>
      <c r="I607" s="940">
        <v>3000</v>
      </c>
      <c r="J607" s="937">
        <f t="shared" si="103"/>
        <v>5000</v>
      </c>
      <c r="K607" s="943"/>
      <c r="AD607" s="806"/>
      <c r="AE607" s="806"/>
      <c r="AF607" s="806"/>
      <c r="BP607" s="1"/>
    </row>
    <row r="608" spans="2:68" ht="18" customHeight="1">
      <c r="B608" s="846">
        <f t="shared" si="99"/>
        <v>608</v>
      </c>
      <c r="C608" s="843" t="s">
        <v>139</v>
      </c>
      <c r="D608" s="935">
        <v>0.05</v>
      </c>
      <c r="E608" s="940">
        <v>5000</v>
      </c>
      <c r="F608" s="937">
        <f t="shared" si="102"/>
        <v>17000</v>
      </c>
      <c r="G608" s="938"/>
      <c r="H608" s="939">
        <v>0.05</v>
      </c>
      <c r="I608" s="940">
        <v>5000</v>
      </c>
      <c r="J608" s="937">
        <f t="shared" si="103"/>
        <v>17000</v>
      </c>
      <c r="K608" s="943"/>
      <c r="AD608" s="806"/>
      <c r="AE608" s="806"/>
      <c r="AF608" s="806"/>
      <c r="BP608" s="1"/>
    </row>
    <row r="609" spans="2:68" ht="18" customHeight="1">
      <c r="B609" s="846">
        <f t="shared" si="99"/>
        <v>609</v>
      </c>
      <c r="C609" s="843" t="s">
        <v>139</v>
      </c>
      <c r="D609" s="935">
        <v>5.7500000000000002E-2</v>
      </c>
      <c r="E609" s="940">
        <v>17000</v>
      </c>
      <c r="F609" s="937">
        <f t="shared" si="102"/>
        <v>0</v>
      </c>
      <c r="G609" s="938"/>
      <c r="H609" s="939">
        <v>5.7500000000000002E-2</v>
      </c>
      <c r="I609" s="940">
        <v>17000</v>
      </c>
      <c r="J609" s="937">
        <f t="shared" si="103"/>
        <v>0</v>
      </c>
      <c r="K609" s="943"/>
      <c r="AD609" s="806"/>
      <c r="AE609" s="806"/>
      <c r="AF609" s="806"/>
      <c r="BP609" s="1"/>
    </row>
    <row r="610" spans="2:68" ht="18" customHeight="1">
      <c r="B610" s="846">
        <f t="shared" si="99"/>
        <v>610</v>
      </c>
      <c r="C610" s="843" t="s">
        <v>139</v>
      </c>
      <c r="D610" s="935"/>
      <c r="E610" s="940"/>
      <c r="F610" s="937">
        <f t="shared" si="102"/>
        <v>0</v>
      </c>
      <c r="G610" s="938"/>
      <c r="H610" s="939"/>
      <c r="I610" s="940"/>
      <c r="J610" s="937">
        <f t="shared" si="103"/>
        <v>0</v>
      </c>
      <c r="K610" s="943"/>
      <c r="AD610" s="806"/>
      <c r="AE610" s="806"/>
      <c r="AF610" s="806"/>
      <c r="BP610" s="1"/>
    </row>
    <row r="611" spans="2:68" ht="18" customHeight="1">
      <c r="B611" s="846">
        <f t="shared" si="99"/>
        <v>611</v>
      </c>
      <c r="C611" s="843" t="s">
        <v>139</v>
      </c>
      <c r="D611" s="935"/>
      <c r="E611" s="940"/>
      <c r="F611" s="937">
        <f t="shared" si="102"/>
        <v>0</v>
      </c>
      <c r="G611" s="938"/>
      <c r="H611" s="939"/>
      <c r="I611" s="940"/>
      <c r="J611" s="937">
        <f t="shared" si="103"/>
        <v>0</v>
      </c>
      <c r="K611" s="943"/>
      <c r="AD611" s="806"/>
      <c r="AE611" s="806"/>
      <c r="AF611" s="806"/>
      <c r="BP611" s="1"/>
    </row>
    <row r="612" spans="2:68" ht="18" customHeight="1">
      <c r="B612" s="846">
        <f t="shared" si="99"/>
        <v>612</v>
      </c>
      <c r="C612" s="843" t="s">
        <v>139</v>
      </c>
      <c r="D612" s="935"/>
      <c r="E612" s="940"/>
      <c r="F612" s="937">
        <f t="shared" si="102"/>
        <v>0</v>
      </c>
      <c r="G612" s="938"/>
      <c r="H612" s="939"/>
      <c r="I612" s="940"/>
      <c r="J612" s="937">
        <f t="shared" si="103"/>
        <v>0</v>
      </c>
      <c r="K612" s="943"/>
      <c r="AD612" s="806"/>
      <c r="AE612" s="806"/>
      <c r="AF612" s="806"/>
      <c r="BP612" s="1"/>
    </row>
    <row r="613" spans="2:68" ht="18" customHeight="1">
      <c r="B613" s="846">
        <f t="shared" si="99"/>
        <v>613</v>
      </c>
      <c r="C613" s="843" t="s">
        <v>139</v>
      </c>
      <c r="D613" s="935"/>
      <c r="E613" s="940"/>
      <c r="F613" s="937">
        <f t="shared" si="102"/>
        <v>0</v>
      </c>
      <c r="G613" s="938"/>
      <c r="H613" s="939"/>
      <c r="I613" s="940"/>
      <c r="J613" s="937">
        <f t="shared" si="103"/>
        <v>0</v>
      </c>
      <c r="K613" s="943"/>
      <c r="AD613" s="806"/>
      <c r="AE613" s="806"/>
      <c r="AF613" s="806"/>
      <c r="BP613" s="1"/>
    </row>
    <row r="614" spans="2:68" ht="18" customHeight="1">
      <c r="B614" s="846">
        <f t="shared" si="99"/>
        <v>614</v>
      </c>
      <c r="C614" s="843" t="s">
        <v>139</v>
      </c>
      <c r="D614" s="935"/>
      <c r="E614" s="940"/>
      <c r="F614" s="937">
        <f t="shared" si="102"/>
        <v>0</v>
      </c>
      <c r="G614" s="938"/>
      <c r="H614" s="939"/>
      <c r="I614" s="940"/>
      <c r="J614" s="937">
        <f t="shared" si="103"/>
        <v>0</v>
      </c>
      <c r="K614" s="943"/>
      <c r="AD614" s="806"/>
      <c r="AE614" s="806"/>
      <c r="AF614" s="806"/>
      <c r="BP614" s="1"/>
    </row>
    <row r="615" spans="2:68" ht="18" customHeight="1">
      <c r="B615" s="846">
        <f t="shared" si="99"/>
        <v>615</v>
      </c>
      <c r="C615" s="843" t="s">
        <v>139</v>
      </c>
      <c r="D615" s="935"/>
      <c r="E615" s="940"/>
      <c r="F615" s="937">
        <f t="shared" si="102"/>
        <v>0</v>
      </c>
      <c r="G615" s="938"/>
      <c r="H615" s="939"/>
      <c r="I615" s="940"/>
      <c r="J615" s="937">
        <f t="shared" si="103"/>
        <v>0</v>
      </c>
      <c r="K615" s="943"/>
      <c r="AD615" s="806"/>
      <c r="AE615" s="806"/>
      <c r="AF615" s="806"/>
      <c r="BP615" s="1"/>
    </row>
    <row r="616" spans="2:68" ht="18" customHeight="1">
      <c r="B616" s="846">
        <f t="shared" si="99"/>
        <v>616</v>
      </c>
      <c r="C616" s="843" t="s">
        <v>139</v>
      </c>
      <c r="D616" s="935"/>
      <c r="E616" s="940"/>
      <c r="F616" s="937">
        <f t="shared" si="102"/>
        <v>0</v>
      </c>
      <c r="G616" s="938"/>
      <c r="H616" s="939"/>
      <c r="I616" s="940"/>
      <c r="J616" s="937">
        <f t="shared" si="103"/>
        <v>0</v>
      </c>
      <c r="K616" s="943"/>
      <c r="AD616" s="806"/>
      <c r="AE616" s="806"/>
      <c r="AF616" s="806"/>
      <c r="BP616" s="1"/>
    </row>
    <row r="617" spans="2:68" ht="18" customHeight="1">
      <c r="B617" s="847">
        <f t="shared" si="99"/>
        <v>617</v>
      </c>
      <c r="C617" s="848" t="s">
        <v>139</v>
      </c>
      <c r="D617" s="944"/>
      <c r="E617" s="957"/>
      <c r="F617" s="946"/>
      <c r="G617" s="947"/>
      <c r="H617" s="948"/>
      <c r="I617" s="957"/>
      <c r="J617" s="946"/>
      <c r="K617" s="950"/>
      <c r="AD617" s="806"/>
      <c r="AE617" s="806"/>
      <c r="AF617" s="806"/>
      <c r="BP617" s="1"/>
    </row>
    <row r="618" spans="2:68" s="451" customFormat="1" ht="18" customHeight="1">
      <c r="B618" s="849">
        <f t="shared" si="99"/>
        <v>618</v>
      </c>
      <c r="C618" s="849"/>
      <c r="D618" s="292"/>
      <c r="E618" s="777"/>
      <c r="F618" s="849"/>
      <c r="G618" s="849"/>
      <c r="H618" s="449"/>
      <c r="I618" s="777"/>
      <c r="J618" s="849"/>
      <c r="K618" s="448"/>
      <c r="AD618" s="849"/>
      <c r="AE618" s="849"/>
      <c r="AF618" s="849"/>
    </row>
    <row r="619" spans="2:68" ht="18" customHeight="1">
      <c r="B619" s="844">
        <f t="shared" si="99"/>
        <v>619</v>
      </c>
      <c r="C619" s="845" t="s">
        <v>140</v>
      </c>
      <c r="D619" s="928">
        <v>0</v>
      </c>
      <c r="E619" s="933"/>
      <c r="F619" s="930">
        <f t="shared" ref="F619:F629" si="104">E620</f>
        <v>0</v>
      </c>
      <c r="G619" s="931">
        <v>0</v>
      </c>
      <c r="H619" s="932">
        <v>0</v>
      </c>
      <c r="I619" s="933"/>
      <c r="J619" s="930">
        <f t="shared" ref="J619:J629" si="105">I620</f>
        <v>0</v>
      </c>
      <c r="K619" s="934">
        <v>0</v>
      </c>
      <c r="AD619" s="806"/>
      <c r="AE619" s="806"/>
      <c r="AF619" s="806"/>
      <c r="BP619" s="1"/>
    </row>
    <row r="620" spans="2:68" ht="18" customHeight="1">
      <c r="B620" s="846">
        <f t="shared" si="99"/>
        <v>620</v>
      </c>
      <c r="C620" s="843" t="s">
        <v>140</v>
      </c>
      <c r="D620" s="935"/>
      <c r="E620" s="940"/>
      <c r="F620" s="937">
        <f t="shared" si="104"/>
        <v>0</v>
      </c>
      <c r="G620" s="961"/>
      <c r="H620" s="939"/>
      <c r="I620" s="940"/>
      <c r="J620" s="937">
        <f t="shared" si="105"/>
        <v>0</v>
      </c>
      <c r="K620" s="941"/>
      <c r="AD620" s="806"/>
      <c r="AE620" s="806"/>
      <c r="AF620" s="806"/>
      <c r="BP620" s="1"/>
    </row>
    <row r="621" spans="2:68" ht="18" customHeight="1">
      <c r="B621" s="846">
        <f t="shared" si="99"/>
        <v>621</v>
      </c>
      <c r="C621" s="843" t="s">
        <v>140</v>
      </c>
      <c r="D621" s="935"/>
      <c r="E621" s="940"/>
      <c r="F621" s="937">
        <f t="shared" si="104"/>
        <v>0</v>
      </c>
      <c r="G621" s="961"/>
      <c r="H621" s="939"/>
      <c r="I621" s="940"/>
      <c r="J621" s="937">
        <f t="shared" si="105"/>
        <v>0</v>
      </c>
      <c r="K621" s="941"/>
      <c r="AD621" s="806"/>
      <c r="AE621" s="806"/>
      <c r="AF621" s="806"/>
      <c r="BP621" s="1"/>
    </row>
    <row r="622" spans="2:68" ht="18" customHeight="1">
      <c r="B622" s="846">
        <f t="shared" si="99"/>
        <v>622</v>
      </c>
      <c r="C622" s="843" t="s">
        <v>140</v>
      </c>
      <c r="D622" s="935"/>
      <c r="E622" s="940"/>
      <c r="F622" s="937">
        <f t="shared" si="104"/>
        <v>0</v>
      </c>
      <c r="G622" s="961"/>
      <c r="H622" s="939"/>
      <c r="I622" s="940"/>
      <c r="J622" s="937">
        <f t="shared" si="105"/>
        <v>0</v>
      </c>
      <c r="K622" s="941"/>
      <c r="AD622" s="806"/>
      <c r="AE622" s="806"/>
      <c r="AF622" s="806"/>
      <c r="BP622" s="1"/>
    </row>
    <row r="623" spans="2:68" ht="18" customHeight="1">
      <c r="B623" s="846">
        <f t="shared" si="99"/>
        <v>623</v>
      </c>
      <c r="C623" s="843" t="s">
        <v>140</v>
      </c>
      <c r="D623" s="935"/>
      <c r="E623" s="940"/>
      <c r="F623" s="937">
        <f t="shared" si="104"/>
        <v>0</v>
      </c>
      <c r="G623" s="961"/>
      <c r="H623" s="939"/>
      <c r="I623" s="940"/>
      <c r="J623" s="937">
        <f t="shared" si="105"/>
        <v>0</v>
      </c>
      <c r="K623" s="941"/>
      <c r="AD623" s="806"/>
      <c r="AE623" s="806"/>
      <c r="AF623" s="806"/>
      <c r="BP623" s="1"/>
    </row>
    <row r="624" spans="2:68" ht="18" customHeight="1">
      <c r="B624" s="846">
        <f t="shared" si="99"/>
        <v>624</v>
      </c>
      <c r="C624" s="843" t="s">
        <v>140</v>
      </c>
      <c r="D624" s="935"/>
      <c r="E624" s="940"/>
      <c r="F624" s="937">
        <f t="shared" si="104"/>
        <v>0</v>
      </c>
      <c r="G624" s="961"/>
      <c r="H624" s="939"/>
      <c r="I624" s="940"/>
      <c r="J624" s="937">
        <f t="shared" si="105"/>
        <v>0</v>
      </c>
      <c r="K624" s="941"/>
      <c r="AD624" s="806"/>
      <c r="AE624" s="806"/>
      <c r="AF624" s="806"/>
      <c r="BP624" s="1"/>
    </row>
    <row r="625" spans="2:68" ht="18" customHeight="1">
      <c r="B625" s="846">
        <f t="shared" si="99"/>
        <v>625</v>
      </c>
      <c r="C625" s="843" t="s">
        <v>140</v>
      </c>
      <c r="D625" s="935"/>
      <c r="E625" s="940"/>
      <c r="F625" s="937">
        <f t="shared" si="104"/>
        <v>0</v>
      </c>
      <c r="G625" s="961"/>
      <c r="H625" s="939"/>
      <c r="I625" s="940"/>
      <c r="J625" s="937">
        <f t="shared" si="105"/>
        <v>0</v>
      </c>
      <c r="K625" s="941"/>
      <c r="AD625" s="806"/>
      <c r="AE625" s="806"/>
      <c r="AF625" s="806"/>
      <c r="BP625" s="1"/>
    </row>
    <row r="626" spans="2:68" ht="18" customHeight="1">
      <c r="B626" s="846">
        <f t="shared" si="99"/>
        <v>626</v>
      </c>
      <c r="C626" s="843" t="s">
        <v>140</v>
      </c>
      <c r="D626" s="935"/>
      <c r="E626" s="940"/>
      <c r="F626" s="937">
        <f t="shared" si="104"/>
        <v>0</v>
      </c>
      <c r="G626" s="961"/>
      <c r="H626" s="939"/>
      <c r="I626" s="940"/>
      <c r="J626" s="937">
        <f t="shared" si="105"/>
        <v>0</v>
      </c>
      <c r="K626" s="941"/>
      <c r="AD626" s="806"/>
      <c r="AE626" s="806"/>
      <c r="AF626" s="806"/>
      <c r="BP626" s="1"/>
    </row>
    <row r="627" spans="2:68" ht="18" customHeight="1">
      <c r="B627" s="846">
        <f t="shared" si="99"/>
        <v>627</v>
      </c>
      <c r="C627" s="843" t="s">
        <v>140</v>
      </c>
      <c r="D627" s="935"/>
      <c r="E627" s="940"/>
      <c r="F627" s="937">
        <f t="shared" si="104"/>
        <v>0</v>
      </c>
      <c r="G627" s="961"/>
      <c r="H627" s="939"/>
      <c r="I627" s="940"/>
      <c r="J627" s="937">
        <f t="shared" si="105"/>
        <v>0</v>
      </c>
      <c r="K627" s="941"/>
      <c r="AD627" s="806"/>
      <c r="AE627" s="806"/>
      <c r="AF627" s="806"/>
      <c r="BP627" s="1"/>
    </row>
    <row r="628" spans="2:68" ht="18" customHeight="1">
      <c r="B628" s="846">
        <f t="shared" si="99"/>
        <v>628</v>
      </c>
      <c r="C628" s="843" t="s">
        <v>140</v>
      </c>
      <c r="D628" s="935"/>
      <c r="E628" s="940"/>
      <c r="F628" s="937">
        <f t="shared" si="104"/>
        <v>0</v>
      </c>
      <c r="G628" s="961"/>
      <c r="H628" s="939"/>
      <c r="I628" s="940"/>
      <c r="J628" s="937">
        <f t="shared" si="105"/>
        <v>0</v>
      </c>
      <c r="K628" s="941"/>
      <c r="AD628" s="806"/>
      <c r="AE628" s="806"/>
      <c r="AF628" s="806"/>
      <c r="BP628" s="1"/>
    </row>
    <row r="629" spans="2:68" ht="18" customHeight="1">
      <c r="B629" s="846">
        <f t="shared" si="99"/>
        <v>629</v>
      </c>
      <c r="C629" s="843" t="s">
        <v>140</v>
      </c>
      <c r="D629" s="935"/>
      <c r="E629" s="940"/>
      <c r="F629" s="937">
        <f t="shared" si="104"/>
        <v>0</v>
      </c>
      <c r="G629" s="961"/>
      <c r="H629" s="939"/>
      <c r="I629" s="940"/>
      <c r="J629" s="937">
        <f t="shared" si="105"/>
        <v>0</v>
      </c>
      <c r="K629" s="941"/>
      <c r="AD629" s="806"/>
      <c r="AE629" s="806"/>
      <c r="AF629" s="806"/>
      <c r="BP629" s="1"/>
    </row>
    <row r="630" spans="2:68" ht="18" customHeight="1">
      <c r="B630" s="847">
        <f t="shared" si="99"/>
        <v>630</v>
      </c>
      <c r="C630" s="848" t="s">
        <v>140</v>
      </c>
      <c r="D630" s="944"/>
      <c r="E630" s="957"/>
      <c r="F630" s="946"/>
      <c r="G630" s="963"/>
      <c r="H630" s="948"/>
      <c r="I630" s="957"/>
      <c r="J630" s="946"/>
      <c r="K630" s="958"/>
      <c r="AD630" s="806"/>
      <c r="AE630" s="806"/>
      <c r="AF630" s="806"/>
      <c r="BP630" s="1"/>
    </row>
    <row r="631" spans="2:68" s="451" customFormat="1" ht="18" customHeight="1">
      <c r="B631" s="849">
        <f t="shared" si="99"/>
        <v>631</v>
      </c>
      <c r="C631" s="849"/>
      <c r="D631" s="292"/>
      <c r="E631" s="777"/>
      <c r="F631" s="849"/>
      <c r="G631" s="849"/>
      <c r="H631" s="449"/>
      <c r="I631" s="777"/>
      <c r="J631" s="849"/>
      <c r="K631" s="448"/>
      <c r="AD631" s="849"/>
      <c r="AE631" s="849"/>
      <c r="AF631" s="849"/>
    </row>
    <row r="632" spans="2:68" ht="18" customHeight="1">
      <c r="B632" s="844">
        <f t="shared" si="99"/>
        <v>632</v>
      </c>
      <c r="C632" s="845" t="s">
        <v>141</v>
      </c>
      <c r="D632" s="928">
        <v>0.03</v>
      </c>
      <c r="E632" s="933">
        <v>0</v>
      </c>
      <c r="F632" s="930">
        <f t="shared" ref="F632:F642" si="106">E633</f>
        <v>10000</v>
      </c>
      <c r="G632" s="931">
        <v>2000</v>
      </c>
      <c r="H632" s="932">
        <v>0.03</v>
      </c>
      <c r="I632" s="933">
        <v>0</v>
      </c>
      <c r="J632" s="930">
        <f t="shared" ref="J632:J642" si="107">I633</f>
        <v>10000</v>
      </c>
      <c r="K632" s="934">
        <v>4000</v>
      </c>
      <c r="AD632" s="806"/>
      <c r="AE632" s="806"/>
      <c r="AF632" s="806"/>
      <c r="BP632" s="1"/>
    </row>
    <row r="633" spans="2:68" ht="18" customHeight="1">
      <c r="B633" s="846">
        <f t="shared" si="99"/>
        <v>633</v>
      </c>
      <c r="C633" s="843" t="s">
        <v>141</v>
      </c>
      <c r="D633" s="935">
        <v>0.04</v>
      </c>
      <c r="E633" s="940">
        <v>10000</v>
      </c>
      <c r="F633" s="937">
        <f t="shared" si="106"/>
        <v>25000</v>
      </c>
      <c r="G633" s="938"/>
      <c r="H633" s="939">
        <v>0.04</v>
      </c>
      <c r="I633" s="940">
        <v>10000</v>
      </c>
      <c r="J633" s="937">
        <f t="shared" si="107"/>
        <v>25000</v>
      </c>
      <c r="K633" s="943"/>
      <c r="AD633" s="806"/>
      <c r="AE633" s="806"/>
      <c r="AF633" s="806"/>
      <c r="BP633" s="1"/>
    </row>
    <row r="634" spans="2:68" ht="18" customHeight="1">
      <c r="B634" s="846">
        <f t="shared" si="99"/>
        <v>634</v>
      </c>
      <c r="C634" s="843" t="s">
        <v>141</v>
      </c>
      <c r="D634" s="935">
        <v>4.4999999999999998E-2</v>
      </c>
      <c r="E634" s="940">
        <v>25000</v>
      </c>
      <c r="F634" s="937">
        <f t="shared" si="106"/>
        <v>40000</v>
      </c>
      <c r="G634" s="938"/>
      <c r="H634" s="939">
        <v>4.4999999999999998E-2</v>
      </c>
      <c r="I634" s="940">
        <v>25000</v>
      </c>
      <c r="J634" s="937">
        <f t="shared" si="107"/>
        <v>40000</v>
      </c>
      <c r="K634" s="943"/>
      <c r="AD634" s="806"/>
      <c r="AE634" s="806"/>
      <c r="AF634" s="806"/>
      <c r="BP634" s="1"/>
    </row>
    <row r="635" spans="2:68" ht="18" customHeight="1">
      <c r="B635" s="846">
        <f t="shared" si="99"/>
        <v>635</v>
      </c>
      <c r="C635" s="843" t="s">
        <v>141</v>
      </c>
      <c r="D635" s="935">
        <v>0.06</v>
      </c>
      <c r="E635" s="940">
        <v>40000</v>
      </c>
      <c r="F635" s="937">
        <f t="shared" si="106"/>
        <v>60000</v>
      </c>
      <c r="G635" s="938"/>
      <c r="H635" s="939">
        <v>0.06</v>
      </c>
      <c r="I635" s="940">
        <v>40000</v>
      </c>
      <c r="J635" s="937">
        <f t="shared" si="107"/>
        <v>60000</v>
      </c>
      <c r="K635" s="943"/>
      <c r="AD635" s="806"/>
      <c r="AE635" s="806"/>
      <c r="AF635" s="806"/>
      <c r="BP635" s="1"/>
    </row>
    <row r="636" spans="2:68" ht="18" customHeight="1">
      <c r="B636" s="846">
        <f t="shared" si="99"/>
        <v>636</v>
      </c>
      <c r="C636" s="843" t="s">
        <v>141</v>
      </c>
      <c r="D636" s="935">
        <v>6.5000000000000002E-2</v>
      </c>
      <c r="E636" s="940">
        <v>60000</v>
      </c>
      <c r="F636" s="937">
        <f t="shared" si="106"/>
        <v>0</v>
      </c>
      <c r="G636" s="938"/>
      <c r="H636" s="939">
        <v>6.5000000000000002E-2</v>
      </c>
      <c r="I636" s="940">
        <v>60000</v>
      </c>
      <c r="J636" s="937">
        <f t="shared" si="107"/>
        <v>0</v>
      </c>
      <c r="K636" s="943"/>
      <c r="AD636" s="806"/>
      <c r="AE636" s="806"/>
      <c r="AF636" s="806"/>
      <c r="BP636" s="1"/>
    </row>
    <row r="637" spans="2:68" ht="18" customHeight="1">
      <c r="B637" s="846">
        <f t="shared" si="99"/>
        <v>637</v>
      </c>
      <c r="C637" s="843" t="s">
        <v>141</v>
      </c>
      <c r="D637" s="935"/>
      <c r="E637" s="940"/>
      <c r="F637" s="937">
        <f t="shared" si="106"/>
        <v>0</v>
      </c>
      <c r="G637" s="938"/>
      <c r="H637" s="939"/>
      <c r="I637" s="940"/>
      <c r="J637" s="937">
        <f t="shared" si="107"/>
        <v>0</v>
      </c>
      <c r="K637" s="943"/>
      <c r="AD637" s="806"/>
      <c r="AE637" s="806"/>
      <c r="AF637" s="806"/>
      <c r="BP637" s="1"/>
    </row>
    <row r="638" spans="2:68" ht="18" customHeight="1">
      <c r="B638" s="846">
        <f t="shared" si="99"/>
        <v>638</v>
      </c>
      <c r="C638" s="843" t="s">
        <v>141</v>
      </c>
      <c r="D638" s="935"/>
      <c r="E638" s="940"/>
      <c r="F638" s="937">
        <f t="shared" si="106"/>
        <v>0</v>
      </c>
      <c r="G638" s="938"/>
      <c r="H638" s="939"/>
      <c r="I638" s="940"/>
      <c r="J638" s="937">
        <f t="shared" si="107"/>
        <v>0</v>
      </c>
      <c r="K638" s="943"/>
      <c r="AD638" s="806"/>
      <c r="AE638" s="806"/>
      <c r="AF638" s="806"/>
      <c r="BP638" s="1"/>
    </row>
    <row r="639" spans="2:68" ht="18" customHeight="1">
      <c r="B639" s="846">
        <f t="shared" si="99"/>
        <v>639</v>
      </c>
      <c r="C639" s="843" t="s">
        <v>141</v>
      </c>
      <c r="D639" s="935"/>
      <c r="E639" s="940"/>
      <c r="F639" s="937">
        <f t="shared" si="106"/>
        <v>0</v>
      </c>
      <c r="G639" s="938"/>
      <c r="H639" s="939"/>
      <c r="I639" s="940"/>
      <c r="J639" s="937">
        <f t="shared" si="107"/>
        <v>0</v>
      </c>
      <c r="K639" s="943"/>
      <c r="AD639" s="806"/>
      <c r="AE639" s="806"/>
      <c r="AF639" s="806"/>
      <c r="BP639" s="1"/>
    </row>
    <row r="640" spans="2:68" ht="18" customHeight="1">
      <c r="B640" s="846">
        <f t="shared" si="99"/>
        <v>640</v>
      </c>
      <c r="C640" s="843" t="s">
        <v>141</v>
      </c>
      <c r="D640" s="935"/>
      <c r="E640" s="940"/>
      <c r="F640" s="937">
        <f t="shared" si="106"/>
        <v>0</v>
      </c>
      <c r="G640" s="938"/>
      <c r="H640" s="939"/>
      <c r="I640" s="940"/>
      <c r="J640" s="937">
        <f t="shared" si="107"/>
        <v>0</v>
      </c>
      <c r="K640" s="943"/>
      <c r="AD640" s="806"/>
      <c r="AE640" s="806"/>
      <c r="AF640" s="806"/>
      <c r="BP640" s="1"/>
    </row>
    <row r="641" spans="2:68" ht="18" customHeight="1">
      <c r="B641" s="846">
        <f t="shared" si="99"/>
        <v>641</v>
      </c>
      <c r="C641" s="843" t="s">
        <v>141</v>
      </c>
      <c r="D641" s="935"/>
      <c r="E641" s="940"/>
      <c r="F641" s="937">
        <f t="shared" si="106"/>
        <v>0</v>
      </c>
      <c r="G641" s="938"/>
      <c r="H641" s="939"/>
      <c r="I641" s="940"/>
      <c r="J641" s="937">
        <f t="shared" si="107"/>
        <v>0</v>
      </c>
      <c r="K641" s="943"/>
      <c r="AD641" s="806"/>
      <c r="AE641" s="806"/>
      <c r="AF641" s="806"/>
      <c r="BP641" s="1"/>
    </row>
    <row r="642" spans="2:68" ht="18" customHeight="1">
      <c r="B642" s="846">
        <f t="shared" si="99"/>
        <v>642</v>
      </c>
      <c r="C642" s="843" t="s">
        <v>141</v>
      </c>
      <c r="D642" s="935"/>
      <c r="E642" s="940"/>
      <c r="F642" s="937">
        <f t="shared" si="106"/>
        <v>0</v>
      </c>
      <c r="G642" s="938"/>
      <c r="H642" s="939"/>
      <c r="I642" s="940"/>
      <c r="J642" s="937">
        <f t="shared" si="107"/>
        <v>0</v>
      </c>
      <c r="K642" s="943"/>
      <c r="AD642" s="806"/>
      <c r="AE642" s="806"/>
      <c r="AF642" s="806"/>
      <c r="BP642" s="1"/>
    </row>
    <row r="643" spans="2:68" ht="18" customHeight="1">
      <c r="B643" s="847">
        <f t="shared" si="99"/>
        <v>643</v>
      </c>
      <c r="C643" s="848" t="s">
        <v>141</v>
      </c>
      <c r="D643" s="944"/>
      <c r="E643" s="957"/>
      <c r="F643" s="946"/>
      <c r="G643" s="947"/>
      <c r="H643" s="948"/>
      <c r="I643" s="957"/>
      <c r="J643" s="946"/>
      <c r="K643" s="950"/>
      <c r="AD643" s="806"/>
      <c r="AE643" s="806"/>
      <c r="AF643" s="806"/>
      <c r="BP643" s="1"/>
    </row>
    <row r="644" spans="2:68" s="451" customFormat="1" ht="18" customHeight="1">
      <c r="B644" s="849">
        <f t="shared" si="99"/>
        <v>644</v>
      </c>
      <c r="C644" s="849"/>
      <c r="D644" s="292"/>
      <c r="E644" s="777"/>
      <c r="F644" s="849"/>
      <c r="G644" s="849"/>
      <c r="H644" s="449"/>
      <c r="I644" s="777"/>
      <c r="J644" s="849"/>
      <c r="K644" s="448"/>
      <c r="AD644" s="849"/>
      <c r="AE644" s="849"/>
      <c r="AF644" s="849"/>
    </row>
    <row r="645" spans="2:68" ht="18" customHeight="1">
      <c r="B645" s="844">
        <f t="shared" si="99"/>
        <v>645</v>
      </c>
      <c r="C645" s="845" t="s">
        <v>142</v>
      </c>
      <c r="D645" s="928">
        <v>3.5400000000000001E-2</v>
      </c>
      <c r="E645" s="933">
        <v>0</v>
      </c>
      <c r="F645" s="930">
        <f t="shared" ref="F645:F655" si="108">E646</f>
        <v>12210</v>
      </c>
      <c r="G645" s="931">
        <v>11050</v>
      </c>
      <c r="H645" s="932">
        <v>3.5400000000000001E-2</v>
      </c>
      <c r="I645" s="933">
        <v>0</v>
      </c>
      <c r="J645" s="930">
        <f t="shared" ref="J645:J655" si="109">I646</f>
        <v>16160</v>
      </c>
      <c r="K645" s="934">
        <v>20470</v>
      </c>
      <c r="AD645" s="806"/>
      <c r="AE645" s="806"/>
      <c r="AF645" s="806"/>
      <c r="BP645" s="1"/>
    </row>
    <row r="646" spans="2:68" ht="18" customHeight="1">
      <c r="B646" s="846">
        <f t="shared" si="99"/>
        <v>646</v>
      </c>
      <c r="C646" s="843" t="s">
        <v>142</v>
      </c>
      <c r="D646" s="935">
        <v>4.65E-2</v>
      </c>
      <c r="E646" s="940">
        <v>12210</v>
      </c>
      <c r="F646" s="937">
        <f t="shared" si="108"/>
        <v>24510</v>
      </c>
      <c r="G646" s="938"/>
      <c r="H646" s="939">
        <v>4.65E-2</v>
      </c>
      <c r="I646" s="940">
        <v>16160</v>
      </c>
      <c r="J646" s="937">
        <f t="shared" si="109"/>
        <v>32330</v>
      </c>
      <c r="K646" s="943"/>
      <c r="AD646" s="806"/>
      <c r="AE646" s="806"/>
      <c r="AF646" s="806"/>
      <c r="BP646" s="1"/>
    </row>
    <row r="647" spans="2:68" ht="18" customHeight="1">
      <c r="B647" s="846">
        <f t="shared" si="99"/>
        <v>647</v>
      </c>
      <c r="C647" s="843" t="s">
        <v>142</v>
      </c>
      <c r="D647" s="935">
        <v>6.2700000000000006E-2</v>
      </c>
      <c r="E647" s="940">
        <v>24510</v>
      </c>
      <c r="F647" s="937">
        <f t="shared" si="108"/>
        <v>266930</v>
      </c>
      <c r="G647" s="938"/>
      <c r="H647" s="939">
        <v>6.2700000000000006E-2</v>
      </c>
      <c r="I647" s="940">
        <v>32330</v>
      </c>
      <c r="J647" s="937">
        <f t="shared" si="109"/>
        <v>355910</v>
      </c>
      <c r="K647" s="943"/>
      <c r="AD647" s="806"/>
      <c r="AE647" s="806"/>
      <c r="AF647" s="806"/>
      <c r="BP647" s="1"/>
    </row>
    <row r="648" spans="2:68" ht="18" customHeight="1">
      <c r="B648" s="846">
        <f t="shared" si="99"/>
        <v>648</v>
      </c>
      <c r="C648" s="843" t="s">
        <v>142</v>
      </c>
      <c r="D648" s="935">
        <v>7.6499999999999999E-2</v>
      </c>
      <c r="E648" s="940">
        <v>266930</v>
      </c>
      <c r="F648" s="937">
        <f t="shared" si="108"/>
        <v>0</v>
      </c>
      <c r="G648" s="938"/>
      <c r="H648" s="939">
        <v>7.6499999999999999E-2</v>
      </c>
      <c r="I648" s="940">
        <v>355910</v>
      </c>
      <c r="J648" s="937">
        <f t="shared" si="109"/>
        <v>0</v>
      </c>
      <c r="K648" s="943"/>
      <c r="AD648" s="806"/>
      <c r="AE648" s="806"/>
      <c r="AF648" s="806"/>
      <c r="BP648" s="1"/>
    </row>
    <row r="649" spans="2:68" ht="18" customHeight="1">
      <c r="B649" s="846">
        <f t="shared" si="99"/>
        <v>649</v>
      </c>
      <c r="C649" s="843" t="s">
        <v>142</v>
      </c>
      <c r="D649" s="935"/>
      <c r="E649" s="940"/>
      <c r="F649" s="937">
        <f t="shared" si="108"/>
        <v>0</v>
      </c>
      <c r="G649" s="938"/>
      <c r="H649" s="939"/>
      <c r="I649" s="940"/>
      <c r="J649" s="937">
        <f t="shared" si="109"/>
        <v>0</v>
      </c>
      <c r="K649" s="943"/>
      <c r="AD649" s="806"/>
      <c r="AE649" s="806"/>
      <c r="AF649" s="806"/>
      <c r="BP649" s="1"/>
    </row>
    <row r="650" spans="2:68" ht="18" customHeight="1">
      <c r="B650" s="846">
        <f t="shared" ref="B650:B682" si="110">B649+1</f>
        <v>650</v>
      </c>
      <c r="C650" s="843" t="s">
        <v>142</v>
      </c>
      <c r="D650" s="935"/>
      <c r="E650" s="940"/>
      <c r="F650" s="937">
        <f t="shared" si="108"/>
        <v>0</v>
      </c>
      <c r="G650" s="938"/>
      <c r="H650" s="939"/>
      <c r="I650" s="940"/>
      <c r="J650" s="937">
        <f t="shared" si="109"/>
        <v>0</v>
      </c>
      <c r="K650" s="943"/>
      <c r="AD650" s="806"/>
      <c r="AE650" s="806"/>
      <c r="AF650" s="806"/>
      <c r="BP650" s="1"/>
    </row>
    <row r="651" spans="2:68" ht="18" customHeight="1">
      <c r="B651" s="846">
        <f t="shared" si="110"/>
        <v>651</v>
      </c>
      <c r="C651" s="843" t="s">
        <v>142</v>
      </c>
      <c r="D651" s="935"/>
      <c r="E651" s="940"/>
      <c r="F651" s="937">
        <f t="shared" si="108"/>
        <v>0</v>
      </c>
      <c r="G651" s="938"/>
      <c r="H651" s="939"/>
      <c r="I651" s="940"/>
      <c r="J651" s="937">
        <f t="shared" si="109"/>
        <v>0</v>
      </c>
      <c r="K651" s="943"/>
      <c r="AD651" s="806"/>
      <c r="AE651" s="806"/>
      <c r="AF651" s="806"/>
      <c r="BP651" s="1"/>
    </row>
    <row r="652" spans="2:68" ht="18" customHeight="1">
      <c r="B652" s="846">
        <f t="shared" si="110"/>
        <v>652</v>
      </c>
      <c r="C652" s="843" t="s">
        <v>142</v>
      </c>
      <c r="D652" s="935"/>
      <c r="E652" s="940"/>
      <c r="F652" s="937">
        <f t="shared" si="108"/>
        <v>0</v>
      </c>
      <c r="G652" s="938"/>
      <c r="H652" s="939"/>
      <c r="I652" s="940"/>
      <c r="J652" s="937">
        <f t="shared" si="109"/>
        <v>0</v>
      </c>
      <c r="K652" s="943"/>
      <c r="AD652" s="806"/>
      <c r="AE652" s="806"/>
      <c r="AF652" s="806"/>
      <c r="BP652" s="1"/>
    </row>
    <row r="653" spans="2:68" ht="18" customHeight="1">
      <c r="B653" s="846">
        <f t="shared" si="110"/>
        <v>653</v>
      </c>
      <c r="C653" s="843" t="s">
        <v>142</v>
      </c>
      <c r="D653" s="935"/>
      <c r="E653" s="940"/>
      <c r="F653" s="937">
        <f t="shared" si="108"/>
        <v>0</v>
      </c>
      <c r="G653" s="938"/>
      <c r="H653" s="939"/>
      <c r="I653" s="940"/>
      <c r="J653" s="937">
        <f t="shared" si="109"/>
        <v>0</v>
      </c>
      <c r="K653" s="943"/>
      <c r="AD653" s="806"/>
      <c r="AE653" s="806"/>
      <c r="AF653" s="806"/>
      <c r="BP653" s="1"/>
    </row>
    <row r="654" spans="2:68" ht="18" customHeight="1">
      <c r="B654" s="846">
        <f t="shared" si="110"/>
        <v>654</v>
      </c>
      <c r="C654" s="843" t="s">
        <v>142</v>
      </c>
      <c r="D654" s="935"/>
      <c r="E654" s="940"/>
      <c r="F654" s="937">
        <f t="shared" si="108"/>
        <v>0</v>
      </c>
      <c r="G654" s="938"/>
      <c r="H654" s="939"/>
      <c r="I654" s="940"/>
      <c r="J654" s="937">
        <f t="shared" si="109"/>
        <v>0</v>
      </c>
      <c r="K654" s="943"/>
      <c r="AD654" s="806"/>
      <c r="AE654" s="806"/>
      <c r="AF654" s="806"/>
      <c r="BP654" s="1"/>
    </row>
    <row r="655" spans="2:68" ht="18" customHeight="1">
      <c r="B655" s="846">
        <f t="shared" si="110"/>
        <v>655</v>
      </c>
      <c r="C655" s="843" t="s">
        <v>142</v>
      </c>
      <c r="D655" s="935"/>
      <c r="E655" s="940"/>
      <c r="F655" s="937">
        <f t="shared" si="108"/>
        <v>0</v>
      </c>
      <c r="G655" s="938"/>
      <c r="H655" s="939"/>
      <c r="I655" s="940"/>
      <c r="J655" s="937">
        <f t="shared" si="109"/>
        <v>0</v>
      </c>
      <c r="K655" s="943"/>
      <c r="AD655" s="806"/>
      <c r="AE655" s="806"/>
      <c r="AF655" s="806"/>
      <c r="BP655" s="1"/>
    </row>
    <row r="656" spans="2:68" ht="18" customHeight="1">
      <c r="B656" s="847">
        <f t="shared" si="110"/>
        <v>656</v>
      </c>
      <c r="C656" s="848" t="s">
        <v>142</v>
      </c>
      <c r="D656" s="944"/>
      <c r="E656" s="957"/>
      <c r="F656" s="946"/>
      <c r="G656" s="947"/>
      <c r="H656" s="948"/>
      <c r="I656" s="957"/>
      <c r="J656" s="946"/>
      <c r="K656" s="950"/>
      <c r="AD656" s="806"/>
      <c r="AE656" s="806"/>
      <c r="AF656" s="806"/>
      <c r="BP656" s="1"/>
    </row>
    <row r="657" spans="2:68" s="451" customFormat="1" ht="18" customHeight="1">
      <c r="B657" s="849">
        <f t="shared" si="110"/>
        <v>657</v>
      </c>
      <c r="C657" s="849"/>
      <c r="D657" s="292"/>
      <c r="E657" s="777"/>
      <c r="F657" s="849"/>
      <c r="G657" s="849"/>
      <c r="H657" s="449"/>
      <c r="I657" s="777"/>
      <c r="J657" s="849"/>
      <c r="K657" s="448"/>
      <c r="AD657" s="849"/>
      <c r="AE657" s="849"/>
      <c r="AF657" s="849"/>
    </row>
    <row r="658" spans="2:68" ht="18" customHeight="1">
      <c r="B658" s="844">
        <f t="shared" si="110"/>
        <v>658</v>
      </c>
      <c r="C658" s="845" t="s">
        <v>143</v>
      </c>
      <c r="D658" s="928">
        <v>0</v>
      </c>
      <c r="E658" s="933"/>
      <c r="F658" s="930">
        <f t="shared" ref="F658:F668" si="111">E659</f>
        <v>0</v>
      </c>
      <c r="G658" s="931">
        <v>0</v>
      </c>
      <c r="H658" s="932">
        <v>0</v>
      </c>
      <c r="I658" s="933"/>
      <c r="J658" s="930">
        <f t="shared" ref="J658:J668" si="112">I659</f>
        <v>0</v>
      </c>
      <c r="K658" s="934">
        <v>0</v>
      </c>
      <c r="AD658" s="806"/>
      <c r="AE658" s="806"/>
      <c r="AF658" s="806"/>
      <c r="BP658" s="1"/>
    </row>
    <row r="659" spans="2:68" ht="18" customHeight="1">
      <c r="B659" s="846">
        <f t="shared" si="110"/>
        <v>659</v>
      </c>
      <c r="C659" s="843" t="s">
        <v>143</v>
      </c>
      <c r="D659" s="935"/>
      <c r="E659" s="940"/>
      <c r="F659" s="937">
        <f t="shared" si="111"/>
        <v>0</v>
      </c>
      <c r="G659" s="961"/>
      <c r="H659" s="939"/>
      <c r="I659" s="940"/>
      <c r="J659" s="937">
        <f t="shared" si="112"/>
        <v>0</v>
      </c>
      <c r="K659" s="941"/>
      <c r="AD659" s="806"/>
      <c r="AE659" s="806"/>
      <c r="AF659" s="806"/>
      <c r="BP659" s="1"/>
    </row>
    <row r="660" spans="2:68" ht="18" customHeight="1">
      <c r="B660" s="846">
        <f t="shared" si="110"/>
        <v>660</v>
      </c>
      <c r="C660" s="843" t="s">
        <v>143</v>
      </c>
      <c r="D660" s="935"/>
      <c r="E660" s="940"/>
      <c r="F660" s="937">
        <f t="shared" si="111"/>
        <v>0</v>
      </c>
      <c r="G660" s="961"/>
      <c r="H660" s="939"/>
      <c r="I660" s="940"/>
      <c r="J660" s="937">
        <f t="shared" si="112"/>
        <v>0</v>
      </c>
      <c r="K660" s="941"/>
      <c r="AD660" s="806"/>
      <c r="AE660" s="806"/>
      <c r="AF660" s="806"/>
      <c r="BP660" s="1"/>
    </row>
    <row r="661" spans="2:68" ht="18" customHeight="1">
      <c r="B661" s="846">
        <f t="shared" si="110"/>
        <v>661</v>
      </c>
      <c r="C661" s="843" t="s">
        <v>143</v>
      </c>
      <c r="D661" s="935"/>
      <c r="E661" s="940"/>
      <c r="F661" s="937">
        <f t="shared" si="111"/>
        <v>0</v>
      </c>
      <c r="G661" s="961"/>
      <c r="H661" s="939"/>
      <c r="I661" s="940"/>
      <c r="J661" s="937">
        <f t="shared" si="112"/>
        <v>0</v>
      </c>
      <c r="K661" s="941"/>
      <c r="AD661" s="806"/>
      <c r="AE661" s="806"/>
      <c r="AF661" s="806"/>
      <c r="BP661" s="1"/>
    </row>
    <row r="662" spans="2:68" ht="18" customHeight="1">
      <c r="B662" s="846">
        <f t="shared" si="110"/>
        <v>662</v>
      </c>
      <c r="C662" s="843" t="s">
        <v>143</v>
      </c>
      <c r="D662" s="935"/>
      <c r="E662" s="940"/>
      <c r="F662" s="937">
        <f t="shared" si="111"/>
        <v>0</v>
      </c>
      <c r="G662" s="961"/>
      <c r="H662" s="939"/>
      <c r="I662" s="940"/>
      <c r="J662" s="937">
        <f t="shared" si="112"/>
        <v>0</v>
      </c>
      <c r="K662" s="941"/>
      <c r="AD662" s="806"/>
      <c r="AE662" s="806"/>
      <c r="AF662" s="806"/>
      <c r="BP662" s="1"/>
    </row>
    <row r="663" spans="2:68" ht="18" customHeight="1">
      <c r="B663" s="846">
        <f t="shared" si="110"/>
        <v>663</v>
      </c>
      <c r="C663" s="843" t="s">
        <v>143</v>
      </c>
      <c r="D663" s="935"/>
      <c r="E663" s="940"/>
      <c r="F663" s="937">
        <f t="shared" si="111"/>
        <v>0</v>
      </c>
      <c r="G663" s="961"/>
      <c r="H663" s="939"/>
      <c r="I663" s="940"/>
      <c r="J663" s="937">
        <f t="shared" si="112"/>
        <v>0</v>
      </c>
      <c r="K663" s="941"/>
      <c r="AD663" s="806"/>
      <c r="AE663" s="806"/>
      <c r="AF663" s="806"/>
      <c r="BP663" s="1"/>
    </row>
    <row r="664" spans="2:68" ht="18" customHeight="1">
      <c r="B664" s="846">
        <f t="shared" si="110"/>
        <v>664</v>
      </c>
      <c r="C664" s="843" t="s">
        <v>143</v>
      </c>
      <c r="D664" s="935"/>
      <c r="E664" s="940"/>
      <c r="F664" s="937">
        <f t="shared" si="111"/>
        <v>0</v>
      </c>
      <c r="G664" s="961"/>
      <c r="H664" s="939"/>
      <c r="I664" s="940"/>
      <c r="J664" s="937">
        <f t="shared" si="112"/>
        <v>0</v>
      </c>
      <c r="K664" s="941"/>
      <c r="AD664" s="806"/>
      <c r="AE664" s="806"/>
      <c r="AF664" s="806"/>
      <c r="BP664" s="1"/>
    </row>
    <row r="665" spans="2:68" ht="18" customHeight="1">
      <c r="B665" s="846">
        <f t="shared" si="110"/>
        <v>665</v>
      </c>
      <c r="C665" s="843" t="s">
        <v>143</v>
      </c>
      <c r="D665" s="935"/>
      <c r="E665" s="940"/>
      <c r="F665" s="937">
        <f t="shared" si="111"/>
        <v>0</v>
      </c>
      <c r="G665" s="961"/>
      <c r="H665" s="939"/>
      <c r="I665" s="940"/>
      <c r="J665" s="937">
        <f t="shared" si="112"/>
        <v>0</v>
      </c>
      <c r="K665" s="941"/>
      <c r="AD665" s="806"/>
      <c r="AE665" s="806"/>
      <c r="AF665" s="806"/>
      <c r="BP665" s="1"/>
    </row>
    <row r="666" spans="2:68" ht="18" customHeight="1">
      <c r="B666" s="846">
        <f t="shared" si="110"/>
        <v>666</v>
      </c>
      <c r="C666" s="843" t="s">
        <v>143</v>
      </c>
      <c r="D666" s="935"/>
      <c r="E666" s="940"/>
      <c r="F666" s="937">
        <f t="shared" si="111"/>
        <v>0</v>
      </c>
      <c r="G666" s="961"/>
      <c r="H666" s="939"/>
      <c r="I666" s="940"/>
      <c r="J666" s="937">
        <f t="shared" si="112"/>
        <v>0</v>
      </c>
      <c r="K666" s="941"/>
      <c r="AD666" s="806"/>
      <c r="AE666" s="806"/>
      <c r="AF666" s="806"/>
      <c r="BP666" s="1"/>
    </row>
    <row r="667" spans="2:68" ht="18" customHeight="1">
      <c r="B667" s="846">
        <f t="shared" si="110"/>
        <v>667</v>
      </c>
      <c r="C667" s="843" t="s">
        <v>143</v>
      </c>
      <c r="D667" s="935"/>
      <c r="E667" s="940"/>
      <c r="F667" s="937">
        <f t="shared" si="111"/>
        <v>0</v>
      </c>
      <c r="G667" s="961"/>
      <c r="H667" s="939"/>
      <c r="I667" s="940"/>
      <c r="J667" s="937">
        <f t="shared" si="112"/>
        <v>0</v>
      </c>
      <c r="K667" s="941"/>
      <c r="AD667" s="806"/>
      <c r="AE667" s="806"/>
      <c r="AF667" s="806"/>
      <c r="BP667" s="1"/>
    </row>
    <row r="668" spans="2:68" ht="18" customHeight="1">
      <c r="B668" s="846">
        <f t="shared" si="110"/>
        <v>668</v>
      </c>
      <c r="C668" s="843" t="s">
        <v>143</v>
      </c>
      <c r="D668" s="935"/>
      <c r="E668" s="940"/>
      <c r="F668" s="937">
        <f t="shared" si="111"/>
        <v>0</v>
      </c>
      <c r="G668" s="961"/>
      <c r="H668" s="939"/>
      <c r="I668" s="940"/>
      <c r="J668" s="937">
        <f t="shared" si="112"/>
        <v>0</v>
      </c>
      <c r="K668" s="941"/>
      <c r="AD668" s="806"/>
      <c r="AE668" s="806"/>
      <c r="AF668" s="806"/>
      <c r="BP668" s="1"/>
    </row>
    <row r="669" spans="2:68" ht="18" customHeight="1">
      <c r="B669" s="847">
        <f t="shared" si="110"/>
        <v>669</v>
      </c>
      <c r="C669" s="848" t="s">
        <v>143</v>
      </c>
      <c r="D669" s="944"/>
      <c r="E669" s="957"/>
      <c r="F669" s="946"/>
      <c r="G669" s="963"/>
      <c r="H669" s="948"/>
      <c r="I669" s="957"/>
      <c r="J669" s="946"/>
      <c r="K669" s="958"/>
      <c r="AD669" s="806"/>
      <c r="AE669" s="806"/>
      <c r="AF669" s="806"/>
      <c r="BP669" s="1"/>
    </row>
    <row r="670" spans="2:68" s="451" customFormat="1" ht="18" customHeight="1">
      <c r="B670" s="849">
        <f t="shared" si="110"/>
        <v>670</v>
      </c>
      <c r="C670" s="849"/>
      <c r="D670" s="292"/>
      <c r="E670" s="777"/>
      <c r="F670" s="849"/>
      <c r="G670" s="849"/>
      <c r="H670" s="449"/>
      <c r="I670" s="777"/>
      <c r="J670" s="849"/>
      <c r="K670" s="448"/>
      <c r="AD670" s="849"/>
      <c r="AE670" s="849"/>
      <c r="AF670" s="849"/>
    </row>
    <row r="671" spans="2:68" ht="18" customHeight="1">
      <c r="B671" s="844">
        <f t="shared" si="110"/>
        <v>671</v>
      </c>
      <c r="C671" s="845" t="s">
        <v>144</v>
      </c>
      <c r="D671" s="928">
        <v>0.04</v>
      </c>
      <c r="E671" s="933">
        <v>0</v>
      </c>
      <c r="F671" s="930">
        <f t="shared" ref="F671:F681" si="113">E672</f>
        <v>10000</v>
      </c>
      <c r="G671" s="931">
        <v>12550</v>
      </c>
      <c r="H671" s="932">
        <v>0.04</v>
      </c>
      <c r="I671" s="933">
        <v>0</v>
      </c>
      <c r="J671" s="930">
        <f t="shared" ref="J671:J681" si="114">I672</f>
        <v>10000</v>
      </c>
      <c r="K671" s="934">
        <v>25100</v>
      </c>
      <c r="AD671" s="806"/>
      <c r="AE671" s="806"/>
      <c r="AF671" s="806"/>
      <c r="BP671" s="1"/>
    </row>
    <row r="672" spans="2:68" ht="18" customHeight="1">
      <c r="B672" s="846">
        <f t="shared" si="110"/>
        <v>672</v>
      </c>
      <c r="C672" s="843" t="s">
        <v>144</v>
      </c>
      <c r="D672" s="935">
        <v>0.06</v>
      </c>
      <c r="E672" s="940">
        <v>10000</v>
      </c>
      <c r="F672" s="937">
        <f t="shared" si="113"/>
        <v>40000</v>
      </c>
      <c r="G672" s="938"/>
      <c r="H672" s="939">
        <v>0.06</v>
      </c>
      <c r="I672" s="940">
        <v>10000</v>
      </c>
      <c r="J672" s="937">
        <f t="shared" si="114"/>
        <v>40000</v>
      </c>
      <c r="K672" s="943"/>
      <c r="AD672" s="806"/>
      <c r="AE672" s="806"/>
      <c r="AF672" s="806"/>
      <c r="BP672" s="1"/>
    </row>
    <row r="673" spans="2:68" ht="18" customHeight="1">
      <c r="B673" s="846">
        <f t="shared" si="110"/>
        <v>673</v>
      </c>
      <c r="C673" s="843" t="s">
        <v>144</v>
      </c>
      <c r="D673" s="935">
        <v>6.5000000000000002E-2</v>
      </c>
      <c r="E673" s="940">
        <v>40000</v>
      </c>
      <c r="F673" s="937">
        <f t="shared" si="113"/>
        <v>60000</v>
      </c>
      <c r="G673" s="938"/>
      <c r="H673" s="939">
        <v>6.5000000000000002E-2</v>
      </c>
      <c r="I673" s="940">
        <v>40000</v>
      </c>
      <c r="J673" s="937">
        <f t="shared" si="114"/>
        <v>60000</v>
      </c>
      <c r="K673" s="943"/>
      <c r="AD673" s="806"/>
      <c r="AE673" s="806"/>
      <c r="AF673" s="806"/>
      <c r="BP673" s="1"/>
    </row>
    <row r="674" spans="2:68" ht="18" customHeight="1">
      <c r="B674" s="846">
        <f t="shared" si="110"/>
        <v>674</v>
      </c>
      <c r="C674" s="843" t="s">
        <v>144</v>
      </c>
      <c r="D674" s="935">
        <v>8.5000000000000006E-2</v>
      </c>
      <c r="E674" s="940">
        <v>60000</v>
      </c>
      <c r="F674" s="937">
        <f t="shared" si="113"/>
        <v>350000</v>
      </c>
      <c r="G674" s="938"/>
      <c r="H674" s="939">
        <v>8.5000000000000006E-2</v>
      </c>
      <c r="I674" s="940">
        <v>60000</v>
      </c>
      <c r="J674" s="937">
        <f t="shared" si="114"/>
        <v>350000</v>
      </c>
      <c r="K674" s="943"/>
      <c r="AD674" s="806"/>
      <c r="AE674" s="806"/>
      <c r="AF674" s="806"/>
      <c r="BP674" s="1"/>
    </row>
    <row r="675" spans="2:68" ht="18" customHeight="1">
      <c r="B675" s="846">
        <f t="shared" si="110"/>
        <v>675</v>
      </c>
      <c r="C675" s="843" t="s">
        <v>144</v>
      </c>
      <c r="D675" s="935">
        <v>8.7499999999999994E-2</v>
      </c>
      <c r="E675" s="940">
        <v>350000</v>
      </c>
      <c r="F675" s="937">
        <f t="shared" si="113"/>
        <v>1000000</v>
      </c>
      <c r="G675" s="938"/>
      <c r="H675" s="939">
        <v>8.7499999999999994E-2</v>
      </c>
      <c r="I675" s="940">
        <v>350000</v>
      </c>
      <c r="J675" s="937">
        <f t="shared" si="114"/>
        <v>1000000</v>
      </c>
      <c r="K675" s="943"/>
      <c r="AD675" s="806"/>
      <c r="AE675" s="806"/>
      <c r="AF675" s="806"/>
      <c r="BP675" s="1"/>
    </row>
    <row r="676" spans="2:68" ht="18" customHeight="1">
      <c r="B676" s="846">
        <f t="shared" si="110"/>
        <v>676</v>
      </c>
      <c r="C676" s="843" t="s">
        <v>144</v>
      </c>
      <c r="D676" s="935">
        <v>8.9499999999999996E-2</v>
      </c>
      <c r="E676" s="940">
        <v>1000000</v>
      </c>
      <c r="F676" s="937">
        <f t="shared" si="113"/>
        <v>0</v>
      </c>
      <c r="G676" s="938"/>
      <c r="H676" s="939">
        <v>8.9499999999999996E-2</v>
      </c>
      <c r="I676" s="940">
        <v>1000000</v>
      </c>
      <c r="J676" s="937">
        <f t="shared" si="114"/>
        <v>0</v>
      </c>
      <c r="K676" s="943"/>
      <c r="AD676" s="806"/>
      <c r="AE676" s="806"/>
      <c r="AF676" s="806"/>
      <c r="BP676" s="1"/>
    </row>
    <row r="677" spans="2:68" ht="18" customHeight="1">
      <c r="B677" s="846">
        <f t="shared" si="110"/>
        <v>677</v>
      </c>
      <c r="C677" s="843" t="s">
        <v>144</v>
      </c>
      <c r="D677" s="935"/>
      <c r="E677" s="940"/>
      <c r="F677" s="937">
        <f t="shared" si="113"/>
        <v>0</v>
      </c>
      <c r="G677" s="938"/>
      <c r="H677" s="939"/>
      <c r="I677" s="940"/>
      <c r="J677" s="937">
        <f t="shared" si="114"/>
        <v>0</v>
      </c>
      <c r="K677" s="943"/>
      <c r="AD677" s="806"/>
      <c r="AE677" s="806"/>
      <c r="AF677" s="806"/>
      <c r="BP677" s="1"/>
    </row>
    <row r="678" spans="2:68" ht="18" customHeight="1">
      <c r="B678" s="846">
        <f t="shared" si="110"/>
        <v>678</v>
      </c>
      <c r="C678" s="843" t="s">
        <v>144</v>
      </c>
      <c r="D678" s="935"/>
      <c r="E678" s="940"/>
      <c r="F678" s="937">
        <f t="shared" si="113"/>
        <v>0</v>
      </c>
      <c r="G678" s="938"/>
      <c r="H678" s="939"/>
      <c r="I678" s="940"/>
      <c r="J678" s="937">
        <f t="shared" si="114"/>
        <v>0</v>
      </c>
      <c r="K678" s="943"/>
      <c r="AD678" s="806"/>
      <c r="AE678" s="806"/>
      <c r="AF678" s="806"/>
      <c r="BP678" s="1"/>
    </row>
    <row r="679" spans="2:68" ht="18" customHeight="1">
      <c r="B679" s="846">
        <f t="shared" si="110"/>
        <v>679</v>
      </c>
      <c r="C679" s="843" t="s">
        <v>144</v>
      </c>
      <c r="D679" s="935"/>
      <c r="E679" s="940"/>
      <c r="F679" s="937">
        <f t="shared" si="113"/>
        <v>0</v>
      </c>
      <c r="G679" s="938"/>
      <c r="H679" s="939"/>
      <c r="I679" s="940"/>
      <c r="J679" s="937">
        <f t="shared" si="114"/>
        <v>0</v>
      </c>
      <c r="K679" s="943"/>
      <c r="AD679" s="806"/>
      <c r="AE679" s="806"/>
      <c r="AF679" s="806"/>
      <c r="BP679" s="1"/>
    </row>
    <row r="680" spans="2:68" ht="18" customHeight="1">
      <c r="B680" s="846">
        <f t="shared" si="110"/>
        <v>680</v>
      </c>
      <c r="C680" s="843" t="s">
        <v>144</v>
      </c>
      <c r="D680" s="935"/>
      <c r="E680" s="940"/>
      <c r="F680" s="937">
        <f t="shared" si="113"/>
        <v>0</v>
      </c>
      <c r="G680" s="938"/>
      <c r="H680" s="939"/>
      <c r="I680" s="940"/>
      <c r="J680" s="937">
        <f t="shared" si="114"/>
        <v>0</v>
      </c>
      <c r="K680" s="943"/>
      <c r="AD680" s="806"/>
      <c r="AE680" s="806"/>
      <c r="AF680" s="806"/>
      <c r="BP680" s="1"/>
    </row>
    <row r="681" spans="2:68" ht="18" customHeight="1">
      <c r="B681" s="846">
        <f t="shared" si="110"/>
        <v>681</v>
      </c>
      <c r="C681" s="843" t="s">
        <v>144</v>
      </c>
      <c r="D681" s="935"/>
      <c r="E681" s="940"/>
      <c r="F681" s="937">
        <f t="shared" si="113"/>
        <v>0</v>
      </c>
      <c r="G681" s="938"/>
      <c r="H681" s="939"/>
      <c r="I681" s="940"/>
      <c r="J681" s="937">
        <f t="shared" si="114"/>
        <v>0</v>
      </c>
      <c r="K681" s="943"/>
      <c r="AD681" s="806"/>
      <c r="AE681" s="806"/>
      <c r="AF681" s="806"/>
      <c r="BP681" s="1"/>
    </row>
    <row r="682" spans="2:68" ht="18" customHeight="1">
      <c r="B682" s="847">
        <f t="shared" si="110"/>
        <v>682</v>
      </c>
      <c r="C682" s="848" t="s">
        <v>144</v>
      </c>
      <c r="D682" s="944"/>
      <c r="E682" s="957"/>
      <c r="F682" s="946"/>
      <c r="G682" s="947"/>
      <c r="H682" s="948"/>
      <c r="I682" s="957"/>
      <c r="J682" s="946"/>
      <c r="K682" s="950"/>
      <c r="AD682" s="806"/>
      <c r="AE682" s="806"/>
      <c r="AF682" s="806"/>
      <c r="BP682" s="1"/>
    </row>
    <row r="683" spans="2:68" ht="18" customHeight="1"/>
    <row r="684" spans="2:68" ht="18" customHeight="1"/>
    <row r="685" spans="2:68" ht="18" customHeight="1"/>
  </sheetData>
  <sheetProtection algorithmName="SHA-512" hashValue="l5tiSGR2QYv+7PYLAgtgvbNt8qe2W3fcItOkICaYD4AWSM2lZS/RMDvzRnBsFp9s4ORBUO9t29sEnJe0n6+wRg==" saltValue="jvGVy9iViYsdWnc5wSPh+g=="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25" zoomScaleNormal="125" zoomScalePageLayoutView="137" workbookViewId="0">
      <pane ySplit="15" topLeftCell="A16" activePane="bottomLeft" state="frozen"/>
      <selection pane="bottomLeft" activeCell="F8" sqref="F8"/>
    </sheetView>
  </sheetViews>
  <sheetFormatPr baseColWidth="10" defaultColWidth="10.7109375" defaultRowHeight="15"/>
  <cols>
    <col min="1" max="1" width="5.7109375" style="1080" customWidth="1"/>
    <col min="2" max="2" width="1.7109375" style="1080" customWidth="1"/>
    <col min="3" max="3" width="8" style="1084" customWidth="1"/>
    <col min="4" max="4" width="14" style="1080" customWidth="1"/>
    <col min="5" max="11" width="10.7109375" style="1080" customWidth="1"/>
    <col min="12" max="12" width="3.85546875" style="1080" customWidth="1"/>
    <col min="13" max="13" width="20.140625" style="1080" customWidth="1"/>
    <col min="14" max="14" width="6.140625" style="1080" customWidth="1"/>
    <col min="15" max="15" width="7.42578125" style="1080" customWidth="1"/>
    <col min="16" max="16" width="8.28515625" style="1080" customWidth="1"/>
    <col min="17" max="17" width="8.5703125" style="1080" customWidth="1"/>
    <col min="18" max="18" width="7.5703125" style="1080" customWidth="1"/>
    <col min="19" max="19" width="5.140625" style="1080" customWidth="1"/>
    <col min="20" max="16384" width="10.7109375" style="1080"/>
  </cols>
  <sheetData>
    <row r="1" spans="1:21" ht="8" customHeight="1">
      <c r="A1" s="1081"/>
      <c r="B1" s="1081"/>
      <c r="C1" s="1081"/>
      <c r="D1" s="1081"/>
      <c r="E1" s="1081"/>
      <c r="F1" s="1081"/>
      <c r="G1" s="1081"/>
      <c r="H1" s="1081"/>
      <c r="I1" s="1081"/>
      <c r="J1" s="1081"/>
      <c r="K1" s="1081"/>
      <c r="L1" s="1081"/>
      <c r="M1" s="1081"/>
      <c r="N1" s="1081"/>
    </row>
    <row r="2" spans="1:21" ht="40" customHeight="1">
      <c r="A2" s="1082"/>
      <c r="B2" s="1082"/>
      <c r="C2" s="1127" t="s">
        <v>2086</v>
      </c>
      <c r="D2" s="1128"/>
      <c r="E2" s="1128"/>
      <c r="F2" s="1128"/>
      <c r="G2" s="1083"/>
      <c r="K2" s="1084"/>
    </row>
    <row r="3" spans="1:21" ht="18" customHeight="1">
      <c r="A3" s="1129" t="s">
        <v>1310</v>
      </c>
      <c r="B3" s="1082"/>
      <c r="C3" s="1080"/>
      <c r="G3" s="1083"/>
      <c r="K3" s="1084"/>
    </row>
    <row r="4" spans="1:21" ht="15" customHeight="1">
      <c r="A4" s="1082"/>
      <c r="B4" s="1082"/>
      <c r="C4" s="1080"/>
      <c r="D4" s="1080" t="s">
        <v>2087</v>
      </c>
      <c r="G4" s="1083"/>
      <c r="K4" s="1084"/>
    </row>
    <row r="5" spans="1:21" s="1086" customFormat="1" ht="15" customHeight="1">
      <c r="A5" s="1085"/>
      <c r="B5" s="1085"/>
      <c r="K5" s="1087"/>
    </row>
    <row r="6" spans="1:21" s="1086" customFormat="1" ht="20" customHeight="1">
      <c r="A6" s="1085"/>
      <c r="B6" s="1085"/>
      <c r="C6" s="1088"/>
      <c r="D6" s="1089" t="s">
        <v>63</v>
      </c>
      <c r="E6" s="1090" t="s">
        <v>263</v>
      </c>
      <c r="F6" s="1090" t="s">
        <v>262</v>
      </c>
      <c r="G6" s="1090" t="s">
        <v>265</v>
      </c>
      <c r="H6" s="1090" t="s">
        <v>197</v>
      </c>
      <c r="I6" s="1090" t="s">
        <v>198</v>
      </c>
      <c r="J6" s="1091" t="s">
        <v>262</v>
      </c>
      <c r="L6" s="1619"/>
    </row>
    <row r="7" spans="1:21" ht="20" customHeight="1">
      <c r="A7" s="1093"/>
      <c r="B7" s="1093"/>
      <c r="C7" s="1094"/>
      <c r="D7" s="1095"/>
      <c r="E7" s="1096" t="s">
        <v>264</v>
      </c>
      <c r="F7" s="1096" t="s">
        <v>266</v>
      </c>
      <c r="G7" s="1096" t="s">
        <v>196</v>
      </c>
      <c r="H7" s="1096" t="s">
        <v>58</v>
      </c>
      <c r="I7" s="1096" t="s">
        <v>2395</v>
      </c>
      <c r="J7" s="1097" t="s">
        <v>261</v>
      </c>
      <c r="L7" s="1620"/>
      <c r="O7" s="1099"/>
      <c r="P7" s="1099"/>
      <c r="Q7" s="1099"/>
      <c r="R7" s="1099"/>
      <c r="S7" s="1099"/>
      <c r="T7" s="1099"/>
    </row>
    <row r="8" spans="1:21" ht="20" customHeight="1">
      <c r="A8" s="1083"/>
      <c r="B8" s="1083"/>
      <c r="C8" s="1094"/>
      <c r="D8" s="1100" t="str">
        <f>Individuals!D10</f>
        <v>Jon</v>
      </c>
      <c r="E8" s="1101">
        <f>Individuals!E10</f>
        <v>24875</v>
      </c>
      <c r="F8" s="1798">
        <v>3176</v>
      </c>
      <c r="G8" s="1799">
        <v>47727</v>
      </c>
      <c r="H8" s="1102">
        <f>(YEAR(G8)-YEAR(E8))*12+MONTH(G8)-MONTH(E8)</f>
        <v>751</v>
      </c>
      <c r="I8" s="1802">
        <f>IF(YEAR(E8)&lt;1955, LOOKUP(H8,C16:C112,E16:E112), IF(YEAR(E8)=1955, LOOKUP(H8,C16:C112,F16:F112), IF(YEAR(E8)=1956, LOOKUP(H8,C16:C112,G16:G112), IF(YEAR(E8)=1957, LOOKUP(H8,C16:C112,H16:H112), IF(YEAR(E8)=1958, LOOKUP(H8,C16:C112,I16:I112), IF(YEAR(E8)=1959, LOOKUP(H8,C16:C112,J16:J112), IF(YEAR(E8)&gt;1959, LOOKUP(H8,C16:C112,K16:K112), "ERROR") ) ) ) ) ) )</f>
        <v>0.73645159999999954</v>
      </c>
      <c r="J8" s="1103">
        <f>IF(ISNUMBER(I8*F8),I8*F8,0)</f>
        <v>2338.9702815999985</v>
      </c>
      <c r="K8" s="1623" t="str">
        <f>IF(H8&lt;744,"To young to receive Social Security benefits.","")</f>
        <v/>
      </c>
      <c r="L8" s="1621"/>
      <c r="O8" s="1099"/>
      <c r="P8" s="1099"/>
      <c r="Q8" s="1099"/>
      <c r="R8" s="1099"/>
      <c r="S8" s="1099"/>
      <c r="T8" s="1099"/>
    </row>
    <row r="9" spans="1:21" ht="20" customHeight="1">
      <c r="A9" s="1086"/>
      <c r="B9" s="1086"/>
      <c r="C9" s="1105"/>
      <c r="D9" s="1106" t="str">
        <f>Individuals!D15</f>
        <v>Sally</v>
      </c>
      <c r="E9" s="1106">
        <f>Individuals!E15</f>
        <v>25739</v>
      </c>
      <c r="F9" s="1800">
        <v>2945</v>
      </c>
      <c r="G9" s="1801">
        <v>43952</v>
      </c>
      <c r="H9" s="1107">
        <f>(YEAR(G9)-YEAR(E9))*12+MONTH(G9)-MONTH(E9)</f>
        <v>599</v>
      </c>
      <c r="I9" s="1803" t="e">
        <f>IF(YEAR(E9)&lt;1955, LOOKUP(H9,C16:C112,E16:E112), IF(YEAR(E9)=1955, LOOKUP(H9,C16:C112,F16:F112), IF(YEAR(E9)=1956, LOOKUP(H9,C16:C112,G16:G112), IF(YEAR(E9)=1957, LOOKUP(H9,C16:C112,H16:H112), IF(YEAR(E9)=1958, LOOKUP(H9,C16:C112,I16:I112), IF(YEAR(E9)=1959, LOOKUP(H9,C16:C112,J16:J112), IF(YEAR(E9)&gt;1959, LOOKUP(H9,C16:C112,K16:K112), "ERROR") ) ) ) ) ) )</f>
        <v>#N/A</v>
      </c>
      <c r="J9" s="1108">
        <f>IF(ISNUMBER(I9*F9),I9*F9,0)</f>
        <v>0</v>
      </c>
      <c r="K9" s="1623" t="str">
        <f>IF(H9&lt;744,"To young to receive Social Security benefits.","")</f>
        <v>To young to receive Social Security benefits.</v>
      </c>
      <c r="O9" s="1099"/>
      <c r="P9" s="1099"/>
      <c r="Q9" s="1099"/>
      <c r="R9" s="1109"/>
      <c r="S9" s="1099"/>
      <c r="T9" s="1099"/>
    </row>
    <row r="10" spans="1:21" ht="20" customHeight="1">
      <c r="A10" s="1093"/>
      <c r="B10" s="1093"/>
      <c r="C10" s="1110"/>
      <c r="D10" s="1617" t="s">
        <v>2396</v>
      </c>
      <c r="E10" s="1099"/>
      <c r="F10" s="1099"/>
      <c r="G10" s="1099"/>
      <c r="H10" s="1099"/>
      <c r="I10" s="1109"/>
      <c r="J10" s="1099"/>
      <c r="K10" s="1099"/>
      <c r="L10" s="1111"/>
      <c r="M10" s="1112"/>
      <c r="N10" s="1099"/>
      <c r="O10" s="1099"/>
      <c r="P10" s="1099"/>
      <c r="Q10" s="1099"/>
      <c r="R10" s="1099"/>
      <c r="S10" s="1099"/>
      <c r="T10" s="1099"/>
    </row>
    <row r="11" spans="1:21" ht="20" customHeight="1">
      <c r="D11" s="1618" t="s">
        <v>2397</v>
      </c>
      <c r="E11" s="1113"/>
      <c r="F11" s="1113"/>
      <c r="G11" s="1113"/>
      <c r="H11" s="1113"/>
      <c r="M11" s="1622" t="s">
        <v>2398</v>
      </c>
    </row>
    <row r="12" spans="1:21" ht="20" customHeight="1">
      <c r="D12" s="1114" t="s">
        <v>283</v>
      </c>
      <c r="E12" s="1115">
        <v>0.25</v>
      </c>
      <c r="F12" s="1115">
        <v>0.25829999999999997</v>
      </c>
      <c r="G12" s="1115">
        <v>0.26669999999999999</v>
      </c>
      <c r="H12" s="1115">
        <v>0.27500000000000002</v>
      </c>
      <c r="I12" s="1115">
        <v>0.2833</v>
      </c>
      <c r="J12" s="1115">
        <v>0.29170000000000001</v>
      </c>
      <c r="K12" s="1115">
        <v>0.3</v>
      </c>
      <c r="M12" s="1092" t="s">
        <v>456</v>
      </c>
    </row>
    <row r="13" spans="1:21" ht="20" customHeight="1">
      <c r="M13" s="1098" t="s">
        <v>64</v>
      </c>
    </row>
    <row r="14" spans="1:21" ht="20" customHeight="1">
      <c r="C14" s="1116" t="s">
        <v>278</v>
      </c>
      <c r="D14" s="1116" t="s">
        <v>74</v>
      </c>
      <c r="E14" s="2551" t="s">
        <v>66</v>
      </c>
      <c r="F14" s="2552"/>
      <c r="G14" s="2552"/>
      <c r="H14" s="2552"/>
      <c r="I14" s="2552"/>
      <c r="J14" s="2552"/>
      <c r="K14" s="2553"/>
      <c r="M14" s="1104" t="s">
        <v>457</v>
      </c>
      <c r="T14" s="1099"/>
      <c r="U14" s="1099"/>
    </row>
    <row r="15" spans="1:21" ht="20" customHeight="1">
      <c r="C15" s="1117" t="s">
        <v>279</v>
      </c>
      <c r="D15" s="1117" t="s">
        <v>65</v>
      </c>
      <c r="E15" s="1118" t="s">
        <v>56</v>
      </c>
      <c r="F15" s="1118">
        <v>1955</v>
      </c>
      <c r="G15" s="1118">
        <v>1956</v>
      </c>
      <c r="H15" s="1118">
        <v>1957</v>
      </c>
      <c r="I15" s="1118">
        <v>1958</v>
      </c>
      <c r="J15" s="1118">
        <v>1959</v>
      </c>
      <c r="K15" s="1118" t="s">
        <v>57</v>
      </c>
      <c r="T15" s="1099"/>
      <c r="U15" s="1099"/>
    </row>
    <row r="16" spans="1:21" ht="20" customHeight="1">
      <c r="C16" s="1119">
        <f>62*12</f>
        <v>744</v>
      </c>
      <c r="D16" s="1120" t="s">
        <v>284</v>
      </c>
      <c r="E16" s="1092">
        <f t="shared" ref="E16:K52" si="0">E17-0.0052084</f>
        <v>0.74999679999999991</v>
      </c>
      <c r="F16" s="1092">
        <f t="shared" si="0"/>
        <v>0.74166279999999984</v>
      </c>
      <c r="G16" s="1092">
        <f t="shared" si="0"/>
        <v>0.73332879999999978</v>
      </c>
      <c r="H16" s="1092">
        <f t="shared" si="0"/>
        <v>0.72499479999999972</v>
      </c>
      <c r="I16" s="1092">
        <f t="shared" si="0"/>
        <v>0.71666079999999965</v>
      </c>
      <c r="J16" s="1092">
        <f t="shared" si="0"/>
        <v>0.70832679999999959</v>
      </c>
      <c r="K16" s="1092">
        <f t="shared" si="0"/>
        <v>0.69999279999999953</v>
      </c>
      <c r="T16" s="1099"/>
      <c r="U16" s="1099"/>
    </row>
    <row r="17" spans="3:21" ht="20" customHeight="1">
      <c r="C17" s="1119">
        <f>C16+1</f>
        <v>745</v>
      </c>
      <c r="D17" s="1121" t="s">
        <v>285</v>
      </c>
      <c r="E17" s="1092">
        <f t="shared" si="0"/>
        <v>0.75520519999999991</v>
      </c>
      <c r="F17" s="1092">
        <f t="shared" si="0"/>
        <v>0.74687119999999985</v>
      </c>
      <c r="G17" s="1092">
        <f t="shared" si="0"/>
        <v>0.73853719999999978</v>
      </c>
      <c r="H17" s="1092">
        <f t="shared" si="0"/>
        <v>0.73020319999999972</v>
      </c>
      <c r="I17" s="1092">
        <f t="shared" si="0"/>
        <v>0.72186919999999966</v>
      </c>
      <c r="J17" s="1092">
        <f t="shared" si="0"/>
        <v>0.71353519999999959</v>
      </c>
      <c r="K17" s="1092">
        <f t="shared" si="0"/>
        <v>0.70520119999999953</v>
      </c>
      <c r="M17" s="1099"/>
      <c r="N17" s="1099"/>
      <c r="O17" s="1099"/>
      <c r="P17" s="1099"/>
      <c r="Q17" s="1099"/>
      <c r="R17" s="1099"/>
      <c r="S17" s="1099"/>
      <c r="T17" s="1099"/>
      <c r="U17" s="1099"/>
    </row>
    <row r="18" spans="3:21" ht="20" customHeight="1">
      <c r="C18" s="1119">
        <f t="shared" ref="C18:C81" si="1">C17+1</f>
        <v>746</v>
      </c>
      <c r="D18" s="1121" t="s">
        <v>286</v>
      </c>
      <c r="E18" s="1092">
        <f t="shared" si="0"/>
        <v>0.76041359999999991</v>
      </c>
      <c r="F18" s="1092">
        <f t="shared" si="0"/>
        <v>0.75207959999999985</v>
      </c>
      <c r="G18" s="1092">
        <f t="shared" si="0"/>
        <v>0.74374559999999978</v>
      </c>
      <c r="H18" s="1092">
        <f t="shared" si="0"/>
        <v>0.73541159999999972</v>
      </c>
      <c r="I18" s="1092">
        <f t="shared" si="0"/>
        <v>0.72707759999999966</v>
      </c>
      <c r="J18" s="1092">
        <f t="shared" si="0"/>
        <v>0.71874359999999959</v>
      </c>
      <c r="K18" s="1092">
        <f t="shared" si="0"/>
        <v>0.71040959999999953</v>
      </c>
      <c r="M18" s="1122"/>
      <c r="N18" s="1122"/>
      <c r="O18" s="1122"/>
      <c r="P18" s="1122"/>
      <c r="Q18" s="1122"/>
      <c r="R18" s="1122"/>
      <c r="S18" s="1122"/>
      <c r="T18" s="1099"/>
      <c r="U18" s="1099"/>
    </row>
    <row r="19" spans="3:21" ht="20" customHeight="1">
      <c r="C19" s="1119">
        <f t="shared" si="1"/>
        <v>747</v>
      </c>
      <c r="D19" s="1121" t="s">
        <v>287</v>
      </c>
      <c r="E19" s="1092">
        <f t="shared" si="0"/>
        <v>0.76562199999999991</v>
      </c>
      <c r="F19" s="1092">
        <f t="shared" si="0"/>
        <v>0.75728799999999985</v>
      </c>
      <c r="G19" s="1092">
        <f t="shared" si="0"/>
        <v>0.74895399999999979</v>
      </c>
      <c r="H19" s="1092">
        <f t="shared" si="0"/>
        <v>0.74061999999999972</v>
      </c>
      <c r="I19" s="1092">
        <f t="shared" si="0"/>
        <v>0.73228599999999966</v>
      </c>
      <c r="J19" s="1092">
        <f t="shared" si="0"/>
        <v>0.7239519999999996</v>
      </c>
      <c r="K19" s="1092">
        <f t="shared" si="0"/>
        <v>0.71561799999999953</v>
      </c>
      <c r="M19" s="1122"/>
      <c r="N19" s="1122"/>
      <c r="O19" s="1122"/>
      <c r="P19" s="1122"/>
      <c r="Q19" s="1122"/>
      <c r="R19" s="1122"/>
      <c r="S19" s="1122"/>
      <c r="T19" s="1099"/>
      <c r="U19" s="1099"/>
    </row>
    <row r="20" spans="3:21" ht="20" customHeight="1">
      <c r="C20" s="1119">
        <f t="shared" si="1"/>
        <v>748</v>
      </c>
      <c r="D20" s="1121" t="s">
        <v>288</v>
      </c>
      <c r="E20" s="1092">
        <f t="shared" si="0"/>
        <v>0.77083039999999992</v>
      </c>
      <c r="F20" s="1092">
        <f t="shared" si="0"/>
        <v>0.76249639999999985</v>
      </c>
      <c r="G20" s="1092">
        <f t="shared" si="0"/>
        <v>0.75416239999999979</v>
      </c>
      <c r="H20" s="1092">
        <f t="shared" si="0"/>
        <v>0.74582839999999972</v>
      </c>
      <c r="I20" s="1092">
        <f t="shared" si="0"/>
        <v>0.73749439999999966</v>
      </c>
      <c r="J20" s="1092">
        <f t="shared" si="0"/>
        <v>0.7291603999999996</v>
      </c>
      <c r="K20" s="1092">
        <f t="shared" si="0"/>
        <v>0.72082639999999953</v>
      </c>
      <c r="M20" s="1099"/>
      <c r="N20" s="1099"/>
      <c r="O20" s="1099"/>
      <c r="P20" s="1099"/>
      <c r="Q20" s="1099"/>
      <c r="R20" s="1099"/>
      <c r="S20" s="1099"/>
      <c r="T20" s="1099"/>
      <c r="U20" s="1099"/>
    </row>
    <row r="21" spans="3:21" ht="20" customHeight="1">
      <c r="C21" s="1119">
        <f t="shared" si="1"/>
        <v>749</v>
      </c>
      <c r="D21" s="1121" t="s">
        <v>289</v>
      </c>
      <c r="E21" s="1092">
        <f t="shared" si="0"/>
        <v>0.77603879999999992</v>
      </c>
      <c r="F21" s="1092">
        <f t="shared" si="0"/>
        <v>0.76770479999999985</v>
      </c>
      <c r="G21" s="1092">
        <f t="shared" si="0"/>
        <v>0.75937079999999979</v>
      </c>
      <c r="H21" s="1092">
        <f t="shared" si="0"/>
        <v>0.75103679999999973</v>
      </c>
      <c r="I21" s="1092">
        <f t="shared" si="0"/>
        <v>0.74270279999999966</v>
      </c>
      <c r="J21" s="1092">
        <f t="shared" si="0"/>
        <v>0.7343687999999996</v>
      </c>
      <c r="K21" s="1092">
        <f t="shared" si="0"/>
        <v>0.72603479999999954</v>
      </c>
    </row>
    <row r="22" spans="3:21" ht="20" customHeight="1">
      <c r="C22" s="1119">
        <f t="shared" si="1"/>
        <v>750</v>
      </c>
      <c r="D22" s="1121" t="s">
        <v>290</v>
      </c>
      <c r="E22" s="1092">
        <f t="shared" si="0"/>
        <v>0.78124719999999992</v>
      </c>
      <c r="F22" s="1092">
        <f t="shared" si="0"/>
        <v>0.77291319999999986</v>
      </c>
      <c r="G22" s="1092">
        <f t="shared" si="0"/>
        <v>0.76457919999999979</v>
      </c>
      <c r="H22" s="1092">
        <f t="shared" si="0"/>
        <v>0.75624519999999973</v>
      </c>
      <c r="I22" s="1092">
        <f t="shared" si="0"/>
        <v>0.74791119999999967</v>
      </c>
      <c r="J22" s="1092">
        <f t="shared" si="0"/>
        <v>0.7395771999999996</v>
      </c>
      <c r="K22" s="1092">
        <f t="shared" si="0"/>
        <v>0.73124319999999954</v>
      </c>
    </row>
    <row r="23" spans="3:21" ht="20" customHeight="1">
      <c r="C23" s="1119">
        <f t="shared" si="1"/>
        <v>751</v>
      </c>
      <c r="D23" s="1121" t="s">
        <v>291</v>
      </c>
      <c r="E23" s="1092">
        <f t="shared" si="0"/>
        <v>0.78645559999999992</v>
      </c>
      <c r="F23" s="1092">
        <f t="shared" si="0"/>
        <v>0.77812159999999986</v>
      </c>
      <c r="G23" s="1092">
        <f t="shared" si="0"/>
        <v>0.76978759999999979</v>
      </c>
      <c r="H23" s="1092">
        <f t="shared" si="0"/>
        <v>0.76145359999999973</v>
      </c>
      <c r="I23" s="1092">
        <f t="shared" si="0"/>
        <v>0.75311959999999967</v>
      </c>
      <c r="J23" s="1092">
        <f t="shared" si="0"/>
        <v>0.7447855999999996</v>
      </c>
      <c r="K23" s="1092">
        <f t="shared" si="0"/>
        <v>0.73645159999999954</v>
      </c>
    </row>
    <row r="24" spans="3:21" ht="20" customHeight="1">
      <c r="C24" s="1119">
        <f t="shared" si="1"/>
        <v>752</v>
      </c>
      <c r="D24" s="1121" t="s">
        <v>292</v>
      </c>
      <c r="E24" s="1092">
        <f t="shared" si="0"/>
        <v>0.79166399999999992</v>
      </c>
      <c r="F24" s="1092">
        <f t="shared" si="0"/>
        <v>0.78332999999999986</v>
      </c>
      <c r="G24" s="1092">
        <f t="shared" si="0"/>
        <v>0.7749959999999998</v>
      </c>
      <c r="H24" s="1092">
        <f t="shared" si="0"/>
        <v>0.76666199999999973</v>
      </c>
      <c r="I24" s="1092">
        <f t="shared" si="0"/>
        <v>0.75832799999999967</v>
      </c>
      <c r="J24" s="1092">
        <f t="shared" si="0"/>
        <v>0.74999399999999961</v>
      </c>
      <c r="K24" s="1092">
        <f t="shared" si="0"/>
        <v>0.74165999999999954</v>
      </c>
    </row>
    <row r="25" spans="3:21" ht="20" customHeight="1">
      <c r="C25" s="1119">
        <f t="shared" si="1"/>
        <v>753</v>
      </c>
      <c r="D25" s="1121" t="s">
        <v>293</v>
      </c>
      <c r="E25" s="1092">
        <f t="shared" si="0"/>
        <v>0.79687239999999993</v>
      </c>
      <c r="F25" s="1092">
        <f t="shared" si="0"/>
        <v>0.78853839999999986</v>
      </c>
      <c r="G25" s="1092">
        <f t="shared" si="0"/>
        <v>0.7802043999999998</v>
      </c>
      <c r="H25" s="1092">
        <f t="shared" si="0"/>
        <v>0.77187039999999973</v>
      </c>
      <c r="I25" s="1092">
        <f t="shared" si="0"/>
        <v>0.76353639999999967</v>
      </c>
      <c r="J25" s="1092">
        <f t="shared" si="0"/>
        <v>0.75520239999999961</v>
      </c>
      <c r="K25" s="1092">
        <f t="shared" si="0"/>
        <v>0.74686839999999954</v>
      </c>
    </row>
    <row r="26" spans="3:21" ht="20" customHeight="1">
      <c r="C26" s="1119">
        <f t="shared" si="1"/>
        <v>754</v>
      </c>
      <c r="D26" s="1121" t="s">
        <v>294</v>
      </c>
      <c r="E26" s="1092">
        <f t="shared" si="0"/>
        <v>0.80208079999999993</v>
      </c>
      <c r="F26" s="1092">
        <f t="shared" si="0"/>
        <v>0.79374679999999986</v>
      </c>
      <c r="G26" s="1092">
        <f t="shared" si="0"/>
        <v>0.7854127999999998</v>
      </c>
      <c r="H26" s="1092">
        <f t="shared" si="0"/>
        <v>0.77707879999999974</v>
      </c>
      <c r="I26" s="1092">
        <f t="shared" si="0"/>
        <v>0.76874479999999967</v>
      </c>
      <c r="J26" s="1092">
        <f t="shared" si="0"/>
        <v>0.76041079999999961</v>
      </c>
      <c r="K26" s="1092">
        <f t="shared" si="0"/>
        <v>0.75207679999999955</v>
      </c>
    </row>
    <row r="27" spans="3:21" ht="20" customHeight="1">
      <c r="C27" s="1119">
        <f t="shared" si="1"/>
        <v>755</v>
      </c>
      <c r="D27" s="1121" t="s">
        <v>295</v>
      </c>
      <c r="E27" s="1092">
        <f t="shared" si="0"/>
        <v>0.80728919999999993</v>
      </c>
      <c r="F27" s="1092">
        <f t="shared" si="0"/>
        <v>0.79895519999999987</v>
      </c>
      <c r="G27" s="1092">
        <f t="shared" si="0"/>
        <v>0.7906211999999998</v>
      </c>
      <c r="H27" s="1092">
        <f t="shared" si="0"/>
        <v>0.78228719999999974</v>
      </c>
      <c r="I27" s="1092">
        <f t="shared" si="0"/>
        <v>0.77395319999999967</v>
      </c>
      <c r="J27" s="1092">
        <f t="shared" si="0"/>
        <v>0.76561919999999961</v>
      </c>
      <c r="K27" s="1092">
        <f t="shared" si="0"/>
        <v>0.75728519999999955</v>
      </c>
    </row>
    <row r="28" spans="3:21" ht="20" customHeight="1">
      <c r="C28" s="1119">
        <f t="shared" si="1"/>
        <v>756</v>
      </c>
      <c r="D28" s="1120" t="s">
        <v>296</v>
      </c>
      <c r="E28" s="1092">
        <f t="shared" si="0"/>
        <v>0.81249759999999993</v>
      </c>
      <c r="F28" s="1092">
        <f t="shared" si="0"/>
        <v>0.80416359999999987</v>
      </c>
      <c r="G28" s="1092">
        <f t="shared" si="0"/>
        <v>0.7958295999999998</v>
      </c>
      <c r="H28" s="1092">
        <f t="shared" si="0"/>
        <v>0.78749559999999974</v>
      </c>
      <c r="I28" s="1092">
        <f t="shared" si="0"/>
        <v>0.77916159999999968</v>
      </c>
      <c r="J28" s="1092">
        <f t="shared" si="0"/>
        <v>0.77082759999999961</v>
      </c>
      <c r="K28" s="1092">
        <f t="shared" si="0"/>
        <v>0.76249359999999955</v>
      </c>
    </row>
    <row r="29" spans="3:21" ht="20" customHeight="1">
      <c r="C29" s="1119">
        <f t="shared" si="1"/>
        <v>757</v>
      </c>
      <c r="D29" s="1121" t="s">
        <v>297</v>
      </c>
      <c r="E29" s="1092">
        <f t="shared" si="0"/>
        <v>0.81770599999999993</v>
      </c>
      <c r="F29" s="1092">
        <f t="shared" si="0"/>
        <v>0.80937199999999987</v>
      </c>
      <c r="G29" s="1092">
        <f t="shared" si="0"/>
        <v>0.80103799999999981</v>
      </c>
      <c r="H29" s="1092">
        <f t="shared" si="0"/>
        <v>0.79270399999999974</v>
      </c>
      <c r="I29" s="1092">
        <f t="shared" si="0"/>
        <v>0.78436999999999968</v>
      </c>
      <c r="J29" s="1092">
        <f t="shared" si="0"/>
        <v>0.77603599999999962</v>
      </c>
      <c r="K29" s="1092">
        <f t="shared" si="0"/>
        <v>0.76770199999999955</v>
      </c>
      <c r="R29" s="1123"/>
    </row>
    <row r="30" spans="3:21" ht="20" customHeight="1">
      <c r="C30" s="1119">
        <f t="shared" si="1"/>
        <v>758</v>
      </c>
      <c r="D30" s="1121" t="s">
        <v>298</v>
      </c>
      <c r="E30" s="1092">
        <f t="shared" si="0"/>
        <v>0.82291439999999993</v>
      </c>
      <c r="F30" s="1092">
        <f t="shared" si="0"/>
        <v>0.81458039999999987</v>
      </c>
      <c r="G30" s="1092">
        <f t="shared" si="0"/>
        <v>0.80624639999999981</v>
      </c>
      <c r="H30" s="1092">
        <f t="shared" si="0"/>
        <v>0.79791239999999974</v>
      </c>
      <c r="I30" s="1092">
        <f t="shared" si="0"/>
        <v>0.78957839999999968</v>
      </c>
      <c r="J30" s="1092">
        <f t="shared" si="0"/>
        <v>0.78124439999999962</v>
      </c>
      <c r="K30" s="1092">
        <f t="shared" si="0"/>
        <v>0.77291039999999955</v>
      </c>
      <c r="R30" s="1123"/>
    </row>
    <row r="31" spans="3:21" ht="20" customHeight="1">
      <c r="C31" s="1119">
        <f t="shared" si="1"/>
        <v>759</v>
      </c>
      <c r="D31" s="1121" t="s">
        <v>299</v>
      </c>
      <c r="E31" s="1092">
        <f t="shared" si="0"/>
        <v>0.82812279999999994</v>
      </c>
      <c r="F31" s="1092">
        <f t="shared" si="0"/>
        <v>0.81978879999999987</v>
      </c>
      <c r="G31" s="1092">
        <f t="shared" si="0"/>
        <v>0.81145479999999981</v>
      </c>
      <c r="H31" s="1092">
        <f t="shared" si="0"/>
        <v>0.80312079999999975</v>
      </c>
      <c r="I31" s="1092">
        <f t="shared" si="0"/>
        <v>0.79478679999999968</v>
      </c>
      <c r="J31" s="1092">
        <f t="shared" si="0"/>
        <v>0.78645279999999962</v>
      </c>
      <c r="K31" s="1092">
        <f t="shared" si="0"/>
        <v>0.77811879999999956</v>
      </c>
      <c r="R31" s="1123"/>
    </row>
    <row r="32" spans="3:21" ht="20" customHeight="1">
      <c r="C32" s="1119">
        <f t="shared" si="1"/>
        <v>760</v>
      </c>
      <c r="D32" s="1121" t="s">
        <v>300</v>
      </c>
      <c r="E32" s="1092">
        <f t="shared" si="0"/>
        <v>0.83333119999999994</v>
      </c>
      <c r="F32" s="1092">
        <f t="shared" si="0"/>
        <v>0.82499719999999988</v>
      </c>
      <c r="G32" s="1092">
        <f t="shared" si="0"/>
        <v>0.81666319999999981</v>
      </c>
      <c r="H32" s="1092">
        <f t="shared" si="0"/>
        <v>0.80832919999999975</v>
      </c>
      <c r="I32" s="1092">
        <f t="shared" si="0"/>
        <v>0.79999519999999968</v>
      </c>
      <c r="J32" s="1092">
        <f t="shared" si="0"/>
        <v>0.79166119999999962</v>
      </c>
      <c r="K32" s="1092">
        <f t="shared" si="0"/>
        <v>0.78332719999999956</v>
      </c>
      <c r="R32" s="1123"/>
    </row>
    <row r="33" spans="3:18" ht="20" customHeight="1">
      <c r="C33" s="1119">
        <f t="shared" si="1"/>
        <v>761</v>
      </c>
      <c r="D33" s="1121" t="s">
        <v>301</v>
      </c>
      <c r="E33" s="1092">
        <f t="shared" si="0"/>
        <v>0.83853959999999994</v>
      </c>
      <c r="F33" s="1092">
        <f t="shared" si="0"/>
        <v>0.83020559999999988</v>
      </c>
      <c r="G33" s="1092">
        <f t="shared" si="0"/>
        <v>0.82187159999999981</v>
      </c>
      <c r="H33" s="1092">
        <f t="shared" si="0"/>
        <v>0.81353759999999975</v>
      </c>
      <c r="I33" s="1092">
        <f t="shared" si="0"/>
        <v>0.80520359999999969</v>
      </c>
      <c r="J33" s="1092">
        <f t="shared" si="0"/>
        <v>0.79686959999999962</v>
      </c>
      <c r="K33" s="1092">
        <f t="shared" si="0"/>
        <v>0.78853559999999956</v>
      </c>
      <c r="R33" s="1123"/>
    </row>
    <row r="34" spans="3:18" ht="20" customHeight="1">
      <c r="C34" s="1119">
        <f t="shared" si="1"/>
        <v>762</v>
      </c>
      <c r="D34" s="1121" t="s">
        <v>302</v>
      </c>
      <c r="E34" s="1092">
        <f t="shared" si="0"/>
        <v>0.84374799999999994</v>
      </c>
      <c r="F34" s="1092">
        <f t="shared" si="0"/>
        <v>0.83541399999999988</v>
      </c>
      <c r="G34" s="1092">
        <f t="shared" si="0"/>
        <v>0.82707999999999982</v>
      </c>
      <c r="H34" s="1092">
        <f t="shared" si="0"/>
        <v>0.81874599999999975</v>
      </c>
      <c r="I34" s="1092">
        <f t="shared" si="0"/>
        <v>0.81041199999999969</v>
      </c>
      <c r="J34" s="1092">
        <f t="shared" si="0"/>
        <v>0.80207799999999962</v>
      </c>
      <c r="K34" s="1092">
        <f t="shared" si="0"/>
        <v>0.79374399999999956</v>
      </c>
      <c r="R34" s="1123"/>
    </row>
    <row r="35" spans="3:18" ht="20" customHeight="1">
      <c r="C35" s="1119">
        <f t="shared" si="1"/>
        <v>763</v>
      </c>
      <c r="D35" s="1121" t="s">
        <v>303</v>
      </c>
      <c r="E35" s="1092">
        <f t="shared" si="0"/>
        <v>0.84895639999999994</v>
      </c>
      <c r="F35" s="1092">
        <f t="shared" si="0"/>
        <v>0.84062239999999988</v>
      </c>
      <c r="G35" s="1092">
        <f t="shared" si="0"/>
        <v>0.83228839999999982</v>
      </c>
      <c r="H35" s="1092">
        <f t="shared" si="0"/>
        <v>0.82395439999999975</v>
      </c>
      <c r="I35" s="1092">
        <f t="shared" si="0"/>
        <v>0.81562039999999969</v>
      </c>
      <c r="J35" s="1092">
        <f t="shared" si="0"/>
        <v>0.80728639999999963</v>
      </c>
      <c r="K35" s="1092">
        <f t="shared" si="0"/>
        <v>0.79895239999999956</v>
      </c>
      <c r="R35" s="1123"/>
    </row>
    <row r="36" spans="3:18" ht="20" customHeight="1">
      <c r="C36" s="1119">
        <f t="shared" si="1"/>
        <v>764</v>
      </c>
      <c r="D36" s="1121" t="s">
        <v>304</v>
      </c>
      <c r="E36" s="1092">
        <f t="shared" si="0"/>
        <v>0.85416479999999995</v>
      </c>
      <c r="F36" s="1092">
        <f t="shared" si="0"/>
        <v>0.84583079999999988</v>
      </c>
      <c r="G36" s="1092">
        <f t="shared" si="0"/>
        <v>0.83749679999999982</v>
      </c>
      <c r="H36" s="1092">
        <f t="shared" si="0"/>
        <v>0.82916279999999976</v>
      </c>
      <c r="I36" s="1092">
        <f t="shared" si="0"/>
        <v>0.82082879999999969</v>
      </c>
      <c r="J36" s="1092">
        <f t="shared" si="0"/>
        <v>0.81249479999999963</v>
      </c>
      <c r="K36" s="1092">
        <f t="shared" si="0"/>
        <v>0.80416079999999956</v>
      </c>
      <c r="R36" s="1123"/>
    </row>
    <row r="37" spans="3:18" ht="20" customHeight="1">
      <c r="C37" s="1119">
        <f t="shared" si="1"/>
        <v>765</v>
      </c>
      <c r="D37" s="1121" t="s">
        <v>305</v>
      </c>
      <c r="E37" s="1092">
        <f t="shared" si="0"/>
        <v>0.85937319999999995</v>
      </c>
      <c r="F37" s="1092">
        <f t="shared" si="0"/>
        <v>0.85103919999999988</v>
      </c>
      <c r="G37" s="1092">
        <f t="shared" si="0"/>
        <v>0.84270519999999982</v>
      </c>
      <c r="H37" s="1092">
        <f t="shared" si="0"/>
        <v>0.83437119999999976</v>
      </c>
      <c r="I37" s="1092">
        <f t="shared" si="0"/>
        <v>0.82603719999999969</v>
      </c>
      <c r="J37" s="1092">
        <f t="shared" si="0"/>
        <v>0.81770319999999963</v>
      </c>
      <c r="K37" s="1092">
        <f t="shared" si="0"/>
        <v>0.80936919999999957</v>
      </c>
      <c r="R37" s="1123"/>
    </row>
    <row r="38" spans="3:18" ht="20" customHeight="1">
      <c r="C38" s="1119">
        <f t="shared" si="1"/>
        <v>766</v>
      </c>
      <c r="D38" s="1121" t="s">
        <v>306</v>
      </c>
      <c r="E38" s="1092">
        <f t="shared" si="0"/>
        <v>0.86458159999999995</v>
      </c>
      <c r="F38" s="1092">
        <f t="shared" si="0"/>
        <v>0.85624759999999989</v>
      </c>
      <c r="G38" s="1092">
        <f t="shared" si="0"/>
        <v>0.84791359999999982</v>
      </c>
      <c r="H38" s="1092">
        <f t="shared" si="0"/>
        <v>0.83957959999999976</v>
      </c>
      <c r="I38" s="1092">
        <f t="shared" si="0"/>
        <v>0.8312455999999997</v>
      </c>
      <c r="J38" s="1092">
        <f t="shared" si="0"/>
        <v>0.82291159999999963</v>
      </c>
      <c r="K38" s="1092">
        <f t="shared" si="0"/>
        <v>0.81457759999999957</v>
      </c>
      <c r="R38" s="1123"/>
    </row>
    <row r="39" spans="3:18" ht="20" customHeight="1">
      <c r="C39" s="1119">
        <f t="shared" si="1"/>
        <v>767</v>
      </c>
      <c r="D39" s="1121" t="s">
        <v>307</v>
      </c>
      <c r="E39" s="1092">
        <f t="shared" si="0"/>
        <v>0.86978999999999995</v>
      </c>
      <c r="F39" s="1092">
        <f t="shared" si="0"/>
        <v>0.86145599999999989</v>
      </c>
      <c r="G39" s="1092">
        <f t="shared" si="0"/>
        <v>0.85312199999999982</v>
      </c>
      <c r="H39" s="1092">
        <f t="shared" si="0"/>
        <v>0.84478799999999976</v>
      </c>
      <c r="I39" s="1092">
        <f t="shared" si="0"/>
        <v>0.8364539999999997</v>
      </c>
      <c r="J39" s="1092">
        <f t="shared" si="0"/>
        <v>0.82811999999999963</v>
      </c>
      <c r="K39" s="1092">
        <f t="shared" si="0"/>
        <v>0.81978599999999957</v>
      </c>
      <c r="R39" s="1123"/>
    </row>
    <row r="40" spans="3:18" ht="20" customHeight="1">
      <c r="C40" s="1119">
        <f t="shared" si="1"/>
        <v>768</v>
      </c>
      <c r="D40" s="1120" t="s">
        <v>308</v>
      </c>
      <c r="E40" s="1092">
        <f t="shared" si="0"/>
        <v>0.87499839999999995</v>
      </c>
      <c r="F40" s="1092">
        <f t="shared" si="0"/>
        <v>0.86666439999999989</v>
      </c>
      <c r="G40" s="1092">
        <f t="shared" si="0"/>
        <v>0.85833039999999983</v>
      </c>
      <c r="H40" s="1092">
        <f t="shared" si="0"/>
        <v>0.84999639999999976</v>
      </c>
      <c r="I40" s="1092">
        <f t="shared" si="0"/>
        <v>0.8416623999999997</v>
      </c>
      <c r="J40" s="1092">
        <f t="shared" si="0"/>
        <v>0.83332839999999964</v>
      </c>
      <c r="K40" s="1092">
        <f t="shared" si="0"/>
        <v>0.82499439999999957</v>
      </c>
      <c r="R40" s="1123"/>
    </row>
    <row r="41" spans="3:18" ht="20" customHeight="1">
      <c r="C41" s="1119">
        <f t="shared" si="1"/>
        <v>769</v>
      </c>
      <c r="D41" s="1121" t="s">
        <v>309</v>
      </c>
      <c r="E41" s="1092">
        <f t="shared" si="0"/>
        <v>0.88020679999999996</v>
      </c>
      <c r="F41" s="1092">
        <f t="shared" si="0"/>
        <v>0.87187279999999989</v>
      </c>
      <c r="G41" s="1092">
        <f t="shared" si="0"/>
        <v>0.86353879999999983</v>
      </c>
      <c r="H41" s="1092">
        <f t="shared" si="0"/>
        <v>0.85520479999999977</v>
      </c>
      <c r="I41" s="1092">
        <f t="shared" si="0"/>
        <v>0.8468707999999997</v>
      </c>
      <c r="J41" s="1092">
        <f t="shared" si="0"/>
        <v>0.83853679999999964</v>
      </c>
      <c r="K41" s="1092">
        <f t="shared" si="0"/>
        <v>0.83020279999999957</v>
      </c>
      <c r="R41" s="1123"/>
    </row>
    <row r="42" spans="3:18" ht="20" customHeight="1">
      <c r="C42" s="1119">
        <f t="shared" si="1"/>
        <v>770</v>
      </c>
      <c r="D42" s="1121" t="s">
        <v>310</v>
      </c>
      <c r="E42" s="1092">
        <f t="shared" si="0"/>
        <v>0.88541519999999996</v>
      </c>
      <c r="F42" s="1092">
        <f t="shared" si="0"/>
        <v>0.87708119999999989</v>
      </c>
      <c r="G42" s="1092">
        <f t="shared" si="0"/>
        <v>0.86874719999999983</v>
      </c>
      <c r="H42" s="1092">
        <f t="shared" si="0"/>
        <v>0.86041319999999977</v>
      </c>
      <c r="I42" s="1092">
        <f t="shared" si="0"/>
        <v>0.8520791999999997</v>
      </c>
      <c r="J42" s="1092">
        <f t="shared" si="0"/>
        <v>0.84374519999999964</v>
      </c>
      <c r="K42" s="1092">
        <f t="shared" si="0"/>
        <v>0.83541119999999958</v>
      </c>
      <c r="R42" s="1123"/>
    </row>
    <row r="43" spans="3:18" ht="20" customHeight="1">
      <c r="C43" s="1119">
        <f t="shared" si="1"/>
        <v>771</v>
      </c>
      <c r="D43" s="1121" t="s">
        <v>311</v>
      </c>
      <c r="E43" s="1092">
        <f t="shared" si="0"/>
        <v>0.89062359999999996</v>
      </c>
      <c r="F43" s="1092">
        <f t="shared" si="0"/>
        <v>0.8822895999999999</v>
      </c>
      <c r="G43" s="1092">
        <f t="shared" si="0"/>
        <v>0.87395559999999983</v>
      </c>
      <c r="H43" s="1092">
        <f t="shared" si="0"/>
        <v>0.86562159999999977</v>
      </c>
      <c r="I43" s="1092">
        <f t="shared" si="0"/>
        <v>0.85728759999999971</v>
      </c>
      <c r="J43" s="1092">
        <f t="shared" si="0"/>
        <v>0.84895359999999964</v>
      </c>
      <c r="K43" s="1092">
        <f t="shared" si="0"/>
        <v>0.84061959999999958</v>
      </c>
      <c r="R43" s="1123"/>
    </row>
    <row r="44" spans="3:18" ht="20" customHeight="1">
      <c r="C44" s="1119">
        <f t="shared" si="1"/>
        <v>772</v>
      </c>
      <c r="D44" s="1121" t="s">
        <v>312</v>
      </c>
      <c r="E44" s="1092">
        <f t="shared" si="0"/>
        <v>0.89583199999999996</v>
      </c>
      <c r="F44" s="1092">
        <f t="shared" si="0"/>
        <v>0.8874979999999999</v>
      </c>
      <c r="G44" s="1092">
        <f t="shared" si="0"/>
        <v>0.87916399999999983</v>
      </c>
      <c r="H44" s="1092">
        <f t="shared" si="0"/>
        <v>0.87082999999999977</v>
      </c>
      <c r="I44" s="1092">
        <f t="shared" si="0"/>
        <v>0.86249599999999971</v>
      </c>
      <c r="J44" s="1092">
        <f t="shared" si="0"/>
        <v>0.85416199999999964</v>
      </c>
      <c r="K44" s="1092">
        <f t="shared" si="0"/>
        <v>0.84582799999999958</v>
      </c>
      <c r="R44" s="1123"/>
    </row>
    <row r="45" spans="3:18" ht="20" customHeight="1">
      <c r="C45" s="1119">
        <f t="shared" si="1"/>
        <v>773</v>
      </c>
      <c r="D45" s="1121" t="s">
        <v>313</v>
      </c>
      <c r="E45" s="1092">
        <f t="shared" si="0"/>
        <v>0.90104039999999996</v>
      </c>
      <c r="F45" s="1092">
        <f t="shared" si="0"/>
        <v>0.8927063999999999</v>
      </c>
      <c r="G45" s="1092">
        <f t="shared" si="0"/>
        <v>0.88437239999999984</v>
      </c>
      <c r="H45" s="1092">
        <f t="shared" si="0"/>
        <v>0.87603839999999977</v>
      </c>
      <c r="I45" s="1092">
        <f t="shared" si="0"/>
        <v>0.86770439999999971</v>
      </c>
      <c r="J45" s="1092">
        <f t="shared" si="0"/>
        <v>0.85937039999999965</v>
      </c>
      <c r="K45" s="1092">
        <f t="shared" si="0"/>
        <v>0.85103639999999958</v>
      </c>
      <c r="R45" s="1123"/>
    </row>
    <row r="46" spans="3:18" ht="20" customHeight="1">
      <c r="C46" s="1119">
        <f t="shared" si="1"/>
        <v>774</v>
      </c>
      <c r="D46" s="1121" t="s">
        <v>314</v>
      </c>
      <c r="E46" s="1092">
        <f t="shared" si="0"/>
        <v>0.90624879999999997</v>
      </c>
      <c r="F46" s="1092">
        <f t="shared" si="0"/>
        <v>0.8979147999999999</v>
      </c>
      <c r="G46" s="1092">
        <f t="shared" si="0"/>
        <v>0.88958079999999984</v>
      </c>
      <c r="H46" s="1092">
        <f t="shared" si="0"/>
        <v>0.88124679999999977</v>
      </c>
      <c r="I46" s="1092">
        <f t="shared" si="0"/>
        <v>0.87291279999999971</v>
      </c>
      <c r="J46" s="1092">
        <f t="shared" si="0"/>
        <v>0.86457879999999965</v>
      </c>
      <c r="K46" s="1092">
        <f t="shared" si="0"/>
        <v>0.85624479999999958</v>
      </c>
      <c r="R46" s="1123"/>
    </row>
    <row r="47" spans="3:18" ht="20" customHeight="1">
      <c r="C47" s="1119">
        <f t="shared" si="1"/>
        <v>775</v>
      </c>
      <c r="D47" s="1121" t="s">
        <v>315</v>
      </c>
      <c r="E47" s="1092">
        <f t="shared" si="0"/>
        <v>0.91145719999999997</v>
      </c>
      <c r="F47" s="1092">
        <f t="shared" si="0"/>
        <v>0.9031231999999999</v>
      </c>
      <c r="G47" s="1092">
        <f t="shared" si="0"/>
        <v>0.89478919999999984</v>
      </c>
      <c r="H47" s="1092">
        <f t="shared" si="0"/>
        <v>0.88645519999999978</v>
      </c>
      <c r="I47" s="1092">
        <f t="shared" si="0"/>
        <v>0.87812119999999971</v>
      </c>
      <c r="J47" s="1092">
        <f t="shared" si="0"/>
        <v>0.86978719999999965</v>
      </c>
      <c r="K47" s="1092">
        <f t="shared" si="0"/>
        <v>0.86145319999999959</v>
      </c>
      <c r="R47" s="1123"/>
    </row>
    <row r="48" spans="3:18" ht="20" customHeight="1">
      <c r="C48" s="1119">
        <f t="shared" si="1"/>
        <v>776</v>
      </c>
      <c r="D48" s="1121" t="s">
        <v>316</v>
      </c>
      <c r="E48" s="1092">
        <f t="shared" si="0"/>
        <v>0.91666559999999997</v>
      </c>
      <c r="F48" s="1092">
        <f t="shared" si="0"/>
        <v>0.90833159999999991</v>
      </c>
      <c r="G48" s="1092">
        <f t="shared" si="0"/>
        <v>0.89999759999999984</v>
      </c>
      <c r="H48" s="1092">
        <f t="shared" si="0"/>
        <v>0.89166359999999978</v>
      </c>
      <c r="I48" s="1092">
        <f t="shared" si="0"/>
        <v>0.88332959999999972</v>
      </c>
      <c r="J48" s="1092">
        <f t="shared" si="0"/>
        <v>0.87499559999999965</v>
      </c>
      <c r="K48" s="1092">
        <f t="shared" si="0"/>
        <v>0.86666159999999959</v>
      </c>
      <c r="R48" s="1123"/>
    </row>
    <row r="49" spans="3:18" ht="20" customHeight="1">
      <c r="C49" s="1119">
        <f t="shared" si="1"/>
        <v>777</v>
      </c>
      <c r="D49" s="1121" t="s">
        <v>317</v>
      </c>
      <c r="E49" s="1092">
        <f t="shared" si="0"/>
        <v>0.92187399999999997</v>
      </c>
      <c r="F49" s="1092">
        <f t="shared" si="0"/>
        <v>0.91353999999999991</v>
      </c>
      <c r="G49" s="1092">
        <f t="shared" si="0"/>
        <v>0.90520599999999984</v>
      </c>
      <c r="H49" s="1092">
        <f t="shared" si="0"/>
        <v>0.89687199999999978</v>
      </c>
      <c r="I49" s="1092">
        <f t="shared" si="0"/>
        <v>0.88853799999999972</v>
      </c>
      <c r="J49" s="1092">
        <f t="shared" si="0"/>
        <v>0.88020399999999965</v>
      </c>
      <c r="K49" s="1092">
        <f t="shared" si="0"/>
        <v>0.87186999999999959</v>
      </c>
      <c r="R49" s="1123"/>
    </row>
    <row r="50" spans="3:18" ht="20" customHeight="1">
      <c r="C50" s="1119">
        <f t="shared" si="1"/>
        <v>778</v>
      </c>
      <c r="D50" s="1121" t="s">
        <v>318</v>
      </c>
      <c r="E50" s="1092">
        <f t="shared" si="0"/>
        <v>0.92708239999999997</v>
      </c>
      <c r="F50" s="1092">
        <f t="shared" si="0"/>
        <v>0.91874839999999991</v>
      </c>
      <c r="G50" s="1092">
        <f t="shared" si="0"/>
        <v>0.91041439999999985</v>
      </c>
      <c r="H50" s="1092">
        <f t="shared" si="0"/>
        <v>0.90208039999999978</v>
      </c>
      <c r="I50" s="1092">
        <f t="shared" si="0"/>
        <v>0.89374639999999972</v>
      </c>
      <c r="J50" s="1092">
        <f t="shared" si="0"/>
        <v>0.88541239999999966</v>
      </c>
      <c r="K50" s="1092">
        <f t="shared" si="0"/>
        <v>0.87707839999999959</v>
      </c>
      <c r="R50" s="1123"/>
    </row>
    <row r="51" spans="3:18" ht="20" customHeight="1">
      <c r="C51" s="1119">
        <f t="shared" si="1"/>
        <v>779</v>
      </c>
      <c r="D51" s="1121" t="s">
        <v>319</v>
      </c>
      <c r="E51" s="1092">
        <f t="shared" si="0"/>
        <v>0.93229079999999998</v>
      </c>
      <c r="F51" s="1092">
        <f t="shared" si="0"/>
        <v>0.92395679999999991</v>
      </c>
      <c r="G51" s="1092">
        <f t="shared" si="0"/>
        <v>0.91562279999999985</v>
      </c>
      <c r="H51" s="1092">
        <f t="shared" si="0"/>
        <v>0.90728879999999978</v>
      </c>
      <c r="I51" s="1092">
        <f t="shared" si="0"/>
        <v>0.89895479999999972</v>
      </c>
      <c r="J51" s="1092">
        <f t="shared" si="0"/>
        <v>0.89062079999999966</v>
      </c>
      <c r="K51" s="1092">
        <f t="shared" si="0"/>
        <v>0.88228679999999959</v>
      </c>
      <c r="R51" s="1123"/>
    </row>
    <row r="52" spans="3:18" ht="20" customHeight="1">
      <c r="C52" s="1119">
        <f t="shared" si="1"/>
        <v>780</v>
      </c>
      <c r="D52" s="1120" t="s">
        <v>320</v>
      </c>
      <c r="E52" s="1092">
        <f t="shared" si="0"/>
        <v>0.93749919999999998</v>
      </c>
      <c r="F52" s="1092">
        <f t="shared" si="0"/>
        <v>0.92916519999999991</v>
      </c>
      <c r="G52" s="1092">
        <f t="shared" si="0"/>
        <v>0.92083119999999985</v>
      </c>
      <c r="H52" s="1092">
        <f t="shared" ref="E52:K62" si="2">H53-0.0052084</f>
        <v>0.91249719999999979</v>
      </c>
      <c r="I52" s="1092">
        <f t="shared" si="2"/>
        <v>0.90416319999999972</v>
      </c>
      <c r="J52" s="1092">
        <f t="shared" si="2"/>
        <v>0.89582919999999966</v>
      </c>
      <c r="K52" s="1092">
        <f t="shared" si="2"/>
        <v>0.8874951999999996</v>
      </c>
      <c r="R52" s="1123"/>
    </row>
    <row r="53" spans="3:18" ht="20" customHeight="1">
      <c r="C53" s="1119">
        <f t="shared" si="1"/>
        <v>781</v>
      </c>
      <c r="D53" s="1121" t="s">
        <v>321</v>
      </c>
      <c r="E53" s="1092">
        <f t="shared" si="2"/>
        <v>0.94270759999999998</v>
      </c>
      <c r="F53" s="1092">
        <f t="shared" si="2"/>
        <v>0.93437359999999992</v>
      </c>
      <c r="G53" s="1092">
        <f t="shared" si="2"/>
        <v>0.92603959999999985</v>
      </c>
      <c r="H53" s="1092">
        <f t="shared" si="2"/>
        <v>0.91770559999999979</v>
      </c>
      <c r="I53" s="1092">
        <f t="shared" si="2"/>
        <v>0.90937159999999972</v>
      </c>
      <c r="J53" s="1092">
        <f t="shared" si="2"/>
        <v>0.90103759999999966</v>
      </c>
      <c r="K53" s="1092">
        <f t="shared" si="2"/>
        <v>0.8927035999999996</v>
      </c>
      <c r="R53" s="1123"/>
    </row>
    <row r="54" spans="3:18" ht="20" customHeight="1">
      <c r="C54" s="1119">
        <f t="shared" si="1"/>
        <v>782</v>
      </c>
      <c r="D54" s="1121" t="s">
        <v>322</v>
      </c>
      <c r="E54" s="1092">
        <f t="shared" si="2"/>
        <v>0.94791599999999998</v>
      </c>
      <c r="F54" s="1092">
        <f t="shared" si="2"/>
        <v>0.93958199999999992</v>
      </c>
      <c r="G54" s="1092">
        <f t="shared" si="2"/>
        <v>0.93124799999999985</v>
      </c>
      <c r="H54" s="1092">
        <f t="shared" si="2"/>
        <v>0.92291399999999979</v>
      </c>
      <c r="I54" s="1092">
        <f t="shared" si="2"/>
        <v>0.91457999999999973</v>
      </c>
      <c r="J54" s="1092">
        <f t="shared" si="2"/>
        <v>0.90624599999999966</v>
      </c>
      <c r="K54" s="1092">
        <f t="shared" si="2"/>
        <v>0.8979119999999996</v>
      </c>
      <c r="R54" s="1123"/>
    </row>
    <row r="55" spans="3:18" ht="20" customHeight="1">
      <c r="C55" s="1119">
        <f t="shared" si="1"/>
        <v>783</v>
      </c>
      <c r="D55" s="1121" t="s">
        <v>323</v>
      </c>
      <c r="E55" s="1092">
        <f t="shared" si="2"/>
        <v>0.95312439999999998</v>
      </c>
      <c r="F55" s="1092">
        <f t="shared" si="2"/>
        <v>0.94479039999999992</v>
      </c>
      <c r="G55" s="1092">
        <f t="shared" si="2"/>
        <v>0.93645639999999986</v>
      </c>
      <c r="H55" s="1092">
        <f t="shared" si="2"/>
        <v>0.92812239999999979</v>
      </c>
      <c r="I55" s="1092">
        <f t="shared" si="2"/>
        <v>0.91978839999999973</v>
      </c>
      <c r="J55" s="1092">
        <f t="shared" si="2"/>
        <v>0.91145439999999966</v>
      </c>
      <c r="K55" s="1092">
        <f t="shared" si="2"/>
        <v>0.9031203999999996</v>
      </c>
      <c r="R55" s="1123"/>
    </row>
    <row r="56" spans="3:18" ht="20" customHeight="1">
      <c r="C56" s="1119">
        <f t="shared" si="1"/>
        <v>784</v>
      </c>
      <c r="D56" s="1121" t="s">
        <v>324</v>
      </c>
      <c r="E56" s="1092">
        <f t="shared" si="2"/>
        <v>0.95833279999999998</v>
      </c>
      <c r="F56" s="1092">
        <f t="shared" si="2"/>
        <v>0.94999879999999992</v>
      </c>
      <c r="G56" s="1092">
        <f t="shared" si="2"/>
        <v>0.94166479999999986</v>
      </c>
      <c r="H56" s="1092">
        <f t="shared" si="2"/>
        <v>0.93333079999999979</v>
      </c>
      <c r="I56" s="1092">
        <f t="shared" si="2"/>
        <v>0.92499679999999973</v>
      </c>
      <c r="J56" s="1092">
        <f t="shared" si="2"/>
        <v>0.91666279999999967</v>
      </c>
      <c r="K56" s="1092">
        <f t="shared" si="2"/>
        <v>0.9083287999999996</v>
      </c>
      <c r="R56" s="1123"/>
    </row>
    <row r="57" spans="3:18" ht="20" customHeight="1">
      <c r="C57" s="1119">
        <f t="shared" si="1"/>
        <v>785</v>
      </c>
      <c r="D57" s="1121" t="s">
        <v>325</v>
      </c>
      <c r="E57" s="1092">
        <f t="shared" si="2"/>
        <v>0.96354119999999999</v>
      </c>
      <c r="F57" s="1092">
        <f t="shared" si="2"/>
        <v>0.95520719999999992</v>
      </c>
      <c r="G57" s="1092">
        <f t="shared" si="2"/>
        <v>0.94687319999999986</v>
      </c>
      <c r="H57" s="1092">
        <f t="shared" si="2"/>
        <v>0.9385391999999998</v>
      </c>
      <c r="I57" s="1092">
        <f t="shared" si="2"/>
        <v>0.93020519999999973</v>
      </c>
      <c r="J57" s="1092">
        <f t="shared" si="2"/>
        <v>0.92187119999999967</v>
      </c>
      <c r="K57" s="1092">
        <f t="shared" si="2"/>
        <v>0.91353719999999961</v>
      </c>
      <c r="R57" s="1123"/>
    </row>
    <row r="58" spans="3:18" ht="20" customHeight="1">
      <c r="C58" s="1119">
        <f t="shared" si="1"/>
        <v>786</v>
      </c>
      <c r="D58" s="1121" t="s">
        <v>326</v>
      </c>
      <c r="E58" s="1092">
        <f t="shared" si="2"/>
        <v>0.96874959999999999</v>
      </c>
      <c r="F58" s="1092">
        <f t="shared" si="2"/>
        <v>0.96041559999999992</v>
      </c>
      <c r="G58" s="1092">
        <f t="shared" si="2"/>
        <v>0.95208159999999986</v>
      </c>
      <c r="H58" s="1092">
        <f t="shared" si="2"/>
        <v>0.9437475999999998</v>
      </c>
      <c r="I58" s="1092">
        <f t="shared" si="2"/>
        <v>0.93541359999999973</v>
      </c>
      <c r="J58" s="1092">
        <f t="shared" si="2"/>
        <v>0.92707959999999967</v>
      </c>
      <c r="K58" s="1092">
        <f t="shared" si="2"/>
        <v>0.91874559999999961</v>
      </c>
      <c r="R58" s="1123"/>
    </row>
    <row r="59" spans="3:18" ht="20" customHeight="1">
      <c r="C59" s="1119">
        <f t="shared" si="1"/>
        <v>787</v>
      </c>
      <c r="D59" s="1121" t="s">
        <v>327</v>
      </c>
      <c r="E59" s="1092">
        <f t="shared" si="2"/>
        <v>0.97395799999999999</v>
      </c>
      <c r="F59" s="1092">
        <f t="shared" si="2"/>
        <v>0.96562399999999993</v>
      </c>
      <c r="G59" s="1092">
        <f t="shared" si="2"/>
        <v>0.95728999999999986</v>
      </c>
      <c r="H59" s="1092">
        <f t="shared" si="2"/>
        <v>0.9489559999999998</v>
      </c>
      <c r="I59" s="1092">
        <f t="shared" si="2"/>
        <v>0.94062199999999974</v>
      </c>
      <c r="J59" s="1092">
        <f t="shared" si="2"/>
        <v>0.93228799999999967</v>
      </c>
      <c r="K59" s="1092">
        <f t="shared" si="2"/>
        <v>0.92395399999999961</v>
      </c>
      <c r="R59" s="1123"/>
    </row>
    <row r="60" spans="3:18" ht="20" customHeight="1">
      <c r="C60" s="1119">
        <f t="shared" si="1"/>
        <v>788</v>
      </c>
      <c r="D60" s="1121" t="s">
        <v>328</v>
      </c>
      <c r="E60" s="1092">
        <f t="shared" si="2"/>
        <v>0.97916639999999999</v>
      </c>
      <c r="F60" s="1092">
        <f t="shared" si="2"/>
        <v>0.97083239999999993</v>
      </c>
      <c r="G60" s="1092">
        <f t="shared" si="2"/>
        <v>0.96249839999999987</v>
      </c>
      <c r="H60" s="1092">
        <f t="shared" si="2"/>
        <v>0.9541643999999998</v>
      </c>
      <c r="I60" s="1092">
        <f t="shared" si="2"/>
        <v>0.94583039999999974</v>
      </c>
      <c r="J60" s="1092">
        <f t="shared" si="2"/>
        <v>0.93749639999999967</v>
      </c>
      <c r="K60" s="1092">
        <f t="shared" si="2"/>
        <v>0.92916239999999961</v>
      </c>
      <c r="R60" s="1123"/>
    </row>
    <row r="61" spans="3:18" ht="20" customHeight="1">
      <c r="C61" s="1119">
        <f t="shared" si="1"/>
        <v>789</v>
      </c>
      <c r="D61" s="1121" t="s">
        <v>329</v>
      </c>
      <c r="E61" s="1092">
        <f t="shared" si="2"/>
        <v>0.98437479999999999</v>
      </c>
      <c r="F61" s="1092">
        <f t="shared" si="2"/>
        <v>0.97604079999999993</v>
      </c>
      <c r="G61" s="1092">
        <f t="shared" si="2"/>
        <v>0.96770679999999987</v>
      </c>
      <c r="H61" s="1092">
        <f t="shared" si="2"/>
        <v>0.9593727999999998</v>
      </c>
      <c r="I61" s="1092">
        <f t="shared" si="2"/>
        <v>0.95103879999999974</v>
      </c>
      <c r="J61" s="1092">
        <f t="shared" si="2"/>
        <v>0.94270479999999968</v>
      </c>
      <c r="K61" s="1092">
        <f t="shared" si="2"/>
        <v>0.93437079999999961</v>
      </c>
      <c r="R61" s="1123"/>
    </row>
    <row r="62" spans="3:18" ht="20" customHeight="1">
      <c r="C62" s="1119">
        <f t="shared" si="1"/>
        <v>790</v>
      </c>
      <c r="D62" s="1121" t="s">
        <v>330</v>
      </c>
      <c r="E62" s="1092">
        <f t="shared" si="2"/>
        <v>0.9895832</v>
      </c>
      <c r="F62" s="1092">
        <f t="shared" si="2"/>
        <v>0.98124919999999993</v>
      </c>
      <c r="G62" s="1092">
        <f t="shared" si="2"/>
        <v>0.97291519999999987</v>
      </c>
      <c r="H62" s="1092">
        <f t="shared" si="2"/>
        <v>0.96458119999999981</v>
      </c>
      <c r="I62" s="1092">
        <f t="shared" si="2"/>
        <v>0.95624719999999974</v>
      </c>
      <c r="J62" s="1092">
        <f t="shared" si="2"/>
        <v>0.94791319999999968</v>
      </c>
      <c r="K62" s="1092">
        <f t="shared" si="2"/>
        <v>0.93957919999999961</v>
      </c>
      <c r="R62" s="1123"/>
    </row>
    <row r="63" spans="3:18" ht="20" customHeight="1">
      <c r="C63" s="1119">
        <f t="shared" si="1"/>
        <v>791</v>
      </c>
      <c r="D63" s="1121" t="s">
        <v>331</v>
      </c>
      <c r="E63" s="1092">
        <f t="shared" ref="E63:K63" si="3">E64-0.0052084</f>
        <v>0.9947916</v>
      </c>
      <c r="F63" s="1092">
        <f t="shared" si="3"/>
        <v>0.98645759999999993</v>
      </c>
      <c r="G63" s="1092">
        <f t="shared" si="3"/>
        <v>0.97812359999999987</v>
      </c>
      <c r="H63" s="1092">
        <f t="shared" si="3"/>
        <v>0.96978959999999981</v>
      </c>
      <c r="I63" s="1092">
        <f t="shared" si="3"/>
        <v>0.96145559999999974</v>
      </c>
      <c r="J63" s="1092">
        <f t="shared" si="3"/>
        <v>0.95312159999999968</v>
      </c>
      <c r="K63" s="1092">
        <f t="shared" si="3"/>
        <v>0.94478759999999962</v>
      </c>
      <c r="R63" s="1123"/>
    </row>
    <row r="64" spans="3:18" ht="20" customHeight="1">
      <c r="C64" s="1119">
        <f t="shared" si="1"/>
        <v>792</v>
      </c>
      <c r="D64" s="1120" t="s">
        <v>332</v>
      </c>
      <c r="E64" s="1124">
        <v>1</v>
      </c>
      <c r="F64" s="1092">
        <f t="shared" ref="F64:K65" si="4">F65-0.004167</f>
        <v>0.99166599999999994</v>
      </c>
      <c r="G64" s="1092">
        <f t="shared" si="4"/>
        <v>0.98333199999999987</v>
      </c>
      <c r="H64" s="1092">
        <f t="shared" si="4"/>
        <v>0.97499799999999981</v>
      </c>
      <c r="I64" s="1092">
        <f t="shared" si="4"/>
        <v>0.96666399999999975</v>
      </c>
      <c r="J64" s="1092">
        <f t="shared" si="4"/>
        <v>0.95832999999999968</v>
      </c>
      <c r="K64" s="1092">
        <f t="shared" si="4"/>
        <v>0.94999599999999962</v>
      </c>
      <c r="M64" s="1125"/>
      <c r="O64" s="1126"/>
      <c r="R64" s="1123"/>
    </row>
    <row r="65" spans="3:18" ht="20" customHeight="1">
      <c r="C65" s="1119">
        <f t="shared" si="1"/>
        <v>793</v>
      </c>
      <c r="D65" s="1121" t="s">
        <v>333</v>
      </c>
      <c r="E65" s="1104">
        <v>1.0069999999999999</v>
      </c>
      <c r="F65" s="1092">
        <f t="shared" si="4"/>
        <v>0.99583299999999997</v>
      </c>
      <c r="G65" s="1092">
        <f t="shared" si="4"/>
        <v>0.9874989999999999</v>
      </c>
      <c r="H65" s="1092">
        <f t="shared" si="4"/>
        <v>0.97916499999999984</v>
      </c>
      <c r="I65" s="1092">
        <f t="shared" si="4"/>
        <v>0.97083099999999978</v>
      </c>
      <c r="J65" s="1092">
        <f t="shared" si="4"/>
        <v>0.96249699999999971</v>
      </c>
      <c r="K65" s="1092">
        <f t="shared" si="4"/>
        <v>0.95416299999999965</v>
      </c>
      <c r="R65" s="1123"/>
    </row>
    <row r="66" spans="3:18" ht="20" customHeight="1">
      <c r="C66" s="1119">
        <f t="shared" si="1"/>
        <v>794</v>
      </c>
      <c r="D66" s="1121" t="s">
        <v>334</v>
      </c>
      <c r="E66" s="1104">
        <v>1.0129999999999999</v>
      </c>
      <c r="F66" s="1124">
        <v>1</v>
      </c>
      <c r="G66" s="1092">
        <f t="shared" ref="G66:K67" si="5">G67-0.004167</f>
        <v>0.99166599999999994</v>
      </c>
      <c r="H66" s="1092">
        <f t="shared" si="5"/>
        <v>0.98333199999999987</v>
      </c>
      <c r="I66" s="1092">
        <f t="shared" si="5"/>
        <v>0.97499799999999981</v>
      </c>
      <c r="J66" s="1092">
        <f t="shared" si="5"/>
        <v>0.96666399999999975</v>
      </c>
      <c r="K66" s="1092">
        <f t="shared" si="5"/>
        <v>0.95832999999999968</v>
      </c>
      <c r="R66" s="1123"/>
    </row>
    <row r="67" spans="3:18" ht="20" customHeight="1">
      <c r="C67" s="1119">
        <f t="shared" si="1"/>
        <v>795</v>
      </c>
      <c r="D67" s="1121" t="s">
        <v>335</v>
      </c>
      <c r="E67" s="1104">
        <v>1.02</v>
      </c>
      <c r="F67" s="1104">
        <v>1.0069999999999999</v>
      </c>
      <c r="G67" s="1092">
        <f t="shared" si="5"/>
        <v>0.99583299999999997</v>
      </c>
      <c r="H67" s="1092">
        <f t="shared" si="5"/>
        <v>0.9874989999999999</v>
      </c>
      <c r="I67" s="1092">
        <f t="shared" si="5"/>
        <v>0.97916499999999984</v>
      </c>
      <c r="J67" s="1092">
        <f t="shared" si="5"/>
        <v>0.97083099999999978</v>
      </c>
      <c r="K67" s="1092">
        <f t="shared" si="5"/>
        <v>0.96249699999999971</v>
      </c>
      <c r="R67" s="1123"/>
    </row>
    <row r="68" spans="3:18" ht="20" customHeight="1">
      <c r="C68" s="1119">
        <f t="shared" si="1"/>
        <v>796</v>
      </c>
      <c r="D68" s="1121" t="s">
        <v>336</v>
      </c>
      <c r="E68" s="1104">
        <v>1.0269999999999999</v>
      </c>
      <c r="F68" s="1104">
        <v>1.0129999999999999</v>
      </c>
      <c r="G68" s="1124">
        <v>1</v>
      </c>
      <c r="H68" s="1092">
        <f t="shared" ref="H68:K69" si="6">H69-0.004167</f>
        <v>0.99166599999999994</v>
      </c>
      <c r="I68" s="1092">
        <f t="shared" si="6"/>
        <v>0.98333199999999987</v>
      </c>
      <c r="J68" s="1092">
        <f t="shared" si="6"/>
        <v>0.97499799999999981</v>
      </c>
      <c r="K68" s="1092">
        <f t="shared" si="6"/>
        <v>0.96666399999999975</v>
      </c>
      <c r="R68" s="1123"/>
    </row>
    <row r="69" spans="3:18" ht="20" customHeight="1">
      <c r="C69" s="1119">
        <f t="shared" si="1"/>
        <v>797</v>
      </c>
      <c r="D69" s="1121" t="s">
        <v>337</v>
      </c>
      <c r="E69" s="1104">
        <v>1.0329999999999999</v>
      </c>
      <c r="F69" s="1104">
        <v>1.02</v>
      </c>
      <c r="G69" s="1104">
        <v>1.0069999999999999</v>
      </c>
      <c r="H69" s="1092">
        <f t="shared" si="6"/>
        <v>0.99583299999999997</v>
      </c>
      <c r="I69" s="1092">
        <f t="shared" si="6"/>
        <v>0.9874989999999999</v>
      </c>
      <c r="J69" s="1092">
        <f t="shared" si="6"/>
        <v>0.97916499999999984</v>
      </c>
      <c r="K69" s="1092">
        <f t="shared" si="6"/>
        <v>0.97083099999999978</v>
      </c>
      <c r="R69" s="1123"/>
    </row>
    <row r="70" spans="3:18" ht="20" customHeight="1">
      <c r="C70" s="1119">
        <f t="shared" si="1"/>
        <v>798</v>
      </c>
      <c r="D70" s="1121" t="s">
        <v>338</v>
      </c>
      <c r="E70" s="1104">
        <v>1.04</v>
      </c>
      <c r="F70" s="1104">
        <v>1.0269999999999999</v>
      </c>
      <c r="G70" s="1104">
        <v>1.0129999999999999</v>
      </c>
      <c r="H70" s="1124">
        <v>1</v>
      </c>
      <c r="I70" s="1092">
        <f t="shared" ref="I70:K71" si="7">I71-0.004167</f>
        <v>0.99166599999999994</v>
      </c>
      <c r="J70" s="1092">
        <f t="shared" si="7"/>
        <v>0.98333199999999987</v>
      </c>
      <c r="K70" s="1092">
        <f t="shared" si="7"/>
        <v>0.97499799999999981</v>
      </c>
      <c r="R70" s="1123"/>
    </row>
    <row r="71" spans="3:18" ht="20" customHeight="1">
      <c r="C71" s="1119">
        <f t="shared" si="1"/>
        <v>799</v>
      </c>
      <c r="D71" s="1121" t="s">
        <v>339</v>
      </c>
      <c r="E71" s="1104">
        <v>1.0469999999999999</v>
      </c>
      <c r="F71" s="1104">
        <v>1.0329999999999999</v>
      </c>
      <c r="G71" s="1104">
        <v>1.02</v>
      </c>
      <c r="H71" s="1104">
        <v>1.0069999999999999</v>
      </c>
      <c r="I71" s="1092">
        <f t="shared" si="7"/>
        <v>0.99583299999999997</v>
      </c>
      <c r="J71" s="1092">
        <f t="shared" si="7"/>
        <v>0.9874989999999999</v>
      </c>
      <c r="K71" s="1092">
        <f t="shared" si="7"/>
        <v>0.97916499999999984</v>
      </c>
      <c r="R71" s="1123"/>
    </row>
    <row r="72" spans="3:18" ht="20" customHeight="1">
      <c r="C72" s="1119">
        <f t="shared" si="1"/>
        <v>800</v>
      </c>
      <c r="D72" s="1121" t="s">
        <v>340</v>
      </c>
      <c r="E72" s="1104">
        <v>1.0529999999999999</v>
      </c>
      <c r="F72" s="1104">
        <v>1.04</v>
      </c>
      <c r="G72" s="1104">
        <v>1.0269999999999999</v>
      </c>
      <c r="H72" s="1104">
        <v>1.0129999999999999</v>
      </c>
      <c r="I72" s="1124">
        <v>1</v>
      </c>
      <c r="J72" s="1092">
        <f>J73-0.004167</f>
        <v>0.99166599999999994</v>
      </c>
      <c r="K72" s="1092">
        <f>K73-0.004167</f>
        <v>0.98333199999999987</v>
      </c>
      <c r="R72" s="1123"/>
    </row>
    <row r="73" spans="3:18" ht="20" customHeight="1">
      <c r="C73" s="1119">
        <f t="shared" si="1"/>
        <v>801</v>
      </c>
      <c r="D73" s="1121" t="s">
        <v>341</v>
      </c>
      <c r="E73" s="1104">
        <v>1.06</v>
      </c>
      <c r="F73" s="1104">
        <v>1.0469999999999999</v>
      </c>
      <c r="G73" s="1104">
        <v>1.0329999999999999</v>
      </c>
      <c r="H73" s="1104">
        <v>1.02</v>
      </c>
      <c r="I73" s="1104">
        <v>1.0069999999999999</v>
      </c>
      <c r="J73" s="1092">
        <f>J74-0.004167</f>
        <v>0.99583299999999997</v>
      </c>
      <c r="K73" s="1092">
        <f>K74-0.004167</f>
        <v>0.9874989999999999</v>
      </c>
      <c r="R73" s="1123"/>
    </row>
    <row r="74" spans="3:18" ht="20" customHeight="1">
      <c r="C74" s="1119">
        <f t="shared" si="1"/>
        <v>802</v>
      </c>
      <c r="D74" s="1121" t="s">
        <v>342</v>
      </c>
      <c r="E74" s="1104">
        <v>1.0669999999999999</v>
      </c>
      <c r="F74" s="1104">
        <v>1.0529999999999999</v>
      </c>
      <c r="G74" s="1104">
        <v>1.04</v>
      </c>
      <c r="H74" s="1104">
        <v>1.0269999999999999</v>
      </c>
      <c r="I74" s="1104">
        <v>1.0129999999999999</v>
      </c>
      <c r="J74" s="1124">
        <v>1</v>
      </c>
      <c r="K74" s="1092">
        <f>K75-0.004167</f>
        <v>0.99166599999999994</v>
      </c>
      <c r="R74" s="1123"/>
    </row>
    <row r="75" spans="3:18" ht="20" customHeight="1">
      <c r="C75" s="1119">
        <f t="shared" si="1"/>
        <v>803</v>
      </c>
      <c r="D75" s="1121" t="s">
        <v>343</v>
      </c>
      <c r="E75" s="1104">
        <v>1.073</v>
      </c>
      <c r="F75" s="1104">
        <v>1.06</v>
      </c>
      <c r="G75" s="1104">
        <v>1.0469999999999999</v>
      </c>
      <c r="H75" s="1104">
        <v>1.0329999999999999</v>
      </c>
      <c r="I75" s="1104">
        <v>1.02</v>
      </c>
      <c r="J75" s="1104">
        <v>1.0069999999999999</v>
      </c>
      <c r="K75" s="1092">
        <f>K76-0.004167</f>
        <v>0.99583299999999997</v>
      </c>
      <c r="R75" s="1123"/>
    </row>
    <row r="76" spans="3:18" ht="20" customHeight="1">
      <c r="C76" s="1119">
        <f t="shared" si="1"/>
        <v>804</v>
      </c>
      <c r="D76" s="1120" t="s">
        <v>344</v>
      </c>
      <c r="E76" s="1104">
        <v>1.08</v>
      </c>
      <c r="F76" s="1104">
        <v>1.0669999999999999</v>
      </c>
      <c r="G76" s="1104">
        <v>1.0529999999999999</v>
      </c>
      <c r="H76" s="1104">
        <v>1.04</v>
      </c>
      <c r="I76" s="1104">
        <v>1.0269999999999999</v>
      </c>
      <c r="J76" s="1104">
        <v>1.0129999999999999</v>
      </c>
      <c r="K76" s="1124">
        <v>1</v>
      </c>
      <c r="M76" s="1125"/>
      <c r="O76" s="1126"/>
    </row>
    <row r="77" spans="3:18" ht="20" customHeight="1">
      <c r="C77" s="1119">
        <f t="shared" si="1"/>
        <v>805</v>
      </c>
      <c r="D77" s="1121" t="s">
        <v>345</v>
      </c>
      <c r="E77" s="1104">
        <v>1.087</v>
      </c>
      <c r="F77" s="1104">
        <v>1.073</v>
      </c>
      <c r="G77" s="1104">
        <v>1.06</v>
      </c>
      <c r="H77" s="1104">
        <v>1.0469999999999999</v>
      </c>
      <c r="I77" s="1104">
        <v>1.0329999999999999</v>
      </c>
      <c r="J77" s="1104">
        <v>1.02</v>
      </c>
      <c r="K77" s="1104">
        <v>1.0069999999999999</v>
      </c>
    </row>
    <row r="78" spans="3:18" ht="20" customHeight="1">
      <c r="C78" s="1119">
        <f t="shared" si="1"/>
        <v>806</v>
      </c>
      <c r="D78" s="1121" t="s">
        <v>346</v>
      </c>
      <c r="E78" s="1104">
        <v>1.093</v>
      </c>
      <c r="F78" s="1104">
        <v>1.08</v>
      </c>
      <c r="G78" s="1104">
        <v>1.0669999999999999</v>
      </c>
      <c r="H78" s="1104">
        <v>1.0529999999999999</v>
      </c>
      <c r="I78" s="1104">
        <v>1.04</v>
      </c>
      <c r="J78" s="1104">
        <v>1.0269999999999999</v>
      </c>
      <c r="K78" s="1104">
        <v>1.0129999999999999</v>
      </c>
    </row>
    <row r="79" spans="3:18" ht="20" customHeight="1">
      <c r="C79" s="1119">
        <f t="shared" si="1"/>
        <v>807</v>
      </c>
      <c r="D79" s="1121" t="s">
        <v>347</v>
      </c>
      <c r="E79" s="1104">
        <v>1.1000000000000001</v>
      </c>
      <c r="F79" s="1104">
        <v>1.087</v>
      </c>
      <c r="G79" s="1104">
        <v>1.073</v>
      </c>
      <c r="H79" s="1104">
        <v>1.06</v>
      </c>
      <c r="I79" s="1104">
        <v>1.0469999999999999</v>
      </c>
      <c r="J79" s="1104">
        <v>1.0329999999999999</v>
      </c>
      <c r="K79" s="1104">
        <v>1.02</v>
      </c>
    </row>
    <row r="80" spans="3:18" ht="20" customHeight="1">
      <c r="C80" s="1119">
        <f t="shared" si="1"/>
        <v>808</v>
      </c>
      <c r="D80" s="1121" t="s">
        <v>348</v>
      </c>
      <c r="E80" s="1104">
        <v>1.107</v>
      </c>
      <c r="F80" s="1104">
        <v>1.093</v>
      </c>
      <c r="G80" s="1104">
        <v>1.08</v>
      </c>
      <c r="H80" s="1104">
        <v>1.0669999999999999</v>
      </c>
      <c r="I80" s="1104">
        <v>1.0529999999999999</v>
      </c>
      <c r="J80" s="1104">
        <v>1.04</v>
      </c>
      <c r="K80" s="1104">
        <v>1.0269999999999999</v>
      </c>
    </row>
    <row r="81" spans="3:15" ht="20" customHeight="1">
      <c r="C81" s="1119">
        <f t="shared" si="1"/>
        <v>809</v>
      </c>
      <c r="D81" s="1121" t="s">
        <v>349</v>
      </c>
      <c r="E81" s="1104">
        <v>1.113</v>
      </c>
      <c r="F81" s="1104">
        <v>1.1000000000000001</v>
      </c>
      <c r="G81" s="1104">
        <v>1.087</v>
      </c>
      <c r="H81" s="1104">
        <v>1.073</v>
      </c>
      <c r="I81" s="1104">
        <v>1.06</v>
      </c>
      <c r="J81" s="1104">
        <v>1.0469999999999999</v>
      </c>
      <c r="K81" s="1104">
        <v>1.0329999999999999</v>
      </c>
    </row>
    <row r="82" spans="3:15" ht="20" customHeight="1">
      <c r="C82" s="1119">
        <f t="shared" ref="C82:C112" si="8">C81+1</f>
        <v>810</v>
      </c>
      <c r="D82" s="1121" t="s">
        <v>350</v>
      </c>
      <c r="E82" s="1104">
        <v>1.1200000000000001</v>
      </c>
      <c r="F82" s="1104">
        <v>1.107</v>
      </c>
      <c r="G82" s="1104">
        <v>1.093</v>
      </c>
      <c r="H82" s="1104">
        <v>1.08</v>
      </c>
      <c r="I82" s="1104">
        <v>1.0669999999999999</v>
      </c>
      <c r="J82" s="1104">
        <v>1.0529999999999999</v>
      </c>
      <c r="K82" s="1104">
        <v>1.04</v>
      </c>
    </row>
    <row r="83" spans="3:15" ht="20" customHeight="1">
      <c r="C83" s="1119">
        <f t="shared" si="8"/>
        <v>811</v>
      </c>
      <c r="D83" s="1121" t="s">
        <v>351</v>
      </c>
      <c r="E83" s="1104">
        <v>1.127</v>
      </c>
      <c r="F83" s="1104">
        <v>1.113</v>
      </c>
      <c r="G83" s="1104">
        <v>1.1000000000000001</v>
      </c>
      <c r="H83" s="1104">
        <v>1.087</v>
      </c>
      <c r="I83" s="1104">
        <v>1.073</v>
      </c>
      <c r="J83" s="1104">
        <v>1.06</v>
      </c>
      <c r="K83" s="1104">
        <v>1.0469999999999999</v>
      </c>
    </row>
    <row r="84" spans="3:15" ht="20" customHeight="1">
      <c r="C84" s="1119">
        <f t="shared" si="8"/>
        <v>812</v>
      </c>
      <c r="D84" s="1121" t="s">
        <v>352</v>
      </c>
      <c r="E84" s="1104">
        <v>1.133</v>
      </c>
      <c r="F84" s="1104">
        <v>1.1200000000000001</v>
      </c>
      <c r="G84" s="1104">
        <v>1.107</v>
      </c>
      <c r="H84" s="1104">
        <v>1.093</v>
      </c>
      <c r="I84" s="1104">
        <v>1.08</v>
      </c>
      <c r="J84" s="1104">
        <v>1.0669999999999999</v>
      </c>
      <c r="K84" s="1104">
        <v>1.0529999999999999</v>
      </c>
    </row>
    <row r="85" spans="3:15" ht="20" customHeight="1">
      <c r="C85" s="1119">
        <f t="shared" si="8"/>
        <v>813</v>
      </c>
      <c r="D85" s="1121" t="s">
        <v>353</v>
      </c>
      <c r="E85" s="1104">
        <v>1.1399999999999999</v>
      </c>
      <c r="F85" s="1104">
        <v>1.127</v>
      </c>
      <c r="G85" s="1104">
        <v>1.113</v>
      </c>
      <c r="H85" s="1104">
        <v>1.1000000000000001</v>
      </c>
      <c r="I85" s="1104">
        <v>1.087</v>
      </c>
      <c r="J85" s="1104">
        <v>1.073</v>
      </c>
      <c r="K85" s="1104">
        <v>1.06</v>
      </c>
    </row>
    <row r="86" spans="3:15" ht="20" customHeight="1">
      <c r="C86" s="1119">
        <f t="shared" si="8"/>
        <v>814</v>
      </c>
      <c r="D86" s="1121" t="s">
        <v>354</v>
      </c>
      <c r="E86" s="1104">
        <v>1.147</v>
      </c>
      <c r="F86" s="1104">
        <v>1.133</v>
      </c>
      <c r="G86" s="1104">
        <v>1.1200000000000001</v>
      </c>
      <c r="H86" s="1104">
        <v>1.107</v>
      </c>
      <c r="I86" s="1104">
        <v>1.093</v>
      </c>
      <c r="J86" s="1104">
        <v>1.08</v>
      </c>
      <c r="K86" s="1104">
        <v>1.0669999999999999</v>
      </c>
    </row>
    <row r="87" spans="3:15" ht="20" customHeight="1">
      <c r="C87" s="1119">
        <f t="shared" si="8"/>
        <v>815</v>
      </c>
      <c r="D87" s="1121" t="s">
        <v>355</v>
      </c>
      <c r="E87" s="1104">
        <v>1.153</v>
      </c>
      <c r="F87" s="1104">
        <v>1.1399999999999999</v>
      </c>
      <c r="G87" s="1104">
        <v>1.127</v>
      </c>
      <c r="H87" s="1104">
        <v>1.113</v>
      </c>
      <c r="I87" s="1104">
        <v>1.1000000000000001</v>
      </c>
      <c r="J87" s="1104">
        <v>1.087</v>
      </c>
      <c r="K87" s="1104">
        <v>1.073</v>
      </c>
    </row>
    <row r="88" spans="3:15" ht="20" customHeight="1">
      <c r="C88" s="1119">
        <f t="shared" si="8"/>
        <v>816</v>
      </c>
      <c r="D88" s="1120" t="s">
        <v>356</v>
      </c>
      <c r="E88" s="1104">
        <v>1.1599999999999999</v>
      </c>
      <c r="F88" s="1104">
        <v>1.147</v>
      </c>
      <c r="G88" s="1104">
        <v>1.133</v>
      </c>
      <c r="H88" s="1104">
        <v>1.1200000000000001</v>
      </c>
      <c r="I88" s="1104">
        <v>1.107</v>
      </c>
      <c r="J88" s="1104">
        <v>1.093</v>
      </c>
      <c r="K88" s="1104">
        <v>1.08</v>
      </c>
      <c r="M88" s="1125"/>
      <c r="O88" s="1126"/>
    </row>
    <row r="89" spans="3:15" ht="20" customHeight="1">
      <c r="C89" s="1119">
        <f t="shared" si="8"/>
        <v>817</v>
      </c>
      <c r="D89" s="1121" t="s">
        <v>357</v>
      </c>
      <c r="E89" s="1104">
        <v>1.167</v>
      </c>
      <c r="F89" s="1104">
        <v>1.153</v>
      </c>
      <c r="G89" s="1104">
        <v>1.1399999999999999</v>
      </c>
      <c r="H89" s="1104">
        <v>1.127</v>
      </c>
      <c r="I89" s="1104">
        <v>1.113</v>
      </c>
      <c r="J89" s="1104">
        <v>1.1000000000000001</v>
      </c>
      <c r="K89" s="1104">
        <v>1.087</v>
      </c>
    </row>
    <row r="90" spans="3:15" ht="20" customHeight="1">
      <c r="C90" s="1119">
        <f t="shared" si="8"/>
        <v>818</v>
      </c>
      <c r="D90" s="1121" t="s">
        <v>358</v>
      </c>
      <c r="E90" s="1104">
        <v>1.173</v>
      </c>
      <c r="F90" s="1104">
        <v>1.1599999999999999</v>
      </c>
      <c r="G90" s="1104">
        <v>1.147</v>
      </c>
      <c r="H90" s="1104">
        <v>1.133</v>
      </c>
      <c r="I90" s="1104">
        <v>1.1200000000000001</v>
      </c>
      <c r="J90" s="1104">
        <v>1.107</v>
      </c>
      <c r="K90" s="1104">
        <v>1.093</v>
      </c>
    </row>
    <row r="91" spans="3:15" ht="20" customHeight="1">
      <c r="C91" s="1119">
        <f t="shared" si="8"/>
        <v>819</v>
      </c>
      <c r="D91" s="1121" t="s">
        <v>359</v>
      </c>
      <c r="E91" s="1104">
        <v>1.18</v>
      </c>
      <c r="F91" s="1104">
        <v>1.167</v>
      </c>
      <c r="G91" s="1104">
        <v>1.153</v>
      </c>
      <c r="H91" s="1104">
        <v>1.1399999999999999</v>
      </c>
      <c r="I91" s="1104">
        <v>1.127</v>
      </c>
      <c r="J91" s="1104">
        <v>1.113</v>
      </c>
      <c r="K91" s="1104">
        <v>1.1000000000000001</v>
      </c>
    </row>
    <row r="92" spans="3:15" ht="20" customHeight="1">
      <c r="C92" s="1119">
        <f t="shared" si="8"/>
        <v>820</v>
      </c>
      <c r="D92" s="1121" t="s">
        <v>360</v>
      </c>
      <c r="E92" s="1104">
        <v>1.1870000000000001</v>
      </c>
      <c r="F92" s="1104">
        <v>1.173</v>
      </c>
      <c r="G92" s="1104">
        <v>1.1599999999999999</v>
      </c>
      <c r="H92" s="1104">
        <v>1.147</v>
      </c>
      <c r="I92" s="1104">
        <v>1.133</v>
      </c>
      <c r="J92" s="1104">
        <v>1.1200000000000001</v>
      </c>
      <c r="K92" s="1104">
        <v>1.107</v>
      </c>
    </row>
    <row r="93" spans="3:15" ht="20" customHeight="1">
      <c r="C93" s="1119">
        <f t="shared" si="8"/>
        <v>821</v>
      </c>
      <c r="D93" s="1121" t="s">
        <v>361</v>
      </c>
      <c r="E93" s="1104">
        <v>1.1930000000000001</v>
      </c>
      <c r="F93" s="1104">
        <v>1.18</v>
      </c>
      <c r="G93" s="1104">
        <v>1.167</v>
      </c>
      <c r="H93" s="1104">
        <v>1.153</v>
      </c>
      <c r="I93" s="1104">
        <v>1.1399999999999999</v>
      </c>
      <c r="J93" s="1104">
        <v>1.127</v>
      </c>
      <c r="K93" s="1104">
        <v>1.113</v>
      </c>
    </row>
    <row r="94" spans="3:15" ht="20" customHeight="1">
      <c r="C94" s="1119">
        <f t="shared" si="8"/>
        <v>822</v>
      </c>
      <c r="D94" s="1121" t="s">
        <v>362</v>
      </c>
      <c r="E94" s="1104">
        <v>1.2</v>
      </c>
      <c r="F94" s="1104">
        <v>1.1870000000000001</v>
      </c>
      <c r="G94" s="1104">
        <v>1.173</v>
      </c>
      <c r="H94" s="1104">
        <v>1.1599999999999999</v>
      </c>
      <c r="I94" s="1104">
        <v>1.147</v>
      </c>
      <c r="J94" s="1104">
        <v>1.133</v>
      </c>
      <c r="K94" s="1104">
        <v>1.1200000000000001</v>
      </c>
    </row>
    <row r="95" spans="3:15" ht="20" customHeight="1">
      <c r="C95" s="1119">
        <f t="shared" si="8"/>
        <v>823</v>
      </c>
      <c r="D95" s="1121" t="s">
        <v>363</v>
      </c>
      <c r="E95" s="1104">
        <v>1.2070000000000001</v>
      </c>
      <c r="F95" s="1104">
        <v>1.1930000000000001</v>
      </c>
      <c r="G95" s="1104">
        <v>1.18</v>
      </c>
      <c r="H95" s="1104">
        <v>1.167</v>
      </c>
      <c r="I95" s="1104">
        <v>1.153</v>
      </c>
      <c r="J95" s="1104">
        <v>1.1399999999999999</v>
      </c>
      <c r="K95" s="1104">
        <v>1.127</v>
      </c>
    </row>
    <row r="96" spans="3:15" ht="20" customHeight="1">
      <c r="C96" s="1119">
        <f t="shared" si="8"/>
        <v>824</v>
      </c>
      <c r="D96" s="1121" t="s">
        <v>364</v>
      </c>
      <c r="E96" s="1104">
        <v>1.2130000000000001</v>
      </c>
      <c r="F96" s="1104">
        <v>1.2</v>
      </c>
      <c r="G96" s="1104">
        <v>1.1870000000000001</v>
      </c>
      <c r="H96" s="1104">
        <v>1.173</v>
      </c>
      <c r="I96" s="1104">
        <v>1.1599999999999999</v>
      </c>
      <c r="J96" s="1104">
        <v>1.147</v>
      </c>
      <c r="K96" s="1104">
        <v>1.133</v>
      </c>
    </row>
    <row r="97" spans="3:15" ht="20" customHeight="1">
      <c r="C97" s="1119">
        <f t="shared" si="8"/>
        <v>825</v>
      </c>
      <c r="D97" s="1121" t="s">
        <v>365</v>
      </c>
      <c r="E97" s="1104">
        <v>1.22</v>
      </c>
      <c r="F97" s="1104">
        <v>1.2070000000000001</v>
      </c>
      <c r="G97" s="1104">
        <v>1.1930000000000001</v>
      </c>
      <c r="H97" s="1104">
        <v>1.18</v>
      </c>
      <c r="I97" s="1104">
        <v>1.167</v>
      </c>
      <c r="J97" s="1104">
        <v>1.153</v>
      </c>
      <c r="K97" s="1104">
        <v>1.1399999999999999</v>
      </c>
    </row>
    <row r="98" spans="3:15" ht="20" customHeight="1">
      <c r="C98" s="1119">
        <f t="shared" si="8"/>
        <v>826</v>
      </c>
      <c r="D98" s="1121" t="s">
        <v>366</v>
      </c>
      <c r="E98" s="1104">
        <v>1.2270000000000001</v>
      </c>
      <c r="F98" s="1104">
        <v>1.2130000000000001</v>
      </c>
      <c r="G98" s="1104">
        <v>1.2</v>
      </c>
      <c r="H98" s="1104">
        <v>1.1870000000000001</v>
      </c>
      <c r="I98" s="1104">
        <v>1.173</v>
      </c>
      <c r="J98" s="1104">
        <v>1.1599999999999999</v>
      </c>
      <c r="K98" s="1104">
        <v>1.147</v>
      </c>
    </row>
    <row r="99" spans="3:15" ht="20" customHeight="1">
      <c r="C99" s="1119">
        <f t="shared" si="8"/>
        <v>827</v>
      </c>
      <c r="D99" s="1121" t="s">
        <v>367</v>
      </c>
      <c r="E99" s="1104">
        <v>1.2330000000000001</v>
      </c>
      <c r="F99" s="1104">
        <v>1.22</v>
      </c>
      <c r="G99" s="1104">
        <v>1.2070000000000001</v>
      </c>
      <c r="H99" s="1104">
        <v>1.1930000000000001</v>
      </c>
      <c r="I99" s="1104">
        <v>1.18</v>
      </c>
      <c r="J99" s="1104">
        <v>1.167</v>
      </c>
      <c r="K99" s="1104">
        <v>1.153</v>
      </c>
    </row>
    <row r="100" spans="3:15" ht="20" customHeight="1">
      <c r="C100" s="1119">
        <f t="shared" si="8"/>
        <v>828</v>
      </c>
      <c r="D100" s="1120" t="s">
        <v>368</v>
      </c>
      <c r="E100" s="1104">
        <v>1.24</v>
      </c>
      <c r="F100" s="1104">
        <v>1.2270000000000001</v>
      </c>
      <c r="G100" s="1104">
        <v>1.2130000000000001</v>
      </c>
      <c r="H100" s="1104">
        <v>1.2</v>
      </c>
      <c r="I100" s="1104">
        <v>1.1870000000000001</v>
      </c>
      <c r="J100" s="1104">
        <v>1.173</v>
      </c>
      <c r="K100" s="1104">
        <v>1.1599999999999999</v>
      </c>
      <c r="M100" s="1125"/>
      <c r="O100" s="1126"/>
    </row>
    <row r="101" spans="3:15" ht="20" customHeight="1">
      <c r="C101" s="1119">
        <f t="shared" si="8"/>
        <v>829</v>
      </c>
      <c r="D101" s="1121" t="s">
        <v>369</v>
      </c>
      <c r="E101" s="1104">
        <v>1.2470000000000001</v>
      </c>
      <c r="F101" s="1104">
        <v>1.2330000000000001</v>
      </c>
      <c r="G101" s="1104">
        <v>1.22</v>
      </c>
      <c r="H101" s="1104">
        <v>1.2070000000000001</v>
      </c>
      <c r="I101" s="1104">
        <v>1.1930000000000001</v>
      </c>
      <c r="J101" s="1104">
        <v>1.18</v>
      </c>
      <c r="K101" s="1104">
        <v>1.167</v>
      </c>
    </row>
    <row r="102" spans="3:15" ht="20" customHeight="1">
      <c r="C102" s="1119">
        <f t="shared" si="8"/>
        <v>830</v>
      </c>
      <c r="D102" s="1121" t="s">
        <v>370</v>
      </c>
      <c r="E102" s="1104">
        <v>1.2529999999999999</v>
      </c>
      <c r="F102" s="1104">
        <v>1.24</v>
      </c>
      <c r="G102" s="1104">
        <v>1.2270000000000001</v>
      </c>
      <c r="H102" s="1104">
        <v>1.2130000000000001</v>
      </c>
      <c r="I102" s="1104">
        <v>1.2</v>
      </c>
      <c r="J102" s="1104">
        <v>1.1870000000000001</v>
      </c>
      <c r="K102" s="1104">
        <v>1.173</v>
      </c>
    </row>
    <row r="103" spans="3:15" ht="20" customHeight="1">
      <c r="C103" s="1119">
        <f t="shared" si="8"/>
        <v>831</v>
      </c>
      <c r="D103" s="1121" t="s">
        <v>371</v>
      </c>
      <c r="E103" s="1104">
        <v>1.26</v>
      </c>
      <c r="F103" s="1104">
        <v>1.2470000000000001</v>
      </c>
      <c r="G103" s="1104">
        <v>1.2330000000000001</v>
      </c>
      <c r="H103" s="1104">
        <v>1.22</v>
      </c>
      <c r="I103" s="1104">
        <v>1.2070000000000001</v>
      </c>
      <c r="J103" s="1104">
        <v>1.1930000000000001</v>
      </c>
      <c r="K103" s="1104">
        <v>1.18</v>
      </c>
    </row>
    <row r="104" spans="3:15" ht="20" customHeight="1">
      <c r="C104" s="1119">
        <f t="shared" si="8"/>
        <v>832</v>
      </c>
      <c r="D104" s="1121" t="s">
        <v>372</v>
      </c>
      <c r="E104" s="1104">
        <v>1.2669999999999999</v>
      </c>
      <c r="F104" s="1104">
        <v>1.2529999999999999</v>
      </c>
      <c r="G104" s="1104">
        <v>1.24</v>
      </c>
      <c r="H104" s="1104">
        <v>1.2270000000000001</v>
      </c>
      <c r="I104" s="1104">
        <v>1.2130000000000001</v>
      </c>
      <c r="J104" s="1104">
        <v>1.2</v>
      </c>
      <c r="K104" s="1104">
        <v>1.1870000000000001</v>
      </c>
    </row>
    <row r="105" spans="3:15" ht="20" customHeight="1">
      <c r="C105" s="1119">
        <f t="shared" si="8"/>
        <v>833</v>
      </c>
      <c r="D105" s="1121" t="s">
        <v>373</v>
      </c>
      <c r="E105" s="1104">
        <v>1.2729999999999999</v>
      </c>
      <c r="F105" s="1104">
        <v>1.26</v>
      </c>
      <c r="G105" s="1104">
        <v>1.2470000000000001</v>
      </c>
      <c r="H105" s="1104">
        <v>1.2330000000000001</v>
      </c>
      <c r="I105" s="1104">
        <v>1.22</v>
      </c>
      <c r="J105" s="1104">
        <v>1.2070000000000001</v>
      </c>
      <c r="K105" s="1104">
        <v>1.1930000000000001</v>
      </c>
    </row>
    <row r="106" spans="3:15" ht="20" customHeight="1">
      <c r="C106" s="1119">
        <f t="shared" si="8"/>
        <v>834</v>
      </c>
      <c r="D106" s="1121" t="s">
        <v>374</v>
      </c>
      <c r="E106" s="1104">
        <v>1.28</v>
      </c>
      <c r="F106" s="1104">
        <v>1.2669999999999999</v>
      </c>
      <c r="G106" s="1104">
        <v>1.2529999999999999</v>
      </c>
      <c r="H106" s="1104">
        <v>1.24</v>
      </c>
      <c r="I106" s="1104">
        <v>1.2270000000000001</v>
      </c>
      <c r="J106" s="1104">
        <v>1.2130000000000001</v>
      </c>
      <c r="K106" s="1104">
        <v>1.2</v>
      </c>
    </row>
    <row r="107" spans="3:15" ht="20" customHeight="1">
      <c r="C107" s="1119">
        <f t="shared" si="8"/>
        <v>835</v>
      </c>
      <c r="D107" s="1121" t="s">
        <v>375</v>
      </c>
      <c r="E107" s="1104">
        <v>1.2869999999999999</v>
      </c>
      <c r="F107" s="1104">
        <v>1.2729999999999999</v>
      </c>
      <c r="G107" s="1104">
        <v>1.26</v>
      </c>
      <c r="H107" s="1104">
        <v>1.2470000000000001</v>
      </c>
      <c r="I107" s="1104">
        <v>1.2330000000000001</v>
      </c>
      <c r="J107" s="1104">
        <v>1.22</v>
      </c>
      <c r="K107" s="1104">
        <v>1.2070000000000001</v>
      </c>
    </row>
    <row r="108" spans="3:15" ht="20" customHeight="1">
      <c r="C108" s="1119">
        <f t="shared" si="8"/>
        <v>836</v>
      </c>
      <c r="D108" s="1121" t="s">
        <v>376</v>
      </c>
      <c r="E108" s="1104">
        <v>1.2929999999999999</v>
      </c>
      <c r="F108" s="1104">
        <v>1.28</v>
      </c>
      <c r="G108" s="1104">
        <v>1.2669999999999999</v>
      </c>
      <c r="H108" s="1104">
        <v>1.2529999999999999</v>
      </c>
      <c r="I108" s="1104">
        <v>1.24</v>
      </c>
      <c r="J108" s="1104">
        <v>1.2270000000000001</v>
      </c>
      <c r="K108" s="1104">
        <v>1.2130000000000001</v>
      </c>
    </row>
    <row r="109" spans="3:15" ht="20" customHeight="1">
      <c r="C109" s="1119">
        <f t="shared" si="8"/>
        <v>837</v>
      </c>
      <c r="D109" s="1121" t="s">
        <v>377</v>
      </c>
      <c r="E109" s="1104">
        <v>1.3</v>
      </c>
      <c r="F109" s="1104">
        <v>1.2869999999999999</v>
      </c>
      <c r="G109" s="1104">
        <v>1.2729999999999999</v>
      </c>
      <c r="H109" s="1104">
        <v>1.26</v>
      </c>
      <c r="I109" s="1104">
        <v>1.2470000000000001</v>
      </c>
      <c r="J109" s="1104">
        <v>1.2330000000000001</v>
      </c>
      <c r="K109" s="1104">
        <v>1.22</v>
      </c>
    </row>
    <row r="110" spans="3:15" ht="20" customHeight="1">
      <c r="C110" s="1119">
        <f t="shared" si="8"/>
        <v>838</v>
      </c>
      <c r="D110" s="1121" t="s">
        <v>378</v>
      </c>
      <c r="E110" s="1104">
        <v>1.3069999999999999</v>
      </c>
      <c r="F110" s="1104">
        <v>1.2929999999999999</v>
      </c>
      <c r="G110" s="1104">
        <v>1.28</v>
      </c>
      <c r="H110" s="1104">
        <v>1.2669999999999999</v>
      </c>
      <c r="I110" s="1104">
        <v>1.2529999999999999</v>
      </c>
      <c r="J110" s="1104">
        <v>1.24</v>
      </c>
      <c r="K110" s="1104">
        <v>1.2270000000000001</v>
      </c>
    </row>
    <row r="111" spans="3:15" ht="20" customHeight="1">
      <c r="C111" s="1119">
        <f t="shared" si="8"/>
        <v>839</v>
      </c>
      <c r="D111" s="1121" t="s">
        <v>379</v>
      </c>
      <c r="E111" s="1104">
        <v>1.3129999999999999</v>
      </c>
      <c r="F111" s="1104">
        <v>1.3</v>
      </c>
      <c r="G111" s="1104">
        <v>1.2869999999999999</v>
      </c>
      <c r="H111" s="1104">
        <v>1.2729999999999999</v>
      </c>
      <c r="I111" s="1104">
        <v>1.26</v>
      </c>
      <c r="J111" s="1104">
        <v>1.2470000000000001</v>
      </c>
      <c r="K111" s="1104">
        <v>1.2330000000000001</v>
      </c>
    </row>
    <row r="112" spans="3:15" ht="20" customHeight="1">
      <c r="C112" s="1119">
        <f t="shared" si="8"/>
        <v>840</v>
      </c>
      <c r="D112" s="1121" t="s">
        <v>380</v>
      </c>
      <c r="E112" s="1104">
        <v>1.32</v>
      </c>
      <c r="F112" s="1104">
        <v>1.3069999999999999</v>
      </c>
      <c r="G112" s="1104">
        <v>1.2929999999999999</v>
      </c>
      <c r="H112" s="1104">
        <v>1.28</v>
      </c>
      <c r="I112" s="1104">
        <v>1.2669999999999999</v>
      </c>
      <c r="J112" s="1104">
        <v>1.2529999999999999</v>
      </c>
      <c r="K112" s="1104">
        <v>1.24</v>
      </c>
      <c r="M112" s="1125"/>
      <c r="O112" s="1126"/>
    </row>
    <row r="113" spans="3:11" ht="20" customHeight="1"/>
    <row r="114" spans="3:11" ht="20" customHeight="1">
      <c r="C114" s="2550" t="s">
        <v>282</v>
      </c>
      <c r="D114" s="2550"/>
      <c r="E114" s="2550"/>
      <c r="F114" s="2550"/>
      <c r="G114" s="2550"/>
      <c r="H114" s="2550"/>
      <c r="I114" s="2550"/>
      <c r="J114" s="2550"/>
      <c r="K114" s="2550"/>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cillKzt5sfulQroSqGfTbimmsdoneM0g9sz4VkWqDfzaYCLDd4UH4DRMkylHDIAnicFN+R13AwVtxNJnkrdpMA==" saltValue="9W3L0tgjZ7QjNL2oxFz8rw=="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Welcome</vt:lpstr>
      <vt:lpstr>Overview</vt:lpstr>
      <vt:lpstr>Settings</vt:lpstr>
      <vt:lpstr>Home</vt:lpstr>
      <vt:lpstr>Individuals</vt:lpstr>
      <vt:lpstr>Assets</vt:lpstr>
      <vt:lpstr>Income</vt:lpstr>
      <vt:lpstr>Budget</vt:lpstr>
      <vt:lpstr>Retire</vt:lpstr>
      <vt:lpstr>Useful Info</vt:lpstr>
      <vt:lpstr>TaxRates</vt:lpstr>
      <vt:lpstr>TaxTables</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2022-08-17T16:13:45Z</dcterms:modified>
  <cp:category/>
</cp:coreProperties>
</file>